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s" sheetId="1" r:id="rId5"/>
    <sheet state="visible" name="Por data" sheetId="2" r:id="rId6"/>
    <sheet state="visible" name="Por evento" sheetId="3" r:id="rId7"/>
    <sheet state="visible" name="Research" sheetId="4" r:id="rId8"/>
    <sheet state="visible" name="Sheet6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tc={1a168094-acff-4658-aef1-35528535e663}</author>
  </authors>
  <commentList>
    <comment authorId="0" xr:uid="{1a168094-acff-4658-aef1-35528535e663}" ref="I6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Gostei bastante mas nao vou betar no stroud nao
</t>
      </text>
    </comment>
  </commentList>
</comments>
</file>

<file path=xl/sharedStrings.xml><?xml version="1.0" encoding="utf-8"?>
<sst xmlns="http://schemas.openxmlformats.org/spreadsheetml/2006/main" count="9198" uniqueCount="2277">
  <si>
    <t>BET DESC</t>
  </si>
  <si>
    <t>225+ D</t>
  </si>
  <si>
    <t>DATE</t>
  </si>
  <si>
    <t>SPORT</t>
  </si>
  <si>
    <t>EVENT</t>
  </si>
  <si>
    <t>BUY-IN</t>
  </si>
  <si>
    <t>WIN</t>
  </si>
  <si>
    <t>TOTAL
BUY-IN</t>
  </si>
  <si>
    <t>TOTAL
PAYOUT</t>
  </si>
  <si>
    <t>ODDS</t>
  </si>
  <si>
    <t>BET PROPS</t>
  </si>
  <si>
    <t>PAYOUT</t>
  </si>
  <si>
    <t>GTD</t>
  </si>
  <si>
    <t>WOLF</t>
  </si>
  <si>
    <t>FELIPE</t>
  </si>
  <si>
    <t>CHOI</t>
  </si>
  <si>
    <t>JO</t>
  </si>
  <si>
    <t>TRIGO</t>
  </si>
  <si>
    <t>HU</t>
  </si>
  <si>
    <t>BUENO</t>
  </si>
  <si>
    <t>NINHO</t>
  </si>
  <si>
    <t>NOW</t>
  </si>
  <si>
    <t>/</t>
  </si>
  <si>
    <t>PROP</t>
  </si>
  <si>
    <t>NFL</t>
  </si>
  <si>
    <t>🏈 23-24 Futures</t>
  </si>
  <si>
    <t>SB LVIII - SF 49ers</t>
  </si>
  <si>
    <t>B. Purdy</t>
  </si>
  <si>
    <t>+250</t>
  </si>
  <si>
    <t>✅</t>
  </si>
  <si>
    <t>10+ C. McCaffery rush TDs</t>
  </si>
  <si>
    <t>+1800</t>
  </si>
  <si>
    <t>❌</t>
  </si>
  <si>
    <t>T. Lawrence most total pass yds</t>
  </si>
  <si>
    <t>+750</t>
  </si>
  <si>
    <t>N. Bosa most sacks</t>
  </si>
  <si>
    <t>+222</t>
  </si>
  <si>
    <t>30+ Pass TD - J. Allen</t>
  </si>
  <si>
    <t>30+ Pass TD - J. Burrow</t>
  </si>
  <si>
    <t>30+ Pass TD -J. Herbert</t>
  </si>
  <si>
    <t>+394</t>
  </si>
  <si>
    <t>JAX Jaguars</t>
  </si>
  <si>
    <t>PHI Eagles</t>
  </si>
  <si>
    <t>SF 49ers</t>
  </si>
  <si>
    <t>+150</t>
  </si>
  <si>
    <t>2+ N. Bosa sacks in 3+ Reg Season gm</t>
  </si>
  <si>
    <t>+650</t>
  </si>
  <si>
    <t>ARI Cardinals - Lowest scoring team</t>
  </si>
  <si>
    <t>+800</t>
  </si>
  <si>
    <t>TB Buccanears- Lowest scoring team</t>
  </si>
  <si>
    <t>+600</t>
  </si>
  <si>
    <t>SF 49ers - Fewest points conceded</t>
  </si>
  <si>
    <t>🏈 23-24 Wk 10</t>
  </si>
  <si>
    <t>+350</t>
  </si>
  <si>
    <t>C. McCaffery - Most rush TDs 2023</t>
  </si>
  <si>
    <t>+200</t>
  </si>
  <si>
    <t>C. McCaffery - Most rush Yds 2023</t>
  </si>
  <si>
    <t>🏈 23-24 Wk 13</t>
  </si>
  <si>
    <t>+300</t>
  </si>
  <si>
    <t>YES - 49ers to run the "Bird Gountlet"</t>
  </si>
  <si>
    <t>NBA</t>
  </si>
  <si>
    <t>🏀 23-24 11(Nov)</t>
  </si>
  <si>
    <t>+143</t>
  </si>
  <si>
    <t>25+ L. Doncic p</t>
  </si>
  <si>
    <t>8+ L. Doncic a</t>
  </si>
  <si>
    <t>8+ L. Doncic r</t>
  </si>
  <si>
    <t>+155</t>
  </si>
  <si>
    <t>20+ D. Bane p</t>
  </si>
  <si>
    <t>4+ D. Bane a</t>
  </si>
  <si>
    <t>o10.5 D. Ayton r</t>
  </si>
  <si>
    <t>🏈 23-24 Wk 09</t>
  </si>
  <si>
    <t>+100</t>
  </si>
  <si>
    <t>1+ T. Tagovailoa pass TD</t>
  </si>
  <si>
    <t>1+ P. Mahomes pass TD</t>
  </si>
  <si>
    <t>25+ R. Mostert rush yds</t>
  </si>
  <si>
    <t>25+ I. Pacheco rush yds</t>
  </si>
  <si>
    <t>MIA +17.5</t>
  </si>
  <si>
    <t>+303</t>
  </si>
  <si>
    <t>250+ P. Mahomes pass yds</t>
  </si>
  <si>
    <t>250+ T. Tagovailoa pass yds</t>
  </si>
  <si>
    <t>50+ T. Kelce rec yds</t>
  </si>
  <si>
    <t>6+ T. Kelce rec</t>
  </si>
  <si>
    <t>40+ I. Pacheco rush yds</t>
  </si>
  <si>
    <t>2+ P. Mahomes pass TD</t>
  </si>
  <si>
    <t>+147</t>
  </si>
  <si>
    <t>25+ C. Watson rec yds</t>
  </si>
  <si>
    <t>40+ C. Kupp rec yds</t>
  </si>
  <si>
    <t>2+ L. Musgrave rec</t>
  </si>
  <si>
    <t>25+ D. Henderson rush yds</t>
  </si>
  <si>
    <t>--167</t>
  </si>
  <si>
    <t>200+ B. Mayfield pass yds</t>
  </si>
  <si>
    <t>40+ C. Godwin rec yds</t>
  </si>
  <si>
    <t>4+ C. Godwin rec</t>
  </si>
  <si>
    <t>4+ N. Collins rec</t>
  </si>
  <si>
    <t>+207</t>
  </si>
  <si>
    <t>40+ T. McLaurin rec yds</t>
  </si>
  <si>
    <t>25+ J. Dotson rec yds</t>
  </si>
  <si>
    <t>4+ T. McLaurin rec</t>
  </si>
  <si>
    <t>25+ R. Stevenson rush yds</t>
  </si>
  <si>
    <t>25+ B. Robinson rush yds</t>
  </si>
  <si>
    <t>+170</t>
  </si>
  <si>
    <t>40+ D. Moore rec yds</t>
  </si>
  <si>
    <t>25+ A. Kamara rec yds</t>
  </si>
  <si>
    <t>40+ A. Kamara rush yds</t>
  </si>
  <si>
    <t>4+ D. Moore rec</t>
  </si>
  <si>
    <t>+232</t>
  </si>
  <si>
    <t>25+ K. Pitts rec yds</t>
  </si>
  <si>
    <t>3+ K. Pitts rec</t>
  </si>
  <si>
    <t>40+ B. Robinson rush yds</t>
  </si>
  <si>
    <t>25+ A. Mattison rush yds</t>
  </si>
  <si>
    <t>+175</t>
  </si>
  <si>
    <t>BAL -2.5</t>
  </si>
  <si>
    <t>40+ DK Metcalf rec yds</t>
  </si>
  <si>
    <t>4+ Z. Flowers rec</t>
  </si>
  <si>
    <t>+230</t>
  </si>
  <si>
    <t>6+ J. Hurts, D. Prescott &amp; B. Mayfield total TD</t>
  </si>
  <si>
    <t>+186</t>
  </si>
  <si>
    <t>PUNT - SEA</t>
  </si>
  <si>
    <t>PUNT - MIN</t>
  </si>
  <si>
    <t>PUNT - CHI</t>
  </si>
  <si>
    <t>PUNT - LV</t>
  </si>
  <si>
    <t>+191</t>
  </si>
  <si>
    <t>PUNT - NYG</t>
  </si>
  <si>
    <t>PUNT - LAR</t>
  </si>
  <si>
    <t>--162</t>
  </si>
  <si>
    <t>u45 Total Points</t>
  </si>
  <si>
    <t>60+ J. Jacobs rush yds</t>
  </si>
  <si>
    <t>60+ S. Berkley rush yds</t>
  </si>
  <si>
    <t>AJ Brown or C. Lamb - most receiving yds</t>
  </si>
  <si>
    <t>+133</t>
  </si>
  <si>
    <t>250+ J. Burrow pass yds</t>
  </si>
  <si>
    <t>250+ J. Allen pass yds</t>
  </si>
  <si>
    <t>+104</t>
  </si>
  <si>
    <t>+165</t>
  </si>
  <si>
    <t>225+ J. Allen pass yds</t>
  </si>
  <si>
    <t>6+ S. Diggs rec</t>
  </si>
  <si>
    <t>60+ S. Diggs rec yds</t>
  </si>
  <si>
    <t>4+ D. Kincaid rec</t>
  </si>
  <si>
    <t>25+ D. Kincaid rec yds</t>
  </si>
  <si>
    <t>+134</t>
  </si>
  <si>
    <t>225+ J. Burrow pass yds</t>
  </si>
  <si>
    <t>40+ J. Mixon rush yds</t>
  </si>
  <si>
    <t>o7.5 J. Chase rec</t>
  </si>
  <si>
    <t>60+ J. Chase rec yds</t>
  </si>
  <si>
    <t>+1500</t>
  </si>
  <si>
    <t>o42.5 total points</t>
  </si>
  <si>
    <t>o1.5 J. Burrow pass TD</t>
  </si>
  <si>
    <t>o1.5 J. Allen pass TD</t>
  </si>
  <si>
    <t>40+ J. Cook rush yds</t>
  </si>
  <si>
    <t>50+ J. Mixon rush yds</t>
  </si>
  <si>
    <t>o40.5 D. Kincaid rec yds</t>
  </si>
  <si>
    <t>70+ S. Diggs rec yds</t>
  </si>
  <si>
    <t>o86.5 J. Chase rec yds</t>
  </si>
  <si>
    <t>BUF +14.5</t>
  </si>
  <si>
    <t>1+ J. Burrow TD</t>
  </si>
  <si>
    <t>CIN +23.5</t>
  </si>
  <si>
    <t>+189</t>
  </si>
  <si>
    <t>PUNT - ARI</t>
  </si>
  <si>
    <t>PUNT - NYJ</t>
  </si>
  <si>
    <t>+400</t>
  </si>
  <si>
    <t>1stTD - A. Ekeler or G. Wilson</t>
  </si>
  <si>
    <t>+102</t>
  </si>
  <si>
    <t>LAC +10.5</t>
  </si>
  <si>
    <t>2+ Q. Johnston rec</t>
  </si>
  <si>
    <t>3+ A. Ekeler rec</t>
  </si>
  <si>
    <t>3+ G. Wilson rec</t>
  </si>
  <si>
    <t>+181</t>
  </si>
  <si>
    <t>225+ J. Herbert pass yds</t>
  </si>
  <si>
    <t>40+ G. Wilson rec yds</t>
  </si>
  <si>
    <t>50+ K. Allen rec yds</t>
  </si>
  <si>
    <t>5+ K. Allen rec</t>
  </si>
  <si>
    <t>LAC +4.5</t>
  </si>
  <si>
    <t>+1000</t>
  </si>
  <si>
    <t>o1.5 J. Herbert pass TD</t>
  </si>
  <si>
    <t>u11.5 J. Herber rush yds</t>
  </si>
  <si>
    <t>LAC - Race to 10 points</t>
  </si>
  <si>
    <t>⛔</t>
  </si>
  <si>
    <t>u10.5 R. Cobb rec yds</t>
  </si>
  <si>
    <t>+138</t>
  </si>
  <si>
    <t>20+ T. Maxey p</t>
  </si>
  <si>
    <t>25+ J. Embiid p</t>
  </si>
  <si>
    <t>8+ J. Embiid r</t>
  </si>
  <si>
    <t>+159</t>
  </si>
  <si>
    <t>4+ J. Sochan a</t>
  </si>
  <si>
    <t>6+ V. Wembanyama r</t>
  </si>
  <si>
    <t>10+ T. Haliburton a</t>
  </si>
  <si>
    <t>6+ M. Turner r</t>
  </si>
  <si>
    <t>+137</t>
  </si>
  <si>
    <t>20+ C. Cunningham p</t>
  </si>
  <si>
    <t>25+ S. Curry p</t>
  </si>
  <si>
    <t>4+ S. Curry 3pt</t>
  </si>
  <si>
    <t>20+ K. Leonard p</t>
  </si>
  <si>
    <t>2+ P. George 3pt</t>
  </si>
  <si>
    <t>2+ J. Brunson a</t>
  </si>
  <si>
    <t>+183</t>
  </si>
  <si>
    <t>20+ L. James p</t>
  </si>
  <si>
    <t>6+ L. James r</t>
  </si>
  <si>
    <t>20+ A. Davies p</t>
  </si>
  <si>
    <t>10+ A. Davies r</t>
  </si>
  <si>
    <t>+196</t>
  </si>
  <si>
    <t>20+ G. Antetokounmpo p</t>
  </si>
  <si>
    <t>u11.5 G. Antetokounmpo r</t>
  </si>
  <si>
    <t>2+ D. Finney-Smith 3pt</t>
  </si>
  <si>
    <t>+441</t>
  </si>
  <si>
    <t>25+ J. Tatum p</t>
  </si>
  <si>
    <t>8+ J. Tatum r</t>
  </si>
  <si>
    <t>4+ J. Brown r</t>
  </si>
  <si>
    <t>20+ A. Edwards p</t>
  </si>
  <si>
    <t>6+ K Towns r</t>
  </si>
  <si>
    <t>10+ R. Gobert r</t>
  </si>
  <si>
    <t>+118</t>
  </si>
  <si>
    <t>20+ Z. LaVine p</t>
  </si>
  <si>
    <t>20+ L. Markkanen p</t>
  </si>
  <si>
    <t>6+ L. Markkanen r</t>
  </si>
  <si>
    <t>+146</t>
  </si>
  <si>
    <t xml:space="preserve">25+ N. Jokic p </t>
  </si>
  <si>
    <t>10+ N. Jokic r</t>
  </si>
  <si>
    <t>8+ N. Jokic a</t>
  </si>
  <si>
    <t>+66567</t>
  </si>
  <si>
    <t>25+ S. Gilgeous-Alexander p</t>
  </si>
  <si>
    <t>4+ J. Embiid a</t>
  </si>
  <si>
    <t>+120</t>
  </si>
  <si>
    <t>8+ J. Randle r</t>
  </si>
  <si>
    <t>8+ M. Robinson r</t>
  </si>
  <si>
    <t>+162</t>
  </si>
  <si>
    <t>25+ D. Mitchell p</t>
  </si>
  <si>
    <t>8+ E. Mobley r</t>
  </si>
  <si>
    <t>+226</t>
  </si>
  <si>
    <t>6+ I. Stweart r</t>
  </si>
  <si>
    <t>6+ A. Thompson r</t>
  </si>
  <si>
    <t>25+ G. Antetokounmpo p</t>
  </si>
  <si>
    <t>+122</t>
  </si>
  <si>
    <t>25+ K. Durant p</t>
  </si>
  <si>
    <t>4+ D. DeRozen a</t>
  </si>
  <si>
    <t>4+ L. James a</t>
  </si>
  <si>
    <t>+185</t>
  </si>
  <si>
    <t>6+ L. Doncic a</t>
  </si>
  <si>
    <t>4+ S. Barnes a</t>
  </si>
  <si>
    <t>+219</t>
  </si>
  <si>
    <t>25+ N. Jokic p</t>
  </si>
  <si>
    <t>12+ N. Jokic r</t>
  </si>
  <si>
    <t>PUNT - CHI 1st drive</t>
  </si>
  <si>
    <t>PUNT - CAR 1st drive</t>
  </si>
  <si>
    <t>+136</t>
  </si>
  <si>
    <t>o1.5 - C. Santos FGs</t>
  </si>
  <si>
    <t>+129</t>
  </si>
  <si>
    <t>u215.5 B. Young pass yds</t>
  </si>
  <si>
    <t>3+ C. Kmet rec</t>
  </si>
  <si>
    <t>+1380</t>
  </si>
  <si>
    <t>40+ C. Kmet rec yds</t>
  </si>
  <si>
    <t>u1.5 B. Young pass TD</t>
  </si>
  <si>
    <t>50+ D. Foreman rush yds</t>
  </si>
  <si>
    <t>u19.5 1st half total points</t>
  </si>
  <si>
    <t>o31.5 total points</t>
  </si>
  <si>
    <t>+3527</t>
  </si>
  <si>
    <t>CHI W</t>
  </si>
  <si>
    <t>ATTD D. Foreman</t>
  </si>
  <si>
    <t>u41.5 Total points</t>
  </si>
  <si>
    <t>60+ D. Foreman rush yds</t>
  </si>
  <si>
    <t>5+ D. Moore rec</t>
  </si>
  <si>
    <t>60+ DJ Moore rec yds</t>
  </si>
  <si>
    <t>6+ A. Thielen rec</t>
  </si>
  <si>
    <t>60+ A. Thielen rec yds</t>
  </si>
  <si>
    <t>+109</t>
  </si>
  <si>
    <t>u8.5 M. Sanders rush yds</t>
  </si>
  <si>
    <t>15+ T. Haliburton p</t>
  </si>
  <si>
    <t>20+ T. Young p</t>
  </si>
  <si>
    <t>4+ D. Murray a</t>
  </si>
  <si>
    <t>4+ P. Banchero a</t>
  </si>
  <si>
    <t>+126</t>
  </si>
  <si>
    <t>20+ T. Maxey a</t>
  </si>
  <si>
    <t>8+ J. embiid r</t>
  </si>
  <si>
    <t>15+ V. Wembanyama p</t>
  </si>
  <si>
    <t>8+ V. Wembanyama r</t>
  </si>
  <si>
    <t>4+ A. Edwards a</t>
  </si>
  <si>
    <t>+127</t>
  </si>
  <si>
    <t>4+ J. Clarkson a</t>
  </si>
  <si>
    <t>20+ J. Jackson Jr p</t>
  </si>
  <si>
    <t>+103</t>
  </si>
  <si>
    <t>20+ Z. Williamson p</t>
  </si>
  <si>
    <t>10+ J. Smith p</t>
  </si>
  <si>
    <t>6+ F. VanVleet a</t>
  </si>
  <si>
    <t>+605</t>
  </si>
  <si>
    <t>20+ P. George p</t>
  </si>
  <si>
    <t>8+ I. Zubac r</t>
  </si>
  <si>
    <t>+271</t>
  </si>
  <si>
    <t>10+ G. Antetokounmpo r</t>
  </si>
  <si>
    <t>15+ P. Banchero p</t>
  </si>
  <si>
    <t>+243</t>
  </si>
  <si>
    <t>20+ J. Tatum p</t>
  </si>
  <si>
    <t>6+ J. Holiday a</t>
  </si>
  <si>
    <t>6+ S. Barnes r</t>
  </si>
  <si>
    <t>20+ B. Adebayo p</t>
  </si>
  <si>
    <t>8+ B. Adebyaio r</t>
  </si>
  <si>
    <t>8+ C. Capela r</t>
  </si>
  <si>
    <t>25+ D. Mitchel p</t>
  </si>
  <si>
    <t>JAX +3</t>
  </si>
  <si>
    <t>+20000</t>
  </si>
  <si>
    <t>SF 30 @ JAX 10 - Exact score</t>
  </si>
  <si>
    <t>+132</t>
  </si>
  <si>
    <t>SF - To score 1st and win</t>
  </si>
  <si>
    <t>+224</t>
  </si>
  <si>
    <t>Touchdown - 1st drive</t>
  </si>
  <si>
    <t>+480</t>
  </si>
  <si>
    <t>SF 7 to 12 - Winning margin</t>
  </si>
  <si>
    <t>+260</t>
  </si>
  <si>
    <t>2+ ATTD C. McCaffery</t>
  </si>
  <si>
    <t>PUNT - JAX 1st drive</t>
  </si>
  <si>
    <t>TD - SF 1st drive</t>
  </si>
  <si>
    <t>+561</t>
  </si>
  <si>
    <t>SF -3</t>
  </si>
  <si>
    <t>200+ T. Lawrence pass yds</t>
  </si>
  <si>
    <t>225+ B. Purdy pass yds</t>
  </si>
  <si>
    <t>25+ D. Samuel rec yds</t>
  </si>
  <si>
    <t>40+ B. Ayuk rec yds</t>
  </si>
  <si>
    <t>25+ C. McCaffery rec yds</t>
  </si>
  <si>
    <t>+154</t>
  </si>
  <si>
    <t>50+ M. Pittman Jr. rec yds</t>
  </si>
  <si>
    <t>3+ R. Steveson rec</t>
  </si>
  <si>
    <t>25+ R. Steveson rush yds</t>
  </si>
  <si>
    <t>225+ B. Mayfield pass yds</t>
  </si>
  <si>
    <t>200+ W. Levis pass yds</t>
  </si>
  <si>
    <t>40+ D. Hopkins rec yds</t>
  </si>
  <si>
    <t>40+ M. Evans rec yds</t>
  </si>
  <si>
    <t>40+ M. Andrews rec yds</t>
  </si>
  <si>
    <t>3+ M. Andrews rec</t>
  </si>
  <si>
    <t>3+ A. Cooper rec</t>
  </si>
  <si>
    <t>+114</t>
  </si>
  <si>
    <t>225+ CJ Stroud pass. yds</t>
  </si>
  <si>
    <t>2+ J. Burrow pass TDs</t>
  </si>
  <si>
    <t>+215</t>
  </si>
  <si>
    <t>225+ J. Goff pass yds</t>
  </si>
  <si>
    <t>60+ A. St. Brown rec yds</t>
  </si>
  <si>
    <t>40+ S. LaPorta rec yds</t>
  </si>
  <si>
    <t>0 - NYG exact total pts scored</t>
  </si>
  <si>
    <t>5+ Sacks DAL</t>
  </si>
  <si>
    <t>+380</t>
  </si>
  <si>
    <t>ATTD DAL Defense</t>
  </si>
  <si>
    <t>PUNT - NE</t>
  </si>
  <si>
    <t>PUNT - CLE</t>
  </si>
  <si>
    <t>+190</t>
  </si>
  <si>
    <t>PUNT - GB</t>
  </si>
  <si>
    <t>+151</t>
  </si>
  <si>
    <t>PUNT - DEN</t>
  </si>
  <si>
    <t>50+ J. Jacobs rush yds</t>
  </si>
  <si>
    <t>50+ B. Hall rush yds</t>
  </si>
  <si>
    <t>4+ G. Wilson rec</t>
  </si>
  <si>
    <t>2+ B. Hall rec</t>
  </si>
  <si>
    <t>BUF W</t>
  </si>
  <si>
    <t>u211.5 R. Wilson pass yds</t>
  </si>
  <si>
    <t>+442</t>
  </si>
  <si>
    <t>40+ J. Jeudy rec yds</t>
  </si>
  <si>
    <t>5+ D. Kincaid rec</t>
  </si>
  <si>
    <t>40+ D. Kincaid rec yds</t>
  </si>
  <si>
    <t>40+ J. Williams rush yds</t>
  </si>
  <si>
    <t>+135</t>
  </si>
  <si>
    <t>o37 total points</t>
  </si>
  <si>
    <t>o2.5 T. Bass XP</t>
  </si>
  <si>
    <t>🚫</t>
  </si>
  <si>
    <t>15+ RJ Barret p</t>
  </si>
  <si>
    <t>15+ K. Porzingis p</t>
  </si>
  <si>
    <t>+221</t>
  </si>
  <si>
    <t>20+ D. Lillard p</t>
  </si>
  <si>
    <t>15+ D. Garland p</t>
  </si>
  <si>
    <t>4+ D. Mitchel a</t>
  </si>
  <si>
    <t>15+ D. Sabonis p</t>
  </si>
  <si>
    <t>10+ D. Sabonis r</t>
  </si>
  <si>
    <t>+128</t>
  </si>
  <si>
    <t>6+ L. Doncic r</t>
  </si>
  <si>
    <t>4+ S. Gilgeous-Alexander a</t>
  </si>
  <si>
    <t>6+ C. Holmgreen r</t>
  </si>
  <si>
    <t>🏈 23-24 Wk 11</t>
  </si>
  <si>
    <t>200+ J. Love pass yds</t>
  </si>
  <si>
    <t>6+ K. Allen rec</t>
  </si>
  <si>
    <t>+201</t>
  </si>
  <si>
    <t>225+ D. Prescott pass yds</t>
  </si>
  <si>
    <t>60+ C. Lamb rec yds</t>
  </si>
  <si>
    <t>u15.5 M. Sanders rush yds</t>
  </si>
  <si>
    <t>+111</t>
  </si>
  <si>
    <t>ATTD D. Montgomery</t>
  </si>
  <si>
    <t>+124</t>
  </si>
  <si>
    <t>6+ A. St. Brown rec</t>
  </si>
  <si>
    <t>4+ S. LaPorta r</t>
  </si>
  <si>
    <t>o36.5 total points</t>
  </si>
  <si>
    <t>200+ K. Murray pass yds</t>
  </si>
  <si>
    <t>225+ C.J. Stroud pass yds</t>
  </si>
  <si>
    <t>4+ T. Dell rec</t>
  </si>
  <si>
    <t>50+ D. Singletary rush yds</t>
  </si>
  <si>
    <t>40+ C. Kirk rec yds</t>
  </si>
  <si>
    <t>3+ T. Etienne rec</t>
  </si>
  <si>
    <t>+145</t>
  </si>
  <si>
    <t>ATTD C. Kirk</t>
  </si>
  <si>
    <t>+140</t>
  </si>
  <si>
    <t>225+ T. Tagovailoa pass yds</t>
  </si>
  <si>
    <t xml:space="preserve">5+ D. Adams rec </t>
  </si>
  <si>
    <t>+258</t>
  </si>
  <si>
    <t>200+ Z. Wilson pass yds</t>
  </si>
  <si>
    <t>25+ G. Kittle rec yds</t>
  </si>
  <si>
    <t>40+ C. McCaffery rush yds</t>
  </si>
  <si>
    <t>SF -2.5</t>
  </si>
  <si>
    <t>+182</t>
  </si>
  <si>
    <t>50+ J. Gibbs rush+rec yds</t>
  </si>
  <si>
    <t>25+ AJ Dillon rush+rec yds</t>
  </si>
  <si>
    <t>50+ R. White rush+rec yds</t>
  </si>
  <si>
    <t>50+ J. Cook rush+rec yds</t>
  </si>
  <si>
    <t>+157</t>
  </si>
  <si>
    <t>SF -6.5</t>
  </si>
  <si>
    <t>MIA -6.5</t>
  </si>
  <si>
    <t>DAL -6.5</t>
  </si>
  <si>
    <t>+197</t>
  </si>
  <si>
    <t>150+ R. Wilson pass yds</t>
  </si>
  <si>
    <t>40+ TJ Hockenson rec yds</t>
  </si>
  <si>
    <t>u32.5 DEN total points</t>
  </si>
  <si>
    <t>u30.5 MIN total points</t>
  </si>
  <si>
    <t>70+ AJ Brown rec yds</t>
  </si>
  <si>
    <t>70+ CD Lamb rec yds</t>
  </si>
  <si>
    <t>70+ T. Hill rec yds</t>
  </si>
  <si>
    <t>+142</t>
  </si>
  <si>
    <t>1+ N. Jokic 3pt</t>
  </si>
  <si>
    <t>+130</t>
  </si>
  <si>
    <t>6+ D. Lillard a</t>
  </si>
  <si>
    <t>8+ N. Vucevic r</t>
  </si>
  <si>
    <t>2+ Z. LaVine 3pt</t>
  </si>
  <si>
    <t>8+ B. Adabayo r</t>
  </si>
  <si>
    <t>+411</t>
  </si>
  <si>
    <t>20+ J. Brunson p</t>
  </si>
  <si>
    <t>20+ J. Randle p</t>
  </si>
  <si>
    <t>20+ K. Anhtony Towns p</t>
  </si>
  <si>
    <t>4+ J. Brunson a</t>
  </si>
  <si>
    <t>20+ B. Ingram p</t>
  </si>
  <si>
    <t>25+ D. Fox p</t>
  </si>
  <si>
    <t>6+ D. Sabonis a</t>
  </si>
  <si>
    <t>8+ V. Wembanyama</t>
  </si>
  <si>
    <t>4+ Z. Collins r</t>
  </si>
  <si>
    <t>8+ A. Sengun r</t>
  </si>
  <si>
    <t>+148</t>
  </si>
  <si>
    <t>200+ J. Hurts pass yds</t>
  </si>
  <si>
    <t>25+ J. Hurts rush yds</t>
  </si>
  <si>
    <t>40+ D. Swift rush yds</t>
  </si>
  <si>
    <t>+172</t>
  </si>
  <si>
    <t>5+ AJ Brown rec</t>
  </si>
  <si>
    <t>o38.5 total points</t>
  </si>
  <si>
    <t>4+ D. Smith rec</t>
  </si>
  <si>
    <t>+2152</t>
  </si>
  <si>
    <t>ATTD T. Kelce</t>
  </si>
  <si>
    <t>ATTD J. Hurts</t>
  </si>
  <si>
    <t>o76.5 T. Kelce rec yds</t>
  </si>
  <si>
    <t>40+ D. Smith rec yds</t>
  </si>
  <si>
    <t>60+ D. Swift rush yds</t>
  </si>
  <si>
    <t>+4090</t>
  </si>
  <si>
    <t>325+ J. Hurts pass yds</t>
  </si>
  <si>
    <t>3+ J. Hurts pass TD</t>
  </si>
  <si>
    <t>PHI -6.5</t>
  </si>
  <si>
    <t>+168</t>
  </si>
  <si>
    <t>10+ J. Embiid r</t>
  </si>
  <si>
    <t>30+ J. Embiid p</t>
  </si>
  <si>
    <t>20+ D. Booker p</t>
  </si>
  <si>
    <t>6+ K. Durant r</t>
  </si>
  <si>
    <t>+167</t>
  </si>
  <si>
    <t>6+ L. James a</t>
  </si>
  <si>
    <t>6+ J. Collins r</t>
  </si>
  <si>
    <t>20+ A. Davis p</t>
  </si>
  <si>
    <t>2+ M. Porter Jr 3pt</t>
  </si>
  <si>
    <t>o2.5 A. Gordon a</t>
  </si>
  <si>
    <t>8+ L. Ball a</t>
  </si>
  <si>
    <t>25+ L. Ball p</t>
  </si>
  <si>
    <t>15+ M. Bridges p</t>
  </si>
  <si>
    <t>+233</t>
  </si>
  <si>
    <t>25+ J Tatum p</t>
  </si>
  <si>
    <t>6+ K. Porzingis r</t>
  </si>
  <si>
    <t>8+ B. Adebayo r</t>
  </si>
  <si>
    <t>6+ D. Garland a</t>
  </si>
  <si>
    <t>15+ B. Adebayo p</t>
  </si>
  <si>
    <t>+193</t>
  </si>
  <si>
    <t>20+ K. Towns p</t>
  </si>
  <si>
    <t>6+ T. Maxey a</t>
  </si>
  <si>
    <t>+161</t>
  </si>
  <si>
    <t>+194</t>
  </si>
  <si>
    <t>25+ D. Booker p</t>
  </si>
  <si>
    <t>6+ D. Booker a</t>
  </si>
  <si>
    <t>3+ L. Doncic 3pt</t>
  </si>
  <si>
    <t>🏈 23-24 Wk 12</t>
  </si>
  <si>
    <t>50+ A. St. Brown rec yds</t>
  </si>
  <si>
    <t>50+ C. Lamb rec yds</t>
  </si>
  <si>
    <t>50+ C. McCaffery rush yds</t>
  </si>
  <si>
    <t>3+ J. Gibbs rec</t>
  </si>
  <si>
    <t>o1.5 D. Prescott pass TD</t>
  </si>
  <si>
    <t>200+ S. Howell pass yds</t>
  </si>
  <si>
    <t>40+ T. Pollard rush yds</t>
  </si>
  <si>
    <t>+116</t>
  </si>
  <si>
    <t>40+ B. Ayiuk rec yds</t>
  </si>
  <si>
    <t>SF W</t>
  </si>
  <si>
    <t>+1601</t>
  </si>
  <si>
    <t>ATTD C. McCaffery</t>
  </si>
  <si>
    <t>250+ B. Purdy pass yds</t>
  </si>
  <si>
    <t>40+ G. Kittle rec yds</t>
  </si>
  <si>
    <t>50+ B. Ayiuk rec yds</t>
  </si>
  <si>
    <t>60+ C. McCaffery rush yds</t>
  </si>
  <si>
    <t>2+ B. Purdy pass TD</t>
  </si>
  <si>
    <t>o37.5 total points</t>
  </si>
  <si>
    <t>6+ J.  Goff, B.  Purdy, &amp; D.  Prescott passTDs</t>
  </si>
  <si>
    <t>+450</t>
  </si>
  <si>
    <t>8+ J.  Goff, B.  Purdy, &amp; D.  Prescott passTDs</t>
  </si>
  <si>
    <t>+1201</t>
  </si>
  <si>
    <t>u47.5 DET@GB</t>
  </si>
  <si>
    <t>u47.5 WAS @ DAL</t>
  </si>
  <si>
    <t>u43.5 SF @ SEA</t>
  </si>
  <si>
    <t>u31 MIA@NYJ</t>
  </si>
  <si>
    <t>+700</t>
  </si>
  <si>
    <t>50+ T. Hill rec yards 1st half</t>
  </si>
  <si>
    <t>50+ T. Hill rec yards 2nd half</t>
  </si>
  <si>
    <t>+112</t>
  </si>
  <si>
    <t>4+ A. Kamara rec</t>
  </si>
  <si>
    <t>4+ C. Olave rec</t>
  </si>
  <si>
    <t>40+ C. Olava rec yds</t>
  </si>
  <si>
    <t>+239</t>
  </si>
  <si>
    <t>225+ CJ Stround pass yds</t>
  </si>
  <si>
    <t>4+ C. Kirk rec</t>
  </si>
  <si>
    <t>4+ E. Engram rec</t>
  </si>
  <si>
    <t>40+ T. Etienne rush yds</t>
  </si>
  <si>
    <t>ATTD M. Evans</t>
  </si>
  <si>
    <t>50+ M. Pittman Jr rec yds</t>
  </si>
  <si>
    <t>50+ J. Taylor rush yds</t>
  </si>
  <si>
    <t>PUNT - 1st drive NE</t>
  </si>
  <si>
    <t>PUNT - 1st drive NYG</t>
  </si>
  <si>
    <t>+131</t>
  </si>
  <si>
    <t>40+ A. Thielen rec yds</t>
  </si>
  <si>
    <t>5+ A. Thielen rec</t>
  </si>
  <si>
    <t>40+ D. Henry rush yds</t>
  </si>
  <si>
    <t>+110</t>
  </si>
  <si>
    <t>6+ J. Allen &amp; P. Mahomes &amp; M. Stafford pass TD</t>
  </si>
  <si>
    <t>5+ C. Kupp rec</t>
  </si>
  <si>
    <t>40+ P. Nacua rec yds</t>
  </si>
  <si>
    <t>4+ T. McBride rec</t>
  </si>
  <si>
    <t>+262</t>
  </si>
  <si>
    <t>25+ D. Njoku rec yds</t>
  </si>
  <si>
    <t>25+ A. Cooper rec yds</t>
  </si>
  <si>
    <t>25+ C. Sutton rec yds</t>
  </si>
  <si>
    <t>1+ R. Wilson pass TD</t>
  </si>
  <si>
    <t>u48.5 total points</t>
  </si>
  <si>
    <t>+214</t>
  </si>
  <si>
    <t>40+ D. Adams rec yds</t>
  </si>
  <si>
    <t>2+ M. Mayer rec</t>
  </si>
  <si>
    <t>50+ I. Pacheco rush yds</t>
  </si>
  <si>
    <t>+405</t>
  </si>
  <si>
    <t>60+ AJ Brown rec yds</t>
  </si>
  <si>
    <t>+169</t>
  </si>
  <si>
    <t>60+ K. Allen rec yds</t>
  </si>
  <si>
    <t>40+ Z. Flowers rec yds</t>
  </si>
  <si>
    <t>25+ I. Likely rec yds</t>
  </si>
  <si>
    <t>2+ Q. Johnson rec</t>
  </si>
  <si>
    <t>25+ J. Jackson rush yds</t>
  </si>
  <si>
    <t>25+ A. Ekeler rush yds</t>
  </si>
  <si>
    <t>4+ L. Ball r</t>
  </si>
  <si>
    <t>6+ L. Ball a</t>
  </si>
  <si>
    <t>40+ TJ Hockerson rec yds</t>
  </si>
  <si>
    <t>25+ J. Addison rec yds</t>
  </si>
  <si>
    <t>40+ DJ Moore rec yds</t>
  </si>
  <si>
    <t>+643</t>
  </si>
  <si>
    <t>MIN W</t>
  </si>
  <si>
    <t>o57.5 J. Fields rush yds</t>
  </si>
  <si>
    <t>4+ J. Addison rec</t>
  </si>
  <si>
    <t>5+ TJ Hockerson rec</t>
  </si>
  <si>
    <t>1+ J. Dobbs pass TD</t>
  </si>
  <si>
    <t>1+ J. Fields pass TD</t>
  </si>
  <si>
    <t>25+ J. Dobbs rush yds</t>
  </si>
  <si>
    <t>25+ J. Fields rush yds</t>
  </si>
  <si>
    <t>+113</t>
  </si>
  <si>
    <t>20+ T. Haliburton p</t>
  </si>
  <si>
    <t>6+ M. Brogdon a</t>
  </si>
  <si>
    <t>+144</t>
  </si>
  <si>
    <t>6+ C. Cunningham a</t>
  </si>
  <si>
    <t>20+ K. Kuzma p</t>
  </si>
  <si>
    <t>20+. P. George p</t>
  </si>
  <si>
    <t>6+ J. Harden a</t>
  </si>
  <si>
    <t>4+ J. Randle a</t>
  </si>
  <si>
    <t>6+ M. Bridges r</t>
  </si>
  <si>
    <t>4+ D. Mitchell a</t>
  </si>
  <si>
    <t>8+ T. Young a</t>
  </si>
  <si>
    <t>+125</t>
  </si>
  <si>
    <t>4+ G. Antetokounmpo a</t>
  </si>
  <si>
    <t>+174</t>
  </si>
  <si>
    <t>4+ A. Sengun a</t>
  </si>
  <si>
    <t>8+ F. Vanvleet a</t>
  </si>
  <si>
    <t>6+ C. Paul a</t>
  </si>
  <si>
    <t>90+ S. Curry + L. Doncic + S. Gilgeous-Alexander p</t>
  </si>
  <si>
    <t>+14595</t>
  </si>
  <si>
    <t>35+ G. Antetokounmpo p</t>
  </si>
  <si>
    <t>5+ D. Lillard 3pt</t>
  </si>
  <si>
    <t>o5.5 S. Curry 3pt</t>
  </si>
  <si>
    <t>35+ S. Curry p</t>
  </si>
  <si>
    <t>16+ D. Sabonis r</t>
  </si>
  <si>
    <t>+173</t>
  </si>
  <si>
    <t>20+ P. Benchero p</t>
  </si>
  <si>
    <t>4+ K. Kuzma a</t>
  </si>
  <si>
    <t>4+ P. Siakam a</t>
  </si>
  <si>
    <t>6+ J. Embiid a</t>
  </si>
  <si>
    <t>20+ Z. Wiliamson p</t>
  </si>
  <si>
    <t>4+ B. Ingram a</t>
  </si>
  <si>
    <t>+115</t>
  </si>
  <si>
    <t>+238</t>
  </si>
  <si>
    <t>500+ D. Prescott &amp; G. Smith pass yds</t>
  </si>
  <si>
    <t>+208</t>
  </si>
  <si>
    <t>25+ T. Lockett rec yds</t>
  </si>
  <si>
    <t>2+ D. Prescott pass TD</t>
  </si>
  <si>
    <t>+1934</t>
  </si>
  <si>
    <t>250+ D. Prescott pass yds</t>
  </si>
  <si>
    <t>200+ G. Smith pass yds</t>
  </si>
  <si>
    <t>25+ B. Cooks rec yds</t>
  </si>
  <si>
    <t>ATTD C. Lamb</t>
  </si>
  <si>
    <t>6+ C. Lamb rec</t>
  </si>
  <si>
    <t>3+ B. Cooks rec</t>
  </si>
  <si>
    <t>o3.5 T. Pollard rec</t>
  </si>
  <si>
    <t>4+ DK Metcalf rec</t>
  </si>
  <si>
    <t>o40.5 total points</t>
  </si>
  <si>
    <t>20+ D. Mitchell p</t>
  </si>
  <si>
    <t>8+ D. Ayton r</t>
  </si>
  <si>
    <t>+123</t>
  </si>
  <si>
    <t>20+ B. Adabayo p</t>
  </si>
  <si>
    <t>15+ J. Randle p</t>
  </si>
  <si>
    <t>1+ J. Randle 3pt</t>
  </si>
  <si>
    <t>+105</t>
  </si>
  <si>
    <t>25+ G. Antetokoumpo p</t>
  </si>
  <si>
    <t>8+ G. Antetokoumpo r</t>
  </si>
  <si>
    <t>1+ B. Lopez 3pt</t>
  </si>
  <si>
    <t>+141</t>
  </si>
  <si>
    <t>6+ C. Holmgren r</t>
  </si>
  <si>
    <t>20+ V. Wembanyama p</t>
  </si>
  <si>
    <t>1+ V. Wembanyama block</t>
  </si>
  <si>
    <t>6+ I. Zubac r</t>
  </si>
  <si>
    <t>🏀 23-24 12(Dez)</t>
  </si>
  <si>
    <t>+106</t>
  </si>
  <si>
    <t>20+ F. Wagner p</t>
  </si>
  <si>
    <t>1+ K. Kuzma 3pt</t>
  </si>
  <si>
    <t>25+ T. Maxey p</t>
  </si>
  <si>
    <t>20+ J. Brown p</t>
  </si>
  <si>
    <t>4+ J. Holiday r</t>
  </si>
  <si>
    <t>15+ P. Siakam p</t>
  </si>
  <si>
    <t>+107</t>
  </si>
  <si>
    <t>4+ CJ McCollum a</t>
  </si>
  <si>
    <t>18+ B. Ingram p</t>
  </si>
  <si>
    <t>10+ N  Jokic r</t>
  </si>
  <si>
    <t>10+ G. Antetojounmpo r</t>
  </si>
  <si>
    <t>o19.5 B. Ingram alt p</t>
  </si>
  <si>
    <t>o17.5 D. DeRozen alt p</t>
  </si>
  <si>
    <t>+24480</t>
  </si>
  <si>
    <t>+24960</t>
  </si>
  <si>
    <t>200+ J. Herbert pass yds</t>
  </si>
  <si>
    <t>40+ R. Stevenson rush yds</t>
  </si>
  <si>
    <t>225+ CJ Stroud pass yds</t>
  </si>
  <si>
    <t>40+ T. Dell rec yds</t>
  </si>
  <si>
    <t>40+ N. Collins rec yds</t>
  </si>
  <si>
    <t>+296</t>
  </si>
  <si>
    <t>3+ S. LaPorta rec</t>
  </si>
  <si>
    <t>40+ D. Montygomery rush yds</t>
  </si>
  <si>
    <t>PUNT - 1st drive IND</t>
  </si>
  <si>
    <t>PUNT - 1st drive TEN</t>
  </si>
  <si>
    <t>25+ D. London rec yds</t>
  </si>
  <si>
    <t>3+ B. Hall rec</t>
  </si>
  <si>
    <t>225+ S. Howell pass yds</t>
  </si>
  <si>
    <t>6+ T. Hill rec</t>
  </si>
  <si>
    <t>4+ J. Waddle rec</t>
  </si>
  <si>
    <t xml:space="preserve">ATTD T. Hill </t>
  </si>
  <si>
    <t>100+ T. Hill rec yds</t>
  </si>
  <si>
    <t>6+ CJ Stroud &amp; S. Howell &amp; T. Tagovailoa pass TD</t>
  </si>
  <si>
    <t>Any 4 - R. Mostert &amp; D. Henry &amp; A. Ekeler &amp; D. Montygomery &amp; T. Hill 1+ TDs</t>
  </si>
  <si>
    <t>+241</t>
  </si>
  <si>
    <t>25+ G. Pickens rec yds</t>
  </si>
  <si>
    <t>2+ J. Warren rec</t>
  </si>
  <si>
    <t>1+ K. Murray pass TD</t>
  </si>
  <si>
    <t>40+ N. Harris rush yds</t>
  </si>
  <si>
    <t>+599</t>
  </si>
  <si>
    <t>60+ B. Aiyuk rec yds</t>
  </si>
  <si>
    <t>70+ C. McCaffery rush yds</t>
  </si>
  <si>
    <t>+152</t>
  </si>
  <si>
    <t>40+ B. Aiyuk rec yds</t>
  </si>
  <si>
    <t>3+ G. Kittle rec</t>
  </si>
  <si>
    <t>3+ D. Samuel rec</t>
  </si>
  <si>
    <t>+176</t>
  </si>
  <si>
    <t>KC W</t>
  </si>
  <si>
    <t>200+ P. Mahomes pass yds</t>
  </si>
  <si>
    <t>u52.5 total points</t>
  </si>
  <si>
    <t>200+ CJ Stroud pass yds</t>
  </si>
  <si>
    <t>200+ B. Purdy pass yds</t>
  </si>
  <si>
    <t>MIA W</t>
  </si>
  <si>
    <t>JAX W</t>
  </si>
  <si>
    <t>4+ J. Holiday a</t>
  </si>
  <si>
    <t>o20.5 J. Brown p</t>
  </si>
  <si>
    <t>15+ CJ McCollum p</t>
  </si>
  <si>
    <t>8+ J. Valanciunas r</t>
  </si>
  <si>
    <t>3+ C. Ridley rec</t>
  </si>
  <si>
    <t>2+ C. Kirk rec</t>
  </si>
  <si>
    <t>JAX - 1st half W</t>
  </si>
  <si>
    <t>JAX - 2nd half W</t>
  </si>
  <si>
    <t>+2700</t>
  </si>
  <si>
    <t>2+ ATTD E. Engram</t>
  </si>
  <si>
    <t>+2027</t>
  </si>
  <si>
    <t>JAX -9.5</t>
  </si>
  <si>
    <t>225+ T. Lawrence pass yds</t>
  </si>
  <si>
    <t>o50.5 C. Kirk rec yds</t>
  </si>
  <si>
    <t>o56.5 C. Ridley rec yds</t>
  </si>
  <si>
    <t xml:space="preserve">o4.5 C. Kirk rec </t>
  </si>
  <si>
    <t>u66.5 rush yds ETN</t>
  </si>
  <si>
    <t>+1436</t>
  </si>
  <si>
    <t>30+ G. Antetokounmpo p</t>
  </si>
  <si>
    <t>30+ J. Brunson p</t>
  </si>
  <si>
    <t>30+ K. Durant p</t>
  </si>
  <si>
    <t>25+ L. James p</t>
  </si>
  <si>
    <t>12+ A. Davies r</t>
  </si>
  <si>
    <t>o16.5 J. Randle p</t>
  </si>
  <si>
    <t>o7.5 J. Randle r</t>
  </si>
  <si>
    <t>o25.5 G. Antetokounmpo p</t>
  </si>
  <si>
    <t>o9.5 G. Antetokounmpo r</t>
  </si>
  <si>
    <t>o3.5 G. Antetokounmpo a</t>
  </si>
  <si>
    <t>25 + K. Durant p</t>
  </si>
  <si>
    <t>+291</t>
  </si>
  <si>
    <t>6+ D. Mitchell a</t>
  </si>
  <si>
    <t>o6.5 V. Wembanyama r</t>
  </si>
  <si>
    <t>1+ V. Wembanyama steals</t>
  </si>
  <si>
    <t>+31833</t>
  </si>
  <si>
    <t>o6.5 L. Doncic r</t>
  </si>
  <si>
    <t>o6.5 L. Doncic a</t>
  </si>
  <si>
    <t>o23.5 N. Jokic p</t>
  </si>
  <si>
    <t>o10.5 N. Jokic r</t>
  </si>
  <si>
    <t>🏈 23-24 Wk 14</t>
  </si>
  <si>
    <t>2+ E. Elliot rec</t>
  </si>
  <si>
    <t>3+ D. Johnson rec</t>
  </si>
  <si>
    <t>u37.5 total points</t>
  </si>
  <si>
    <t>u0.5 B. Zappe pass TD</t>
  </si>
  <si>
    <t>o22.5 T. Haliburton p</t>
  </si>
  <si>
    <t>o26.5 G. Antetokounmpo p</t>
  </si>
  <si>
    <t>1+ B. Lopes 3pt</t>
  </si>
  <si>
    <t>8+ T. Halliburton &amp; D. Lillard 3pt</t>
  </si>
  <si>
    <t>o21.5 A. Davies p</t>
  </si>
  <si>
    <t>o20.5 L. James p</t>
  </si>
  <si>
    <t>o10.5 A. Davies r</t>
  </si>
  <si>
    <t>YES - No TD</t>
  </si>
  <si>
    <t>NE -4.5</t>
  </si>
  <si>
    <t>o27.5 J. Embiid p</t>
  </si>
  <si>
    <t>o21.5 T. Maxey p</t>
  </si>
  <si>
    <t>o8.5 J. Embiid r</t>
  </si>
  <si>
    <t>o32.5 J. Embiid p</t>
  </si>
  <si>
    <t>2+ T. Maxey 3pt</t>
  </si>
  <si>
    <t>1+ K. Porzingas 3pt</t>
  </si>
  <si>
    <t>6+ J. Tatum r</t>
  </si>
  <si>
    <t>1+ N. Jookic steal</t>
  </si>
  <si>
    <t>20+ D. Mitchel p</t>
  </si>
  <si>
    <t>20+ D. DeRozen p</t>
  </si>
  <si>
    <t>+108</t>
  </si>
  <si>
    <t>o23.5 T. Haliburton p</t>
  </si>
  <si>
    <t>3+ T. Haliburton 3pt</t>
  </si>
  <si>
    <t>12+ T. Haliburton a</t>
  </si>
  <si>
    <t>8+ M. Turner r</t>
  </si>
  <si>
    <t>2+ L. James 3pt</t>
  </si>
  <si>
    <t>+4781</t>
  </si>
  <si>
    <t>o28.5 T. Haliburton p</t>
  </si>
  <si>
    <t>o29.5 L. James p</t>
  </si>
  <si>
    <t>o17.5 M. Turner p</t>
  </si>
  <si>
    <t>o13.5 A. Davies r</t>
  </si>
  <si>
    <t>o9.5 M. Turner r</t>
  </si>
  <si>
    <t>o12.5 T. Haliburton a</t>
  </si>
  <si>
    <t>50+ M. Evans rec yds</t>
  </si>
  <si>
    <t>1+ B. Mayfield pass TD</t>
  </si>
  <si>
    <t>+195</t>
  </si>
  <si>
    <t>BAL W</t>
  </si>
  <si>
    <t>200+ M. Stafford pass yds</t>
  </si>
  <si>
    <t>25+ L. Jackson rush yds</t>
  </si>
  <si>
    <t>200+ J. Goff pass yds</t>
  </si>
  <si>
    <t>50+ D. Moore rec yds</t>
  </si>
  <si>
    <t>200+ G. Minshew pass yds</t>
  </si>
  <si>
    <t>5+ M. Pittman rec</t>
  </si>
  <si>
    <t>NO W</t>
  </si>
  <si>
    <t>50+ C. Olave rec yds</t>
  </si>
  <si>
    <t>+163</t>
  </si>
  <si>
    <t>HOU W</t>
  </si>
  <si>
    <t>200+ C. Stroud pass yds</t>
  </si>
  <si>
    <t>+305</t>
  </si>
  <si>
    <t>ATTD C. McCaffrey</t>
  </si>
  <si>
    <t>ATTD J. Jefferson</t>
  </si>
  <si>
    <t>50+ D. Adams rec yds</t>
  </si>
  <si>
    <t>25+ J. Meyers rec yds</t>
  </si>
  <si>
    <t>25+ T. Hockenson rec yds</t>
  </si>
  <si>
    <t>4+ J. Jefferson rec</t>
  </si>
  <si>
    <t>200+ J. Allen pass yds</t>
  </si>
  <si>
    <t>25+ R. Rice rec yds</t>
  </si>
  <si>
    <t>+198</t>
  </si>
  <si>
    <t>ATTD C. Sutton</t>
  </si>
  <si>
    <t>ATTD A. St. Brown</t>
  </si>
  <si>
    <t>18/84</t>
  </si>
  <si>
    <t>50+ A. Broen rec yds</t>
  </si>
  <si>
    <t>DET W</t>
  </si>
  <si>
    <t>GB W</t>
  </si>
  <si>
    <t>+121</t>
  </si>
  <si>
    <t>ATTD T. Hill</t>
  </si>
  <si>
    <t>110+ T. Hill rec yds</t>
  </si>
  <si>
    <t>+382</t>
  </si>
  <si>
    <t>2+ ATTD T. Hill</t>
  </si>
  <si>
    <t>125+ T. Hill rec yds</t>
  </si>
  <si>
    <t>40+ J. Wadle rec yds</t>
  </si>
  <si>
    <t>5+ T. Hill rec</t>
  </si>
  <si>
    <t>1+ J. Love pass TD</t>
  </si>
  <si>
    <t>40+ S. Barkley rush yds</t>
  </si>
  <si>
    <t>GB -2.5</t>
  </si>
  <si>
    <t>u51.5 total p</t>
  </si>
  <si>
    <t>o37.5 total p</t>
  </si>
  <si>
    <t>o28.5 J. Embiid p</t>
  </si>
  <si>
    <t>o4.5 J. Embiid a</t>
  </si>
  <si>
    <t>o10.5 J. Embiid r</t>
  </si>
  <si>
    <t>o7.5 T. Young a</t>
  </si>
  <si>
    <t>o27.5 G. Antetokounmpo p</t>
  </si>
  <si>
    <t>o8.5 G. Antetokounmpo r</t>
  </si>
  <si>
    <t>+101</t>
  </si>
  <si>
    <t>o30.5 L. Doncic p</t>
  </si>
  <si>
    <t>1+ D. Jones 3pt</t>
  </si>
  <si>
    <t>30+ L. Doncic p</t>
  </si>
  <si>
    <t>o22.5 N. Jokic p</t>
  </si>
  <si>
    <t>o9.5 N. Jokic r</t>
  </si>
  <si>
    <t>🏈 23-24 Wk 15</t>
  </si>
  <si>
    <t>60+ A. Ekeler scrimmage yds</t>
  </si>
  <si>
    <t>60+ D. Adams Scrimmage yds</t>
  </si>
  <si>
    <t>PUNT 1st drive LV</t>
  </si>
  <si>
    <t>PUNT 1st drive LAC</t>
  </si>
  <si>
    <t>a</t>
  </si>
  <si>
    <t>LV W</t>
  </si>
  <si>
    <t>u41.5 total points</t>
  </si>
  <si>
    <t>+497</t>
  </si>
  <si>
    <t>o195.5 A. O'Connell pass yds</t>
  </si>
  <si>
    <t>o184.5 E. Stick pass yds</t>
  </si>
  <si>
    <t>o0.5 A. O'Connell pass TD</t>
  </si>
  <si>
    <t>o0.5 E. Stick pass TD</t>
  </si>
  <si>
    <t>60+ D. Adams rec yds</t>
  </si>
  <si>
    <t>+476</t>
  </si>
  <si>
    <t>LAC W</t>
  </si>
  <si>
    <t>o99.5 A. Ekeler rush + rec yds</t>
  </si>
  <si>
    <t>+451</t>
  </si>
  <si>
    <t>o3.5 LV total points 1s quarter</t>
  </si>
  <si>
    <t>o3.5 LAC total points 1s quarter</t>
  </si>
  <si>
    <t>1+ K. Mack sack</t>
  </si>
  <si>
    <t>1+ M. Crosby sack</t>
  </si>
  <si>
    <t>o2.5 LAC &amp; LV pass TD</t>
  </si>
  <si>
    <t>o23.5 J. Tatum p</t>
  </si>
  <si>
    <t>+192</t>
  </si>
  <si>
    <t>200+ J. Browning pass yds</t>
  </si>
  <si>
    <t>1+ J. Browning pass TD</t>
  </si>
  <si>
    <t>40+ TJ. Hockenson rec yds</t>
  </si>
  <si>
    <t>5+ M. Pittman Jr rec</t>
  </si>
  <si>
    <t>3+ P. Freimuth rec</t>
  </si>
  <si>
    <t>25+ S. LaPorta rec yds</t>
  </si>
  <si>
    <t>40+ C. Sutton rec yds</t>
  </si>
  <si>
    <t>40+ A. St. Brown rec yds</t>
  </si>
  <si>
    <t xml:space="preserve">ATTD C. Sutton </t>
  </si>
  <si>
    <t>1+ J. Goff pass TD</t>
  </si>
  <si>
    <t>+2068</t>
  </si>
  <si>
    <t>o255.5 J. Goff pass yds</t>
  </si>
  <si>
    <t>o1.5 J. Goff pass TD</t>
  </si>
  <si>
    <t>o67.5 D. Montgomery rush yds</t>
  </si>
  <si>
    <t>o52.5 C. Sutton rec yds</t>
  </si>
  <si>
    <t>o66.5 J. Chase rec yds</t>
  </si>
  <si>
    <t>o77.5 J. Fefferson rec yds</t>
  </si>
  <si>
    <t>MIL -17</t>
  </si>
  <si>
    <t>PHI -10</t>
  </si>
  <si>
    <t>20+ N. Jokic p</t>
  </si>
  <si>
    <t>10+ L. Doncic a</t>
  </si>
  <si>
    <t>UFC</t>
  </si>
  <si>
    <t>🥋 23</t>
  </si>
  <si>
    <t>+160</t>
  </si>
  <si>
    <t>L. Edwards W</t>
  </si>
  <si>
    <t>P. Pimblett W</t>
  </si>
  <si>
    <t>50+ R. White rush yds</t>
  </si>
  <si>
    <t>2+ R. White rec</t>
  </si>
  <si>
    <t>3+ R. Doubs rec</t>
  </si>
  <si>
    <t>PUNT - ATL 1st drive</t>
  </si>
  <si>
    <t>ATTD D. Henry</t>
  </si>
  <si>
    <t>200+ J. Flacco pass yds</t>
  </si>
  <si>
    <t>25+ C. Kmet rec yds</t>
  </si>
  <si>
    <t>+454</t>
  </si>
  <si>
    <t>KC - 1st quarter W - 3 way</t>
  </si>
  <si>
    <t>KC - 2nd quarter W - 3 way</t>
  </si>
  <si>
    <t>KC - 3rd quarter W - 3 way</t>
  </si>
  <si>
    <t>+762</t>
  </si>
  <si>
    <t>NYG W</t>
  </si>
  <si>
    <t>o178.5 T. DeVito pass yds</t>
  </si>
  <si>
    <t>o31.5 T. DeVito rush yds</t>
  </si>
  <si>
    <t>1+ T. DeVito pass TD</t>
  </si>
  <si>
    <t>150+ T. DeVito pass yds</t>
  </si>
  <si>
    <t>+525</t>
  </si>
  <si>
    <t>o4.5 D. Hopkins rec</t>
  </si>
  <si>
    <t>o4.5 M. Evans rec</t>
  </si>
  <si>
    <t>o4.5 D. Moore rec</t>
  </si>
  <si>
    <t>+166</t>
  </si>
  <si>
    <t>225+ M. Stafford pass yds</t>
  </si>
  <si>
    <t>60+ K. Williams rush yds</t>
  </si>
  <si>
    <t>3+ A. Gibson rec</t>
  </si>
  <si>
    <t>+389</t>
  </si>
  <si>
    <t>40+ D. Samuel rec yds</t>
  </si>
  <si>
    <t>+645</t>
  </si>
  <si>
    <t>SF -13.5</t>
  </si>
  <si>
    <t>o88.5 C. McCaffery rush yds</t>
  </si>
  <si>
    <t>o256.5 B. Purdy pass yds</t>
  </si>
  <si>
    <t>o1.5 B. Purdy pass TD</t>
  </si>
  <si>
    <t>6+ D. Prescott, T. Tagovailoa, B. Purdy pass TD</t>
  </si>
  <si>
    <t>+736</t>
  </si>
  <si>
    <t>o225.5 T. Lawrence pass yds</t>
  </si>
  <si>
    <t>o1.5 T. Lawrence pass TD</t>
  </si>
  <si>
    <t>40+ C. Ridley rec yds</t>
  </si>
  <si>
    <t>25+ O. Beckham Jr. rec yds</t>
  </si>
  <si>
    <t>25+ E. Engram rec yds</t>
  </si>
  <si>
    <t>+180</t>
  </si>
  <si>
    <t>200+ L. Jackson pass yds</t>
  </si>
  <si>
    <t>50+ AJ Brown rec yds</t>
  </si>
  <si>
    <t>1+ J. Hurts pass TD</t>
  </si>
  <si>
    <t>3+ D. Smith rec</t>
  </si>
  <si>
    <t>o22.5 N. Jokic</t>
  </si>
  <si>
    <t>+280</t>
  </si>
  <si>
    <t>ATL W - 1st quarter 3 way</t>
  </si>
  <si>
    <t>ATL W - 2nd quarter 3 way</t>
  </si>
  <si>
    <t>ATL W - 3rd quarter 3 way</t>
  </si>
  <si>
    <t>ATL -12</t>
  </si>
  <si>
    <t>u8.5 J. Tatum r</t>
  </si>
  <si>
    <t>o22.5 J. Tatum p</t>
  </si>
  <si>
    <t>o22.5 K. Durant p</t>
  </si>
  <si>
    <t>o21.5 D. Booker p</t>
  </si>
  <si>
    <t>8+ G. Antetokounmpo r</t>
  </si>
  <si>
    <t>o20.5 D. Lillard p</t>
  </si>
  <si>
    <t>+585</t>
  </si>
  <si>
    <t>25+ J. Morant p</t>
  </si>
  <si>
    <t>6+ J. Morant a</t>
  </si>
  <si>
    <t>4+ J. Morant r</t>
  </si>
  <si>
    <t>MEM W</t>
  </si>
  <si>
    <t>8+ T. Young a (ATL @ HOU)</t>
  </si>
  <si>
    <t>2+ F. VanVleet 3pt (ATL @ HOU)</t>
  </si>
  <si>
    <t>2+ J. Brunson 3pt (NYK @ BKN)</t>
  </si>
  <si>
    <t>IND W</t>
  </si>
  <si>
    <t>u33.5 D. Mitchell p</t>
  </si>
  <si>
    <t>🏈 23-24 Wk 16</t>
  </si>
  <si>
    <t>1+ M. Stafford  pass TD</t>
  </si>
  <si>
    <t>60+ K. William rush yds</t>
  </si>
  <si>
    <t>3+ C. Olave rec</t>
  </si>
  <si>
    <t>3+ A. Kamara rec</t>
  </si>
  <si>
    <t>o4,5 D. DeRozen a</t>
  </si>
  <si>
    <t>o8.5 N. Vucevic r</t>
  </si>
  <si>
    <t>o18.5 D. DeRozen p</t>
  </si>
  <si>
    <t>o16.5 C. White p</t>
  </si>
  <si>
    <t>o26.5 S. Gilgeous-Alexander p</t>
  </si>
  <si>
    <t>o22.5 K. Leonardp</t>
  </si>
  <si>
    <t>20+ T. Halliburton p</t>
  </si>
  <si>
    <t>1+ J. Morant 3pt</t>
  </si>
  <si>
    <t>o27.5 J. Morant p</t>
  </si>
  <si>
    <t>o7.5 J. Morant a</t>
  </si>
  <si>
    <t>200+ C. Kupp &amp; P. Nacua &amp; C. Olave rec yds</t>
  </si>
  <si>
    <t xml:space="preserve">25+ T. Young p </t>
  </si>
  <si>
    <t>10+ T. Young a</t>
  </si>
  <si>
    <t>1+ T. Herro 3pt</t>
  </si>
  <si>
    <t>1+ D. Murray 3pt</t>
  </si>
  <si>
    <t>+841</t>
  </si>
  <si>
    <t>50+ C. Ridley rec yds</t>
  </si>
  <si>
    <t>40+ E. Engram rec yds</t>
  </si>
  <si>
    <t>5+ C. Ridley rec</t>
  </si>
  <si>
    <t>5+ E. Engram rec</t>
  </si>
  <si>
    <t>2+ T. Lawrence pass TD</t>
  </si>
  <si>
    <t>SF -6</t>
  </si>
  <si>
    <t>4+ D. Samuel rec</t>
  </si>
  <si>
    <t>3+ B. Aiyuk rec</t>
  </si>
  <si>
    <t>+4632</t>
  </si>
  <si>
    <t>ATTD D. Samuel</t>
  </si>
  <si>
    <t>40+ B. Aiuyk rec yds</t>
  </si>
  <si>
    <t>5+ D. Samuel rec</t>
  </si>
  <si>
    <t xml:space="preserve">4+ B. Aiyuk </t>
  </si>
  <si>
    <t>3+ C. McCaffery rec</t>
  </si>
  <si>
    <t>o252.5 B. Purdy yds</t>
  </si>
  <si>
    <t>o83.5 C. McCaffery yds</t>
  </si>
  <si>
    <t>SF -3.5</t>
  </si>
  <si>
    <t>o23.5 T  Maxey p</t>
  </si>
  <si>
    <t>1+ K  Kuzma 3pt</t>
  </si>
  <si>
    <t>MIL W</t>
  </si>
  <si>
    <t>+460</t>
  </si>
  <si>
    <t>o37.5 L. Doncic p</t>
  </si>
  <si>
    <t>o10.5 L. Doncic a</t>
  </si>
  <si>
    <t>10+ L. Doncic r</t>
  </si>
  <si>
    <t>20 + J. Brunson p</t>
  </si>
  <si>
    <t>o23.5 D. Booker p</t>
  </si>
  <si>
    <t>u36.5 P. Benchero p+a+r</t>
  </si>
  <si>
    <t>TOR W</t>
  </si>
  <si>
    <t>u29.5 J. Tatum p</t>
  </si>
  <si>
    <t>BOS W</t>
  </si>
  <si>
    <t>+275</t>
  </si>
  <si>
    <t>u24.5 T. Herro p</t>
  </si>
  <si>
    <t>u245. T. Rozier p</t>
  </si>
  <si>
    <t>🏈 23-24 Wk 17</t>
  </si>
  <si>
    <t>u229.5 J. Flacco p</t>
  </si>
  <si>
    <t>u43.5 total points</t>
  </si>
  <si>
    <t>+942</t>
  </si>
  <si>
    <t>ATTD D. Njoku</t>
  </si>
  <si>
    <t>ATTD K. Hunt</t>
  </si>
  <si>
    <t>1+ J. Flaco pass TD</t>
  </si>
  <si>
    <t>o56.5 A. Cooper rec yds</t>
  </si>
  <si>
    <t>25+ G. Wilson rec yds</t>
  </si>
  <si>
    <t>+4500</t>
  </si>
  <si>
    <t>ATTD G. Wilson</t>
  </si>
  <si>
    <t>o55.5 D. Njoku rec yds</t>
  </si>
  <si>
    <t>75+ G. Wilson rec yds</t>
  </si>
  <si>
    <t>SF -8.5</t>
  </si>
  <si>
    <t>60+ C. McCaffrey rush yds</t>
  </si>
  <si>
    <t>🏀 23-24 01(Jan)</t>
  </si>
  <si>
    <t>DAL -4.5</t>
  </si>
  <si>
    <t>CLE W</t>
  </si>
  <si>
    <t>UTA W</t>
  </si>
  <si>
    <t>o8.,5 L. Doncic 1st quarter p</t>
  </si>
  <si>
    <t>o27.5 S. Gilgeous-Alexander p</t>
  </si>
  <si>
    <t>o21.5 L. James p</t>
  </si>
  <si>
    <t>DEN W</t>
  </si>
  <si>
    <t>MIL -4.5</t>
  </si>
  <si>
    <t>o4.5 D. Lillard a</t>
  </si>
  <si>
    <t>1+ K. Johnson 3pt</t>
  </si>
  <si>
    <t>o6.5 N. Jokic a</t>
  </si>
  <si>
    <t>20+ J. Murray p</t>
  </si>
  <si>
    <t>3+ S. Curry 3pt</t>
  </si>
  <si>
    <t>BOS -5.5</t>
  </si>
  <si>
    <t>CLE -1.5</t>
  </si>
  <si>
    <t>CHI -1.5</t>
  </si>
  <si>
    <t>DAL -1.5</t>
  </si>
  <si>
    <t>30 + L. Doncic p</t>
  </si>
  <si>
    <t>25+ T. Young p</t>
  </si>
  <si>
    <t>o21.5 J. Tatum p</t>
  </si>
  <si>
    <t>2+ J. Tatum 3pt</t>
  </si>
  <si>
    <t>o8.5 T. Young a</t>
  </si>
  <si>
    <t>25+ J. Randle p</t>
  </si>
  <si>
    <t>o6.5 J. Randle r</t>
  </si>
  <si>
    <t>GSW -2.5</t>
  </si>
  <si>
    <t>DEN -1.5</t>
  </si>
  <si>
    <t>o21.5 J. Morant p</t>
  </si>
  <si>
    <t>🏈 23-24 Wk 18</t>
  </si>
  <si>
    <t>u189.5 M. Rudolph pass yds</t>
  </si>
  <si>
    <t>o21.5 total points</t>
  </si>
  <si>
    <t>1+ CJ Stround pass TD</t>
  </si>
  <si>
    <t>40+ D. Singletary rush yds</t>
  </si>
  <si>
    <t>50+ N. Collins rec yds</t>
  </si>
  <si>
    <t>+259</t>
  </si>
  <si>
    <t>225+ G. Minshew pass yds</t>
  </si>
  <si>
    <t>ATTD J. Taylor</t>
  </si>
  <si>
    <t>o39.5 total points</t>
  </si>
  <si>
    <t>NYK -2.5</t>
  </si>
  <si>
    <t>+10</t>
  </si>
  <si>
    <t>PHI -3.5</t>
  </si>
  <si>
    <t>+4</t>
  </si>
  <si>
    <t>MIL -1.5</t>
  </si>
  <si>
    <t>4+ T. Jones a</t>
  </si>
  <si>
    <t>6+ F. Vanvleet a</t>
  </si>
  <si>
    <t>+179</t>
  </si>
  <si>
    <t>CFB</t>
  </si>
  <si>
    <t>🏈24 CFB</t>
  </si>
  <si>
    <t>MICH -2.5</t>
  </si>
  <si>
    <t>45+ total points</t>
  </si>
  <si>
    <t>MICH W</t>
  </si>
  <si>
    <t>2+ M. Penix Jr pass TD</t>
  </si>
  <si>
    <t>+119</t>
  </si>
  <si>
    <t>OKC -2.5</t>
  </si>
  <si>
    <t>+16</t>
  </si>
  <si>
    <t>🏈 23-24 Wk 19 WC</t>
  </si>
  <si>
    <t>225+ J. Flacco pass yds</t>
  </si>
  <si>
    <t>+867</t>
  </si>
  <si>
    <t>250+ J. Flacco pass yds</t>
  </si>
  <si>
    <t>60+ A. Cooper rec yds</t>
  </si>
  <si>
    <t>40+ D. Njoku rec yds</t>
  </si>
  <si>
    <t>70+ N. Collins rec yds</t>
  </si>
  <si>
    <t>6+ N. Collins rec</t>
  </si>
  <si>
    <t>5+ A. Cooper rec</t>
  </si>
  <si>
    <t>2+ J. Flacco pass TD</t>
  </si>
  <si>
    <t>+419</t>
  </si>
  <si>
    <t>ATTD N. Collins</t>
  </si>
  <si>
    <t>0</t>
  </si>
  <si>
    <t>ATTD J. Ford</t>
  </si>
  <si>
    <t>+211</t>
  </si>
  <si>
    <t>u239.5 P. Mahomes pass yds</t>
  </si>
  <si>
    <t>u238.5 T. Tagovailoa pass+rush yds</t>
  </si>
  <si>
    <t>KC -1.5</t>
  </si>
  <si>
    <t>o209.5 P. Mahomes pass yds</t>
  </si>
  <si>
    <t>o209.5 T. Tagoveiloa pass yds</t>
  </si>
  <si>
    <t>70+ C. Lamb rec yds</t>
  </si>
  <si>
    <t>3+ J. Fergunson rec</t>
  </si>
  <si>
    <t>25+ J. Reed rec yds</t>
  </si>
  <si>
    <t>+743</t>
  </si>
  <si>
    <t>175+ J. Love pass yds</t>
  </si>
  <si>
    <t>90+ C. Lamb rec yds</t>
  </si>
  <si>
    <t>40+ J. Fergunson rec yds</t>
  </si>
  <si>
    <t>3+ J. Reed rec</t>
  </si>
  <si>
    <t>50+ A. Jones rush yds</t>
  </si>
  <si>
    <t>+14</t>
  </si>
  <si>
    <t>DAL +2.5</t>
  </si>
  <si>
    <t>50+ A. St. Brown + P. Nacua + C. Kupp 1st quarter rec yds</t>
  </si>
  <si>
    <t>1+ M. Stafford pass TD</t>
  </si>
  <si>
    <t>+1013</t>
  </si>
  <si>
    <t>2+ M. Stafford pass TD</t>
  </si>
  <si>
    <t>ATTD K. Williams</t>
  </si>
  <si>
    <t>ATTD D. Montgomey</t>
  </si>
  <si>
    <t>70+ A. St. Brown rec yds</t>
  </si>
  <si>
    <t>5+ P. Nacua rec</t>
  </si>
  <si>
    <t>1+ LAR rush TD</t>
  </si>
  <si>
    <t>1+ LAR pass TD</t>
  </si>
  <si>
    <t>1+ DET rush TD</t>
  </si>
  <si>
    <t>1+ DET pass TD</t>
  </si>
  <si>
    <t>+22900</t>
  </si>
  <si>
    <t>BUF -3.5</t>
  </si>
  <si>
    <t>u45.5 total points</t>
  </si>
  <si>
    <t>25+ J. Cook rush yds</t>
  </si>
  <si>
    <t>25+ N. Harris rush yds</t>
  </si>
  <si>
    <t>50+ J. Cook rush yds</t>
  </si>
  <si>
    <t>50+ N. Harris rush yds</t>
  </si>
  <si>
    <t>+1450</t>
  </si>
  <si>
    <t>25+ C. Otton rec yds</t>
  </si>
  <si>
    <t>4+ M. Evans rec</t>
  </si>
  <si>
    <t>3+ R. White rec</t>
  </si>
  <si>
    <t>40+ C. Goodwin rec yds</t>
  </si>
  <si>
    <t>5+ D. Smith rec</t>
  </si>
  <si>
    <t>o8.5 N. Jokic r</t>
  </si>
  <si>
    <t>o21.5 D. Fox p</t>
  </si>
  <si>
    <t>NOP -4.5</t>
  </si>
  <si>
    <t>MIN - 4.5</t>
  </si>
  <si>
    <t>o15.5 V. Wembanyama p</t>
  </si>
  <si>
    <t>2+ F. VanVleet 3pt</t>
  </si>
  <si>
    <t>+2</t>
  </si>
  <si>
    <t>+18</t>
  </si>
  <si>
    <t>LAL W</t>
  </si>
  <si>
    <t>+3</t>
  </si>
  <si>
    <t>+164</t>
  </si>
  <si>
    <t>o20.5 J. Tatum p</t>
  </si>
  <si>
    <t>o16.5 J. Murray p</t>
  </si>
  <si>
    <t>6+ N. Jokic r</t>
  </si>
  <si>
    <t>🏈 23-24 Wk 20 Div</t>
  </si>
  <si>
    <t>30+ L. Jackson pass yds 1st quarter</t>
  </si>
  <si>
    <t>30+ CJ Stroud pass yds 1st quarter</t>
  </si>
  <si>
    <t>+19300</t>
  </si>
  <si>
    <t>175+ CJ. Stroud pass yds</t>
  </si>
  <si>
    <t>1+ L. Jackson pass td</t>
  </si>
  <si>
    <t>1+ CJ Stroud pass TD</t>
  </si>
  <si>
    <t>40+ G. Edwards rush yds</t>
  </si>
  <si>
    <t>ATTD I. Likely</t>
  </si>
  <si>
    <t>+24</t>
  </si>
  <si>
    <t>HOU+11.5</t>
  </si>
  <si>
    <t>+1243</t>
  </si>
  <si>
    <t>40+ G. Kitltle rec yds</t>
  </si>
  <si>
    <t>3+ B. Ayiuk rec</t>
  </si>
  <si>
    <t>70+ C. McCaffrey rush yds</t>
  </si>
  <si>
    <t>SF -5.5</t>
  </si>
  <si>
    <t>2+ G. Kittle rec</t>
  </si>
  <si>
    <t>10 + J. Embiid r</t>
  </si>
  <si>
    <t>NYK W</t>
  </si>
  <si>
    <t>+347</t>
  </si>
  <si>
    <t>ATTD J. Allen</t>
  </si>
  <si>
    <t>ATTD T. Palmer</t>
  </si>
  <si>
    <t>+21500</t>
  </si>
  <si>
    <t>25+ J. Gibbs rush yds</t>
  </si>
  <si>
    <t>150+ A. St. Brown + M. Evans rec yds</t>
  </si>
  <si>
    <t>+1786</t>
  </si>
  <si>
    <t>225+ P. Mahomes pass yds</t>
  </si>
  <si>
    <t>40+ T. Kelce rec yds</t>
  </si>
  <si>
    <t>50+ R. Rice rec yds</t>
  </si>
  <si>
    <t xml:space="preserve">ATTD J. Allen </t>
  </si>
  <si>
    <t>40+ J. Allen rush yds</t>
  </si>
  <si>
    <t>40+ S. Diggs rec yds</t>
  </si>
  <si>
    <t>175+ J. Allen pass yds</t>
  </si>
  <si>
    <t>1+ J. Aleen pass TD</t>
  </si>
  <si>
    <t>4+ S. Diggs rec</t>
  </si>
  <si>
    <t>25+ T. Kelce rec yds</t>
  </si>
  <si>
    <t>3+ P. Mahomes + J. Allen pass TD</t>
  </si>
  <si>
    <t>BOS -3.5</t>
  </si>
  <si>
    <t>PHO W</t>
  </si>
  <si>
    <t>o21.5 K. Durant p</t>
  </si>
  <si>
    <t>PHI -5.5</t>
  </si>
  <si>
    <t>SAC W</t>
  </si>
  <si>
    <t>o26.5 L. Doncic p</t>
  </si>
  <si>
    <t>o18.5 J. Brown p</t>
  </si>
  <si>
    <t>o17.5 D. DeRozen p</t>
  </si>
  <si>
    <t>OKC -4.5</t>
  </si>
  <si>
    <t>o23.5J. Brunson p</t>
  </si>
  <si>
    <t>6+ J. Randle r</t>
  </si>
  <si>
    <t>o6.5 J. Harden a</t>
  </si>
  <si>
    <t>+12</t>
  </si>
  <si>
    <t>PHI W</t>
  </si>
  <si>
    <t xml:space="preserve">20+ J. Brown p </t>
  </si>
  <si>
    <t>o30.5 J. Embiid p</t>
  </si>
  <si>
    <t>o21.5 J. Brunson p</t>
  </si>
  <si>
    <t>o20.5 N. Jokic p</t>
  </si>
  <si>
    <t>o18.5 J. Murray p</t>
  </si>
  <si>
    <t>o31.5 L. Doncic p</t>
  </si>
  <si>
    <t>o22.5 D. Booker p</t>
  </si>
  <si>
    <t>o25.5 G. Antetokoumpo p</t>
  </si>
  <si>
    <t>+210</t>
  </si>
  <si>
    <t>45+ L. Doncic p</t>
  </si>
  <si>
    <t>🏈 23-24 Wk 21 Conf</t>
  </si>
  <si>
    <t>+24940</t>
  </si>
  <si>
    <t>175+ P. Mahomes pass yds</t>
  </si>
  <si>
    <t>1+ L. Jackson pass TD</t>
  </si>
  <si>
    <t>40+ L. Jackson rush yds</t>
  </si>
  <si>
    <t>+240</t>
  </si>
  <si>
    <t>ATTD M. Andrews</t>
  </si>
  <si>
    <t>50+ L. Jackson rush yds</t>
  </si>
  <si>
    <t>1+ R  Rice rec 1st quarter</t>
  </si>
  <si>
    <t>1+ Z  Flowers rec 1st quarter</t>
  </si>
  <si>
    <t>25+ L. Jackson rush yds 1st half</t>
  </si>
  <si>
    <t>25+ L. Jackson rush yds 2nd half</t>
  </si>
  <si>
    <t>25+ T. Kelce rec yds 1st half</t>
  </si>
  <si>
    <t>25+ T. Kelce rec yds 2nd half</t>
  </si>
  <si>
    <t>ATTD B. Aiyuk</t>
  </si>
  <si>
    <t>25+ C. McCaffrey rec yds</t>
  </si>
  <si>
    <t>4+ G. Kittle rec</t>
  </si>
  <si>
    <t>70+ C. McCafferey rush yds</t>
  </si>
  <si>
    <t>50+ C. McCaffrey rush yds</t>
  </si>
  <si>
    <t>🏀 23-24 02(Fev)</t>
  </si>
  <si>
    <t>LAC -3.5</t>
  </si>
  <si>
    <t>CLE -4.5</t>
  </si>
  <si>
    <t>MIL -3.5</t>
  </si>
  <si>
    <t>o24.5 D. Booker p</t>
  </si>
  <si>
    <t>o20.5 K. Durant p</t>
  </si>
  <si>
    <t>o24.5 G. Antetokounmpo p</t>
  </si>
  <si>
    <t>o8.5 G. Antetokoumpo r</t>
  </si>
  <si>
    <t>🏈 23-24 Wk 22 SB</t>
  </si>
  <si>
    <t>30+ C. McCaffrey rush yds 1H</t>
  </si>
  <si>
    <t>30+ C. McCaffrey rush yds 2H</t>
  </si>
  <si>
    <t>22-25</t>
  </si>
  <si>
    <t>49ers 42 - Chiefs 27</t>
  </si>
  <si>
    <t>49ers 24 - Chiefs 17</t>
  </si>
  <si>
    <t>49ers 23 - Chiefs 7</t>
  </si>
  <si>
    <t>49ers 27 - Chiefs 23</t>
  </si>
  <si>
    <t>49ers 27 - Chiefs 24</t>
  </si>
  <si>
    <t>49ers 31 - Chiefs 24</t>
  </si>
  <si>
    <t>49ers 28 - Chiefs 25</t>
  </si>
  <si>
    <t>49ers 35 - Chiefs 21</t>
  </si>
  <si>
    <t>FG</t>
  </si>
  <si>
    <t>✅❌✅✅</t>
  </si>
  <si>
    <t>YES</t>
  </si>
  <si>
    <t>SF 1 to 6</t>
  </si>
  <si>
    <t>KC 1 to 6</t>
  </si>
  <si>
    <t>1st</t>
  </si>
  <si>
    <t>3rd</t>
  </si>
  <si>
    <t>ATTD C. McCaffrey TD</t>
  </si>
  <si>
    <t xml:space="preserve">o39.5 total p </t>
  </si>
  <si>
    <t>C. Jones to record a sack</t>
  </si>
  <si>
    <t>u23.5 total 2nd half points</t>
  </si>
  <si>
    <t>1+ B. Purdy pass TD</t>
  </si>
  <si>
    <t>o246.5 B. Purdy pass yds</t>
  </si>
  <si>
    <t xml:space="preserve">ATTD C. McCaffrey </t>
  </si>
  <si>
    <t xml:space="preserve">ATTD B. Aiyuk </t>
  </si>
  <si>
    <t>o127.5 C. McCaffrey rush+pass yds</t>
  </si>
  <si>
    <t>u58.5 total points</t>
  </si>
  <si>
    <t>u3.5 G. Kittle rec</t>
  </si>
  <si>
    <t>o49.5 G. Kittle rec yds</t>
  </si>
  <si>
    <t>ATTD I. Pacheco</t>
  </si>
  <si>
    <t>o216.5 B. Purdy pass yds</t>
  </si>
  <si>
    <t>u309.5 B. Purdy pass yds</t>
  </si>
  <si>
    <t>o230.5 P. Mahomes pass yds</t>
  </si>
  <si>
    <t>u295.5 P. Mahomes pass yds</t>
  </si>
  <si>
    <t>YES - Each team 1+ TD each half</t>
  </si>
  <si>
    <t>o2.5 SF total TD</t>
  </si>
  <si>
    <t>o48.5 I. Pacheco rush yds</t>
  </si>
  <si>
    <t>o132.5 C. McCaffrey rush+pass yds</t>
  </si>
  <si>
    <t>P. Mahomes most passing</t>
  </si>
  <si>
    <t>T. Kelce</t>
  </si>
  <si>
    <t>B. Aiyuk most receiving</t>
  </si>
  <si>
    <t>C. McCaffrey most rushing</t>
  </si>
  <si>
    <t>Christian McCaffrey to Have 8+ Rush Attempts within a Quarter at Least Twice</t>
  </si>
  <si>
    <t>40+ R. Rice rec yds</t>
  </si>
  <si>
    <t>1TD combo - C. McCaffrey or T. Kelce</t>
  </si>
  <si>
    <t>o70.5 T. Kelce rec yds</t>
  </si>
  <si>
    <t>o6.5 T. Kelce rec</t>
  </si>
  <si>
    <t>40+ C. McCaffrey + I. Pacheco rush yds</t>
  </si>
  <si>
    <t>u18.5 I. Quickley p</t>
  </si>
  <si>
    <t>u6.5 D. Mitchell a</t>
  </si>
  <si>
    <t>o5.5 P. Banchero a</t>
  </si>
  <si>
    <t>o4.5 J. Holiday r</t>
  </si>
  <si>
    <t>o2.5 M. Beasley 3pt</t>
  </si>
  <si>
    <t>o4.5 D. Fox a</t>
  </si>
  <si>
    <t>2+ V. Wembanyama blocks</t>
  </si>
  <si>
    <t>1+ V. Wembanyama steal</t>
  </si>
  <si>
    <t>u21.5 M. Bridges p</t>
  </si>
  <si>
    <t>8+ A. Thompson r</t>
  </si>
  <si>
    <t>o5.5 S. Curry a</t>
  </si>
  <si>
    <t>o9.5 D. Russel r + a</t>
  </si>
  <si>
    <t>o12.5 N. Vucevic r + a</t>
  </si>
  <si>
    <t>o2.5 M. Beasley (MIL) 3pt</t>
  </si>
  <si>
    <t>o17.5 L. Markkanen (UTA) p</t>
  </si>
  <si>
    <t>1+ K. Towns (MIN) 3pt</t>
  </si>
  <si>
    <t>o4.5 T. J. McConnell (IND) a</t>
  </si>
  <si>
    <t>o4.5 RJ Barret (TOR) a</t>
  </si>
  <si>
    <t>3+ D. DiVicenzo (NYK) 3pt</t>
  </si>
  <si>
    <t>1+ P. Achiuwa (NYK) block</t>
  </si>
  <si>
    <t>10+ N. Claxton (BKN) p</t>
  </si>
  <si>
    <t>10+ J. Jackson Jr. (MEM) p</t>
  </si>
  <si>
    <t>4+ D. Fox a</t>
  </si>
  <si>
    <t>10+ K. Murray p</t>
  </si>
  <si>
    <t>o12.5 V. Williams Jr. (BKN) p</t>
  </si>
  <si>
    <t xml:space="preserve">o13.5 J. Hart (NYK) r+a </t>
  </si>
  <si>
    <t>o6.5 C. Cunningham (DET) a</t>
  </si>
  <si>
    <t>o16.5 B. Mathurin (IND) p</t>
  </si>
  <si>
    <t>o1.5 V. Wembanyama (SAS) 3pt</t>
  </si>
  <si>
    <t>o19.5 J. Giddey (OKC) p+a+r</t>
  </si>
  <si>
    <t>6+ J. Tatum (BOS) r</t>
  </si>
  <si>
    <t>15+ K. Porzingis (BOS) p</t>
  </si>
  <si>
    <t>4+ J. Giddey (OKC) r</t>
  </si>
  <si>
    <t xml:space="preserve">25+ S. Gilgeous-Alexander (OKC) p </t>
  </si>
  <si>
    <t>o15.5 D. Ayton (POR) p</t>
  </si>
  <si>
    <t>o4.5 K. Irving (DAL) a</t>
  </si>
  <si>
    <t>2+ S. Bay (ATL) 3pt</t>
  </si>
  <si>
    <t>8+ D. Murray (ATL)  r</t>
  </si>
  <si>
    <t>o22.5 D. Mitchell (CLE) p</t>
  </si>
  <si>
    <t>2+ K. Porzingis (BOS) 3pt</t>
  </si>
  <si>
    <t>2+ A. Dosunmu (CHI) 3pt</t>
  </si>
  <si>
    <t>8+ J. Smith (HOU) r</t>
  </si>
  <si>
    <t>o33.5 L. Doncic p</t>
  </si>
  <si>
    <t>9+ S. Curry + D. DiVincenzo 3pt</t>
  </si>
  <si>
    <t>o13.5 D. Finney-Smith (BKN) p+r</t>
  </si>
  <si>
    <t>o6.5 S. Gilgeous-Alexander (OKC) a</t>
  </si>
  <si>
    <t>o21.5 D. DiVincenzo (NYK) p+a</t>
  </si>
  <si>
    <t>o2.5 J. Suggs (ORL) a</t>
  </si>
  <si>
    <t>NO</t>
  </si>
  <si>
    <t>YES - J. Johnson (ATL) Double-Double</t>
  </si>
  <si>
    <t>o4.5 J. Giddey a</t>
  </si>
  <si>
    <t>🏀 23-24 03(Mar)</t>
  </si>
  <si>
    <t>o14.5 J. Tatum r+a</t>
  </si>
  <si>
    <t>o8.5 S. Barnes r</t>
  </si>
  <si>
    <t>o18.5 B. Hield p+a</t>
  </si>
  <si>
    <t>o208 POR @ MEM</t>
  </si>
  <si>
    <t>o17.5 D. Russel p</t>
  </si>
  <si>
    <t>o8.5 J. Smith r</t>
  </si>
  <si>
    <t>o8.5 L. Doncic a</t>
  </si>
  <si>
    <t>o19.5 J. Brown p</t>
  </si>
  <si>
    <t>o9.5 N. Jokic a</t>
  </si>
  <si>
    <t>2+ D. Murray 3pt</t>
  </si>
  <si>
    <t>o3.5 D. DeRozen a</t>
  </si>
  <si>
    <t>2+ A. Dosunmu 3pt</t>
  </si>
  <si>
    <t>o12.5 D. Murray r+a</t>
  </si>
  <si>
    <t>o20.5 D. Green p+a+r</t>
  </si>
  <si>
    <t>2+ D. Garland 3pt</t>
  </si>
  <si>
    <t>o3.5 C. Cunningham r</t>
  </si>
  <si>
    <t>o6.5 M. Turner r</t>
  </si>
  <si>
    <t>o4.5 K. Irving r</t>
  </si>
  <si>
    <t>o32.5 L. Doncic p</t>
  </si>
  <si>
    <t>o34.5 J. Butler p+a+r</t>
  </si>
  <si>
    <t>o1.5K. Kuzma (WAS) 3pt</t>
  </si>
  <si>
    <t>o18.5 K. Oubre jr. (PHI) p</t>
  </si>
  <si>
    <t>o15.5 CJ McCollum (NOP) p</t>
  </si>
  <si>
    <t>o4.5 F. Wagner (ORL) r</t>
  </si>
  <si>
    <t>o3.5 D. Lillard (MIL) r</t>
  </si>
  <si>
    <t>o3.5 T. Rozier (MIA) r</t>
  </si>
  <si>
    <t>🥋 24</t>
  </si>
  <si>
    <t>G. Burns W</t>
  </si>
  <si>
    <t xml:space="preserve">M. Page W </t>
  </si>
  <si>
    <t>M. Page TO/TKO</t>
  </si>
  <si>
    <t>P. Yan W</t>
  </si>
  <si>
    <t>S. O'Malley W</t>
  </si>
  <si>
    <t>S. O'Malley KO/TKO or M. Vera Points</t>
  </si>
  <si>
    <t>o3.5 A. Reaves r</t>
  </si>
  <si>
    <t>10+ A. Davis r</t>
  </si>
  <si>
    <t>55+ J. Brunson + T. Maxey  p</t>
  </si>
  <si>
    <t>o4.5 T. Maxey a</t>
  </si>
  <si>
    <t>o6.5 J. Brunson a</t>
  </si>
  <si>
    <t>o4.5 A. Edwards a</t>
  </si>
  <si>
    <t>2+ K. Leonard 3pt</t>
  </si>
  <si>
    <t>o2.5 T. Haliburton 3pt</t>
  </si>
  <si>
    <t>o2.5 M. Conley r</t>
  </si>
  <si>
    <t>4+ M. Beasley r</t>
  </si>
  <si>
    <t>o10.5 A. Wiggins (GSW) p</t>
  </si>
  <si>
    <t>o21.5 D. Bane (MEM) p</t>
  </si>
  <si>
    <t>u37.5 A. Edwards (MIN) p+a+r</t>
  </si>
  <si>
    <t>2+ J. Brunson (NYK) 3pt</t>
  </si>
  <si>
    <t>u23.5 A. Caruso (CHI) p+a+r</t>
  </si>
  <si>
    <t>u18.5 D. Robinson (MIA) p+a</t>
  </si>
  <si>
    <t>🏈 24-25 00(Draft)</t>
  </si>
  <si>
    <t>1st RB - B. Corum</t>
  </si>
  <si>
    <t>u6.5 A. Edwards r</t>
  </si>
  <si>
    <t>u4.5 J. McDaniels r</t>
  </si>
  <si>
    <t>u38.5 Z. Williamson p+a+r</t>
  </si>
  <si>
    <t>u42.5 A. Davis p+a+r</t>
  </si>
  <si>
    <t>o16.5 K. Thompson p</t>
  </si>
  <si>
    <t>o25.5 Z. Williamson p</t>
  </si>
  <si>
    <t>o1.5 H. Barnes 3pt</t>
  </si>
  <si>
    <t>o19.5 L. Doncic r+a</t>
  </si>
  <si>
    <t>o6.5 D. Lillard a</t>
  </si>
  <si>
    <t>o3.5 B. Lopez r</t>
  </si>
  <si>
    <t>o2.5 B. Adabayo a</t>
  </si>
  <si>
    <t>o7.5 P. J. Washington p</t>
  </si>
  <si>
    <t>o13.5 J. Williams p</t>
  </si>
  <si>
    <t>o3.5 D. Lillard r</t>
  </si>
  <si>
    <t>o22.5 Z. Williamson p</t>
  </si>
  <si>
    <t>o6.5 C. Capela r</t>
  </si>
  <si>
    <t>o6.5 J. Tatum r</t>
  </si>
  <si>
    <t>o6.5 J. Smith p</t>
  </si>
  <si>
    <t>o8.5 D. DeRozen r+a</t>
  </si>
  <si>
    <t>o3.5 P. George r</t>
  </si>
  <si>
    <t>o6.5 M. Porter Jr r</t>
  </si>
  <si>
    <t>o8.5 L. Doncic r</t>
  </si>
  <si>
    <t>o8.5 V. Wembanyama r</t>
  </si>
  <si>
    <t>o9.5 K. Durant r+a</t>
  </si>
  <si>
    <t>o12.5 J. Harden r+a</t>
  </si>
  <si>
    <t>o14.5 J. Holiday p+a</t>
  </si>
  <si>
    <t>o10.5 G. Antetokounmpo r</t>
  </si>
  <si>
    <t>NCAA</t>
  </si>
  <si>
    <t>🏀 March Madness 24</t>
  </si>
  <si>
    <t>Clemson +9.5</t>
  </si>
  <si>
    <t>Tennesee +9.5</t>
  </si>
  <si>
    <t>🏀 23-24 04(Abr)</t>
  </si>
  <si>
    <t>o5.5 PJ. Washington r</t>
  </si>
  <si>
    <t>2= K. Thompson 3pt</t>
  </si>
  <si>
    <t>o22.5 T. Maxey p</t>
  </si>
  <si>
    <t>o16.5 I. Hartenstein p+r</t>
  </si>
  <si>
    <t>o22.5 A. Edwards p</t>
  </si>
  <si>
    <t>o20.5 V. Wembanyama p</t>
  </si>
  <si>
    <t>o21.5 N. Jokic p</t>
  </si>
  <si>
    <t>o8.5 N. Jokic a</t>
  </si>
  <si>
    <t>4+ J. Tatum a</t>
  </si>
  <si>
    <t>2+ D. White 3pt</t>
  </si>
  <si>
    <t>15+ J. Brown p</t>
  </si>
  <si>
    <t>6p10r1a</t>
  </si>
  <si>
    <t>YES - C. Capela Double Double</t>
  </si>
  <si>
    <t>o9.5 L. Doncic a</t>
  </si>
  <si>
    <t>20+ D. Fox p</t>
  </si>
  <si>
    <t>25+ S. Cury p</t>
  </si>
  <si>
    <t>25+ J. Brunson p</t>
  </si>
  <si>
    <t>o9.5 L. Doncic r</t>
  </si>
  <si>
    <t>4+ J. Johnson a</t>
  </si>
  <si>
    <t>o30.5 J. Embiid p+a</t>
  </si>
  <si>
    <t>o8.5 J. Harden a</t>
  </si>
  <si>
    <t>o26.5 A. Edwards p</t>
  </si>
  <si>
    <t>6+ M. Conley a</t>
  </si>
  <si>
    <t>2+ D. Booker 3pt</t>
  </si>
  <si>
    <t>2+ K. Durant 3pt</t>
  </si>
  <si>
    <t>4+ A. Wiggins r</t>
  </si>
  <si>
    <t>o3.5 D. DiVincenzo r</t>
  </si>
  <si>
    <t>20+ P. Bachero p</t>
  </si>
  <si>
    <t>25+ D. Lillard p</t>
  </si>
  <si>
    <t>o25.5 L. Doncic p</t>
  </si>
  <si>
    <t>o7.5 L. Doncic r</t>
  </si>
  <si>
    <t>25+ A. Edwards p</t>
  </si>
  <si>
    <t>🏀 23-24 Play-In</t>
  </si>
  <si>
    <t>o8.5 L. James a</t>
  </si>
  <si>
    <t>3+ D. Russel 3pt</t>
  </si>
  <si>
    <t>3+ K. Thompson 3pt</t>
  </si>
  <si>
    <t>12+ D. Sabonis r</t>
  </si>
  <si>
    <t>o26.5 L. James p</t>
  </si>
  <si>
    <t>o5.5 D. Russel a</t>
  </si>
  <si>
    <t>o28.5 D. Fox p</t>
  </si>
  <si>
    <t>o13.5 D. Sabonis r</t>
  </si>
  <si>
    <t>10+ C. Capela r</t>
  </si>
  <si>
    <t>o9.5 T. Young a</t>
  </si>
  <si>
    <t>o4.5 C. White a</t>
  </si>
  <si>
    <t>25+ D. DeRozen p</t>
  </si>
  <si>
    <t>2+ T. Herro 3pt</t>
  </si>
  <si>
    <t>o8.5 B. Adebayo r</t>
  </si>
  <si>
    <t>o25.5 J. Embiid p</t>
  </si>
  <si>
    <t>o4.5 K. Oubre Jr. r</t>
  </si>
  <si>
    <t>2+ T. Harris a</t>
  </si>
  <si>
    <t>o16.5 B. Adebayo p</t>
  </si>
  <si>
    <t>o20.5 T. Young p</t>
  </si>
  <si>
    <t>o3.5 A. Caruso r</t>
  </si>
  <si>
    <t>o4.5 A. Caruso a</t>
  </si>
  <si>
    <t>+20</t>
  </si>
  <si>
    <t>+7</t>
  </si>
  <si>
    <t>o21.5 D. DeRozen p</t>
  </si>
  <si>
    <t>o3.5 C. White a</t>
  </si>
  <si>
    <t>o20.5 B. Ingram p</t>
  </si>
  <si>
    <t>o11.5 D. Sabonis r</t>
  </si>
  <si>
    <t>o4.5 B. Ingram a</t>
  </si>
  <si>
    <t>3+ K. Murray 3pt</t>
  </si>
  <si>
    <t>o25.5 D. DeRozen p</t>
  </si>
  <si>
    <t>o3.5 A. Caruso a</t>
  </si>
  <si>
    <t>🏀 23-24 Round 1</t>
  </si>
  <si>
    <t>o12.5 K. Oubre Jr p</t>
  </si>
  <si>
    <t>o25.5 J. Brunson p</t>
  </si>
  <si>
    <t>o9.5 J. Embiid r</t>
  </si>
  <si>
    <t>DAL - 1st quarter W</t>
  </si>
  <si>
    <t>+17</t>
  </si>
  <si>
    <t>o3.5 N. Jovic r</t>
  </si>
  <si>
    <t>o28.5 D. Lillard p</t>
  </si>
  <si>
    <t>3+ D. Lillard 3pt</t>
  </si>
  <si>
    <t>o8.5 L. Doncic p - 1Q</t>
  </si>
  <si>
    <t>SOCCER</t>
  </si>
  <si>
    <t>⚽ 24 MLS</t>
  </si>
  <si>
    <t>ATGS L. Messi</t>
  </si>
  <si>
    <t>YES - V. Wembyniama double-double</t>
  </si>
  <si>
    <t>4+ M. Huertas a</t>
  </si>
  <si>
    <t>🏈 24-25 wk01</t>
  </si>
  <si>
    <t>450+ P. Mahomes &amp; L. Jackson pass yds</t>
  </si>
  <si>
    <t>5+ R. Rice rec</t>
  </si>
  <si>
    <t>200+ L. Jackon pass yds</t>
  </si>
  <si>
    <t>50+ D. Henry ruch yds</t>
  </si>
  <si>
    <t>225+ P. Mahomes pass ysd</t>
  </si>
  <si>
    <t>23.5+ BAL</t>
  </si>
  <si>
    <t>6+ R. Rice rec</t>
  </si>
  <si>
    <t>BAL +3</t>
  </si>
  <si>
    <t>120+ S. Barkley &amp; J. Jacobs rush yds</t>
  </si>
  <si>
    <t>S. Barkley - most rushing yds</t>
  </si>
  <si>
    <t>J. Love - most pass yds</t>
  </si>
  <si>
    <t>S. Barkley - most rush yds</t>
  </si>
  <si>
    <t>AJ Brown - most rec yd</t>
  </si>
  <si>
    <t>ATTD S. Barkley</t>
  </si>
  <si>
    <t>225+ J. Hurts pass yds</t>
  </si>
  <si>
    <t>250+ J. Love pass yds</t>
  </si>
  <si>
    <t>2+ J. Love pass TD</t>
  </si>
  <si>
    <t>60+ S. Barkley</t>
  </si>
  <si>
    <t>225+ J. Love pass yds</t>
  </si>
  <si>
    <t>40+ J. Jacobs rush yds</t>
  </si>
  <si>
    <t>4+ M. Evans &amp; R. White &amp; T. McLaurin TDs</t>
  </si>
  <si>
    <t>ATTD Z. White</t>
  </si>
  <si>
    <t>o61.5 J. Cook rush yds</t>
  </si>
  <si>
    <t>o55.4 J. Conner rush yds</t>
  </si>
  <si>
    <t>250+ J. Goff pass yds</t>
  </si>
  <si>
    <t>250+ M Stafford pass yds</t>
  </si>
  <si>
    <t>225+ K. Cousins pass yds</t>
  </si>
  <si>
    <t>225+ C. Williams pass yds</t>
  </si>
  <si>
    <t>250+ CJ Stroud pass yds</t>
  </si>
  <si>
    <t>2+ C. Williams pass TD</t>
  </si>
  <si>
    <t xml:space="preserve">ATTD M. Harrison Jr. </t>
  </si>
  <si>
    <t>4+ B. Robinson &amp; G. Pickens &amp; N. Harris TDs</t>
  </si>
  <si>
    <t>o3.5 B. Thomas Jr. catch</t>
  </si>
  <si>
    <t>40+ B. Thomas Jr rec yds</t>
  </si>
  <si>
    <t>2+ G. Davis rec</t>
  </si>
  <si>
    <t>o49.5 JAX @ MIA total p</t>
  </si>
  <si>
    <t xml:space="preserve">2+ ATTD B. Thomas Jr. </t>
  </si>
  <si>
    <t>25+ J. Mixon rec yds</t>
  </si>
  <si>
    <t>25+ J. Conner rec yds</t>
  </si>
  <si>
    <t>50+ P. Nacua rec yds</t>
  </si>
  <si>
    <t>50+ K. Williams rush yds</t>
  </si>
  <si>
    <t>50+ J. Gibbs rush yds</t>
  </si>
  <si>
    <t xml:space="preserve">ATTD A. St. Brown </t>
  </si>
  <si>
    <t>o1.5 M. Stafford pass TD</t>
  </si>
  <si>
    <t>100+ B. Purdy 1H pass yds</t>
  </si>
  <si>
    <t>100+ B. Purdy 2H pass yds</t>
  </si>
  <si>
    <t>ATTD J. Mason</t>
  </si>
  <si>
    <t>ATTD C. McCafferey</t>
  </si>
  <si>
    <t>o35.5 total p</t>
  </si>
  <si>
    <t>225+ A. Rodgers pass yds</t>
  </si>
  <si>
    <t>1+ A. Rodgers pass TD</t>
  </si>
  <si>
    <t>o3.5 G. Kittle rec</t>
  </si>
  <si>
    <t>25+ B. Hall rec yds</t>
  </si>
  <si>
    <t>🏈 24-25 wk02</t>
  </si>
  <si>
    <t>MIA 1H - TD</t>
  </si>
  <si>
    <t>MIA 1H - FG</t>
  </si>
  <si>
    <t>MIA 2H - TD</t>
  </si>
  <si>
    <t>MIA 2H - FG</t>
  </si>
  <si>
    <t>BUF 1H - TD</t>
  </si>
  <si>
    <t>BUF 1H - FG</t>
  </si>
  <si>
    <t>BUF 2H - TD</t>
  </si>
  <si>
    <t>BUF 2H - FG</t>
  </si>
  <si>
    <t>25+ J. Cook 1H - rush yds</t>
  </si>
  <si>
    <t>25+ J. Cook 2H - rush yds</t>
  </si>
  <si>
    <t>u33.5 J. Allen pass att</t>
  </si>
  <si>
    <t>50+ J. Waddle rec yds</t>
  </si>
  <si>
    <t>o23.5 2H total points</t>
  </si>
  <si>
    <t>1+ J. Allen pass TD</t>
  </si>
  <si>
    <t>25+ J. Allen rush yds</t>
  </si>
  <si>
    <t>3+ K. Coleman rec</t>
  </si>
  <si>
    <t>+25</t>
  </si>
  <si>
    <t>DAL W</t>
  </si>
  <si>
    <t>200+ D. Carr pass yds</t>
  </si>
  <si>
    <t>5+ C. Lamb rec</t>
  </si>
  <si>
    <t>50+ J. Mason rush yds</t>
  </si>
  <si>
    <t>Most receptions - J. Jefferson</t>
  </si>
  <si>
    <t>NYG @ WAS - Any quarter to end scoreless</t>
  </si>
  <si>
    <t>o38.5 CIN @ KC total points</t>
  </si>
  <si>
    <t>100+ B. Purdy pass yds - 1H</t>
  </si>
  <si>
    <t>100+ B. Purdy pass yds - 2H</t>
  </si>
  <si>
    <t>u52.5 B. Purdy 1Q pass yds</t>
  </si>
  <si>
    <t>o225 B. Purdy pass yds</t>
  </si>
  <si>
    <t>o59.5 B. Aiyuk rec yds</t>
  </si>
  <si>
    <t>o4.5 D. Samuel rec</t>
  </si>
  <si>
    <t>225+ CJ. Stroud pass yds</t>
  </si>
  <si>
    <t>100+ B. Thomas Jr rec yds</t>
  </si>
  <si>
    <t>1+ p PHI - 1Q</t>
  </si>
  <si>
    <t>1+ p PHI - 2Q</t>
  </si>
  <si>
    <t>1+ p PHI - 3Q</t>
  </si>
  <si>
    <t>1+ p PHI - 4Q</t>
  </si>
  <si>
    <t>+1</t>
  </si>
  <si>
    <t>PHI -2.5</t>
  </si>
  <si>
    <t>50+ S. Barkley rush yds</t>
  </si>
  <si>
    <t>50+ D. Mooney rec yds</t>
  </si>
  <si>
    <t>u3.5 D. Mooney rec</t>
  </si>
  <si>
    <t>u2.5 J. Dotson rec</t>
  </si>
  <si>
    <t>50+ D. London rec yds</t>
  </si>
  <si>
    <t>50+ D. Smith rec yds</t>
  </si>
  <si>
    <t>25+ D. Goedert rec yds</t>
  </si>
  <si>
    <t>1+ K. Cousins pass TD</t>
  </si>
  <si>
    <t>🏈 24-25 wk03</t>
  </si>
  <si>
    <t>25+ R. Stevenson &amp; B. Hall 1Q rush yds</t>
  </si>
  <si>
    <t>u215.5 A. Rodgers pass yds</t>
  </si>
  <si>
    <t>u163.5 J. Brisset pass yds</t>
  </si>
  <si>
    <t>o64.5 R. Stevenson rush yds</t>
  </si>
  <si>
    <t>100+ B. Hall rush+rec yds</t>
  </si>
  <si>
    <t>o2.5 A. Lazzard rec</t>
  </si>
  <si>
    <t>o30.5 total points</t>
  </si>
  <si>
    <t>175+ A. Rodgers pass yds</t>
  </si>
  <si>
    <t>+21</t>
  </si>
  <si>
    <t>NE +6.5</t>
  </si>
  <si>
    <t>ATTD A. Kamara</t>
  </si>
  <si>
    <t>ATTD J. Jacobs</t>
  </si>
  <si>
    <t>ATTD J. Gibbs</t>
  </si>
  <si>
    <t>ATTD J. Conner</t>
  </si>
  <si>
    <t>ATTD S. Laporta</t>
  </si>
  <si>
    <t>+6</t>
  </si>
  <si>
    <t>+19</t>
  </si>
  <si>
    <t>TB W</t>
  </si>
  <si>
    <t>LVR W</t>
  </si>
  <si>
    <t>o1.5 CJ Stroud pass TD</t>
  </si>
  <si>
    <t>200+ S. Darnold pass yds</t>
  </si>
  <si>
    <t>50+ J. Jefferson rec yds</t>
  </si>
  <si>
    <t>2+ S. Barkley rec</t>
  </si>
  <si>
    <t>225+  J. Goff pass yds</t>
  </si>
  <si>
    <t>5+ A. St. Brown rec</t>
  </si>
  <si>
    <t>SF -1.5 1Q</t>
  </si>
  <si>
    <t>SF -2.5 2Q</t>
  </si>
  <si>
    <t>SF -1.5 3Q</t>
  </si>
  <si>
    <t>SF -1.5 4Q</t>
  </si>
  <si>
    <t>3+ J. Jennings rec</t>
  </si>
  <si>
    <t>70+ J. Mason rush yds</t>
  </si>
  <si>
    <t>80+ J. Mason rush yds</t>
  </si>
  <si>
    <t>ATTD J. Jennings</t>
  </si>
  <si>
    <t>SF -1.5</t>
  </si>
  <si>
    <t>1+ points every Q - NYG @ CLE</t>
  </si>
  <si>
    <t>1+ points every Q - CHI @ IND</t>
  </si>
  <si>
    <t>1+ points every Q - HOU @ MIN</t>
  </si>
  <si>
    <t>1+ points every Q - PHI @ NO</t>
  </si>
  <si>
    <t>1+ points every Q - LAC @ PIT</t>
  </si>
  <si>
    <t>1+ points every Q - DEN @ TB</t>
  </si>
  <si>
    <t>1+ points every Q - GB @ TEN</t>
  </si>
  <si>
    <t>80+ B. Thomas Jr rec yds</t>
  </si>
  <si>
    <t>2+ B. Thomas Jr rec</t>
  </si>
  <si>
    <t>ATTD B. Thomas Jr</t>
  </si>
  <si>
    <t>🏈 24-25 wk04</t>
  </si>
  <si>
    <t xml:space="preserve">1stTD M. Nabers or C. Lamb </t>
  </si>
  <si>
    <t>175+ D. Jones pass yds</t>
  </si>
  <si>
    <t>1+ D. Jones pass TD</t>
  </si>
  <si>
    <t>60+ M. Nabers rec yds</t>
  </si>
  <si>
    <t>40+ R. Dowdle rush yds</t>
  </si>
  <si>
    <t>5+ M. Nabers rec</t>
  </si>
  <si>
    <t>ATL -2.5</t>
  </si>
  <si>
    <t>200+ K. Cousins pass yds</t>
  </si>
  <si>
    <t>70+ J. Jefferson rec yds</t>
  </si>
  <si>
    <t>40+ A. Jones rush yds</t>
  </si>
  <si>
    <t>3+ D. Kincaid rec</t>
  </si>
  <si>
    <t>5+ D. Johnson rec</t>
  </si>
  <si>
    <t>🏈 24-25 wk05</t>
  </si>
  <si>
    <t>o43.5 total points</t>
  </si>
  <si>
    <t>ATTD D. London</t>
  </si>
  <si>
    <t>u2.5 K. Pitts rec</t>
  </si>
  <si>
    <t>o242.5  B. Mayfield pass yds</t>
  </si>
  <si>
    <t>o59.5 M. Evans rec yds</t>
  </si>
  <si>
    <t>o29.5 B. Robinson rec yds</t>
  </si>
  <si>
    <t>4+ R. McCloud rec</t>
  </si>
  <si>
    <t>6+ D. London rec</t>
  </si>
  <si>
    <t>80+ D. Mooney rec yds</t>
  </si>
  <si>
    <t>60+ T. Allgeir rush yds</t>
  </si>
  <si>
    <t>1+ B. Mayfield pass td</t>
  </si>
  <si>
    <t>3+ B. Robinson rec</t>
  </si>
  <si>
    <t>5+ D. London rec</t>
  </si>
  <si>
    <t>o32.5 total Points GB @ MIN</t>
  </si>
  <si>
    <t>175+ S. Darnold pass yds</t>
  </si>
  <si>
    <t>60+ J. Jefferson rec yds</t>
  </si>
  <si>
    <t>2+ I. Likely rec</t>
  </si>
  <si>
    <t>2+ R. Odunze rec</t>
  </si>
  <si>
    <t>25+ 1H B. Thomas Jr. rec yds</t>
  </si>
  <si>
    <t>25+ 2H B. Thomas Jr. rec yds</t>
  </si>
  <si>
    <t>o234.5 T. Lawrence pass yds</t>
  </si>
  <si>
    <t>JAX -3</t>
  </si>
  <si>
    <t>25+ T. Bigsby rush yds</t>
  </si>
  <si>
    <t>50+ B. Thomas Jr. rec yds</t>
  </si>
  <si>
    <t>1+ J. Hines-Allen sack</t>
  </si>
  <si>
    <t>25+ T. Hill rec yds</t>
  </si>
  <si>
    <t>25+ J. Waddle rec yds</t>
  </si>
  <si>
    <t>25+ J. Smith-Njigba rec yds</t>
  </si>
  <si>
    <t>ATTD B. Ayiuk</t>
  </si>
  <si>
    <t>4+ J. Smith-Njigba rec</t>
  </si>
  <si>
    <t>50+ D. Samuel rec yds</t>
  </si>
  <si>
    <t>1+ J. Mason rec</t>
  </si>
  <si>
    <t>o41.5 total points ARI @ SF</t>
  </si>
  <si>
    <t>60+ J. Mason rush yds</t>
  </si>
  <si>
    <t>4+ J. Fergunson rec</t>
  </si>
  <si>
    <t>2+ M. Gesicki rec</t>
  </si>
  <si>
    <t>ATTD J. Fields</t>
  </si>
  <si>
    <t>20+ pass rec yds J. Jefferson</t>
  </si>
  <si>
    <t>20+ pass rec yds N. Collins</t>
  </si>
  <si>
    <t>20+ pass rec yds C. Lamb</t>
  </si>
  <si>
    <t>20+ pass rec yds J. Chase</t>
  </si>
  <si>
    <t>1stTD A. Kamara or T. Kelce</t>
  </si>
  <si>
    <t>o35.5 total points NO @ KC</t>
  </si>
  <si>
    <t>5+ A. Kamara rec</t>
  </si>
  <si>
    <t>3+ K. Hunt rec</t>
  </si>
  <si>
    <t>40+ K. Hunt rush yds</t>
  </si>
  <si>
    <t>175+ D. Carr pass yds</t>
  </si>
  <si>
    <t>1+ D. Carr pass TD</t>
  </si>
  <si>
    <t>5+ C. Olave rec</t>
  </si>
  <si>
    <t>40+ A. Kamara rec yds</t>
  </si>
  <si>
    <t>65+ A. Karama rush yds</t>
  </si>
  <si>
    <t>5+  K. Walker rush yds 1Q</t>
  </si>
  <si>
    <t>5+  K. Walker rush yds 2Q</t>
  </si>
  <si>
    <t>5+  K. Walker rush yds 3Q</t>
  </si>
  <si>
    <t>5+  K. Walker rush yds 4Q</t>
  </si>
  <si>
    <t>25+ K. Walker rush yds 1H</t>
  </si>
  <si>
    <t>25+ J. Mason rush yds 1H</t>
  </si>
  <si>
    <t>30+  B. Purdy pass yds 1Q</t>
  </si>
  <si>
    <t>30+  B. Purdy pass yds 2Q</t>
  </si>
  <si>
    <t>30+  B. Purdy pass yds 3Q</t>
  </si>
  <si>
    <t>30+  B. Purdy pass yds 4Q</t>
  </si>
  <si>
    <t>60+ B. Ayiuk rec yds</t>
  </si>
  <si>
    <t>o4.5 B. Ayiuk rec</t>
  </si>
  <si>
    <t>25+ J. Jennings rec yds</t>
  </si>
  <si>
    <t>&gt;20+ B. Ayiuk rec pass yds</t>
  </si>
  <si>
    <t>SF -2.5 1H</t>
  </si>
  <si>
    <t>🏈 24-25 wk07</t>
  </si>
  <si>
    <t>100+ D. Henry rush yds</t>
  </si>
  <si>
    <t>20+ Z. Flowers pass rec yds</t>
  </si>
  <si>
    <t>20+ C. Godwin pass rec yds</t>
  </si>
  <si>
    <t>o40.5 BAL @ TB total points</t>
  </si>
  <si>
    <t>o1.5 B. Mayfield pass TD</t>
  </si>
  <si>
    <t>u52.5 BAL @ TB total points</t>
  </si>
  <si>
    <t>175+ K. Murray pass yds</t>
  </si>
  <si>
    <t>5+ T. McBride rec</t>
  </si>
  <si>
    <t>🏈 24-25 wk08</t>
  </si>
  <si>
    <t>3+ J. Addison rec</t>
  </si>
  <si>
    <t>o38.5 MIN @ LAR total points</t>
  </si>
  <si>
    <t>200+ M Stafford pass yds</t>
  </si>
  <si>
    <t>o3.5 A. Jones rec</t>
  </si>
  <si>
    <t>ATTD C. Kupp</t>
  </si>
  <si>
    <t>225+ S. Darnold pass yds</t>
  </si>
  <si>
    <t>60+ C. Kupp rec yds</t>
  </si>
  <si>
    <t>o1.5 S. Darnold pass TD</t>
  </si>
  <si>
    <t>o5.5 J. Jefferson rec</t>
  </si>
  <si>
    <t>80+ D. Henry rush yds</t>
  </si>
  <si>
    <t>40+ C. Brown rush yds</t>
  </si>
  <si>
    <t>20+ J. Chase recpetion yds</t>
  </si>
  <si>
    <t>20+ A. Brown reception yds</t>
  </si>
  <si>
    <t>20+ B. Thomas Jr reception yds</t>
  </si>
  <si>
    <t>20+ A. St. Brown reception yds</t>
  </si>
  <si>
    <t>ATTD S. Barkely</t>
  </si>
  <si>
    <t>ATTD G. Kittle</t>
  </si>
  <si>
    <t>o49.5 GB @ JAX total points</t>
  </si>
  <si>
    <t>100+ T. Lawrence 1H pass yds</t>
  </si>
  <si>
    <t>100+ T. Lawrence 2H pass yds</t>
  </si>
  <si>
    <t>25+ B. Thomas rec yds 1Q</t>
  </si>
  <si>
    <t>25+ B. Thomas rec yds 2Q</t>
  </si>
  <si>
    <t>25+ B. Thomas rec yds 3Q</t>
  </si>
  <si>
    <t>25+ B. Thomas rec yds 4Q</t>
  </si>
  <si>
    <t>o48.5 GB @ JAX total points</t>
  </si>
  <si>
    <t>40+ T. Kraft rec yds</t>
  </si>
  <si>
    <t>4+ T. Kraft rec</t>
  </si>
  <si>
    <t>o47.5</t>
  </si>
  <si>
    <t>200+ D. Prescott pass yds</t>
  </si>
  <si>
    <t>1+ B. Purdy TD</t>
  </si>
  <si>
    <t>3+ J. Ferguson rec</t>
  </si>
  <si>
    <t>o29.5</t>
  </si>
  <si>
    <t>150+ D. Jones pass yds</t>
  </si>
  <si>
    <t>175+ R. Wilson pass yds</t>
  </si>
  <si>
    <t>4+ W. Robinson rec</t>
  </si>
  <si>
    <t>40+ G. Pickens rec yds</t>
  </si>
  <si>
    <t>1+ R. Wilson pass TD 1Q</t>
  </si>
  <si>
    <t>1+ R. Wilson pass TD 2Q</t>
  </si>
  <si>
    <t>1+ R. Wilson pass TD 3Q</t>
  </si>
  <si>
    <t>1+ R. Wilson pass TD 4Q</t>
  </si>
  <si>
    <t>50+ G. Pickens rec yds</t>
  </si>
  <si>
    <t>5+ W. Robinson rec</t>
  </si>
  <si>
    <t>50+ M. Nabers rec yds</t>
  </si>
  <si>
    <t>25+ P. Freiermuth rec yds</t>
  </si>
  <si>
    <t>25+ J. Warren rush+rec yds</t>
  </si>
  <si>
    <t>PIT W 1H</t>
  </si>
  <si>
    <t>PIT W 2H</t>
  </si>
  <si>
    <t>🏈 24-25 wk09</t>
  </si>
  <si>
    <t>200+ A.  Rodgers pass yds</t>
  </si>
  <si>
    <t>175+ C.J. Stroud  pass yds</t>
  </si>
  <si>
    <t>o4.5 G.  Wilson rec</t>
  </si>
  <si>
    <t xml:space="preserve"> 40+ G.  Wilson rec yds</t>
  </si>
  <si>
    <t>40+ T.  Dell  rec yds</t>
  </si>
  <si>
    <t>70+ J. Mixon rush yds</t>
  </si>
  <si>
    <t>o35.5 total points HOU @ NYJ</t>
  </si>
  <si>
    <t>ATTD J. Mixon</t>
  </si>
  <si>
    <t>25+ G. Wilson rec yds 1H</t>
  </si>
  <si>
    <t>25+ G. Wilson rec yds 2H</t>
  </si>
  <si>
    <t>2+ A. Rodgers pass TD</t>
  </si>
  <si>
    <t>4+ D Adams rec</t>
  </si>
  <si>
    <t>90+ J. Mixon rush + rec yds</t>
  </si>
  <si>
    <t>25+ D. Schultz rec yds</t>
  </si>
  <si>
    <t>70+ D. Henry rush yds</t>
  </si>
  <si>
    <t>6+ J. Jefferson rec</t>
  </si>
  <si>
    <t>50+ C. Hubbard rueh yds</t>
  </si>
  <si>
    <t>175+ L. Jackson pass yds</t>
  </si>
  <si>
    <t>90+ B. Robinson rush yds</t>
  </si>
  <si>
    <t>60+ B. Robinson rush yds</t>
  </si>
  <si>
    <t>175+ J. Goff pass yds</t>
  </si>
  <si>
    <t>3+ S. Laporta rec</t>
  </si>
  <si>
    <t>40+ A. St.Brown rec yds</t>
  </si>
  <si>
    <t>u54.5 total points</t>
  </si>
  <si>
    <t>40+ C. Otton rec yds</t>
  </si>
  <si>
    <t>50+ K. Hunt rush yds</t>
  </si>
  <si>
    <t>🏈 24-25 wk10</t>
  </si>
  <si>
    <t>225+ L. Jacson pass yds</t>
  </si>
  <si>
    <t>60+ D. Henry rush yds</t>
  </si>
  <si>
    <t>25+ M. Andrews rec yds</t>
  </si>
  <si>
    <t>8+ J. Chase rec</t>
  </si>
  <si>
    <t>70+ J. Chase rec yds</t>
  </si>
  <si>
    <t>50+ Z. Flowers rec yds</t>
  </si>
  <si>
    <t>2+ J. Burrow pass TD</t>
  </si>
  <si>
    <t>40+ D. Achane rush yds</t>
  </si>
  <si>
    <t>200+ T. Tagovailoa pass yds</t>
  </si>
  <si>
    <t>ATTD D. Achane</t>
  </si>
  <si>
    <t>50+ D. Achane rush yds</t>
  </si>
  <si>
    <t>70+ K. Williams rush yds</t>
  </si>
  <si>
    <t>60+ P. Nacua rec yds</t>
  </si>
  <si>
    <t>6+ P. Nacua rec</t>
  </si>
  <si>
    <t>4+ J. Smith rec</t>
  </si>
  <si>
    <t>o40.5 D. Achane rec yds</t>
  </si>
  <si>
    <t>🏈 24-25 wk11</t>
  </si>
  <si>
    <t>o37.5 total points WAS @ PHI</t>
  </si>
  <si>
    <t>u59.5 total points WAS @ PHI</t>
  </si>
  <si>
    <t>PHI +3.5</t>
  </si>
  <si>
    <t>175+ J. Hurts pass yds</t>
  </si>
  <si>
    <t>175+ J. Daniels pass yds</t>
  </si>
  <si>
    <t>1+ J. Daniels pass TD</t>
  </si>
  <si>
    <t>60+ AJ. Brown rec yds</t>
  </si>
  <si>
    <t>ATTD K. WIlliams</t>
  </si>
  <si>
    <t>200+ R. Wilson pass yds</t>
  </si>
  <si>
    <t>o4.5 T. Higgins rec</t>
  </si>
  <si>
    <t>o44.5 TJ. Hockenson rec yds</t>
  </si>
  <si>
    <t>40+ J. Jennings rec yds</t>
  </si>
  <si>
    <t>-</t>
  </si>
  <si>
    <t>25+ R. Pearsall rec yds</t>
  </si>
  <si>
    <t>o3.5 J. Jennings rec</t>
  </si>
  <si>
    <t>o59.5 Z. Flowers rec yds</t>
  </si>
  <si>
    <t>u43.5 L. Jackson rush yds</t>
  </si>
  <si>
    <t>25+ B. Robinson rec yds</t>
  </si>
  <si>
    <t>80+ J. Mixon rush yds</t>
  </si>
  <si>
    <t>40+ R. Dowdle rush+rec yds</t>
  </si>
  <si>
    <t>4+ C. Lamb rec</t>
  </si>
  <si>
    <t>🏈 24-25 wk12</t>
  </si>
  <si>
    <t>3+ J. Warren rec</t>
  </si>
  <si>
    <t>60+ N. Harris rush yds</t>
  </si>
  <si>
    <t>1+ J. Herbert pass TD</t>
  </si>
  <si>
    <t>50+ D. Henry rush yds</t>
  </si>
  <si>
    <t>25+ JK Dobbins rush yds</t>
  </si>
  <si>
    <t>3+ W. Dissly rec</t>
  </si>
  <si>
    <t>2+ M. Andrews rec</t>
  </si>
  <si>
    <t>25+ Q. Johnston rec yds</t>
  </si>
  <si>
    <t>🏈 24-25 wk13</t>
  </si>
  <si>
    <t>15+ A. O'Connel &amp; P. Mahomes pass yds each Q</t>
  </si>
  <si>
    <t>5+ KC Chiefs sacks</t>
  </si>
  <si>
    <t>4+ T. Kelce rec</t>
  </si>
  <si>
    <t>5+ B. Bowers rec</t>
  </si>
  <si>
    <t>3+ D. Hopkins rec</t>
  </si>
  <si>
    <t>40+ D. London rec yds</t>
  </si>
  <si>
    <t>50+ B. Robinson rush yds</t>
  </si>
  <si>
    <t>ATTD C. Brown</t>
  </si>
  <si>
    <t>ATTD J. Chase</t>
  </si>
  <si>
    <t>4+ T. Higgins rec</t>
  </si>
  <si>
    <t>60+ S. Barkley rush yds</t>
  </si>
  <si>
    <t>10+ N. Chubb &amp; J. Williams rush yds each Q</t>
  </si>
  <si>
    <t>40+ N. Chubb rush yds</t>
  </si>
  <si>
    <t>25+ J. Williams rush yds</t>
  </si>
  <si>
    <t>15+ B. Nix &amp; J. Winston pass yds each Q</t>
  </si>
  <si>
    <t>25+ E. Moore rec yds</t>
  </si>
  <si>
    <t>4+ C. Sutton rec</t>
  </si>
  <si>
    <t>2+ J. Williams rec</t>
  </si>
  <si>
    <t>175+ B. Nix pass yds</t>
  </si>
  <si>
    <t>🏈 24-25 wk14</t>
  </si>
  <si>
    <t>5+ C. Brown &amp; R. Dowdle rush yds each Q</t>
  </si>
  <si>
    <t>CIN Bengals W</t>
  </si>
  <si>
    <t>50+ T. Higgins rec yds</t>
  </si>
  <si>
    <t>5+ CD Lamb rec</t>
  </si>
  <si>
    <t>60+ J. Chase rec</t>
  </si>
  <si>
    <t>70+ C. Brown rec + rush yds</t>
  </si>
  <si>
    <t>60+ CD Lamb rec yds</t>
  </si>
  <si>
    <t>o14.5 R. Downdle rec yds</t>
  </si>
  <si>
    <t>ATTD CD Lamb</t>
  </si>
  <si>
    <t>2+ ATTD C. Brown</t>
  </si>
  <si>
    <t>🏈 24-25 wk15</t>
  </si>
  <si>
    <t>4+ J. Jennings rec</t>
  </si>
  <si>
    <t>50+ K. Williams rush &amp; pass yds</t>
  </si>
  <si>
    <t>30+ B. Purdy &amp; M. Stafford pass yards each Q</t>
  </si>
  <si>
    <t>10+ K. Williams rush yds each Q</t>
  </si>
  <si>
    <t>1+ S. Darnold pass TD</t>
  </si>
  <si>
    <t>40+ J. Addison rec yds</t>
  </si>
  <si>
    <t>3+ T. J. Hockenson rec</t>
  </si>
  <si>
    <t>15+ S. Darnold &amp; C. Williams pass yds each Q</t>
  </si>
  <si>
    <t>30 + S. Darnold &amp; C. Williams pass yds each Q</t>
  </si>
  <si>
    <t>5+ J. Jefferson rec</t>
  </si>
  <si>
    <t>ATTD A. Jones</t>
  </si>
  <si>
    <t>ATL Falcons W</t>
  </si>
  <si>
    <t xml:space="preserve">ATTD B. Robinson </t>
  </si>
  <si>
    <t>90+ B. Robinson rec + rush yds</t>
  </si>
  <si>
    <t>25+ T. Allgeir rush yds</t>
  </si>
  <si>
    <t>50+ B. Bowers rec yds</t>
  </si>
  <si>
    <t>🏈 24-25 wk16</t>
  </si>
  <si>
    <t>5+ C. Sutton &amp; L. McConkey rec yds each Q</t>
  </si>
  <si>
    <t>30+ B. Nix &amp; J. Herbert pass yds each Q</t>
  </si>
  <si>
    <t>15+ B. Nix &amp; J. Herbert pass yds each Q</t>
  </si>
  <si>
    <t>175+ J. Herbert pass yds</t>
  </si>
  <si>
    <t>50+ L. McConkey rec yds</t>
  </si>
  <si>
    <t xml:space="preserve">u52.5 total points DEN @ LAC </t>
  </si>
  <si>
    <t xml:space="preserve">o32.5 total points DEN @ LAC </t>
  </si>
  <si>
    <t>200+ B. Nix pass yds</t>
  </si>
  <si>
    <t>1+ B. Nix pass TD</t>
  </si>
  <si>
    <t>o3.5 J. Reed rec</t>
  </si>
  <si>
    <t>u47.5 C. Watson rec yds</t>
  </si>
  <si>
    <t>o89.5 J. Jacobs rush yds</t>
  </si>
  <si>
    <t>o50.5 K. Miller rush yds</t>
  </si>
  <si>
    <t>25+ K. Miller rush yds</t>
  </si>
  <si>
    <t>o32.5 NO @ GB total points</t>
  </si>
  <si>
    <t>🏈 24-25 wk17</t>
  </si>
  <si>
    <t>200+ C. J. Stroud pass yds</t>
  </si>
  <si>
    <t>1+ C. J. Stroud pass TD</t>
  </si>
  <si>
    <t>3+ D. Schultz rec</t>
  </si>
  <si>
    <t>5+ N. Collins rec</t>
  </si>
  <si>
    <t>60+ N. Collins rec yds</t>
  </si>
  <si>
    <t>15+ C. J. Stroud &amp; L. Jackson pass yds each Q</t>
  </si>
  <si>
    <t>30+ C. J. Stroud &amp; L. Jackson pass yds each Q</t>
  </si>
  <si>
    <t>o68.5 Z. Charbonnet rush yds</t>
  </si>
  <si>
    <t>SEA Seahawks -4.5</t>
  </si>
  <si>
    <t>175+ C. Williams pass yds</t>
  </si>
  <si>
    <t>50+ J. Smith-Njigba rec yds</t>
  </si>
  <si>
    <t>3+ D. K. Metcalf rec</t>
  </si>
  <si>
    <t>5+ C. Brown rush yds each Q</t>
  </si>
  <si>
    <t>10+ C. Brown rush yds each Q</t>
  </si>
  <si>
    <t>3+ C. Brown rec</t>
  </si>
  <si>
    <t>o103.5 K. Williams rush + pass yds</t>
  </si>
  <si>
    <t>1+ K. Williams rec</t>
  </si>
  <si>
    <t>10+ K. Williams rush yards each Q</t>
  </si>
  <si>
    <t>20+ K. Williams rush yards each Q</t>
  </si>
  <si>
    <t>o39.5 ATL @ WAS total points</t>
  </si>
  <si>
    <t>ATTD D. London or B. Robinson</t>
  </si>
  <si>
    <t>o20.5 B. Robinson 1st Q rush yds</t>
  </si>
  <si>
    <t>175+ M. Penix pass yds</t>
  </si>
  <si>
    <t>70+ B. Robinson pass + rec yds</t>
  </si>
  <si>
    <t>o4.5 T. McLaurin rec</t>
  </si>
  <si>
    <t>o5.5 D. London rec</t>
  </si>
  <si>
    <t>30+ J. Daniels &amp; M. Penix pass yds each Q</t>
  </si>
  <si>
    <t>🏈 24-25 wk19 WC</t>
  </si>
  <si>
    <t>ATTD J. Mixon or JK Dobbins</t>
  </si>
  <si>
    <t>o33.5 LAC @ HOU total points</t>
  </si>
  <si>
    <t>+13</t>
  </si>
  <si>
    <t>LAC -3</t>
  </si>
  <si>
    <t>2+ FG LAC</t>
  </si>
  <si>
    <t>2+ FG HOU</t>
  </si>
  <si>
    <t>2+ FG PIT</t>
  </si>
  <si>
    <t>2+ FG BAL</t>
  </si>
  <si>
    <t>2+ FG DEN</t>
  </si>
  <si>
    <t>2+ FG BUF</t>
  </si>
  <si>
    <t>2+ FG GB</t>
  </si>
  <si>
    <t>2+ FG PHI</t>
  </si>
  <si>
    <t>2+ FG WAS</t>
  </si>
  <si>
    <t>2+ FG TB</t>
  </si>
  <si>
    <t>2+ FG MIN</t>
  </si>
  <si>
    <t>2+ FG LAR</t>
  </si>
  <si>
    <t>5+ L. McConkey &amp; N. Collins rec yds each Q</t>
  </si>
  <si>
    <t>10+ J. Jacobs &amp; S. Barkley rush yds each Q</t>
  </si>
  <si>
    <t>5+ J. Jefferson &amp; P. Nacua rec yds each Q</t>
  </si>
  <si>
    <t>ATTD M. Andrews or D. Henry</t>
  </si>
  <si>
    <t>o34.5 PIT @ BAL total points</t>
  </si>
  <si>
    <t>3+ G. Pickens rec</t>
  </si>
  <si>
    <t>3+ P. Freiermuth rec</t>
  </si>
  <si>
    <t xml:space="preserve">3+ M. Andrews rec </t>
  </si>
  <si>
    <t>o99.5 D. Henry rush yds</t>
  </si>
  <si>
    <t>o49.5 L. Jackson rush yds</t>
  </si>
  <si>
    <t>ATTD S. Barkley or J. Jacobs</t>
  </si>
  <si>
    <t>o35.5 GB @ PHI Total points</t>
  </si>
  <si>
    <t>80+ S. Barkley rush yds</t>
  </si>
  <si>
    <t>80+ J. Jacobs rush yds</t>
  </si>
  <si>
    <t>5+ A. J. Brown rec</t>
  </si>
  <si>
    <t>20+ A. J. Brown yds catch</t>
  </si>
  <si>
    <t>2+ J. Jacobs rec</t>
  </si>
  <si>
    <t>5+ J. Jacobs &amp; S. Barkley rush yds each Q</t>
  </si>
  <si>
    <t>40+ J. McMillan rec yds</t>
  </si>
  <si>
    <t>o20.5 B. Irving rec yds</t>
  </si>
  <si>
    <t>200+ J. Daniels pass yds</t>
  </si>
  <si>
    <t>2+ B. Irving rec</t>
  </si>
  <si>
    <t>ATTD B. Irvirng</t>
  </si>
  <si>
    <t>o45.5 WAS @ TB total points</t>
  </si>
  <si>
    <t>🏈 24-25 wk20 Div</t>
  </si>
  <si>
    <t>Sum of all Div Bets</t>
  </si>
  <si>
    <t>🏈 24-25 wk20 SB</t>
  </si>
  <si>
    <t>4+ A.J. Brown rec</t>
  </si>
  <si>
    <t>S. Barkley fastest ball carrier</t>
  </si>
  <si>
    <t>Final score to be a repeat</t>
  </si>
  <si>
    <t>169+ S. Barkley rush yds</t>
  </si>
  <si>
    <t>Tails - Coin Toss</t>
  </si>
  <si>
    <t>KC 1 rush TD 1H</t>
  </si>
  <si>
    <t>KC 1 pass TD 1H</t>
  </si>
  <si>
    <t>PHI 1 rush TD 1H</t>
  </si>
  <si>
    <t>PHI 1 pass TD 1H</t>
  </si>
  <si>
    <t>KC 1 rush TD 2H</t>
  </si>
  <si>
    <t>KC 1 pass TD 2H</t>
  </si>
  <si>
    <t>PHI 1 rush TD 2H</t>
  </si>
  <si>
    <t>PHI 1 pass TD 2H</t>
  </si>
  <si>
    <t>KC 1 TD 1H</t>
  </si>
  <si>
    <t>KC 1 FG 1H</t>
  </si>
  <si>
    <t>PHI 1 TD 1H</t>
  </si>
  <si>
    <t>PHI 1 FG 1H</t>
  </si>
  <si>
    <t>KC 1 TD 2H</t>
  </si>
  <si>
    <t>KC 1 FG 2H</t>
  </si>
  <si>
    <t>PHI 1 TD 2H</t>
  </si>
  <si>
    <t>PHI 1 FG 2H</t>
  </si>
  <si>
    <t>5+ Players to record exact 1 rec</t>
  </si>
  <si>
    <t>24 - PHI exact points</t>
  </si>
  <si>
    <t>24 - KC exact points</t>
  </si>
  <si>
    <t>1st TD - S. Barkley</t>
  </si>
  <si>
    <t>2nd TD - T. Kelce</t>
  </si>
  <si>
    <t>2+ TD S. Barkley</t>
  </si>
  <si>
    <t>ATTD T. Kelce or K. Hunt</t>
  </si>
  <si>
    <t>o43.5 total points KC @ PHI</t>
  </si>
  <si>
    <t>50+ A.J. Brown rec yds</t>
  </si>
  <si>
    <t>o211.5 J. Hurts pass yds</t>
  </si>
  <si>
    <t>o250.5 P. Mahomes pass yds</t>
  </si>
  <si>
    <t>3+ P. Mahomes pass TDs</t>
  </si>
  <si>
    <t>o60.5 T. Kelce rec yds</t>
  </si>
  <si>
    <t>6+ D. Goedert rec</t>
  </si>
  <si>
    <t>o3.5 M. Brown rec</t>
  </si>
  <si>
    <t>2+ K. Hunt rec</t>
  </si>
  <si>
    <t>90+ S. Barkley rush yds</t>
  </si>
  <si>
    <t>5+ T. Kelce rec</t>
  </si>
  <si>
    <t>FIFA</t>
  </si>
  <si>
    <t>⚽ 25 Club WC</t>
  </si>
  <si>
    <t>NO - Both teams to score</t>
  </si>
  <si>
    <t>W Bayern Munich</t>
  </si>
  <si>
    <t>🏈 25-26 wk01</t>
  </si>
  <si>
    <t>PHI -8.5</t>
  </si>
  <si>
    <t>TD</t>
  </si>
  <si>
    <t>DAL 1st drive - FG</t>
  </si>
  <si>
    <t>1,2,3</t>
  </si>
  <si>
    <t>10 + S. Barkley rush yds / each qt</t>
  </si>
  <si>
    <t>D. Prescott most pass yds</t>
  </si>
  <si>
    <t>C. Lamb most rec yds</t>
  </si>
  <si>
    <t>S. Barkley mos rush yds</t>
  </si>
  <si>
    <t>5+ B. Thomas rec each qtr</t>
  </si>
  <si>
    <t>ATTD JK Doobins or T. Pollard</t>
  </si>
  <si>
    <t>ATTD L. Burden III</t>
  </si>
  <si>
    <t>o16.5 C. Brown rush att</t>
  </si>
  <si>
    <t>o67.5 A. Jeanty rush yds</t>
  </si>
  <si>
    <t>CIN -5.5</t>
  </si>
  <si>
    <t>30+ Z. Flowers rec yds</t>
  </si>
  <si>
    <t>25+ K. Shakir rec yds</t>
  </si>
  <si>
    <t>3+ L. Burden rec</t>
  </si>
  <si>
    <t>o33.5 total points</t>
  </si>
  <si>
    <t>2+  C. Loveland rec</t>
  </si>
  <si>
    <t>2+ A. Jones rec</t>
  </si>
  <si>
    <t>🏈 25-26 wk02</t>
  </si>
  <si>
    <t>ATTD T. McLaurin or D. Samuel</t>
  </si>
  <si>
    <t>u30 J. Love pass att</t>
  </si>
  <si>
    <t>1+ J. Daniels  pass TD</t>
  </si>
  <si>
    <t>30+ T. McLaurin rec yds</t>
  </si>
  <si>
    <t>25+ J. Crosskey-Merrit rush yds</t>
  </si>
  <si>
    <t>60+ J Jacobs rush yds</t>
  </si>
  <si>
    <t>BAL -5.5</t>
  </si>
  <si>
    <t>BUF -6.5</t>
  </si>
  <si>
    <t>5+ C. McCaffrey rec</t>
  </si>
  <si>
    <t>DET -6.5</t>
  </si>
  <si>
    <t>BUF -5.5</t>
  </si>
  <si>
    <t>5+ T. Hunter rec</t>
  </si>
  <si>
    <t>u2.5 B. Hall rec</t>
  </si>
  <si>
    <t>o74.5 K. Williams rush yds</t>
  </si>
  <si>
    <t>u19.5 AJ Barner</t>
  </si>
  <si>
    <t>20+ yds D. Mooney rec</t>
  </si>
  <si>
    <t>o32.5 M. Penix long pass</t>
  </si>
  <si>
    <t>175+ JJ McCarthy pass yds</t>
  </si>
  <si>
    <t>ATTD B. Robinson ou J. Jefferson</t>
  </si>
  <si>
    <t>ATTD E. Egbuka</t>
  </si>
  <si>
    <t>250+ G. Smith pass yds</t>
  </si>
  <si>
    <t>5+ B. Bowers 1st quarter rec yds</t>
  </si>
  <si>
    <t>LA Chargers -3.5</t>
  </si>
  <si>
    <t>ATTD A. Jeanty ou O. Hampton</t>
  </si>
  <si>
    <t>🏈 25-26 wk03</t>
  </si>
  <si>
    <t>1+ rush TD &amp; 1+ pass TD each team each half</t>
  </si>
  <si>
    <t>ATTD J. Cook</t>
  </si>
  <si>
    <t>15+ J. Allen rush yds</t>
  </si>
  <si>
    <t>o1.5 J. Cook rec</t>
  </si>
  <si>
    <t>40+ T. Hill rec yds</t>
  </si>
  <si>
    <t>MIA +11.5</t>
  </si>
  <si>
    <t>u12.5 D. Achane rush yds</t>
  </si>
  <si>
    <t>ATL W</t>
  </si>
  <si>
    <t>ATTD B. Robinson</t>
  </si>
  <si>
    <t>70+ P. Nacua pass yds</t>
  </si>
  <si>
    <t>o70.5 B. Irving rush yds</t>
  </si>
  <si>
    <t>200+ M. Jones pass yds</t>
  </si>
  <si>
    <t>5+ C. McCaffery rec</t>
  </si>
  <si>
    <t>🏈 25-26 wk04</t>
  </si>
  <si>
    <t>4+ T. Benson rec</t>
  </si>
  <si>
    <t>6+ T. McBride rec</t>
  </si>
  <si>
    <t>70+ J. Smith-Njigba rec yds</t>
  </si>
  <si>
    <t>o29.5 K. Murray rush yds</t>
  </si>
  <si>
    <t>40+ K. Allen rec yds</t>
  </si>
  <si>
    <t>40+ Q. Johnston rec yds</t>
  </si>
  <si>
    <t>40+ C. Sakttebo rush yds</t>
  </si>
  <si>
    <t>8+ P. Nacua rec</t>
  </si>
  <si>
    <t>o17.5 B. Mayfield rush yds</t>
  </si>
  <si>
    <t>o200.5 S. Rattler pass yds</t>
  </si>
  <si>
    <t>o219.5 D. Jones pass yds</t>
  </si>
  <si>
    <t>ATTD G. Pickens</t>
  </si>
  <si>
    <t>ATS M. Parsons</t>
  </si>
  <si>
    <t>5+ G. Pickens rec</t>
  </si>
  <si>
    <t>3+ J. Williams rec</t>
  </si>
  <si>
    <t>o8.5 J. Fields rush att</t>
  </si>
  <si>
    <t>Most rush yds - JK. Dobbins</t>
  </si>
  <si>
    <t>5+ D. Achane rec</t>
  </si>
  <si>
    <t>6+ G. Wilson rec</t>
  </si>
  <si>
    <t>NYJ W</t>
  </si>
  <si>
    <t>🏈 25-26 wk05</t>
  </si>
  <si>
    <t>SF +8.5</t>
  </si>
  <si>
    <t>o218.5 M. Jones pass yds</t>
  </si>
  <si>
    <t>6+ C. McCaffery rec</t>
  </si>
  <si>
    <t>3+ D. Robinson rec</t>
  </si>
  <si>
    <t>ATTD D. Robinson</t>
  </si>
  <si>
    <t>3+ M. Jones pass TD</t>
  </si>
  <si>
    <t>4+ M. Jones pass TD</t>
  </si>
  <si>
    <t>225+ D. Jones pass yds</t>
  </si>
  <si>
    <t>200+ D. Maye pass yds</t>
  </si>
  <si>
    <t>DET -10.5</t>
  </si>
  <si>
    <t>ATTD S. Barkley or JK. Dobbins</t>
  </si>
  <si>
    <t>ATTD G. Pickens or J. Williams</t>
  </si>
  <si>
    <t>ATTD K. Walker or E. Egbuka</t>
  </si>
  <si>
    <t>HOU -3.5</t>
  </si>
  <si>
    <t>6+ G. Pickens rec</t>
  </si>
  <si>
    <t>6+ D. Samuel rec</t>
  </si>
  <si>
    <t>50+ O. Hampton rush yds</t>
  </si>
  <si>
    <t>70+ J. Taylor rush yds</t>
  </si>
  <si>
    <t>2+ ATTD J. Cook</t>
  </si>
  <si>
    <t>2+ J. Cook rec</t>
  </si>
  <si>
    <t>2+ T. Henderson rec</t>
  </si>
  <si>
    <t>ATTD D. Kincaid</t>
  </si>
  <si>
    <t>BUF +17.5</t>
  </si>
  <si>
    <t>o64.5 T. Ettienne rush yds</t>
  </si>
  <si>
    <t>30+ B. Thomas Jr. rec yds</t>
  </si>
  <si>
    <t>25+ B. Strange rec yds</t>
  </si>
  <si>
    <t>4+ B. Strange rec</t>
  </si>
  <si>
    <t>YES - Both teams to complete the 1st pass</t>
  </si>
  <si>
    <t>Yes - P. Mahomes INT</t>
  </si>
  <si>
    <t>ATTD B. Strange or T. Hunter</t>
  </si>
  <si>
    <t>250+ T. Lawerence pass yds</t>
  </si>
  <si>
    <t>PHI +18.5</t>
  </si>
  <si>
    <t>Most pass yds - J. Hurts</t>
  </si>
  <si>
    <t>+40</t>
  </si>
  <si>
    <t>Most rush yds - S. Barkley</t>
  </si>
  <si>
    <t>Most rec yds - AJ. Brown</t>
  </si>
  <si>
    <t>o0.5 J. Dart pass TD</t>
  </si>
  <si>
    <t>🏈 25-26 wk06</t>
  </si>
  <si>
    <t>o1.5 B. Nix pass TD</t>
  </si>
  <si>
    <t>o68.5 J.K. Dobbins rush yds</t>
  </si>
  <si>
    <t>5+ S. Diggs rec</t>
  </si>
  <si>
    <t>LAR W</t>
  </si>
  <si>
    <t>7+ C. McCaffrey rec</t>
  </si>
  <si>
    <t>225+ M. Jones pass yds</t>
  </si>
  <si>
    <t>o1.5 M. Jones pass TD</t>
  </si>
  <si>
    <t>🏈 25-26 wk07</t>
  </si>
  <si>
    <t>5+ C. Brown rush yds 1st drive</t>
  </si>
  <si>
    <t>200+ A. Rodgers pass yds</t>
  </si>
  <si>
    <t>30+ J. Warren rush yds</t>
  </si>
  <si>
    <t>6+ J. Chase rec</t>
  </si>
  <si>
    <t>o4.5 DK. Metcalf rec</t>
  </si>
  <si>
    <t>ATTD DK. Metcalf</t>
  </si>
  <si>
    <t>11+ J. Chase + DK. Metcalf rec</t>
  </si>
  <si>
    <t>125+ J. Chase + DK Metcalf rec yds</t>
  </si>
  <si>
    <t>ATTD J. Chase + DK Metcalf</t>
  </si>
  <si>
    <t>🏈 25-26 wk08</t>
  </si>
  <si>
    <t>225 + C. Wentz pass yds</t>
  </si>
  <si>
    <t>10+ J. Herbert rush yds</t>
  </si>
  <si>
    <t>1/1/-/1</t>
  </si>
  <si>
    <t>1+ J. Jefferson rec each quarte</t>
  </si>
  <si>
    <t>18/15</t>
  </si>
  <si>
    <t>25+ J. Herbert &amp; C. Wentz pass complete</t>
  </si>
  <si>
    <t>5+ L. McConkey rec</t>
  </si>
  <si>
    <t>🏈 25-26 wk09</t>
  </si>
  <si>
    <t>o54.5 D. Achane rush yds</t>
  </si>
  <si>
    <t>15+ D. Achane rec yds</t>
  </si>
  <si>
    <t>o5.5 Z. Flowers rec</t>
  </si>
  <si>
    <t>5+ J. Waddle rec</t>
  </si>
  <si>
    <t>ATTD J. Waddle or Z. Flowers</t>
  </si>
  <si>
    <t>o5.5 C. McCafferey rec</t>
  </si>
  <si>
    <t>o49.5 C. McCaffery rec yds</t>
  </si>
  <si>
    <t>ATTD R. Rice</t>
  </si>
  <si>
    <t>SEA W</t>
  </si>
  <si>
    <t>20+ D. Maye rush yds</t>
  </si>
  <si>
    <t>15+ B. Nix rush yds</t>
  </si>
  <si>
    <t>25+ J. Dart rush yds</t>
  </si>
  <si>
    <t>20+ P. Mahomes ruhs yds</t>
  </si>
  <si>
    <t>o25.5 D. Prescott pass comp</t>
  </si>
  <si>
    <t>ATTD T. McBride</t>
  </si>
  <si>
    <t>o4.5 G. Pickens rec</t>
  </si>
  <si>
    <t>o41.5 J. Fergunson rec yds</t>
  </si>
  <si>
    <t>o58.5 M. Harrison Jr. rec yds</t>
  </si>
  <si>
    <t>ATTD J. Williams</t>
  </si>
  <si>
    <t xml:space="preserve">o6.5 T. McBride rec </t>
  </si>
  <si>
    <t>o81.5 C. Lamb rec yds</t>
  </si>
  <si>
    <t>🏈 25-26 wk10</t>
  </si>
  <si>
    <t>o6.5 B. Bowers rec</t>
  </si>
  <si>
    <t>40+ A. Jeanty rush yds</t>
  </si>
  <si>
    <t>o4.5 T. Franklin rec</t>
  </si>
  <si>
    <t>u37.5 NYJ x CLE total points</t>
  </si>
  <si>
    <t>200+ D. Jones pass yds</t>
  </si>
  <si>
    <t>200+ C. Williams pass yds</t>
  </si>
  <si>
    <t>ATTD R. Dowdle</t>
  </si>
  <si>
    <t>o6.5 J. Smith-Njigba rec</t>
  </si>
  <si>
    <t>40+ M Harrison Jr rec yds</t>
  </si>
  <si>
    <t>40+ J. Walker rush yds</t>
  </si>
  <si>
    <t>ATTD D. Goedart</t>
  </si>
  <si>
    <t>4+ R. Doubs rec</t>
  </si>
  <si>
    <t>🏈 25-26 wk11</t>
  </si>
  <si>
    <t>175+ B. Mayfield pass yds</t>
  </si>
  <si>
    <t>60+ D. Achane rush yds</t>
  </si>
  <si>
    <t>70+ J. Jacobs rush yds</t>
  </si>
  <si>
    <t>6+ J. Smith-Njigba rec</t>
  </si>
  <si>
    <t>o254.5 B. Purdy pass yds</t>
  </si>
  <si>
    <t>🏈 25-26 wk12</t>
  </si>
  <si>
    <t>4+ D. Schultz rec</t>
  </si>
  <si>
    <t>225+ D. Maye pass yds</t>
  </si>
  <si>
    <t>4+ T. Warren rec</t>
  </si>
  <si>
    <t>ATTD Z. Charbonnet</t>
  </si>
  <si>
    <t>ATTD B. Tuten</t>
  </si>
  <si>
    <t>ATTD T. Allgeir</t>
  </si>
  <si>
    <t>ATTD S. Tucker</t>
  </si>
  <si>
    <t>-13.5 BAL</t>
  </si>
  <si>
    <t>-12.5 SEA</t>
  </si>
  <si>
    <t>-12.5 DET</t>
  </si>
  <si>
    <t>3+ R. Pearsall rec</t>
  </si>
  <si>
    <t>SF 35 x 20 CAR</t>
  </si>
  <si>
    <t>FG - Last SF score</t>
  </si>
  <si>
    <t>o38.5 B. Strange rec yds</t>
  </si>
  <si>
    <t>🏈 25-26 wk16</t>
  </si>
  <si>
    <t>ATTD P. Nacua</t>
  </si>
  <si>
    <t>40+ K. Williams rush yds</t>
  </si>
  <si>
    <t>70+ P. Nacua rec yds</t>
  </si>
  <si>
    <t>ATTD D. Knox</t>
  </si>
  <si>
    <t>ATTD K. Shakir</t>
  </si>
  <si>
    <t>o3.5 H. Henry rec</t>
  </si>
  <si>
    <t>30+ S. Diggs rec yds</t>
  </si>
  <si>
    <t>3+ S. Diggs rec</t>
  </si>
  <si>
    <t>🏈 25-26 wk17</t>
  </si>
  <si>
    <t>ATTD B. Purdy</t>
  </si>
  <si>
    <t>3+ B. Purdy pass TD</t>
  </si>
  <si>
    <t>o251.5 B. Purdy pass yds</t>
  </si>
  <si>
    <t>🏈 25-26 wk18</t>
  </si>
  <si>
    <t>Multiple B. Purdy Bets</t>
  </si>
  <si>
    <t>🏈 25-26 wkSB</t>
  </si>
  <si>
    <t>SEA to beat NE</t>
  </si>
  <si>
    <t>TAILS - Coin Toss</t>
  </si>
  <si>
    <t>ATTD R. Stevenson</t>
  </si>
  <si>
    <t>ATTD K.  Walker III</t>
  </si>
  <si>
    <t>6+ J.  Smith-Njigba rec</t>
  </si>
  <si>
    <t>2+  K. Walker III rec</t>
  </si>
  <si>
    <t>225+ S. Darnold pass Yards</t>
  </si>
  <si>
    <t>1+ D. Maye  Pass TD</t>
  </si>
  <si>
    <t>225+ D. Maye pass + rush yds</t>
  </si>
  <si>
    <t>50+ K. Walker III rush yds</t>
  </si>
  <si>
    <t>Over (36.5)</t>
  </si>
  <si>
    <t>Under (54.5)</t>
  </si>
  <si>
    <t>25+ J.  Smith-Njigba rec / half</t>
  </si>
  <si>
    <t>5+ J.  Smith-Njigba rec / qt</t>
  </si>
  <si>
    <t>YES - Any player to octopuss</t>
  </si>
  <si>
    <t>u23.5 1st Half points</t>
  </si>
  <si>
    <t>⚽ 25 FIFA WC</t>
  </si>
  <si>
    <t>Mex W</t>
  </si>
  <si>
    <t>o7 corners (KORxCZT)</t>
  </si>
  <si>
    <t>Data</t>
  </si>
  <si>
    <t>Valor</t>
  </si>
  <si>
    <t>Motivo</t>
  </si>
  <si>
    <t>inicio</t>
  </si>
  <si>
    <t>Saque</t>
  </si>
  <si>
    <t>Jags x  9ers</t>
  </si>
  <si>
    <t>Saldo</t>
  </si>
  <si>
    <t>Bets +/-</t>
  </si>
  <si>
    <t>HULYAN</t>
  </si>
  <si>
    <t>.</t>
  </si>
  <si>
    <t>Evento</t>
  </si>
  <si>
    <t>Digite o nome do jogador desejado</t>
  </si>
  <si>
    <t>Freiermuth</t>
  </si>
  <si>
    <t>TOTAL</t>
  </si>
  <si>
    <t>AVG</t>
  </si>
  <si>
    <t>1st total</t>
  </si>
  <si>
    <t>2nd total</t>
  </si>
  <si>
    <t>3rd total</t>
  </si>
  <si>
    <t>4th total</t>
  </si>
  <si>
    <t>1st ISO</t>
  </si>
  <si>
    <t>2nd ISO</t>
  </si>
  <si>
    <t>3rd ISO</t>
  </si>
  <si>
    <t>4th ISO</t>
  </si>
  <si>
    <t>Saquon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</si>
</sst>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mm&quot;/&quot;yy"/>
    <numFmt numFmtId="165" formatCode="&quot;$&quot;#,##0.00"/>
    <numFmt numFmtId="166" formatCode="[$$]#,##0.00"/>
    <numFmt numFmtId="167" formatCode="mm/dd/yy"/>
  </numFmts>
  <fonts count="28">
    <font>
      <sz val="10.0"/>
      <color rgb="FF000000"/>
      <name val="Georgia"/>
      <scheme val="minor"/>
    </font>
    <font>
      <sz val="8.0"/>
      <color rgb="FFF3F3F3"/>
      <name val="Lato"/>
    </font>
    <font>
      <color theme="1"/>
      <name val="Georgia"/>
      <scheme val="minor"/>
    </font>
    <font>
      <b/>
      <sz val="11.0"/>
      <color rgb="FFF3EEE8"/>
      <name val="Lato"/>
    </font>
    <font>
      <sz val="9.0"/>
      <color rgb="FFF3F3F3"/>
      <name val="Lato"/>
    </font>
    <font>
      <sz val="8.0"/>
      <color rgb="FFF3EEE8"/>
      <name val="Lato"/>
    </font>
    <font>
      <sz val="9.0"/>
      <color rgb="FFF3EEE8"/>
      <name val="Lato"/>
    </font>
    <font>
      <sz val="9.0"/>
      <color rgb="FFFFFFFF"/>
      <name val="Lato"/>
    </font>
    <font>
      <sz val="9.0"/>
      <color theme="1"/>
      <name val="Georgia"/>
      <scheme val="minor"/>
    </font>
    <font>
      <sz val="10.0"/>
      <color theme="1"/>
      <name val="Georgia"/>
      <scheme val="minor"/>
    </font>
    <font>
      <sz val="9.0"/>
      <color theme="1"/>
      <name val="Lato"/>
    </font>
    <font>
      <sz val="10.0"/>
      <color theme="1"/>
      <name val="Lato"/>
    </font>
    <font>
      <sz val="9.0"/>
      <color theme="1"/>
      <name val="Georgia"/>
    </font>
    <font>
      <sz val="9.0"/>
      <color rgb="FF000000"/>
      <name val="Lato"/>
    </font>
    <font>
      <sz val="9.0"/>
      <color rgb="FF585858"/>
      <name val="Docs-Lato"/>
    </font>
    <font>
      <sz val="10.0"/>
      <color theme="1"/>
      <name val="Georgia"/>
    </font>
    <font>
      <sz val="9.0"/>
      <color rgb="FF585858"/>
      <name val="Lato"/>
    </font>
    <font>
      <sz val="10.0"/>
      <color rgb="FFFFFFFF"/>
      <name val="Lato"/>
    </font>
    <font>
      <sz val="8.0"/>
      <color rgb="FFFFFFFF"/>
      <name val="Lato"/>
    </font>
    <font>
      <sz val="8.0"/>
      <color theme="1"/>
      <name val="Lato"/>
    </font>
    <font>
      <color theme="1"/>
      <name val="Lato"/>
    </font>
    <font>
      <color theme="1"/>
      <name val="Georgia"/>
    </font>
    <font>
      <color rgb="FFFFFFFF"/>
      <name val="Lato"/>
    </font>
    <font>
      <b/>
      <sz val="12.0"/>
      <color rgb="FFF3EEE8"/>
      <name val="Lato"/>
    </font>
    <font>
      <b/>
      <sz val="12.0"/>
      <color theme="0"/>
      <name val="Lato"/>
    </font>
    <font>
      <sz val="9.0"/>
      <color theme="0"/>
      <name val="Lato"/>
    </font>
    <font>
      <color rgb="FF585858"/>
      <name val="Docs-Lato"/>
    </font>
    <font>
      <sz val="14.0"/>
      <color theme="1"/>
      <name val="Lato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D4541B"/>
        <bgColor rgb="FFD4541B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585858"/>
        <bgColor rgb="FF585858"/>
      </patternFill>
    </fill>
    <fill>
      <patternFill patternType="solid">
        <fgColor rgb="FF005454"/>
        <bgColor rgb="FF005454"/>
      </patternFill>
    </fill>
    <fill>
      <patternFill patternType="solid">
        <fgColor theme="8"/>
        <bgColor theme="8"/>
      </patternFill>
    </fill>
  </fills>
  <borders count="3">
    <border/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readingOrder="0"/>
    </xf>
    <xf borderId="0" fillId="4" fontId="2" numFmtId="0" xfId="0" applyFont="1"/>
    <xf borderId="0" fillId="2" fontId="4" numFmtId="0" xfId="0" applyAlignment="1" applyFont="1">
      <alignment horizontal="center" readingOrder="0" vertical="bottom"/>
    </xf>
    <xf borderId="0" fillId="4" fontId="3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horizontal="right" readingOrder="0"/>
    </xf>
    <xf borderId="0" fillId="4" fontId="6" numFmtId="0" xfId="0" applyAlignment="1" applyFont="1">
      <alignment horizontal="right" readingOrder="0" vertical="bottom"/>
    </xf>
    <xf borderId="0" fillId="4" fontId="6" numFmtId="0" xfId="0" applyAlignment="1" applyFont="1">
      <alignment horizontal="center" readingOrder="0"/>
    </xf>
    <xf borderId="0" fillId="4" fontId="6" numFmtId="0" xfId="0" applyAlignment="1" applyFont="1">
      <alignment horizontal="left" readingOrder="0"/>
    </xf>
    <xf borderId="0" fillId="6" fontId="7" numFmtId="0" xfId="0" applyAlignment="1" applyFill="1" applyFont="1">
      <alignment readingOrder="0"/>
    </xf>
    <xf borderId="0" fillId="3" fontId="8" numFmtId="0" xfId="0" applyFont="1"/>
    <xf borderId="0" fillId="4" fontId="9" numFmtId="0" xfId="0" applyFont="1"/>
    <xf borderId="0" fillId="0" fontId="10" numFmtId="164" xfId="0" applyFont="1" applyNumberFormat="1"/>
    <xf borderId="0" fillId="6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165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readingOrder="0"/>
    </xf>
    <xf borderId="0" fillId="4" fontId="8" numFmtId="0" xfId="0" applyFont="1"/>
    <xf borderId="0" fillId="0" fontId="10" numFmtId="166" xfId="0" applyFont="1" applyNumberFormat="1"/>
    <xf borderId="0" fillId="0" fontId="10" numFmtId="166" xfId="0" applyAlignment="1" applyFont="1" applyNumberFormat="1">
      <alignment readingOrder="0"/>
    </xf>
    <xf borderId="0" fillId="7" fontId="10" numFmtId="0" xfId="0" applyAlignment="1" applyFill="1" applyFont="1">
      <alignment horizontal="right"/>
    </xf>
    <xf borderId="0" fillId="0" fontId="10" numFmtId="1" xfId="0" applyAlignment="1" applyFont="1" applyNumberFormat="1">
      <alignment horizontal="right" vertical="bottom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4" fontId="7" numFmtId="0" xfId="0" applyAlignment="1" applyFont="1">
      <alignment readingOrder="0"/>
    </xf>
    <xf borderId="0" fillId="0" fontId="11" numFmtId="166" xfId="0" applyAlignment="1" applyFont="1" applyNumberFormat="1">
      <alignment readingOrder="0"/>
    </xf>
    <xf borderId="0" fillId="4" fontId="11" numFmtId="166" xfId="0" applyAlignment="1" applyFont="1" applyNumberFormat="1">
      <alignment readingOrder="0"/>
    </xf>
    <xf borderId="0" fillId="0" fontId="8" numFmtId="0" xfId="0" applyFont="1"/>
    <xf borderId="0" fillId="7" fontId="8" numFmtId="0" xfId="0" applyAlignment="1" applyFont="1">
      <alignment horizontal="right"/>
    </xf>
    <xf borderId="0" fillId="0" fontId="10" numFmtId="165" xfId="0" applyAlignment="1" applyFont="1" applyNumberFormat="1">
      <alignment horizontal="right" readingOrder="0" vertical="bottom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right" vertical="bottom"/>
    </xf>
    <xf borderId="0" fillId="0" fontId="10" numFmtId="165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10" numFmtId="164" xfId="0" applyAlignment="1" applyFont="1" applyNumberFormat="1">
      <alignment readingOrder="0"/>
    </xf>
    <xf borderId="0" fillId="0" fontId="10" numFmtId="164" xfId="0" applyAlignment="1" applyFont="1" applyNumberFormat="1">
      <alignment horizontal="right" readingOrder="0" vertical="bottom"/>
    </xf>
    <xf borderId="0" fillId="6" fontId="10" numFmtId="0" xfId="0" applyAlignment="1" applyFont="1">
      <alignment horizontal="center" vertical="bottom"/>
    </xf>
    <xf borderId="0" fillId="0" fontId="10" numFmtId="164" xfId="0" applyAlignment="1" applyFont="1" applyNumberFormat="1">
      <alignment vertical="bottom"/>
    </xf>
    <xf borderId="0" fillId="0" fontId="10" numFmtId="166" xfId="0" applyAlignment="1" applyFont="1" applyNumberFormat="1">
      <alignment horizontal="right" readingOrder="0" vertical="bottom"/>
    </xf>
    <xf borderId="0" fillId="0" fontId="10" numFmtId="166" xfId="0" applyAlignment="1" applyFont="1" applyNumberFormat="1">
      <alignment vertical="bottom"/>
    </xf>
    <xf borderId="0" fillId="4" fontId="12" numFmtId="0" xfId="0" applyAlignment="1" applyFont="1">
      <alignment vertical="bottom"/>
    </xf>
    <xf borderId="0" fillId="0" fontId="10" numFmtId="166" xfId="0" applyAlignment="1" applyFont="1" applyNumberFormat="1">
      <alignment horizontal="right" vertical="bottom"/>
    </xf>
    <xf borderId="0" fillId="7" fontId="10" numFmtId="0" xfId="0" applyAlignment="1" applyFont="1">
      <alignment horizontal="right" vertical="bottom"/>
    </xf>
    <xf borderId="0" fillId="0" fontId="10" numFmtId="0" xfId="0" applyFont="1"/>
    <xf borderId="0" fillId="6" fontId="10" numFmtId="1" xfId="0" applyAlignment="1" applyFont="1" applyNumberFormat="1">
      <alignment horizontal="right" vertical="bottom"/>
    </xf>
    <xf borderId="0" fillId="6" fontId="10" numFmtId="0" xfId="0" applyAlignment="1" applyFont="1">
      <alignment horizontal="right" vertical="bottom"/>
    </xf>
    <xf borderId="0" fillId="0" fontId="10" numFmtId="0" xfId="0" applyAlignment="1" applyFont="1">
      <alignment readingOrder="0" vertical="bottom"/>
    </xf>
    <xf borderId="0" fillId="3" fontId="10" numFmtId="0" xfId="0" applyFont="1"/>
    <xf borderId="0" fillId="4" fontId="11" numFmtId="0" xfId="0" applyFont="1"/>
    <xf borderId="0" fillId="4" fontId="10" numFmtId="0" xfId="0" applyFont="1"/>
    <xf borderId="0" fillId="0" fontId="10" numFmtId="0" xfId="0" applyAlignment="1" applyFont="1">
      <alignment horizontal="left" vertical="bottom"/>
    </xf>
    <xf borderId="0" fillId="0" fontId="8" numFmtId="0" xfId="0" applyAlignment="1" applyFont="1">
      <alignment horizontal="right" vertical="bottom"/>
    </xf>
    <xf borderId="0" fillId="6" fontId="13" numFmtId="1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right"/>
    </xf>
    <xf borderId="0" fillId="0" fontId="10" numFmtId="0" xfId="0" applyAlignment="1" applyFont="1">
      <alignment horizontal="right"/>
    </xf>
    <xf borderId="0" fillId="7" fontId="8" numFmtId="0" xfId="0" applyFont="1"/>
    <xf borderId="0" fillId="0" fontId="8" numFmtId="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/>
    </xf>
    <xf borderId="0" fillId="0" fontId="10" numFmtId="1" xfId="0" applyAlignment="1" applyFont="1" applyNumberFormat="1">
      <alignment horizontal="right" readingOrder="0" vertical="bottom"/>
    </xf>
    <xf borderId="0" fillId="0" fontId="10" numFmtId="164" xfId="0" applyAlignment="1" applyFont="1" applyNumberFormat="1">
      <alignment horizontal="right" vertical="bottom"/>
    </xf>
    <xf borderId="0" fillId="0" fontId="8" numFmtId="0" xfId="0" applyAlignment="1" applyFont="1">
      <alignment horizontal="center" readingOrder="0"/>
    </xf>
    <xf borderId="0" fillId="6" fontId="14" numFmtId="1" xfId="0" applyAlignment="1" applyFont="1" applyNumberFormat="1">
      <alignment horizontal="right" readingOrder="0"/>
    </xf>
    <xf borderId="0" fillId="6" fontId="10" numFmtId="0" xfId="0" applyFont="1"/>
    <xf borderId="0" fillId="6" fontId="10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10" numFmtId="0" xfId="0" applyFont="1"/>
    <xf borderId="0" fillId="6" fontId="7" numFmtId="0" xfId="0" applyAlignment="1" applyFont="1">
      <alignment horizontal="center" readingOrder="0"/>
    </xf>
    <xf borderId="0" fillId="0" fontId="8" numFmtId="1" xfId="0" applyAlignment="1" applyFont="1" applyNumberFormat="1">
      <alignment horizontal="right" readingOrder="0"/>
    </xf>
    <xf borderId="0" fillId="0" fontId="13" numFmtId="1" xfId="0" applyAlignment="1" applyFont="1" applyNumberFormat="1">
      <alignment horizontal="right" readingOrder="0"/>
    </xf>
    <xf borderId="0" fillId="0" fontId="10" numFmtId="166" xfId="0" applyAlignment="1" applyFont="1" applyNumberFormat="1">
      <alignment readingOrder="0" vertical="bottom"/>
    </xf>
    <xf borderId="0" fillId="0" fontId="12" numFmtId="166" xfId="0" applyAlignment="1" applyFont="1" applyNumberFormat="1">
      <alignment readingOrder="0" vertical="bottom"/>
    </xf>
    <xf borderId="0" fillId="0" fontId="12" numFmtId="166" xfId="0" applyAlignment="1" applyFont="1" applyNumberFormat="1">
      <alignment vertical="bottom"/>
    </xf>
    <xf borderId="0" fillId="6" fontId="10" numFmtId="0" xfId="0" applyAlignment="1" applyFont="1">
      <alignment horizontal="center" readingOrder="0" vertical="bottom"/>
    </xf>
    <xf borderId="0" fillId="6" fontId="10" numFmtId="0" xfId="0" applyAlignment="1" applyFont="1">
      <alignment horizontal="center"/>
    </xf>
    <xf borderId="0" fillId="0" fontId="10" numFmtId="0" xfId="0" applyAlignment="1" applyFont="1">
      <alignment vertical="bottom"/>
    </xf>
    <xf borderId="0" fillId="4" fontId="10" numFmtId="0" xfId="0" applyAlignment="1" applyFont="1">
      <alignment horizontal="center"/>
    </xf>
    <xf borderId="0" fillId="4" fontId="10" numFmtId="0" xfId="0" applyAlignment="1" applyFont="1">
      <alignment horizontal="center" readingOrder="0"/>
    </xf>
    <xf borderId="0" fillId="4" fontId="9" numFmtId="0" xfId="0" applyAlignment="1" applyFont="1">
      <alignment readingOrder="0"/>
    </xf>
    <xf quotePrefix="1" borderId="0" fillId="0" fontId="10" numFmtId="0" xfId="0" applyAlignment="1" applyFont="1">
      <alignment horizontal="right" readingOrder="0" vertical="bottom"/>
    </xf>
    <xf borderId="0" fillId="8" fontId="12" numFmtId="0" xfId="0" applyAlignment="1" applyFill="1" applyFont="1">
      <alignment vertical="bottom"/>
    </xf>
    <xf borderId="0" fillId="4" fontId="15" numFmtId="0" xfId="0" applyAlignment="1" applyFont="1">
      <alignment vertical="bottom"/>
    </xf>
    <xf borderId="0" fillId="0" fontId="12" numFmtId="1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4" fontId="15" numFmtId="166" xfId="0" applyAlignment="1" applyFont="1" applyNumberFormat="1">
      <alignment vertical="bottom"/>
    </xf>
    <xf borderId="0" fillId="0" fontId="12" numFmtId="1" xfId="0" applyAlignment="1" applyFont="1" applyNumberFormat="1">
      <alignment readingOrder="0" vertical="bottom"/>
    </xf>
    <xf borderId="0" fillId="6" fontId="16" numFmtId="0" xfId="0" applyAlignment="1" applyFont="1">
      <alignment horizontal="left" readingOrder="0"/>
    </xf>
    <xf borderId="0" fillId="7" fontId="10" numFmtId="0" xfId="0" applyAlignment="1" applyFont="1">
      <alignment horizontal="right" readingOrder="0" vertical="bottom"/>
    </xf>
    <xf borderId="0" fillId="6" fontId="17" numFmtId="0" xfId="0" applyAlignment="1" applyFont="1">
      <alignment readingOrder="0"/>
    </xf>
    <xf borderId="0" fillId="3" fontId="9" numFmtId="0" xfId="0" applyFont="1"/>
    <xf borderId="0" fillId="0" fontId="11" numFmtId="166" xfId="0" applyAlignment="1" applyFont="1" applyNumberFormat="1">
      <alignment horizontal="right" readingOrder="0" vertical="bottom"/>
    </xf>
    <xf borderId="0" fillId="0" fontId="11" numFmtId="165" xfId="0" applyAlignment="1" applyFont="1" applyNumberFormat="1">
      <alignment horizontal="right" readingOrder="0" vertical="bottom"/>
    </xf>
    <xf borderId="0" fillId="0" fontId="11" numFmtId="166" xfId="0" applyAlignment="1" applyFont="1" applyNumberFormat="1">
      <alignment horizontal="right" readingOrder="0"/>
    </xf>
    <xf borderId="0" fillId="6" fontId="18" numFmtId="0" xfId="0" applyAlignment="1" applyFont="1">
      <alignment readingOrder="0"/>
    </xf>
    <xf borderId="0" fillId="0" fontId="11" numFmtId="166" xfId="0" applyAlignment="1" applyFont="1" applyNumberFormat="1">
      <alignment horizontal="right" vertical="bottom"/>
    </xf>
    <xf borderId="0" fillId="7" fontId="11" numFmtId="0" xfId="0" applyAlignment="1" applyFont="1">
      <alignment horizontal="right" vertical="bottom"/>
    </xf>
    <xf borderId="0" fillId="0" fontId="11" numFmtId="1" xfId="0" applyAlignment="1" applyFont="1" applyNumberFormat="1">
      <alignment horizontal="right" vertical="bottom"/>
    </xf>
    <xf borderId="0" fillId="0" fontId="9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4" fontId="17" numFmtId="0" xfId="0" applyAlignment="1" applyFont="1">
      <alignment readingOrder="0"/>
    </xf>
    <xf borderId="0" fillId="0" fontId="11" numFmtId="164" xfId="0" applyAlignment="1" applyFont="1" applyNumberFormat="1">
      <alignment horizontal="right" readingOrder="0" vertical="bottom"/>
    </xf>
    <xf borderId="0" fillId="6" fontId="11" numFmtId="0" xfId="0" applyAlignment="1" applyFont="1">
      <alignment horizontal="center" readingOrder="0"/>
    </xf>
    <xf borderId="0" fillId="0" fontId="11" numFmtId="0" xfId="0" applyAlignment="1" applyFont="1">
      <alignment readingOrder="0" vertical="bottom"/>
    </xf>
    <xf borderId="0" fillId="0" fontId="19" numFmtId="1" xfId="0" applyAlignment="1" applyFont="1" applyNumberFormat="1">
      <alignment horizontal="right" readingOrder="0" vertical="center"/>
    </xf>
    <xf borderId="0" fillId="0" fontId="11" numFmtId="0" xfId="0" applyAlignment="1" applyFont="1">
      <alignment horizontal="left" readingOrder="0"/>
    </xf>
    <xf quotePrefix="1" borderId="0" fillId="0" fontId="11" numFmtId="0" xfId="0" applyAlignment="1" applyFont="1">
      <alignment horizontal="right" readingOrder="0" vertical="bottom"/>
    </xf>
    <xf borderId="0" fillId="0" fontId="11" numFmtId="1" xfId="0" applyAlignment="1" applyFont="1" applyNumberFormat="1">
      <alignment horizontal="right" readingOrder="0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10" numFmtId="1" xfId="0" applyAlignment="1" applyFont="1" applyNumberFormat="1">
      <alignment horizontal="right" readingOrder="0" vertical="center"/>
    </xf>
    <xf borderId="0" fillId="0" fontId="11" numFmtId="0" xfId="0" applyAlignment="1" applyFont="1">
      <alignment horizontal="right"/>
    </xf>
    <xf borderId="0" fillId="6" fontId="20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11" numFmtId="0" xfId="0" applyAlignment="1" applyFont="1">
      <alignment horizontal="right" readingOrder="0" vertical="bottom"/>
    </xf>
    <xf borderId="0" fillId="6" fontId="20" numFmtId="0" xfId="0" applyAlignment="1" applyFont="1">
      <alignment horizontal="center"/>
    </xf>
    <xf borderId="0" fillId="8" fontId="21" numFmtId="0" xfId="0" applyAlignment="1" applyFont="1">
      <alignment vertical="bottom"/>
    </xf>
    <xf borderId="0" fillId="9" fontId="21" numFmtId="0" xfId="0" applyAlignment="1" applyFill="1" applyFont="1">
      <alignment vertical="bottom"/>
    </xf>
    <xf borderId="0" fillId="0" fontId="20" numFmtId="166" xfId="0" applyAlignment="1" applyFont="1" applyNumberFormat="1">
      <alignment horizontal="right" readingOrder="0" vertical="bottom"/>
    </xf>
    <xf borderId="0" fillId="0" fontId="21" numFmtId="166" xfId="0" applyAlignment="1" applyFont="1" applyNumberFormat="1">
      <alignment vertical="bottom"/>
    </xf>
    <xf borderId="0" fillId="0" fontId="21" numFmtId="165" xfId="0" applyAlignment="1" applyFont="1" applyNumberFormat="1">
      <alignment vertical="bottom"/>
    </xf>
    <xf borderId="0" fillId="6" fontId="19" numFmtId="0" xfId="0" applyAlignment="1" applyFont="1">
      <alignment horizontal="center"/>
    </xf>
    <xf borderId="0" fillId="0" fontId="20" numFmtId="166" xfId="0" applyAlignment="1" applyFont="1" applyNumberFormat="1">
      <alignment horizontal="right" vertical="bottom"/>
    </xf>
    <xf borderId="0" fillId="7" fontId="20" numFmtId="0" xfId="0" applyAlignment="1" applyFont="1">
      <alignment horizontal="right" vertical="bottom"/>
    </xf>
    <xf borderId="0" fillId="0" fontId="21" numFmtId="1" xfId="0" applyAlignment="1" applyFont="1" applyNumberFormat="1">
      <alignment vertical="bottom"/>
    </xf>
    <xf borderId="0" fillId="0" fontId="21" numFmtId="0" xfId="0" applyAlignment="1" applyFont="1">
      <alignment vertical="bottom"/>
    </xf>
    <xf borderId="0" fillId="9" fontId="21" numFmtId="0" xfId="0" applyAlignment="1" applyFont="1">
      <alignment vertical="bottom"/>
    </xf>
    <xf borderId="0" fillId="9" fontId="21" numFmtId="166" xfId="0" applyAlignment="1" applyFont="1" applyNumberFormat="1">
      <alignment vertical="bottom"/>
    </xf>
    <xf borderId="0" fillId="6" fontId="22" numFmtId="0" xfId="0" applyAlignment="1" applyFont="1">
      <alignment horizontal="center"/>
    </xf>
    <xf borderId="0" fillId="0" fontId="21" numFmtId="164" xfId="0" applyAlignment="1" applyFont="1" applyNumberFormat="1">
      <alignment vertical="bottom"/>
    </xf>
    <xf borderId="0" fillId="6" fontId="21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6" fontId="18" numFmtId="0" xfId="0" applyAlignment="1" applyFont="1">
      <alignment horizontal="center"/>
    </xf>
    <xf borderId="0" fillId="7" fontId="21" numFmtId="0" xfId="0" applyAlignment="1" applyFont="1">
      <alignment vertical="bottom"/>
    </xf>
    <xf borderId="0" fillId="0" fontId="12" numFmtId="1" xfId="0" applyAlignment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0" fillId="6" fontId="11" numFmtId="0" xfId="0" applyAlignment="1" applyFont="1">
      <alignment horizontal="center"/>
    </xf>
    <xf borderId="0" fillId="2" fontId="4" numFmtId="0" xfId="0" applyAlignment="1" applyFont="1">
      <alignment horizontal="right" readingOrder="0"/>
    </xf>
    <xf borderId="0" fillId="10" fontId="4" numFmtId="0" xfId="0" applyFill="1" applyFont="1"/>
    <xf borderId="0" fillId="0" fontId="19" numFmtId="167" xfId="0" applyAlignment="1" applyFont="1" applyNumberFormat="1">
      <alignment readingOrder="0"/>
    </xf>
    <xf borderId="0" fillId="0" fontId="19" numFmtId="166" xfId="0" applyAlignment="1" applyFont="1" applyNumberFormat="1">
      <alignment readingOrder="0"/>
    </xf>
    <xf borderId="0" fillId="0" fontId="19" numFmtId="0" xfId="0" applyAlignment="1" applyFont="1">
      <alignment horizontal="right" readingOrder="0"/>
    </xf>
    <xf borderId="0" fillId="10" fontId="19" numFmtId="0" xfId="0" applyFont="1"/>
    <xf borderId="0" fillId="10" fontId="10" numFmtId="0" xfId="0" applyFont="1"/>
    <xf borderId="0" fillId="0" fontId="10" numFmtId="167" xfId="0" applyAlignment="1" applyFont="1" applyNumberFormat="1">
      <alignment readingOrder="0"/>
    </xf>
    <xf borderId="0" fillId="0" fontId="10" numFmtId="0" xfId="0" applyAlignment="1" applyFont="1">
      <alignment horizontal="right" readingOrder="0"/>
    </xf>
    <xf borderId="0" fillId="10" fontId="10" numFmtId="0" xfId="0" applyAlignment="1" applyFont="1">
      <alignment horizontal="right"/>
    </xf>
    <xf borderId="0" fillId="10" fontId="10" numFmtId="166" xfId="0" applyAlignment="1" applyFont="1" applyNumberFormat="1">
      <alignment readingOrder="0"/>
    </xf>
    <xf borderId="0" fillId="4" fontId="23" numFmtId="0" xfId="0" applyAlignment="1" applyFont="1">
      <alignment horizontal="center" readingOrder="0" vertical="center"/>
    </xf>
    <xf borderId="0" fillId="4" fontId="6" numFmtId="0" xfId="0" applyAlignment="1" applyFont="1">
      <alignment horizontal="right" readingOrder="0"/>
    </xf>
    <xf borderId="0" fillId="4" fontId="24" numFmtId="0" xfId="0" applyAlignment="1" applyFont="1">
      <alignment horizontal="center" readingOrder="0" vertical="center"/>
    </xf>
    <xf borderId="0" fillId="4" fontId="25" numFmtId="166" xfId="0" applyFont="1" applyNumberFormat="1"/>
    <xf borderId="0" fillId="4" fontId="25" numFmtId="166" xfId="0" applyAlignment="1" applyFont="1" applyNumberFormat="1">
      <alignment horizontal="right"/>
    </xf>
    <xf borderId="0" fillId="10" fontId="10" numFmtId="0" xfId="0" applyAlignment="1" applyFont="1">
      <alignment readingOrder="0"/>
    </xf>
    <xf borderId="0" fillId="10" fontId="10" numFmtId="0" xfId="0" applyAlignment="1" applyFont="1">
      <alignment horizontal="right" readingOrder="0"/>
    </xf>
    <xf borderId="0" fillId="0" fontId="19" numFmtId="164" xfId="0" applyFont="1" applyNumberFormat="1"/>
    <xf borderId="0" fillId="0" fontId="19" numFmtId="0" xfId="0" applyAlignment="1" applyFont="1">
      <alignment horizontal="right"/>
    </xf>
    <xf borderId="0" fillId="2" fontId="4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6" fontId="26" numFmtId="0" xfId="0" applyAlignment="1" applyFont="1">
      <alignment horizontal="left" readingOrder="0"/>
    </xf>
    <xf borderId="1" fillId="0" fontId="19" numFmtId="0" xfId="0" applyAlignment="1" applyBorder="1" applyFont="1">
      <alignment readingOrder="0"/>
    </xf>
    <xf borderId="2" fillId="0" fontId="19" numFmtId="0" xfId="0" applyAlignment="1" applyBorder="1" applyFont="1">
      <alignment readingOrder="0"/>
    </xf>
    <xf borderId="0" fillId="0" fontId="19" numFmtId="0" xfId="0" applyFont="1"/>
    <xf borderId="0" fillId="0" fontId="19" numFmtId="10" xfId="0" applyFont="1" applyNumberFormat="1"/>
    <xf borderId="0" fillId="0" fontId="27" numFmtId="0" xfId="0" applyFont="1"/>
    <xf borderId="0" fillId="0" fontId="27" numFmtId="0" xfId="0" applyAlignment="1" applyFont="1">
      <alignment readingOrder="0"/>
    </xf>
  </cellXfs>
  <cellStyles count="1">
    <cellStyle xfId="0" name="Normal" builtinId="0"/>
  </cellStyles>
  <dxfs count="4">
    <dxf>
      <font>
        <color rgb="FF585858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  <dxf>
      <font>
        <color rgb="FFF09300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ulo Choi" id="{71b6360c-a4e4-408b-ba68-0c6d3ef5544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639" dT="2023-11-26T04:41:04.00" personId="{71b6360c-a4e4-408b-ba68-0c6d3ef55440}" id="{1a168094-acff-4658-aef1-35528535e663}" done="1">
    <x18tc:text xml:space="preserve">Gostei bastante mas nao vou betar no stroud nao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3"/>
  <cols>
    <col customWidth="1" hidden="1" min="1" max="1" width="5.25"/>
    <col customWidth="1" hidden="1" min="2" max="2" width="3.75"/>
    <col customWidth="1" min="3" max="3" width="0.38"/>
    <col customWidth="1" min="4" max="4" width="8.75"/>
    <col customWidth="1" min="5" max="5" width="6.88"/>
    <col customWidth="1" min="6" max="6" width="15.63"/>
    <col customWidth="1" min="7" max="14" width="6.13"/>
    <col customWidth="1" min="15" max="15" width="0.38"/>
    <col customWidth="1" min="16" max="16" width="5.25"/>
    <col customWidth="1" min="17" max="17" width="0.38"/>
    <col customWidth="1" min="18" max="18" width="10.63"/>
    <col customWidth="1" min="19" max="19" width="9.25"/>
    <col customWidth="1" min="20" max="20" width="7.75"/>
    <col customWidth="1" min="21" max="21" width="0.38"/>
    <col customWidth="1" min="22" max="22" width="6.38"/>
    <col customWidth="1" min="23" max="23" width="2.25"/>
    <col customWidth="1" min="24" max="24" width="29.0"/>
    <col customWidth="1" min="25" max="25" width="0.38"/>
    <col customWidth="1" min="26" max="32" width="6.88"/>
    <col customWidth="1" min="33" max="33" width="6.13"/>
    <col customWidth="1" min="34" max="34" width="0.3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O1" s="7"/>
      <c r="P1" s="5" t="s">
        <v>6</v>
      </c>
      <c r="Q1" s="7"/>
      <c r="R1" s="4" t="s">
        <v>7</v>
      </c>
      <c r="S1" s="4" t="s">
        <v>8</v>
      </c>
      <c r="T1" s="5" t="s">
        <v>9</v>
      </c>
      <c r="U1" s="7"/>
      <c r="V1" s="8" t="s">
        <v>10</v>
      </c>
      <c r="Y1" s="9"/>
      <c r="Z1" s="6" t="s">
        <v>11</v>
      </c>
      <c r="AH1" s="10"/>
    </row>
    <row r="2">
      <c r="A2" s="11" t="s">
        <v>12</v>
      </c>
      <c r="B2" s="2"/>
      <c r="C2" s="7"/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7"/>
      <c r="Q2" s="7"/>
      <c r="U2" s="7"/>
      <c r="V2" s="13" t="s">
        <v>21</v>
      </c>
      <c r="W2" s="14" t="s">
        <v>22</v>
      </c>
      <c r="X2" s="15" t="s">
        <v>23</v>
      </c>
      <c r="Y2" s="9"/>
      <c r="Z2" s="11" t="s">
        <v>13</v>
      </c>
      <c r="AA2" s="11" t="s">
        <v>15</v>
      </c>
      <c r="AB2" s="11" t="s">
        <v>14</v>
      </c>
      <c r="AC2" s="11" t="s">
        <v>16</v>
      </c>
      <c r="AD2" s="11" t="s">
        <v>17</v>
      </c>
      <c r="AE2" s="11" t="s">
        <v>18</v>
      </c>
      <c r="AF2" s="11" t="s">
        <v>19</v>
      </c>
      <c r="AG2" s="11" t="s">
        <v>20</v>
      </c>
      <c r="AH2" s="11"/>
    </row>
    <row r="3" collapsed="1">
      <c r="A3" s="16" t="b">
        <v>0</v>
      </c>
      <c r="B3" s="17"/>
      <c r="C3" s="18"/>
      <c r="D3" s="19">
        <v>45174.0</v>
      </c>
      <c r="E3" s="20" t="s">
        <v>24</v>
      </c>
      <c r="F3" s="21" t="s">
        <v>25</v>
      </c>
      <c r="G3" s="22">
        <v>1.0</v>
      </c>
      <c r="H3" s="22">
        <v>1.0</v>
      </c>
      <c r="I3" s="23"/>
      <c r="J3" s="22"/>
      <c r="K3" s="23"/>
      <c r="L3" s="22"/>
      <c r="M3" s="23"/>
      <c r="N3" s="23"/>
      <c r="O3" s="24"/>
      <c r="P3" s="16" t="b">
        <v>0</v>
      </c>
      <c r="Q3" s="24"/>
      <c r="R3" s="25">
        <f t="shared" ref="R3:R6" si="2">IF(G3 &lt;&gt; "",SUM(G3:O3),)</f>
        <v>2</v>
      </c>
      <c r="S3" s="26">
        <v>22.0</v>
      </c>
      <c r="T3" s="27" t="str">
        <f>IFERROR(IF((S3-R3)&gt;R444,"+"&amp;ROUND(((S3-R3)/R3)*100,0),"-"&amp;ROUND((S3/(R3-S3))*100, 0)),)</f>
        <v>+1000</v>
      </c>
      <c r="U3" s="24"/>
      <c r="V3" s="28" t="str">
        <f t="shared" ref="V3:V6" si="3">IF(ISBLANK($D3), "0",)</f>
        <v/>
      </c>
      <c r="W3" s="29" t="str">
        <f t="shared" ref="W3:W6" si="4">IF(ISBLANK($D3), "/",)</f>
        <v/>
      </c>
      <c r="X3" s="30"/>
      <c r="Y3" s="31"/>
      <c r="Z3" s="26">
        <f t="shared" ref="Z3:Z3976" si="5">IF(G3&lt;&gt;"", IF(AND($P3=FALSE, $A3=FALSE), -G3, IF(AND($P3=FALSE, $A3=TRUE), 0, IF($P3=TRUE, (G3 / $R3) * 100 * ($S3 / 100)-G3, ))), )</f>
        <v>-1</v>
      </c>
      <c r="AA3" s="26" t="str">
        <f t="shared" ref="AA3:AA3976" si="6">IF(I3&lt;&gt;"", IF(AND($P3=FALSE, $A3=FALSE), -I3, IF(AND($P3=FALSE, $A3=TRUE), 0, IF($P3=TRUE, (I3 / $R3) * 100 * ($S3 / 100)-I3, ))), )</f>
        <v/>
      </c>
      <c r="AB3" s="32">
        <f t="shared" ref="AB3:AB3976" si="7">IF(H3&lt;&gt;"", IF(AND($P3=FALSE, $A3=FALSE), -H3, IF(AND($P3=FALSE, $A3=TRUE), 0, IF($P3=TRUE, (H3 / $R3) * 100 * ($S3 / 100)-H3, ))), )</f>
        <v>-1</v>
      </c>
      <c r="AC3" s="32" t="str">
        <f t="shared" ref="AC3:AG3" si="1">IF(J3&lt;&gt;"", IF(AND($P3=FALSE, $A3=FALSE), -J3, IF(AND($P3=FALSE, $A3=TRUE), 0, IF($P3=TRUE, (J3 / $R3) * 100 * ($S3 / 100)-J3, ))), )</f>
        <v/>
      </c>
      <c r="AD3" s="32" t="str">
        <f t="shared" si="1"/>
        <v/>
      </c>
      <c r="AE3" s="32" t="str">
        <f t="shared" si="1"/>
        <v/>
      </c>
      <c r="AF3" s="32" t="str">
        <f t="shared" si="1"/>
        <v/>
      </c>
      <c r="AG3" s="32" t="str">
        <f t="shared" si="1"/>
        <v/>
      </c>
      <c r="AH3" s="33"/>
    </row>
    <row r="4" hidden="1" outlineLevel="3">
      <c r="A4" s="16" t="b">
        <v>0</v>
      </c>
      <c r="B4" s="17"/>
      <c r="C4" s="18"/>
      <c r="D4" s="19"/>
      <c r="E4" s="20"/>
      <c r="F4" s="34"/>
      <c r="G4" s="23"/>
      <c r="H4" s="23"/>
      <c r="I4" s="23"/>
      <c r="J4" s="23"/>
      <c r="K4" s="23"/>
      <c r="L4" s="23"/>
      <c r="M4" s="23"/>
      <c r="N4" s="23"/>
      <c r="O4" s="24"/>
      <c r="P4" s="16" t="b">
        <v>0</v>
      </c>
      <c r="Q4" s="24"/>
      <c r="R4" s="25" t="str">
        <f t="shared" si="2"/>
        <v/>
      </c>
      <c r="S4" s="25"/>
      <c r="T4" s="35"/>
      <c r="U4" s="24"/>
      <c r="V4" s="28" t="str">
        <f t="shared" si="3"/>
        <v>0</v>
      </c>
      <c r="W4" s="29" t="str">
        <f t="shared" si="4"/>
        <v>/</v>
      </c>
      <c r="X4" s="21" t="s">
        <v>26</v>
      </c>
      <c r="Y4" s="31"/>
      <c r="Z4" s="26" t="str">
        <f t="shared" si="5"/>
        <v/>
      </c>
      <c r="AA4" s="26" t="str">
        <f t="shared" si="6"/>
        <v/>
      </c>
      <c r="AB4" s="32" t="str">
        <f t="shared" si="7"/>
        <v/>
      </c>
      <c r="AC4" s="32" t="str">
        <f t="shared" ref="AC4:AG4" si="8">IF(J4&lt;&gt;"", IF(AND($P4=FALSE, $A4=FALSE), -J4, IF(AND($P4=FALSE, $A4=TRUE), 0, IF($P4=TRUE, (J4 / $R4) * 100 * ($S4 / 100)-J4, ))), )</f>
        <v/>
      </c>
      <c r="AD4" s="32" t="str">
        <f t="shared" si="8"/>
        <v/>
      </c>
      <c r="AE4" s="32" t="str">
        <f t="shared" si="8"/>
        <v/>
      </c>
      <c r="AF4" s="32" t="str">
        <f t="shared" si="8"/>
        <v/>
      </c>
      <c r="AG4" s="32" t="str">
        <f t="shared" si="8"/>
        <v/>
      </c>
      <c r="AH4" s="33"/>
    </row>
    <row r="5" hidden="1" outlineLevel="1" collapsed="1">
      <c r="A5" s="16" t="b">
        <v>0</v>
      </c>
      <c r="B5" s="17"/>
      <c r="C5" s="18"/>
      <c r="D5" s="19">
        <v>45174.0</v>
      </c>
      <c r="E5" s="20" t="s">
        <v>24</v>
      </c>
      <c r="F5" s="21" t="s">
        <v>25</v>
      </c>
      <c r="G5" s="36">
        <v>2.0</v>
      </c>
      <c r="H5" s="23"/>
      <c r="I5" s="23"/>
      <c r="J5" s="36"/>
      <c r="K5" s="23"/>
      <c r="L5" s="36"/>
      <c r="M5" s="23"/>
      <c r="N5" s="23"/>
      <c r="O5" s="24"/>
      <c r="P5" s="16" t="b">
        <v>0</v>
      </c>
      <c r="Q5" s="24"/>
      <c r="R5" s="25">
        <f t="shared" si="2"/>
        <v>2</v>
      </c>
      <c r="S5" s="26">
        <v>16.0</v>
      </c>
      <c r="T5" s="27" t="str">
        <f>IFERROR(IF((S5-R5)&gt;R442,"+"&amp;ROUND(((S5-R5)/R5)*100,0),"-"&amp;ROUND((S5/(R5-S5))*100, 0)),)</f>
        <v>+700</v>
      </c>
      <c r="U5" s="24"/>
      <c r="V5" s="28" t="str">
        <f t="shared" si="3"/>
        <v/>
      </c>
      <c r="W5" s="29" t="str">
        <f t="shared" si="4"/>
        <v/>
      </c>
      <c r="X5" s="30"/>
      <c r="Y5" s="31"/>
      <c r="Z5" s="26">
        <f t="shared" si="5"/>
        <v>-2</v>
      </c>
      <c r="AA5" s="26" t="str">
        <f t="shared" si="6"/>
        <v/>
      </c>
      <c r="AB5" s="32" t="str">
        <f t="shared" si="7"/>
        <v/>
      </c>
      <c r="AC5" s="32" t="str">
        <f t="shared" ref="AC5:AG5" si="9">IF(J5&lt;&gt;"", IF(AND($P5=FALSE, $A5=FALSE), -J5, IF(AND($P5=FALSE, $A5=TRUE), 0, IF($P5=TRUE, (J5 / $R5) * 100 * ($S5 / 100)-J5, ))), )</f>
        <v/>
      </c>
      <c r="AD5" s="32" t="str">
        <f t="shared" si="9"/>
        <v/>
      </c>
      <c r="AE5" s="32" t="str">
        <f t="shared" si="9"/>
        <v/>
      </c>
      <c r="AF5" s="32" t="str">
        <f t="shared" si="9"/>
        <v/>
      </c>
      <c r="AG5" s="32" t="str">
        <f t="shared" si="9"/>
        <v/>
      </c>
      <c r="AH5" s="33"/>
    </row>
    <row r="6" hidden="1" outlineLevel="3">
      <c r="A6" s="16" t="b">
        <v>0</v>
      </c>
      <c r="B6" s="17"/>
      <c r="C6" s="18"/>
      <c r="D6" s="19"/>
      <c r="E6" s="20"/>
      <c r="F6" s="34"/>
      <c r="G6" s="23"/>
      <c r="H6" s="23"/>
      <c r="I6" s="23"/>
      <c r="J6" s="23"/>
      <c r="K6" s="23"/>
      <c r="L6" s="23"/>
      <c r="M6" s="23"/>
      <c r="N6" s="23"/>
      <c r="O6" s="24"/>
      <c r="P6" s="16" t="b">
        <v>0</v>
      </c>
      <c r="Q6" s="24"/>
      <c r="R6" s="25" t="str">
        <f t="shared" si="2"/>
        <v/>
      </c>
      <c r="S6" s="25"/>
      <c r="T6" s="35"/>
      <c r="U6" s="24"/>
      <c r="V6" s="28" t="str">
        <f t="shared" si="3"/>
        <v>0</v>
      </c>
      <c r="W6" s="29" t="str">
        <f t="shared" si="4"/>
        <v>/</v>
      </c>
      <c r="X6" s="37" t="s">
        <v>27</v>
      </c>
      <c r="Y6" s="31"/>
      <c r="Z6" s="26" t="str">
        <f t="shared" si="5"/>
        <v/>
      </c>
      <c r="AA6" s="26" t="str">
        <f t="shared" si="6"/>
        <v/>
      </c>
      <c r="AB6" s="32" t="str">
        <f t="shared" si="7"/>
        <v/>
      </c>
      <c r="AC6" s="32" t="str">
        <f t="shared" ref="AC6:AG6" si="10">IF(J6&lt;&gt;"", IF(AND($P6=FALSE, $A6=FALSE), -J6, IF(AND($P6=FALSE, $A6=TRUE), 0, IF($P6=TRUE, (J6 / $R6) * 100 * ($S6 / 100)-J6, ))), )</f>
        <v/>
      </c>
      <c r="AD6" s="32" t="str">
        <f t="shared" si="10"/>
        <v/>
      </c>
      <c r="AE6" s="32" t="str">
        <f t="shared" si="10"/>
        <v/>
      </c>
      <c r="AF6" s="32" t="str">
        <f t="shared" si="10"/>
        <v/>
      </c>
      <c r="AG6" s="32" t="str">
        <f t="shared" si="10"/>
        <v/>
      </c>
      <c r="AH6" s="33"/>
    </row>
    <row r="7" hidden="1" outlineLevel="1" collapsed="1">
      <c r="A7" s="16" t="b">
        <v>0</v>
      </c>
      <c r="B7" s="17"/>
      <c r="C7" s="18"/>
      <c r="D7" s="19">
        <v>45174.0</v>
      </c>
      <c r="E7" s="20" t="s">
        <v>24</v>
      </c>
      <c r="F7" s="21" t="s">
        <v>25</v>
      </c>
      <c r="G7" s="22">
        <v>1.5</v>
      </c>
      <c r="H7" s="22">
        <v>1.5</v>
      </c>
      <c r="I7" s="23"/>
      <c r="J7" s="22"/>
      <c r="K7" s="23"/>
      <c r="L7" s="22"/>
      <c r="M7" s="23"/>
      <c r="N7" s="23"/>
      <c r="O7" s="24"/>
      <c r="P7" s="16" t="b">
        <v>1</v>
      </c>
      <c r="Q7" s="24"/>
      <c r="R7" s="25">
        <v>3.0</v>
      </c>
      <c r="S7" s="26">
        <v>10.5</v>
      </c>
      <c r="T7" s="27" t="s">
        <v>28</v>
      </c>
      <c r="U7" s="24"/>
      <c r="V7" s="28"/>
      <c r="W7" s="29"/>
      <c r="X7" s="30"/>
      <c r="Y7" s="31"/>
      <c r="Z7" s="26">
        <f t="shared" si="5"/>
        <v>3.75</v>
      </c>
      <c r="AA7" s="26" t="str">
        <f t="shared" si="6"/>
        <v/>
      </c>
      <c r="AB7" s="32">
        <f t="shared" si="7"/>
        <v>3.75</v>
      </c>
      <c r="AC7" s="32" t="str">
        <f t="shared" ref="AC7:AG7" si="11">IF(J7&lt;&gt;"", IF(AND($P7=FALSE, $A7=FALSE), -J7, IF(AND($P7=FALSE, $A7=TRUE), 0, IF($P7=TRUE, (J7 / $R7) * 100 * ($S7 / 100)-J7, ))), )</f>
        <v/>
      </c>
      <c r="AD7" s="32" t="str">
        <f t="shared" si="11"/>
        <v/>
      </c>
      <c r="AE7" s="32" t="str">
        <f t="shared" si="11"/>
        <v/>
      </c>
      <c r="AF7" s="32" t="str">
        <f t="shared" si="11"/>
        <v/>
      </c>
      <c r="AG7" s="32" t="str">
        <f t="shared" si="11"/>
        <v/>
      </c>
      <c r="AH7" s="33"/>
    </row>
    <row r="8" hidden="1" outlineLevel="3">
      <c r="A8" s="16" t="b">
        <v>0</v>
      </c>
      <c r="B8" s="17"/>
      <c r="C8" s="18"/>
      <c r="D8" s="19"/>
      <c r="E8" s="20"/>
      <c r="F8" s="34"/>
      <c r="G8" s="23"/>
      <c r="H8" s="23"/>
      <c r="I8" s="23"/>
      <c r="J8" s="23"/>
      <c r="K8" s="23"/>
      <c r="L8" s="23"/>
      <c r="M8" s="23"/>
      <c r="N8" s="23"/>
      <c r="O8" s="24"/>
      <c r="P8" s="16" t="b">
        <v>0</v>
      </c>
      <c r="Q8" s="24"/>
      <c r="R8" s="25"/>
      <c r="S8" s="25"/>
      <c r="T8" s="35"/>
      <c r="U8" s="24"/>
      <c r="V8" s="38" t="s">
        <v>29</v>
      </c>
      <c r="W8" s="29" t="s">
        <v>22</v>
      </c>
      <c r="X8" s="21" t="s">
        <v>30</v>
      </c>
      <c r="Y8" s="31"/>
      <c r="Z8" s="26" t="str">
        <f t="shared" si="5"/>
        <v/>
      </c>
      <c r="AA8" s="26" t="str">
        <f t="shared" si="6"/>
        <v/>
      </c>
      <c r="AB8" s="32" t="str">
        <f t="shared" si="7"/>
        <v/>
      </c>
      <c r="AC8" s="32" t="str">
        <f t="shared" ref="AC8:AG8" si="12">IF(J8&lt;&gt;"", IF(AND($P8=FALSE, $A8=FALSE), -J8, IF(AND($P8=FALSE, $A8=TRUE), 0, IF($P8=TRUE, (J8 / $R8) * 100 * ($S8 / 100)-J8, ))), )</f>
        <v/>
      </c>
      <c r="AD8" s="32" t="str">
        <f t="shared" si="12"/>
        <v/>
      </c>
      <c r="AE8" s="32" t="str">
        <f t="shared" si="12"/>
        <v/>
      </c>
      <c r="AF8" s="32" t="str">
        <f t="shared" si="12"/>
        <v/>
      </c>
      <c r="AG8" s="32" t="str">
        <f t="shared" si="12"/>
        <v/>
      </c>
      <c r="AH8" s="33"/>
    </row>
    <row r="9" hidden="1" outlineLevel="2" collapsed="1">
      <c r="A9" s="16" t="b">
        <v>0</v>
      </c>
      <c r="B9" s="17"/>
      <c r="C9" s="18"/>
      <c r="D9" s="19">
        <v>45174.0</v>
      </c>
      <c r="E9" s="20" t="s">
        <v>24</v>
      </c>
      <c r="F9" s="21" t="s">
        <v>25</v>
      </c>
      <c r="G9" s="22">
        <v>0.5</v>
      </c>
      <c r="H9" s="22">
        <v>0.5</v>
      </c>
      <c r="I9" s="22">
        <v>2.0</v>
      </c>
      <c r="J9" s="22"/>
      <c r="K9" s="23"/>
      <c r="L9" s="22"/>
      <c r="M9" s="23"/>
      <c r="N9" s="23"/>
      <c r="O9" s="24"/>
      <c r="P9" s="16" t="b">
        <v>0</v>
      </c>
      <c r="Q9" s="24"/>
      <c r="R9" s="25">
        <v>3.0</v>
      </c>
      <c r="S9" s="26">
        <v>57.0</v>
      </c>
      <c r="T9" s="27" t="s">
        <v>31</v>
      </c>
      <c r="U9" s="24"/>
      <c r="V9" s="28"/>
      <c r="W9" s="29"/>
      <c r="X9" s="30"/>
      <c r="Y9" s="31"/>
      <c r="Z9" s="26">
        <f t="shared" si="5"/>
        <v>-0.5</v>
      </c>
      <c r="AA9" s="26">
        <f t="shared" si="6"/>
        <v>-2</v>
      </c>
      <c r="AB9" s="32">
        <f t="shared" si="7"/>
        <v>-0.5</v>
      </c>
      <c r="AC9" s="32" t="str">
        <f t="shared" ref="AC9:AG9" si="13">IF(J9&lt;&gt;"", IF(AND($P9=FALSE, $A9=FALSE), -J9, IF(AND($P9=FALSE, $A9=TRUE), 0, IF($P9=TRUE, (J9 / $R9) * 100 * ($S9 / 100)-J9, ))), )</f>
        <v/>
      </c>
      <c r="AD9" s="32" t="str">
        <f t="shared" si="13"/>
        <v/>
      </c>
      <c r="AE9" s="32" t="str">
        <f t="shared" si="13"/>
        <v/>
      </c>
      <c r="AF9" s="32" t="str">
        <f t="shared" si="13"/>
        <v/>
      </c>
      <c r="AG9" s="32" t="str">
        <f t="shared" si="13"/>
        <v/>
      </c>
      <c r="AH9" s="33"/>
    </row>
    <row r="10" hidden="1" outlineLevel="3">
      <c r="A10" s="16" t="b">
        <v>0</v>
      </c>
      <c r="B10" s="17"/>
      <c r="C10" s="18"/>
      <c r="D10" s="19"/>
      <c r="E10" s="20"/>
      <c r="F10" s="34"/>
      <c r="G10" s="23"/>
      <c r="H10" s="23"/>
      <c r="I10" s="23"/>
      <c r="J10" s="23"/>
      <c r="K10" s="23"/>
      <c r="L10" s="23"/>
      <c r="M10" s="23"/>
      <c r="N10" s="23"/>
      <c r="O10" s="24"/>
      <c r="P10" s="16" t="b">
        <v>0</v>
      </c>
      <c r="Q10" s="24"/>
      <c r="R10" s="25"/>
      <c r="S10" s="25"/>
      <c r="T10" s="35"/>
      <c r="U10" s="24"/>
      <c r="V10" s="28" t="s">
        <v>32</v>
      </c>
      <c r="W10" s="29" t="s">
        <v>22</v>
      </c>
      <c r="X10" s="37" t="s">
        <v>33</v>
      </c>
      <c r="Y10" s="31"/>
      <c r="Z10" s="26" t="str">
        <f t="shared" si="5"/>
        <v/>
      </c>
      <c r="AA10" s="26" t="str">
        <f t="shared" si="6"/>
        <v/>
      </c>
      <c r="AB10" s="32" t="str">
        <f t="shared" si="7"/>
        <v/>
      </c>
      <c r="AC10" s="32" t="str">
        <f t="shared" ref="AC10:AG10" si="14">IF(J10&lt;&gt;"", IF(AND($P10=FALSE, $A10=FALSE), -J10, IF(AND($P10=FALSE, $A10=TRUE), 0, IF($P10=TRUE, (J10 / $R10) * 100 * ($S10 / 100)-J10, ))), )</f>
        <v/>
      </c>
      <c r="AD10" s="32" t="str">
        <f t="shared" si="14"/>
        <v/>
      </c>
      <c r="AE10" s="32" t="str">
        <f t="shared" si="14"/>
        <v/>
      </c>
      <c r="AF10" s="32" t="str">
        <f t="shared" si="14"/>
        <v/>
      </c>
      <c r="AG10" s="32" t="str">
        <f t="shared" si="14"/>
        <v/>
      </c>
      <c r="AH10" s="33"/>
    </row>
    <row r="11" hidden="1" outlineLevel="2" collapsed="1">
      <c r="A11" s="16" t="b">
        <v>0</v>
      </c>
      <c r="B11" s="17"/>
      <c r="C11" s="18"/>
      <c r="D11" s="19">
        <v>45174.0</v>
      </c>
      <c r="E11" s="20" t="s">
        <v>24</v>
      </c>
      <c r="F11" s="21" t="s">
        <v>25</v>
      </c>
      <c r="G11" s="22">
        <v>1.0</v>
      </c>
      <c r="H11" s="22">
        <v>1.0</v>
      </c>
      <c r="I11" s="22">
        <v>1.0</v>
      </c>
      <c r="J11" s="22"/>
      <c r="K11" s="23"/>
      <c r="L11" s="22"/>
      <c r="M11" s="23"/>
      <c r="N11" s="23"/>
      <c r="O11" s="24"/>
      <c r="P11" s="16" t="b">
        <v>0</v>
      </c>
      <c r="Q11" s="24"/>
      <c r="R11" s="25">
        <v>3.0</v>
      </c>
      <c r="S11" s="39">
        <v>25.5</v>
      </c>
      <c r="T11" s="27" t="s">
        <v>34</v>
      </c>
      <c r="U11" s="24"/>
      <c r="V11" s="28"/>
      <c r="W11" s="29"/>
      <c r="X11" s="30"/>
      <c r="Y11" s="31"/>
      <c r="Z11" s="26">
        <f t="shared" si="5"/>
        <v>-1</v>
      </c>
      <c r="AA11" s="26">
        <f t="shared" si="6"/>
        <v>-1</v>
      </c>
      <c r="AB11" s="32">
        <f t="shared" si="7"/>
        <v>-1</v>
      </c>
      <c r="AC11" s="32" t="str">
        <f t="shared" ref="AC11:AG11" si="15">IF(J11&lt;&gt;"", IF(AND($P11=FALSE, $A11=FALSE), -J11, IF(AND($P11=FALSE, $A11=TRUE), 0, IF($P11=TRUE, (J11 / $R11) * 100 * ($S11 / 100)-J11, ))), )</f>
        <v/>
      </c>
      <c r="AD11" s="32" t="str">
        <f t="shared" si="15"/>
        <v/>
      </c>
      <c r="AE11" s="32" t="str">
        <f t="shared" si="15"/>
        <v/>
      </c>
      <c r="AF11" s="32" t="str">
        <f t="shared" si="15"/>
        <v/>
      </c>
      <c r="AG11" s="32" t="str">
        <f t="shared" si="15"/>
        <v/>
      </c>
      <c r="AH11" s="33"/>
    </row>
    <row r="12" hidden="1" outlineLevel="3">
      <c r="A12" s="16" t="b">
        <v>0</v>
      </c>
      <c r="B12" s="17"/>
      <c r="C12" s="18"/>
      <c r="D12" s="19"/>
      <c r="E12" s="20"/>
      <c r="F12" s="34"/>
      <c r="G12" s="23"/>
      <c r="H12" s="23"/>
      <c r="I12" s="23"/>
      <c r="J12" s="23"/>
      <c r="K12" s="23"/>
      <c r="L12" s="23"/>
      <c r="M12" s="23"/>
      <c r="N12" s="23"/>
      <c r="O12" s="24"/>
      <c r="P12" s="16" t="b">
        <v>0</v>
      </c>
      <c r="Q12" s="24"/>
      <c r="R12" s="25"/>
      <c r="S12" s="25"/>
      <c r="T12" s="35"/>
      <c r="U12" s="24"/>
      <c r="V12" s="28" t="s">
        <v>32</v>
      </c>
      <c r="W12" s="29" t="s">
        <v>22</v>
      </c>
      <c r="X12" s="21" t="s">
        <v>35</v>
      </c>
      <c r="Y12" s="31"/>
      <c r="Z12" s="26" t="str">
        <f t="shared" si="5"/>
        <v/>
      </c>
      <c r="AA12" s="26" t="str">
        <f t="shared" si="6"/>
        <v/>
      </c>
      <c r="AB12" s="32" t="str">
        <f t="shared" si="7"/>
        <v/>
      </c>
      <c r="AC12" s="32" t="str">
        <f t="shared" ref="AC12:AG12" si="16">IF(J12&lt;&gt;"", IF(AND($P12=FALSE, $A12=FALSE), -J12, IF(AND($P12=FALSE, $A12=TRUE), 0, IF($P12=TRUE, (J12 / $R12) * 100 * ($S12 / 100)-J12, ))), )</f>
        <v/>
      </c>
      <c r="AD12" s="32" t="str">
        <f t="shared" si="16"/>
        <v/>
      </c>
      <c r="AE12" s="32" t="str">
        <f t="shared" si="16"/>
        <v/>
      </c>
      <c r="AF12" s="32" t="str">
        <f t="shared" si="16"/>
        <v/>
      </c>
      <c r="AG12" s="32" t="str">
        <f t="shared" si="16"/>
        <v/>
      </c>
      <c r="AH12" s="33"/>
    </row>
    <row r="13" hidden="1" outlineLevel="2" collapsed="1">
      <c r="A13" s="16" t="b">
        <v>0</v>
      </c>
      <c r="B13" s="17"/>
      <c r="C13" s="18"/>
      <c r="D13" s="19">
        <v>45174.0</v>
      </c>
      <c r="E13" s="20" t="s">
        <v>24</v>
      </c>
      <c r="F13" s="21" t="s">
        <v>25</v>
      </c>
      <c r="G13" s="22">
        <v>1.5</v>
      </c>
      <c r="H13" s="22">
        <v>1.5</v>
      </c>
      <c r="I13" s="22">
        <v>1.0</v>
      </c>
      <c r="J13" s="22"/>
      <c r="K13" s="23"/>
      <c r="L13" s="22"/>
      <c r="M13" s="23"/>
      <c r="N13" s="23"/>
      <c r="O13" s="24"/>
      <c r="P13" s="16" t="b">
        <v>0</v>
      </c>
      <c r="Q13" s="24"/>
      <c r="R13" s="25">
        <v>4.0</v>
      </c>
      <c r="S13" s="26">
        <v>12.89</v>
      </c>
      <c r="T13" s="27" t="s">
        <v>36</v>
      </c>
      <c r="U13" s="24"/>
      <c r="V13" s="28"/>
      <c r="W13" s="29"/>
      <c r="X13" s="30"/>
      <c r="Y13" s="31"/>
      <c r="Z13" s="26">
        <f t="shared" si="5"/>
        <v>-1.5</v>
      </c>
      <c r="AA13" s="26">
        <f t="shared" si="6"/>
        <v>-1</v>
      </c>
      <c r="AB13" s="32">
        <f t="shared" si="7"/>
        <v>-1.5</v>
      </c>
      <c r="AC13" s="32" t="str">
        <f t="shared" ref="AC13:AG13" si="17">IF(J13&lt;&gt;"", IF(AND($P13=FALSE, $A13=FALSE), -J13, IF(AND($P13=FALSE, $A13=TRUE), 0, IF($P13=TRUE, (J13 / $R13) * 100 * ($S13 / 100)-J13, ))), )</f>
        <v/>
      </c>
      <c r="AD13" s="32" t="str">
        <f t="shared" si="17"/>
        <v/>
      </c>
      <c r="AE13" s="32" t="str">
        <f t="shared" si="17"/>
        <v/>
      </c>
      <c r="AF13" s="32" t="str">
        <f t="shared" si="17"/>
        <v/>
      </c>
      <c r="AG13" s="32" t="str">
        <f t="shared" si="17"/>
        <v/>
      </c>
      <c r="AH13" s="33"/>
    </row>
    <row r="14" hidden="1" outlineLevel="3">
      <c r="A14" s="16" t="b">
        <v>0</v>
      </c>
      <c r="B14" s="17"/>
      <c r="C14" s="18"/>
      <c r="D14" s="19"/>
      <c r="E14" s="20"/>
      <c r="F14" s="34"/>
      <c r="G14" s="23"/>
      <c r="H14" s="23"/>
      <c r="I14" s="23"/>
      <c r="J14" s="23"/>
      <c r="K14" s="23"/>
      <c r="L14" s="23"/>
      <c r="M14" s="23"/>
      <c r="N14" s="23"/>
      <c r="O14" s="24"/>
      <c r="P14" s="16" t="b">
        <v>0</v>
      </c>
      <c r="Q14" s="24"/>
      <c r="R14" s="25"/>
      <c r="S14" s="25"/>
      <c r="T14" s="35"/>
      <c r="U14" s="24"/>
      <c r="V14" s="28" t="s">
        <v>32</v>
      </c>
      <c r="W14" s="29" t="s">
        <v>22</v>
      </c>
      <c r="X14" s="40" t="s">
        <v>37</v>
      </c>
      <c r="Y14" s="31"/>
      <c r="Z14" s="26" t="str">
        <f t="shared" si="5"/>
        <v/>
      </c>
      <c r="AA14" s="26" t="str">
        <f t="shared" si="6"/>
        <v/>
      </c>
      <c r="AB14" s="32" t="str">
        <f t="shared" si="7"/>
        <v/>
      </c>
      <c r="AC14" s="32" t="str">
        <f t="shared" ref="AC14:AG14" si="18">IF(J14&lt;&gt;"", IF(AND($P14=FALSE, $A14=FALSE), -J14, IF(AND($P14=FALSE, $A14=TRUE), 0, IF($P14=TRUE, (J14 / $R14) * 100 * ($S14 / 100)-J14, ))), )</f>
        <v/>
      </c>
      <c r="AD14" s="32" t="str">
        <f t="shared" si="18"/>
        <v/>
      </c>
      <c r="AE14" s="32" t="str">
        <f t="shared" si="18"/>
        <v/>
      </c>
      <c r="AF14" s="32" t="str">
        <f t="shared" si="18"/>
        <v/>
      </c>
      <c r="AG14" s="32" t="str">
        <f t="shared" si="18"/>
        <v/>
      </c>
      <c r="AH14" s="33"/>
    </row>
    <row r="15" hidden="1" outlineLevel="3">
      <c r="A15" s="16" t="b">
        <v>0</v>
      </c>
      <c r="B15" s="17"/>
      <c r="C15" s="18"/>
      <c r="D15" s="19"/>
      <c r="E15" s="20"/>
      <c r="F15" s="34"/>
      <c r="G15" s="23"/>
      <c r="H15" s="23"/>
      <c r="I15" s="23"/>
      <c r="J15" s="23"/>
      <c r="K15" s="23"/>
      <c r="L15" s="23"/>
      <c r="M15" s="23"/>
      <c r="N15" s="23"/>
      <c r="O15" s="24"/>
      <c r="P15" s="16" t="b">
        <v>0</v>
      </c>
      <c r="Q15" s="24"/>
      <c r="R15" s="25"/>
      <c r="S15" s="25"/>
      <c r="T15" s="35"/>
      <c r="U15" s="24"/>
      <c r="V15" s="28" t="s">
        <v>32</v>
      </c>
      <c r="W15" s="29" t="s">
        <v>22</v>
      </c>
      <c r="X15" s="40" t="s">
        <v>38</v>
      </c>
      <c r="Y15" s="31"/>
      <c r="Z15" s="26" t="str">
        <f t="shared" si="5"/>
        <v/>
      </c>
      <c r="AA15" s="26" t="str">
        <f t="shared" si="6"/>
        <v/>
      </c>
      <c r="AB15" s="32" t="str">
        <f t="shared" si="7"/>
        <v/>
      </c>
      <c r="AC15" s="32" t="str">
        <f t="shared" ref="AC15:AG15" si="19">IF(J15&lt;&gt;"", IF(AND($P15=FALSE, $A15=FALSE), -J15, IF(AND($P15=FALSE, $A15=TRUE), 0, IF($P15=TRUE, (J15 / $R15) * 100 * ($S15 / 100)-J15, ))), )</f>
        <v/>
      </c>
      <c r="AD15" s="32" t="str">
        <f t="shared" si="19"/>
        <v/>
      </c>
      <c r="AE15" s="32" t="str">
        <f t="shared" si="19"/>
        <v/>
      </c>
      <c r="AF15" s="32" t="str">
        <f t="shared" si="19"/>
        <v/>
      </c>
      <c r="AG15" s="32" t="str">
        <f t="shared" si="19"/>
        <v/>
      </c>
      <c r="AH15" s="33"/>
    </row>
    <row r="16" hidden="1" outlineLevel="3">
      <c r="A16" s="16" t="b">
        <v>0</v>
      </c>
      <c r="B16" s="17"/>
      <c r="C16" s="18"/>
      <c r="D16" s="19"/>
      <c r="E16" s="20"/>
      <c r="F16" s="34"/>
      <c r="G16" s="23"/>
      <c r="H16" s="23"/>
      <c r="I16" s="23"/>
      <c r="J16" s="23"/>
      <c r="K16" s="23"/>
      <c r="L16" s="23"/>
      <c r="M16" s="23"/>
      <c r="N16" s="23"/>
      <c r="O16" s="24"/>
      <c r="P16" s="16" t="b">
        <v>0</v>
      </c>
      <c r="Q16" s="24"/>
      <c r="R16" s="25"/>
      <c r="S16" s="25"/>
      <c r="T16" s="35"/>
      <c r="U16" s="24"/>
      <c r="V16" s="28" t="s">
        <v>32</v>
      </c>
      <c r="W16" s="29" t="s">
        <v>22</v>
      </c>
      <c r="X16" s="40" t="s">
        <v>39</v>
      </c>
      <c r="Y16" s="31"/>
      <c r="Z16" s="26" t="str">
        <f t="shared" si="5"/>
        <v/>
      </c>
      <c r="AA16" s="26" t="str">
        <f t="shared" si="6"/>
        <v/>
      </c>
      <c r="AB16" s="32" t="str">
        <f t="shared" si="7"/>
        <v/>
      </c>
      <c r="AC16" s="32" t="str">
        <f t="shared" ref="AC16:AG16" si="20">IF(J16&lt;&gt;"", IF(AND($P16=FALSE, $A16=FALSE), -J16, IF(AND($P16=FALSE, $A16=TRUE), 0, IF($P16=TRUE, (J16 / $R16) * 100 * ($S16 / 100)-J16, ))), )</f>
        <v/>
      </c>
      <c r="AD16" s="32" t="str">
        <f t="shared" si="20"/>
        <v/>
      </c>
      <c r="AE16" s="32" t="str">
        <f t="shared" si="20"/>
        <v/>
      </c>
      <c r="AF16" s="32" t="str">
        <f t="shared" si="20"/>
        <v/>
      </c>
      <c r="AG16" s="32" t="str">
        <f t="shared" si="20"/>
        <v/>
      </c>
      <c r="AH16" s="33"/>
    </row>
    <row r="17" hidden="1" outlineLevel="2" collapsed="1">
      <c r="A17" s="16" t="b">
        <v>0</v>
      </c>
      <c r="B17" s="17"/>
      <c r="C17" s="18"/>
      <c r="D17" s="19">
        <v>45174.0</v>
      </c>
      <c r="E17" s="20" t="s">
        <v>24</v>
      </c>
      <c r="F17" s="21" t="s">
        <v>25</v>
      </c>
      <c r="G17" s="22">
        <v>1.0</v>
      </c>
      <c r="H17" s="22">
        <v>1.0</v>
      </c>
      <c r="I17" s="22">
        <v>1.0</v>
      </c>
      <c r="J17" s="22"/>
      <c r="K17" s="23"/>
      <c r="L17" s="22"/>
      <c r="M17" s="23"/>
      <c r="N17" s="23"/>
      <c r="O17" s="24"/>
      <c r="P17" s="16" t="b">
        <v>0</v>
      </c>
      <c r="Q17" s="24"/>
      <c r="R17" s="25">
        <v>3.0</v>
      </c>
      <c r="S17" s="26">
        <v>14.82</v>
      </c>
      <c r="T17" s="27" t="s">
        <v>40</v>
      </c>
      <c r="U17" s="24"/>
      <c r="V17" s="28"/>
      <c r="W17" s="29"/>
      <c r="X17" s="30"/>
      <c r="Y17" s="31"/>
      <c r="Z17" s="26">
        <f t="shared" si="5"/>
        <v>-1</v>
      </c>
      <c r="AA17" s="26">
        <f t="shared" si="6"/>
        <v>-1</v>
      </c>
      <c r="AB17" s="32">
        <f t="shared" si="7"/>
        <v>-1</v>
      </c>
      <c r="AC17" s="32" t="str">
        <f t="shared" ref="AC17:AG17" si="21">IF(J17&lt;&gt;"", IF(AND($P17=FALSE, $A17=FALSE), -J17, IF(AND($P17=FALSE, $A17=TRUE), 0, IF($P17=TRUE, (J17 / $R17) * 100 * ($S17 / 100)-J17, ))), )</f>
        <v/>
      </c>
      <c r="AD17" s="32" t="str">
        <f t="shared" si="21"/>
        <v/>
      </c>
      <c r="AE17" s="32" t="str">
        <f t="shared" si="21"/>
        <v/>
      </c>
      <c r="AF17" s="32" t="str">
        <f t="shared" si="21"/>
        <v/>
      </c>
      <c r="AG17" s="32" t="str">
        <f t="shared" si="21"/>
        <v/>
      </c>
      <c r="AH17" s="33"/>
    </row>
    <row r="18" hidden="1" outlineLevel="3">
      <c r="A18" s="16" t="b">
        <v>0</v>
      </c>
      <c r="B18" s="17"/>
      <c r="C18" s="18"/>
      <c r="D18" s="19"/>
      <c r="E18" s="20"/>
      <c r="F18" s="34"/>
      <c r="G18" s="23"/>
      <c r="H18" s="23"/>
      <c r="I18" s="23"/>
      <c r="J18" s="23"/>
      <c r="K18" s="23"/>
      <c r="L18" s="23"/>
      <c r="M18" s="23"/>
      <c r="N18" s="23"/>
      <c r="O18" s="24"/>
      <c r="P18" s="16" t="b">
        <v>0</v>
      </c>
      <c r="Q18" s="24"/>
      <c r="R18" s="25"/>
      <c r="S18" s="25"/>
      <c r="T18" s="35"/>
      <c r="U18" s="24"/>
      <c r="V18" s="28" t="s">
        <v>32</v>
      </c>
      <c r="W18" s="29" t="s">
        <v>22</v>
      </c>
      <c r="X18" s="40" t="s">
        <v>41</v>
      </c>
      <c r="Y18" s="31"/>
      <c r="Z18" s="26" t="str">
        <f t="shared" si="5"/>
        <v/>
      </c>
      <c r="AA18" s="26" t="str">
        <f t="shared" si="6"/>
        <v/>
      </c>
      <c r="AB18" s="32" t="str">
        <f t="shared" si="7"/>
        <v/>
      </c>
      <c r="AC18" s="32" t="str">
        <f t="shared" ref="AC18:AG18" si="22">IF(J18&lt;&gt;"", IF(AND($P18=FALSE, $A18=FALSE), -J18, IF(AND($P18=FALSE, $A18=TRUE), 0, IF($P18=TRUE, (J18 / $R18) * 100 * ($S18 / 100)-J18, ))), )</f>
        <v/>
      </c>
      <c r="AD18" s="32" t="str">
        <f t="shared" si="22"/>
        <v/>
      </c>
      <c r="AE18" s="32" t="str">
        <f t="shared" si="22"/>
        <v/>
      </c>
      <c r="AF18" s="32" t="str">
        <f t="shared" si="22"/>
        <v/>
      </c>
      <c r="AG18" s="32" t="str">
        <f t="shared" si="22"/>
        <v/>
      </c>
      <c r="AH18" s="33"/>
    </row>
    <row r="19" hidden="1" outlineLevel="3">
      <c r="A19" s="16" t="b">
        <v>0</v>
      </c>
      <c r="B19" s="17"/>
      <c r="C19" s="18"/>
      <c r="D19" s="19"/>
      <c r="E19" s="20"/>
      <c r="F19" s="34"/>
      <c r="G19" s="23"/>
      <c r="H19" s="23"/>
      <c r="I19" s="23"/>
      <c r="J19" s="23"/>
      <c r="K19" s="23"/>
      <c r="L19" s="23"/>
      <c r="M19" s="23"/>
      <c r="N19" s="23"/>
      <c r="O19" s="24"/>
      <c r="P19" s="16" t="b">
        <v>0</v>
      </c>
      <c r="Q19" s="24"/>
      <c r="R19" s="25"/>
      <c r="S19" s="25"/>
      <c r="T19" s="35"/>
      <c r="U19" s="24"/>
      <c r="V19" s="28" t="s">
        <v>32</v>
      </c>
      <c r="W19" s="29" t="s">
        <v>22</v>
      </c>
      <c r="X19" s="40" t="s">
        <v>42</v>
      </c>
      <c r="Y19" s="31"/>
      <c r="Z19" s="26" t="str">
        <f t="shared" si="5"/>
        <v/>
      </c>
      <c r="AA19" s="26" t="str">
        <f t="shared" si="6"/>
        <v/>
      </c>
      <c r="AB19" s="32" t="str">
        <f t="shared" si="7"/>
        <v/>
      </c>
      <c r="AC19" s="32" t="str">
        <f t="shared" ref="AC19:AG19" si="23">IF(J19&lt;&gt;"", IF(AND($P19=FALSE, $A19=FALSE), -J19, IF(AND($P19=FALSE, $A19=TRUE), 0, IF($P19=TRUE, (J19 / $R19) * 100 * ($S19 / 100)-J19, ))), )</f>
        <v/>
      </c>
      <c r="AD19" s="32" t="str">
        <f t="shared" si="23"/>
        <v/>
      </c>
      <c r="AE19" s="32" t="str">
        <f t="shared" si="23"/>
        <v/>
      </c>
      <c r="AF19" s="32" t="str">
        <f t="shared" si="23"/>
        <v/>
      </c>
      <c r="AG19" s="32" t="str">
        <f t="shared" si="23"/>
        <v/>
      </c>
      <c r="AH19" s="33"/>
    </row>
    <row r="20" hidden="1" outlineLevel="3">
      <c r="A20" s="16" t="b">
        <v>0</v>
      </c>
      <c r="B20" s="17"/>
      <c r="C20" s="18"/>
      <c r="D20" s="19"/>
      <c r="E20" s="20"/>
      <c r="F20" s="34"/>
      <c r="G20" s="23"/>
      <c r="H20" s="23"/>
      <c r="I20" s="23"/>
      <c r="J20" s="23"/>
      <c r="K20" s="23"/>
      <c r="L20" s="23"/>
      <c r="M20" s="23"/>
      <c r="N20" s="23"/>
      <c r="O20" s="24"/>
      <c r="P20" s="16" t="b">
        <v>0</v>
      </c>
      <c r="Q20" s="24"/>
      <c r="R20" s="25"/>
      <c r="S20" s="25"/>
      <c r="T20" s="35"/>
      <c r="U20" s="24"/>
      <c r="V20" s="38" t="s">
        <v>29</v>
      </c>
      <c r="W20" s="29" t="s">
        <v>22</v>
      </c>
      <c r="X20" s="40" t="s">
        <v>43</v>
      </c>
      <c r="Y20" s="31"/>
      <c r="Z20" s="26" t="str">
        <f t="shared" si="5"/>
        <v/>
      </c>
      <c r="AA20" s="26" t="str">
        <f t="shared" si="6"/>
        <v/>
      </c>
      <c r="AB20" s="32" t="str">
        <f t="shared" si="7"/>
        <v/>
      </c>
      <c r="AC20" s="32" t="str">
        <f t="shared" ref="AC20:AG20" si="24">IF(J20&lt;&gt;"", IF(AND($P20=FALSE, $A20=FALSE), -J20, IF(AND($P20=FALSE, $A20=TRUE), 0, IF($P20=TRUE, (J20 / $R20) * 100 * ($S20 / 100)-J20, ))), )</f>
        <v/>
      </c>
      <c r="AD20" s="32" t="str">
        <f t="shared" si="24"/>
        <v/>
      </c>
      <c r="AE20" s="32" t="str">
        <f t="shared" si="24"/>
        <v/>
      </c>
      <c r="AF20" s="32" t="str">
        <f t="shared" si="24"/>
        <v/>
      </c>
      <c r="AG20" s="32" t="str">
        <f t="shared" si="24"/>
        <v/>
      </c>
      <c r="AH20" s="33"/>
    </row>
    <row r="21" hidden="1" outlineLevel="2" collapsed="1">
      <c r="A21" s="16" t="b">
        <v>0</v>
      </c>
      <c r="B21" s="17"/>
      <c r="C21" s="18"/>
      <c r="D21" s="19">
        <v>45174.0</v>
      </c>
      <c r="E21" s="20" t="s">
        <v>24</v>
      </c>
      <c r="F21" s="21" t="s">
        <v>25</v>
      </c>
      <c r="G21" s="22">
        <v>1.0</v>
      </c>
      <c r="H21" s="22">
        <v>1.0</v>
      </c>
      <c r="I21" s="23"/>
      <c r="J21" s="22"/>
      <c r="K21" s="23"/>
      <c r="L21" s="22"/>
      <c r="M21" s="23"/>
      <c r="N21" s="23"/>
      <c r="O21" s="24"/>
      <c r="P21" s="16" t="b">
        <v>0</v>
      </c>
      <c r="Q21" s="24"/>
      <c r="R21" s="25">
        <v>2.0</v>
      </c>
      <c r="S21" s="26">
        <v>5.0</v>
      </c>
      <c r="T21" s="27" t="s">
        <v>44</v>
      </c>
      <c r="U21" s="24"/>
      <c r="V21" s="28"/>
      <c r="W21" s="29"/>
      <c r="X21" s="30"/>
      <c r="Y21" s="31"/>
      <c r="Z21" s="26">
        <f t="shared" si="5"/>
        <v>-1</v>
      </c>
      <c r="AA21" s="26" t="str">
        <f t="shared" si="6"/>
        <v/>
      </c>
      <c r="AB21" s="32">
        <f t="shared" si="7"/>
        <v>-1</v>
      </c>
      <c r="AC21" s="32" t="str">
        <f t="shared" ref="AC21:AG21" si="25">IF(J21&lt;&gt;"", IF(AND($P21=FALSE, $A21=FALSE), -J21, IF(AND($P21=FALSE, $A21=TRUE), 0, IF($P21=TRUE, (J21 / $R21) * 100 * ($S21 / 100)-J21, ))), )</f>
        <v/>
      </c>
      <c r="AD21" s="32" t="str">
        <f t="shared" si="25"/>
        <v/>
      </c>
      <c r="AE21" s="32" t="str">
        <f t="shared" si="25"/>
        <v/>
      </c>
      <c r="AF21" s="32" t="str">
        <f t="shared" si="25"/>
        <v/>
      </c>
      <c r="AG21" s="32" t="str">
        <f t="shared" si="25"/>
        <v/>
      </c>
      <c r="AH21" s="33"/>
    </row>
    <row r="22" hidden="1" outlineLevel="3">
      <c r="A22" s="16" t="b">
        <v>0</v>
      </c>
      <c r="B22" s="17"/>
      <c r="C22" s="18"/>
      <c r="D22" s="19"/>
      <c r="E22" s="20"/>
      <c r="F22" s="34"/>
      <c r="G22" s="23"/>
      <c r="H22" s="23"/>
      <c r="I22" s="23"/>
      <c r="J22" s="23"/>
      <c r="K22" s="23"/>
      <c r="L22" s="23"/>
      <c r="M22" s="23"/>
      <c r="N22" s="23"/>
      <c r="O22" s="24"/>
      <c r="P22" s="16" t="b">
        <v>0</v>
      </c>
      <c r="Q22" s="24"/>
      <c r="R22" s="25"/>
      <c r="S22" s="25"/>
      <c r="T22" s="35"/>
      <c r="U22" s="24"/>
      <c r="V22" s="28" t="s">
        <v>32</v>
      </c>
      <c r="W22" s="29" t="s">
        <v>22</v>
      </c>
      <c r="X22" s="21" t="s">
        <v>45</v>
      </c>
      <c r="Y22" s="31"/>
      <c r="Z22" s="26" t="str">
        <f t="shared" si="5"/>
        <v/>
      </c>
      <c r="AA22" s="26" t="str">
        <f t="shared" si="6"/>
        <v/>
      </c>
      <c r="AB22" s="32" t="str">
        <f t="shared" si="7"/>
        <v/>
      </c>
      <c r="AC22" s="32" t="str">
        <f t="shared" ref="AC22:AG22" si="26">IF(J22&lt;&gt;"", IF(AND($P22=FALSE, $A22=FALSE), -J22, IF(AND($P22=FALSE, $A22=TRUE), 0, IF($P22=TRUE, (J22 / $R22) * 100 * ($S22 / 100)-J22, ))), )</f>
        <v/>
      </c>
      <c r="AD22" s="32" t="str">
        <f t="shared" si="26"/>
        <v/>
      </c>
      <c r="AE22" s="32" t="str">
        <f t="shared" si="26"/>
        <v/>
      </c>
      <c r="AF22" s="32" t="str">
        <f t="shared" si="26"/>
        <v/>
      </c>
      <c r="AG22" s="32" t="str">
        <f t="shared" si="26"/>
        <v/>
      </c>
      <c r="AH22" s="33"/>
    </row>
    <row r="23" hidden="1" outlineLevel="2" collapsed="1">
      <c r="A23" s="16" t="b">
        <v>0</v>
      </c>
      <c r="B23" s="17"/>
      <c r="C23" s="18"/>
      <c r="D23" s="19">
        <v>45174.0</v>
      </c>
      <c r="E23" s="20" t="s">
        <v>24</v>
      </c>
      <c r="F23" s="21" t="s">
        <v>25</v>
      </c>
      <c r="G23" s="22">
        <v>1.0</v>
      </c>
      <c r="H23" s="22">
        <v>1.0</v>
      </c>
      <c r="I23" s="23"/>
      <c r="J23" s="22"/>
      <c r="K23" s="23"/>
      <c r="L23" s="22"/>
      <c r="M23" s="23"/>
      <c r="N23" s="23"/>
      <c r="O23" s="24"/>
      <c r="P23" s="16" t="b">
        <v>0</v>
      </c>
      <c r="Q23" s="24"/>
      <c r="R23" s="25">
        <v>2.0</v>
      </c>
      <c r="S23" s="26">
        <v>15.0</v>
      </c>
      <c r="T23" s="27" t="s">
        <v>46</v>
      </c>
      <c r="U23" s="24"/>
      <c r="V23" s="28"/>
      <c r="W23" s="29"/>
      <c r="X23" s="30"/>
      <c r="Y23" s="31"/>
      <c r="Z23" s="26">
        <f t="shared" si="5"/>
        <v>-1</v>
      </c>
      <c r="AA23" s="26" t="str">
        <f t="shared" si="6"/>
        <v/>
      </c>
      <c r="AB23" s="32">
        <f t="shared" si="7"/>
        <v>-1</v>
      </c>
      <c r="AC23" s="32" t="str">
        <f t="shared" ref="AC23:AG23" si="27">IF(J23&lt;&gt;"", IF(AND($P23=FALSE, $A23=FALSE), -J23, IF(AND($P23=FALSE, $A23=TRUE), 0, IF($P23=TRUE, (J23 / $R23) * 100 * ($S23 / 100)-J23, ))), )</f>
        <v/>
      </c>
      <c r="AD23" s="32" t="str">
        <f t="shared" si="27"/>
        <v/>
      </c>
      <c r="AE23" s="32" t="str">
        <f t="shared" si="27"/>
        <v/>
      </c>
      <c r="AF23" s="32" t="str">
        <f t="shared" si="27"/>
        <v/>
      </c>
      <c r="AG23" s="32" t="str">
        <f t="shared" si="27"/>
        <v/>
      </c>
      <c r="AH23" s="33"/>
    </row>
    <row r="24" hidden="1" outlineLevel="3">
      <c r="A24" s="16" t="b">
        <v>0</v>
      </c>
      <c r="B24" s="17"/>
      <c r="C24" s="18"/>
      <c r="D24" s="19"/>
      <c r="E24" s="20"/>
      <c r="F24" s="34"/>
      <c r="G24" s="23"/>
      <c r="H24" s="23"/>
      <c r="I24" s="23"/>
      <c r="J24" s="23"/>
      <c r="K24" s="23"/>
      <c r="L24" s="23"/>
      <c r="M24" s="23"/>
      <c r="N24" s="23"/>
      <c r="O24" s="24"/>
      <c r="P24" s="16" t="b">
        <v>0</v>
      </c>
      <c r="Q24" s="24"/>
      <c r="R24" s="25"/>
      <c r="S24" s="25"/>
      <c r="T24" s="35"/>
      <c r="U24" s="24"/>
      <c r="V24" s="28" t="s">
        <v>32</v>
      </c>
      <c r="W24" s="29" t="s">
        <v>22</v>
      </c>
      <c r="X24" s="21" t="s">
        <v>47</v>
      </c>
      <c r="Y24" s="31"/>
      <c r="Z24" s="26" t="str">
        <f t="shared" si="5"/>
        <v/>
      </c>
      <c r="AA24" s="26" t="str">
        <f t="shared" si="6"/>
        <v/>
      </c>
      <c r="AB24" s="32" t="str">
        <f t="shared" si="7"/>
        <v/>
      </c>
      <c r="AC24" s="32" t="str">
        <f t="shared" ref="AC24:AG24" si="28">IF(J24&lt;&gt;"", IF(AND($P24=FALSE, $A24=FALSE), -J24, IF(AND($P24=FALSE, $A24=TRUE), 0, IF($P24=TRUE, (J24 / $R24) * 100 * ($S24 / 100)-J24, ))), )</f>
        <v/>
      </c>
      <c r="AD24" s="32" t="str">
        <f t="shared" si="28"/>
        <v/>
      </c>
      <c r="AE24" s="32" t="str">
        <f t="shared" si="28"/>
        <v/>
      </c>
      <c r="AF24" s="32" t="str">
        <f t="shared" si="28"/>
        <v/>
      </c>
      <c r="AG24" s="32" t="str">
        <f t="shared" si="28"/>
        <v/>
      </c>
      <c r="AH24" s="33"/>
    </row>
    <row r="25" hidden="1" outlineLevel="2" collapsed="1">
      <c r="A25" s="16" t="b">
        <v>0</v>
      </c>
      <c r="B25" s="17"/>
      <c r="C25" s="18"/>
      <c r="D25" s="19">
        <v>45174.0</v>
      </c>
      <c r="E25" s="20" t="s">
        <v>24</v>
      </c>
      <c r="F25" s="21" t="s">
        <v>25</v>
      </c>
      <c r="G25" s="22">
        <v>1.0</v>
      </c>
      <c r="H25" s="22">
        <v>1.0</v>
      </c>
      <c r="I25" s="23"/>
      <c r="J25" s="22"/>
      <c r="K25" s="23"/>
      <c r="L25" s="22"/>
      <c r="M25" s="23"/>
      <c r="N25" s="23"/>
      <c r="O25" s="24"/>
      <c r="P25" s="16" t="b">
        <v>0</v>
      </c>
      <c r="Q25" s="24"/>
      <c r="R25" s="25">
        <v>2.0</v>
      </c>
      <c r="S25" s="26">
        <v>18.0</v>
      </c>
      <c r="T25" s="27" t="s">
        <v>48</v>
      </c>
      <c r="U25" s="24"/>
      <c r="V25" s="28"/>
      <c r="W25" s="29"/>
      <c r="X25" s="30"/>
      <c r="Y25" s="31"/>
      <c r="Z25" s="26">
        <f t="shared" si="5"/>
        <v>-1</v>
      </c>
      <c r="AA25" s="26" t="str">
        <f t="shared" si="6"/>
        <v/>
      </c>
      <c r="AB25" s="32">
        <f t="shared" si="7"/>
        <v>-1</v>
      </c>
      <c r="AC25" s="32" t="str">
        <f t="shared" ref="AC25:AG25" si="29">IF(J25&lt;&gt;"", IF(AND($P25=FALSE, $A25=FALSE), -J25, IF(AND($P25=FALSE, $A25=TRUE), 0, IF($P25=TRUE, (J25 / $R25) * 100 * ($S25 / 100)-J25, ))), )</f>
        <v/>
      </c>
      <c r="AD25" s="32" t="str">
        <f t="shared" si="29"/>
        <v/>
      </c>
      <c r="AE25" s="32" t="str">
        <f t="shared" si="29"/>
        <v/>
      </c>
      <c r="AF25" s="32" t="str">
        <f t="shared" si="29"/>
        <v/>
      </c>
      <c r="AG25" s="32" t="str">
        <f t="shared" si="29"/>
        <v/>
      </c>
      <c r="AH25" s="33"/>
    </row>
    <row r="26" hidden="1" outlineLevel="3">
      <c r="A26" s="16" t="b">
        <v>0</v>
      </c>
      <c r="B26" s="17"/>
      <c r="C26" s="18"/>
      <c r="D26" s="19"/>
      <c r="E26" s="20"/>
      <c r="F26" s="34"/>
      <c r="G26" s="23"/>
      <c r="H26" s="23"/>
      <c r="I26" s="23"/>
      <c r="J26" s="23"/>
      <c r="K26" s="23"/>
      <c r="L26" s="23"/>
      <c r="M26" s="23"/>
      <c r="N26" s="23"/>
      <c r="O26" s="24"/>
      <c r="P26" s="16" t="b">
        <v>0</v>
      </c>
      <c r="Q26" s="24"/>
      <c r="R26" s="25"/>
      <c r="S26" s="25"/>
      <c r="T26" s="35"/>
      <c r="U26" s="24"/>
      <c r="V26" s="28" t="s">
        <v>32</v>
      </c>
      <c r="W26" s="29" t="s">
        <v>22</v>
      </c>
      <c r="X26" s="37" t="s">
        <v>49</v>
      </c>
      <c r="Y26" s="31"/>
      <c r="Z26" s="26" t="str">
        <f t="shared" si="5"/>
        <v/>
      </c>
      <c r="AA26" s="26" t="str">
        <f t="shared" si="6"/>
        <v/>
      </c>
      <c r="AB26" s="32" t="str">
        <f t="shared" si="7"/>
        <v/>
      </c>
      <c r="AC26" s="32" t="str">
        <f t="shared" ref="AC26:AG26" si="30">IF(J26&lt;&gt;"", IF(AND($P26=FALSE, $A26=FALSE), -J26, IF(AND($P26=FALSE, $A26=TRUE), 0, IF($P26=TRUE, (J26 / $R26) * 100 * ($S26 / 100)-J26, ))), )</f>
        <v/>
      </c>
      <c r="AD26" s="32" t="str">
        <f t="shared" si="30"/>
        <v/>
      </c>
      <c r="AE26" s="32" t="str">
        <f t="shared" si="30"/>
        <v/>
      </c>
      <c r="AF26" s="32" t="str">
        <f t="shared" si="30"/>
        <v/>
      </c>
      <c r="AG26" s="32" t="str">
        <f t="shared" si="30"/>
        <v/>
      </c>
      <c r="AH26" s="33"/>
    </row>
    <row r="27" hidden="1" outlineLevel="2">
      <c r="A27" s="16" t="b">
        <v>0</v>
      </c>
      <c r="B27" s="17"/>
      <c r="C27" s="18"/>
      <c r="D27" s="19">
        <v>45174.0</v>
      </c>
      <c r="E27" s="20" t="s">
        <v>24</v>
      </c>
      <c r="F27" s="21" t="s">
        <v>25</v>
      </c>
      <c r="G27" s="22">
        <v>1.0</v>
      </c>
      <c r="H27" s="22">
        <v>1.0</v>
      </c>
      <c r="I27" s="23"/>
      <c r="J27" s="22"/>
      <c r="K27" s="23"/>
      <c r="L27" s="22"/>
      <c r="M27" s="23"/>
      <c r="N27" s="23"/>
      <c r="O27" s="24"/>
      <c r="P27" s="16" t="b">
        <v>0</v>
      </c>
      <c r="Q27" s="24"/>
      <c r="R27" s="25">
        <v>2.0</v>
      </c>
      <c r="S27" s="26">
        <v>14.0</v>
      </c>
      <c r="T27" s="27" t="s">
        <v>50</v>
      </c>
      <c r="U27" s="24"/>
      <c r="V27" s="28"/>
      <c r="W27" s="29"/>
      <c r="X27" s="30"/>
      <c r="Y27" s="31"/>
      <c r="Z27" s="26">
        <f t="shared" si="5"/>
        <v>-1</v>
      </c>
      <c r="AA27" s="26" t="str">
        <f t="shared" si="6"/>
        <v/>
      </c>
      <c r="AB27" s="32">
        <f t="shared" si="7"/>
        <v>-1</v>
      </c>
      <c r="AC27" s="32" t="str">
        <f t="shared" ref="AC27:AG27" si="31">IF(J27&lt;&gt;"", IF(AND($P27=FALSE, $A27=FALSE), -J27, IF(AND($P27=FALSE, $A27=TRUE), 0, IF($P27=TRUE, (J27 / $R27) * 100 * ($S27 / 100)-J27, ))), )</f>
        <v/>
      </c>
      <c r="AD27" s="32" t="str">
        <f t="shared" si="31"/>
        <v/>
      </c>
      <c r="AE27" s="32" t="str">
        <f t="shared" si="31"/>
        <v/>
      </c>
      <c r="AF27" s="32" t="str">
        <f t="shared" si="31"/>
        <v/>
      </c>
      <c r="AG27" s="32" t="str">
        <f t="shared" si="31"/>
        <v/>
      </c>
      <c r="AH27" s="33"/>
    </row>
    <row r="28" hidden="1" outlineLevel="3">
      <c r="A28" s="16" t="b">
        <v>0</v>
      </c>
      <c r="B28" s="17"/>
      <c r="C28" s="18"/>
      <c r="D28" s="19"/>
      <c r="E28" s="20"/>
      <c r="F28" s="34"/>
      <c r="G28" s="23"/>
      <c r="H28" s="23"/>
      <c r="I28" s="23"/>
      <c r="J28" s="23"/>
      <c r="K28" s="23"/>
      <c r="L28" s="23"/>
      <c r="M28" s="23"/>
      <c r="N28" s="23"/>
      <c r="O28" s="24"/>
      <c r="P28" s="16" t="b">
        <v>0</v>
      </c>
      <c r="Q28" s="24"/>
      <c r="R28" s="25"/>
      <c r="S28" s="25"/>
      <c r="T28" s="35"/>
      <c r="U28" s="24"/>
      <c r="V28" s="28" t="s">
        <v>32</v>
      </c>
      <c r="W28" s="29" t="s">
        <v>22</v>
      </c>
      <c r="X28" s="21" t="s">
        <v>51</v>
      </c>
      <c r="Y28" s="31"/>
      <c r="Z28" s="26" t="str">
        <f t="shared" si="5"/>
        <v/>
      </c>
      <c r="AA28" s="26" t="str">
        <f t="shared" si="6"/>
        <v/>
      </c>
      <c r="AB28" s="32" t="str">
        <f t="shared" si="7"/>
        <v/>
      </c>
      <c r="AC28" s="32" t="str">
        <f t="shared" ref="AC28:AG28" si="32">IF(J28&lt;&gt;"", IF(AND($P28=FALSE, $A28=FALSE), -J28, IF(AND($P28=FALSE, $A28=TRUE), 0, IF($P28=TRUE, (J28 / $R28) * 100 * ($S28 / 100)-J28, ))), )</f>
        <v/>
      </c>
      <c r="AD28" s="32" t="str">
        <f t="shared" si="32"/>
        <v/>
      </c>
      <c r="AE28" s="32" t="str">
        <f t="shared" si="32"/>
        <v/>
      </c>
      <c r="AF28" s="32" t="str">
        <f t="shared" si="32"/>
        <v/>
      </c>
      <c r="AG28" s="32" t="str">
        <f t="shared" si="32"/>
        <v/>
      </c>
      <c r="AH28" s="33"/>
    </row>
    <row r="29" hidden="1" outlineLevel="1" collapsed="1">
      <c r="A29" s="16" t="b">
        <v>0</v>
      </c>
      <c r="B29" s="17"/>
      <c r="C29" s="18"/>
      <c r="D29" s="41">
        <v>45243.0</v>
      </c>
      <c r="E29" s="20" t="s">
        <v>24</v>
      </c>
      <c r="F29" s="21" t="s">
        <v>52</v>
      </c>
      <c r="G29" s="23">
        <v>1.0</v>
      </c>
      <c r="H29" s="23">
        <v>0.5</v>
      </c>
      <c r="I29" s="23"/>
      <c r="J29" s="23"/>
      <c r="K29" s="23"/>
      <c r="L29" s="23"/>
      <c r="M29" s="23"/>
      <c r="N29" s="23"/>
      <c r="O29" s="24"/>
      <c r="P29" s="16" t="b">
        <v>0</v>
      </c>
      <c r="Q29" s="24"/>
      <c r="R29" s="26">
        <v>1.5</v>
      </c>
      <c r="S29" s="26">
        <v>6.75</v>
      </c>
      <c r="T29" s="27" t="s">
        <v>53</v>
      </c>
      <c r="U29" s="24"/>
      <c r="V29" s="28"/>
      <c r="W29" s="29"/>
      <c r="X29" s="30"/>
      <c r="Y29" s="31"/>
      <c r="Z29" s="26">
        <f t="shared" si="5"/>
        <v>-1</v>
      </c>
      <c r="AA29" s="26" t="str">
        <f t="shared" si="6"/>
        <v/>
      </c>
      <c r="AB29" s="32">
        <f t="shared" si="7"/>
        <v>-0.5</v>
      </c>
      <c r="AC29" s="32" t="str">
        <f t="shared" ref="AC29:AG29" si="33">IF(J29&lt;&gt;"", IF(AND($P29=FALSE, $A29=FALSE), -J29, IF(AND($P29=FALSE, $A29=TRUE), 0, IF($P29=TRUE, (J29 / $R29) * 100 * ($S29 / 100)-J29, ))), )</f>
        <v/>
      </c>
      <c r="AD29" s="32" t="str">
        <f t="shared" si="33"/>
        <v/>
      </c>
      <c r="AE29" s="32" t="str">
        <f t="shared" si="33"/>
        <v/>
      </c>
      <c r="AF29" s="32" t="str">
        <f t="shared" si="33"/>
        <v/>
      </c>
      <c r="AG29" s="32" t="str">
        <f t="shared" si="33"/>
        <v/>
      </c>
      <c r="AH29" s="33"/>
    </row>
    <row r="30" hidden="1" outlineLevel="3">
      <c r="A30" s="16" t="b">
        <v>0</v>
      </c>
      <c r="B30" s="17"/>
      <c r="C30" s="18"/>
      <c r="D30" s="34"/>
      <c r="E30" s="20"/>
      <c r="F30" s="34"/>
      <c r="G30" s="23"/>
      <c r="H30" s="23"/>
      <c r="I30" s="23"/>
      <c r="J30" s="23"/>
      <c r="K30" s="23"/>
      <c r="L30" s="23"/>
      <c r="M30" s="23"/>
      <c r="N30" s="23"/>
      <c r="O30" s="24"/>
      <c r="P30" s="16" t="b">
        <v>0</v>
      </c>
      <c r="Q30" s="24"/>
      <c r="R30" s="26"/>
      <c r="S30" s="26"/>
      <c r="T30" s="35"/>
      <c r="U30" s="24"/>
      <c r="V30" s="28" t="s">
        <v>32</v>
      </c>
      <c r="W30" s="29" t="s">
        <v>22</v>
      </c>
      <c r="X30" s="37" t="s">
        <v>54</v>
      </c>
      <c r="Y30" s="31"/>
      <c r="Z30" s="26" t="str">
        <f t="shared" si="5"/>
        <v/>
      </c>
      <c r="AA30" s="26" t="str">
        <f t="shared" si="6"/>
        <v/>
      </c>
      <c r="AB30" s="32" t="str">
        <f t="shared" si="7"/>
        <v/>
      </c>
      <c r="AC30" s="32" t="str">
        <f t="shared" ref="AC30:AG30" si="34">IF(J30&lt;&gt;"", IF(AND($P30=FALSE, $A30=FALSE), -J30, IF(AND($P30=FALSE, $A30=TRUE), 0, IF($P30=TRUE, (J30 / $R30) * 100 * ($S30 / 100)-J30, ))), )</f>
        <v/>
      </c>
      <c r="AD30" s="32" t="str">
        <f t="shared" si="34"/>
        <v/>
      </c>
      <c r="AE30" s="32" t="str">
        <f t="shared" si="34"/>
        <v/>
      </c>
      <c r="AF30" s="32" t="str">
        <f t="shared" si="34"/>
        <v/>
      </c>
      <c r="AG30" s="32" t="str">
        <f t="shared" si="34"/>
        <v/>
      </c>
      <c r="AH30" s="33"/>
    </row>
    <row r="31" hidden="1" outlineLevel="2">
      <c r="A31" s="16" t="b">
        <v>0</v>
      </c>
      <c r="B31" s="17"/>
      <c r="C31" s="18"/>
      <c r="D31" s="41">
        <v>45243.0</v>
      </c>
      <c r="E31" s="20" t="s">
        <v>24</v>
      </c>
      <c r="F31" s="21" t="s">
        <v>52</v>
      </c>
      <c r="G31" s="23">
        <v>3.0</v>
      </c>
      <c r="H31" s="23">
        <v>1.5</v>
      </c>
      <c r="I31" s="23"/>
      <c r="J31" s="23"/>
      <c r="K31" s="23"/>
      <c r="L31" s="23"/>
      <c r="M31" s="23"/>
      <c r="N31" s="23"/>
      <c r="O31" s="24"/>
      <c r="P31" s="16" t="b">
        <v>1</v>
      </c>
      <c r="Q31" s="24"/>
      <c r="R31" s="26">
        <v>4.5</v>
      </c>
      <c r="S31" s="26">
        <v>13.5</v>
      </c>
      <c r="T31" s="27" t="s">
        <v>55</v>
      </c>
      <c r="U31" s="24"/>
      <c r="V31" s="28"/>
      <c r="W31" s="29"/>
      <c r="X31" s="30"/>
      <c r="Y31" s="31"/>
      <c r="Z31" s="26">
        <f t="shared" si="5"/>
        <v>6</v>
      </c>
      <c r="AA31" s="26" t="str">
        <f t="shared" si="6"/>
        <v/>
      </c>
      <c r="AB31" s="32">
        <f t="shared" si="7"/>
        <v>3</v>
      </c>
      <c r="AC31" s="32" t="str">
        <f t="shared" ref="AC31:AG31" si="35">IF(J31&lt;&gt;"", IF(AND($P31=FALSE, $A31=FALSE), -J31, IF(AND($P31=FALSE, $A31=TRUE), 0, IF($P31=TRUE, (J31 / $R31) * 100 * ($S31 / 100)-J31, ))), )</f>
        <v/>
      </c>
      <c r="AD31" s="32" t="str">
        <f t="shared" si="35"/>
        <v/>
      </c>
      <c r="AE31" s="32" t="str">
        <f t="shared" si="35"/>
        <v/>
      </c>
      <c r="AF31" s="32" t="str">
        <f t="shared" si="35"/>
        <v/>
      </c>
      <c r="AG31" s="32" t="str">
        <f t="shared" si="35"/>
        <v/>
      </c>
      <c r="AH31" s="33"/>
    </row>
    <row r="32" hidden="1" outlineLevel="3">
      <c r="A32" s="16" t="b">
        <v>0</v>
      </c>
      <c r="B32" s="17"/>
      <c r="C32" s="18"/>
      <c r="D32" s="34"/>
      <c r="E32" s="20"/>
      <c r="F32" s="34"/>
      <c r="G32" s="23"/>
      <c r="H32" s="23"/>
      <c r="I32" s="23"/>
      <c r="J32" s="23"/>
      <c r="K32" s="23"/>
      <c r="L32" s="23"/>
      <c r="M32" s="23"/>
      <c r="N32" s="23"/>
      <c r="O32" s="24"/>
      <c r="P32" s="16" t="b">
        <v>0</v>
      </c>
      <c r="Q32" s="24"/>
      <c r="R32" s="26"/>
      <c r="S32" s="26"/>
      <c r="T32" s="35"/>
      <c r="U32" s="24"/>
      <c r="V32" s="38" t="s">
        <v>29</v>
      </c>
      <c r="W32" s="29" t="s">
        <v>22</v>
      </c>
      <c r="X32" s="37" t="s">
        <v>56</v>
      </c>
      <c r="Y32" s="31"/>
      <c r="Z32" s="26" t="str">
        <f t="shared" si="5"/>
        <v/>
      </c>
      <c r="AA32" s="26" t="str">
        <f t="shared" si="6"/>
        <v/>
      </c>
      <c r="AB32" s="32" t="str">
        <f t="shared" si="7"/>
        <v/>
      </c>
      <c r="AC32" s="32" t="str">
        <f t="shared" ref="AC32:AG32" si="36">IF(J32&lt;&gt;"", IF(AND($P32=FALSE, $A32=FALSE), -J32, IF(AND($P32=FALSE, $A32=TRUE), 0, IF($P32=TRUE, (J32 / $R32) * 100 * ($S32 / 100)-J32, ))), )</f>
        <v/>
      </c>
      <c r="AD32" s="32" t="str">
        <f t="shared" si="36"/>
        <v/>
      </c>
      <c r="AE32" s="32" t="str">
        <f t="shared" si="36"/>
        <v/>
      </c>
      <c r="AF32" s="32" t="str">
        <f t="shared" si="36"/>
        <v/>
      </c>
      <c r="AG32" s="32" t="str">
        <f t="shared" si="36"/>
        <v/>
      </c>
      <c r="AH32" s="33"/>
    </row>
    <row r="33" hidden="1" outlineLevel="1" collapsed="1">
      <c r="A33" s="16" t="b">
        <v>0</v>
      </c>
      <c r="B33" s="17"/>
      <c r="C33" s="18"/>
      <c r="D33" s="42">
        <v>45260.0</v>
      </c>
      <c r="E33" s="43" t="s">
        <v>24</v>
      </c>
      <c r="F33" s="44" t="s">
        <v>57</v>
      </c>
      <c r="G33" s="45">
        <v>2.0</v>
      </c>
      <c r="H33" s="45">
        <v>1.0</v>
      </c>
      <c r="I33" s="45"/>
      <c r="J33" s="46"/>
      <c r="K33" s="46"/>
      <c r="L33" s="45"/>
      <c r="M33" s="46"/>
      <c r="N33" s="46"/>
      <c r="O33" s="47"/>
      <c r="P33" s="16" t="b">
        <v>0</v>
      </c>
      <c r="Q33" s="24"/>
      <c r="R33" s="48">
        <v>3.0</v>
      </c>
      <c r="S33" s="45">
        <v>12.0</v>
      </c>
      <c r="T33" s="49" t="s">
        <v>58</v>
      </c>
      <c r="U33" s="47"/>
      <c r="V33" s="28"/>
      <c r="W33" s="29"/>
      <c r="X33" s="30"/>
      <c r="Y33" s="31"/>
      <c r="Z33" s="26">
        <f t="shared" si="5"/>
        <v>-2</v>
      </c>
      <c r="AA33" s="26" t="str">
        <f t="shared" si="6"/>
        <v/>
      </c>
      <c r="AB33" s="32">
        <f t="shared" si="7"/>
        <v>-1</v>
      </c>
      <c r="AC33" s="32" t="str">
        <f t="shared" ref="AC33:AG33" si="37">IF(J33&lt;&gt;"", IF(AND($P33=FALSE, $A33=FALSE), -J33, IF(AND($P33=FALSE, $A33=TRUE), 0, IF($P33=TRUE, (J33 / $R33) * 100 * ($S33 / 100)-J33, ))), )</f>
        <v/>
      </c>
      <c r="AD33" s="32" t="str">
        <f t="shared" si="37"/>
        <v/>
      </c>
      <c r="AE33" s="32" t="str">
        <f t="shared" si="37"/>
        <v/>
      </c>
      <c r="AF33" s="32" t="str">
        <f t="shared" si="37"/>
        <v/>
      </c>
      <c r="AG33" s="32" t="str">
        <f t="shared" si="37"/>
        <v/>
      </c>
      <c r="AH33" s="33"/>
    </row>
    <row r="34" hidden="1" outlineLevel="3">
      <c r="A34" s="16" t="b">
        <v>0</v>
      </c>
      <c r="B34" s="17"/>
      <c r="C34" s="18"/>
      <c r="D34" s="34"/>
      <c r="E34" s="43"/>
      <c r="F34" s="44"/>
      <c r="G34" s="23"/>
      <c r="H34" s="23"/>
      <c r="I34" s="23"/>
      <c r="J34" s="23"/>
      <c r="K34" s="23"/>
      <c r="L34" s="23"/>
      <c r="M34" s="23"/>
      <c r="N34" s="23"/>
      <c r="O34" s="24"/>
      <c r="P34" s="16" t="b">
        <v>0</v>
      </c>
      <c r="Q34" s="24"/>
      <c r="R34" s="50"/>
      <c r="S34" s="34"/>
      <c r="T34" s="49"/>
      <c r="U34" s="24"/>
      <c r="V34" s="28" t="s">
        <v>32</v>
      </c>
      <c r="W34" s="29" t="s">
        <v>22</v>
      </c>
      <c r="X34" s="37" t="s">
        <v>59</v>
      </c>
      <c r="Y34" s="31"/>
      <c r="Z34" s="26" t="str">
        <f t="shared" si="5"/>
        <v/>
      </c>
      <c r="AA34" s="26" t="str">
        <f t="shared" si="6"/>
        <v/>
      </c>
      <c r="AB34" s="32" t="str">
        <f t="shared" si="7"/>
        <v/>
      </c>
      <c r="AC34" s="32" t="str">
        <f t="shared" ref="AC34:AG34" si="38">IF(J34&lt;&gt;"", IF(AND($P34=FALSE, $A34=FALSE), -J34, IF(AND($P34=FALSE, $A34=TRUE), 0, IF($P34=TRUE, (J34 / $R34) * 100 * ($S34 / 100)-J34, ))), )</f>
        <v/>
      </c>
      <c r="AD34" s="32" t="str">
        <f t="shared" si="38"/>
        <v/>
      </c>
      <c r="AE34" s="32" t="str">
        <f t="shared" si="38"/>
        <v/>
      </c>
      <c r="AF34" s="32" t="str">
        <f t="shared" si="38"/>
        <v/>
      </c>
      <c r="AG34" s="32" t="str">
        <f t="shared" si="38"/>
        <v/>
      </c>
      <c r="AH34" s="33"/>
    </row>
    <row r="35" hidden="1" outlineLevel="1" collapsed="1">
      <c r="A35" s="16" t="b">
        <v>0</v>
      </c>
      <c r="B35" s="17"/>
      <c r="C35" s="18"/>
      <c r="D35" s="41">
        <v>45235.0</v>
      </c>
      <c r="E35" s="20" t="s">
        <v>60</v>
      </c>
      <c r="F35" s="21" t="s">
        <v>61</v>
      </c>
      <c r="G35" s="22">
        <v>2.0</v>
      </c>
      <c r="H35" s="22">
        <v>1.0</v>
      </c>
      <c r="I35" s="22">
        <v>2.0</v>
      </c>
      <c r="J35" s="22"/>
      <c r="K35" s="23"/>
      <c r="L35" s="22"/>
      <c r="M35" s="23"/>
      <c r="N35" s="23"/>
      <c r="O35" s="24"/>
      <c r="P35" s="16" t="b">
        <v>0</v>
      </c>
      <c r="Q35" s="24"/>
      <c r="R35" s="25">
        <v>5.0</v>
      </c>
      <c r="S35" s="26">
        <v>12.13</v>
      </c>
      <c r="T35" s="27" t="s">
        <v>62</v>
      </c>
      <c r="U35" s="24"/>
      <c r="V35" s="28"/>
      <c r="W35" s="29"/>
      <c r="X35" s="30"/>
      <c r="Y35" s="31"/>
      <c r="Z35" s="26">
        <f t="shared" si="5"/>
        <v>-2</v>
      </c>
      <c r="AA35" s="26">
        <f t="shared" si="6"/>
        <v>-2</v>
      </c>
      <c r="AB35" s="32">
        <f t="shared" si="7"/>
        <v>-1</v>
      </c>
      <c r="AC35" s="32" t="str">
        <f t="shared" ref="AC35:AG35" si="39">IF(J35&lt;&gt;"", IF(AND($P35=FALSE, $A35=FALSE), -J35, IF(AND($P35=FALSE, $A35=TRUE), 0, IF($P35=TRUE, (J35 / $R35) * 100 * ($S35 / 100)-J35, ))), )</f>
        <v/>
      </c>
      <c r="AD35" s="32" t="str">
        <f t="shared" si="39"/>
        <v/>
      </c>
      <c r="AE35" s="32" t="str">
        <f t="shared" si="39"/>
        <v/>
      </c>
      <c r="AF35" s="32" t="str">
        <f t="shared" si="39"/>
        <v/>
      </c>
      <c r="AG35" s="32" t="str">
        <f t="shared" si="39"/>
        <v/>
      </c>
      <c r="AH35" s="33"/>
    </row>
    <row r="36" hidden="1" outlineLevel="3">
      <c r="A36" s="16" t="b">
        <v>0</v>
      </c>
      <c r="B36" s="17"/>
      <c r="C36" s="18"/>
      <c r="D36" s="19"/>
      <c r="E36" s="29"/>
      <c r="F36" s="34"/>
      <c r="G36" s="23"/>
      <c r="H36" s="23"/>
      <c r="I36" s="23"/>
      <c r="J36" s="23"/>
      <c r="K36" s="23"/>
      <c r="L36" s="23"/>
      <c r="M36" s="23"/>
      <c r="N36" s="23"/>
      <c r="O36" s="24"/>
      <c r="P36" s="16" t="b">
        <v>0</v>
      </c>
      <c r="Q36" s="24"/>
      <c r="R36" s="25"/>
      <c r="S36" s="25"/>
      <c r="T36" s="35"/>
      <c r="U36" s="24"/>
      <c r="V36" s="51" t="s">
        <v>32</v>
      </c>
      <c r="W36" s="29" t="s">
        <v>22</v>
      </c>
      <c r="X36" s="40" t="s">
        <v>63</v>
      </c>
      <c r="Y36" s="31"/>
      <c r="Z36" s="26" t="str">
        <f t="shared" si="5"/>
        <v/>
      </c>
      <c r="AA36" s="26" t="str">
        <f t="shared" si="6"/>
        <v/>
      </c>
      <c r="AB36" s="32" t="str">
        <f t="shared" si="7"/>
        <v/>
      </c>
      <c r="AC36" s="32" t="str">
        <f t="shared" ref="AC36:AG36" si="40">IF(J36&lt;&gt;"", IF(AND($P36=FALSE, $A36=FALSE), -J36, IF(AND($P36=FALSE, $A36=TRUE), 0, IF($P36=TRUE, (J36 / $R36) * 100 * ($S36 / 100)-J36, ))), )</f>
        <v/>
      </c>
      <c r="AD36" s="32" t="str">
        <f t="shared" si="40"/>
        <v/>
      </c>
      <c r="AE36" s="32" t="str">
        <f t="shared" si="40"/>
        <v/>
      </c>
      <c r="AF36" s="32" t="str">
        <f t="shared" si="40"/>
        <v/>
      </c>
      <c r="AG36" s="32" t="str">
        <f t="shared" si="40"/>
        <v/>
      </c>
      <c r="AH36" s="33"/>
    </row>
    <row r="37" hidden="1" outlineLevel="3">
      <c r="A37" s="16" t="b">
        <v>0</v>
      </c>
      <c r="B37" s="17"/>
      <c r="C37" s="18"/>
      <c r="D37" s="19"/>
      <c r="E37" s="29"/>
      <c r="F37" s="34"/>
      <c r="G37" s="23"/>
      <c r="H37" s="23"/>
      <c r="I37" s="23"/>
      <c r="J37" s="23"/>
      <c r="K37" s="23"/>
      <c r="L37" s="23"/>
      <c r="M37" s="23"/>
      <c r="N37" s="23"/>
      <c r="O37" s="24"/>
      <c r="P37" s="16" t="b">
        <v>0</v>
      </c>
      <c r="Q37" s="24"/>
      <c r="R37" s="25"/>
      <c r="S37" s="25"/>
      <c r="T37" s="35"/>
      <c r="U37" s="24"/>
      <c r="V37" s="52" t="s">
        <v>29</v>
      </c>
      <c r="W37" s="29" t="s">
        <v>22</v>
      </c>
      <c r="X37" s="40" t="s">
        <v>64</v>
      </c>
      <c r="Y37" s="31"/>
      <c r="Z37" s="26" t="str">
        <f t="shared" si="5"/>
        <v/>
      </c>
      <c r="AA37" s="26" t="str">
        <f t="shared" si="6"/>
        <v/>
      </c>
      <c r="AB37" s="32" t="str">
        <f t="shared" si="7"/>
        <v/>
      </c>
      <c r="AC37" s="32" t="str">
        <f t="shared" ref="AC37:AG37" si="41">IF(J37&lt;&gt;"", IF(AND($P37=FALSE, $A37=FALSE), -J37, IF(AND($P37=FALSE, $A37=TRUE), 0, IF($P37=TRUE, (J37 / $R37) * 100 * ($S37 / 100)-J37, ))), )</f>
        <v/>
      </c>
      <c r="AD37" s="32" t="str">
        <f t="shared" si="41"/>
        <v/>
      </c>
      <c r="AE37" s="32" t="str">
        <f t="shared" si="41"/>
        <v/>
      </c>
      <c r="AF37" s="32" t="str">
        <f t="shared" si="41"/>
        <v/>
      </c>
      <c r="AG37" s="32" t="str">
        <f t="shared" si="41"/>
        <v/>
      </c>
      <c r="AH37" s="33"/>
    </row>
    <row r="38" hidden="1" outlineLevel="3">
      <c r="A38" s="16" t="b">
        <v>0</v>
      </c>
      <c r="B38" s="17"/>
      <c r="C38" s="18"/>
      <c r="D38" s="19"/>
      <c r="E38" s="29"/>
      <c r="F38" s="34"/>
      <c r="G38" s="23"/>
      <c r="H38" s="23"/>
      <c r="I38" s="23"/>
      <c r="J38" s="23"/>
      <c r="K38" s="23"/>
      <c r="L38" s="23"/>
      <c r="M38" s="23"/>
      <c r="N38" s="23"/>
      <c r="O38" s="24"/>
      <c r="P38" s="16" t="b">
        <v>0</v>
      </c>
      <c r="Q38" s="24"/>
      <c r="R38" s="25"/>
      <c r="S38" s="25"/>
      <c r="T38" s="35"/>
      <c r="U38" s="24"/>
      <c r="V38" s="52" t="s">
        <v>29</v>
      </c>
      <c r="W38" s="29" t="s">
        <v>22</v>
      </c>
      <c r="X38" s="40" t="s">
        <v>65</v>
      </c>
      <c r="Y38" s="31"/>
      <c r="Z38" s="26" t="str">
        <f t="shared" si="5"/>
        <v/>
      </c>
      <c r="AA38" s="26" t="str">
        <f t="shared" si="6"/>
        <v/>
      </c>
      <c r="AB38" s="32" t="str">
        <f t="shared" si="7"/>
        <v/>
      </c>
      <c r="AC38" s="32" t="str">
        <f t="shared" ref="AC38:AG38" si="42">IF(J38&lt;&gt;"", IF(AND($P38=FALSE, $A38=FALSE), -J38, IF(AND($P38=FALSE, $A38=TRUE), 0, IF($P38=TRUE, (J38 / $R38) * 100 * ($S38 / 100)-J38, ))), )</f>
        <v/>
      </c>
      <c r="AD38" s="32" t="str">
        <f t="shared" si="42"/>
        <v/>
      </c>
      <c r="AE38" s="32" t="str">
        <f t="shared" si="42"/>
        <v/>
      </c>
      <c r="AF38" s="32" t="str">
        <f t="shared" si="42"/>
        <v/>
      </c>
      <c r="AG38" s="32" t="str">
        <f t="shared" si="42"/>
        <v/>
      </c>
      <c r="AH38" s="33"/>
    </row>
    <row r="39" hidden="1" outlineLevel="2">
      <c r="A39" s="16" t="b">
        <v>0</v>
      </c>
      <c r="B39" s="17"/>
      <c r="C39" s="18"/>
      <c r="D39" s="41">
        <v>45235.0</v>
      </c>
      <c r="E39" s="20" t="s">
        <v>60</v>
      </c>
      <c r="F39" s="21" t="s">
        <v>61</v>
      </c>
      <c r="G39" s="22">
        <v>2.0</v>
      </c>
      <c r="H39" s="22">
        <v>1.0</v>
      </c>
      <c r="I39" s="22">
        <v>2.0</v>
      </c>
      <c r="J39" s="22"/>
      <c r="K39" s="23"/>
      <c r="L39" s="22"/>
      <c r="M39" s="23"/>
      <c r="N39" s="23"/>
      <c r="O39" s="24"/>
      <c r="P39" s="16" t="b">
        <v>1</v>
      </c>
      <c r="Q39" s="24"/>
      <c r="R39" s="25">
        <v>5.0</v>
      </c>
      <c r="S39" s="26">
        <v>12.75</v>
      </c>
      <c r="T39" s="27" t="s">
        <v>66</v>
      </c>
      <c r="U39" s="24"/>
      <c r="V39" s="28"/>
      <c r="W39" s="29"/>
      <c r="X39" s="30"/>
      <c r="Y39" s="31"/>
      <c r="Z39" s="26">
        <f t="shared" si="5"/>
        <v>3.1</v>
      </c>
      <c r="AA39" s="26">
        <f t="shared" si="6"/>
        <v>3.1</v>
      </c>
      <c r="AB39" s="32">
        <f t="shared" si="7"/>
        <v>1.55</v>
      </c>
      <c r="AC39" s="32" t="str">
        <f t="shared" ref="AC39:AG39" si="43">IF(J39&lt;&gt;"", IF(AND($P39=FALSE, $A39=FALSE), -J39, IF(AND($P39=FALSE, $A39=TRUE), 0, IF($P39=TRUE, (J39 / $R39) * 100 * ($S39 / 100)-J39, ))), )</f>
        <v/>
      </c>
      <c r="AD39" s="32" t="str">
        <f t="shared" si="43"/>
        <v/>
      </c>
      <c r="AE39" s="32" t="str">
        <f t="shared" si="43"/>
        <v/>
      </c>
      <c r="AF39" s="32" t="str">
        <f t="shared" si="43"/>
        <v/>
      </c>
      <c r="AG39" s="32" t="str">
        <f t="shared" si="43"/>
        <v/>
      </c>
      <c r="AH39" s="33"/>
    </row>
    <row r="40" hidden="1" outlineLevel="3">
      <c r="A40" s="16" t="b">
        <v>0</v>
      </c>
      <c r="B40" s="17"/>
      <c r="C40" s="18"/>
      <c r="D40" s="19"/>
      <c r="E40" s="29"/>
      <c r="F40" s="34"/>
      <c r="G40" s="23"/>
      <c r="H40" s="23"/>
      <c r="I40" s="23"/>
      <c r="J40" s="23"/>
      <c r="K40" s="23"/>
      <c r="L40" s="23"/>
      <c r="M40" s="23"/>
      <c r="N40" s="23"/>
      <c r="O40" s="24"/>
      <c r="P40" s="16" t="b">
        <v>0</v>
      </c>
      <c r="Q40" s="24"/>
      <c r="R40" s="25"/>
      <c r="S40" s="25"/>
      <c r="T40" s="35"/>
      <c r="U40" s="24"/>
      <c r="V40" s="52" t="s">
        <v>29</v>
      </c>
      <c r="W40" s="29" t="s">
        <v>22</v>
      </c>
      <c r="X40" s="40" t="s">
        <v>67</v>
      </c>
      <c r="Y40" s="31"/>
      <c r="Z40" s="26" t="str">
        <f t="shared" si="5"/>
        <v/>
      </c>
      <c r="AA40" s="26" t="str">
        <f t="shared" si="6"/>
        <v/>
      </c>
      <c r="AB40" s="32" t="str">
        <f t="shared" si="7"/>
        <v/>
      </c>
      <c r="AC40" s="32" t="str">
        <f t="shared" ref="AC40:AG40" si="44">IF(J40&lt;&gt;"", IF(AND($P40=FALSE, $A40=FALSE), -J40, IF(AND($P40=FALSE, $A40=TRUE), 0, IF($P40=TRUE, (J40 / $R40) * 100 * ($S40 / 100)-J40, ))), )</f>
        <v/>
      </c>
      <c r="AD40" s="32" t="str">
        <f t="shared" si="44"/>
        <v/>
      </c>
      <c r="AE40" s="32" t="str">
        <f t="shared" si="44"/>
        <v/>
      </c>
      <c r="AF40" s="32" t="str">
        <f t="shared" si="44"/>
        <v/>
      </c>
      <c r="AG40" s="32" t="str">
        <f t="shared" si="44"/>
        <v/>
      </c>
      <c r="AH40" s="33"/>
    </row>
    <row r="41" hidden="1" outlineLevel="3">
      <c r="A41" s="16" t="b">
        <v>0</v>
      </c>
      <c r="B41" s="17"/>
      <c r="C41" s="18"/>
      <c r="D41" s="19"/>
      <c r="E41" s="29"/>
      <c r="F41" s="34"/>
      <c r="G41" s="23"/>
      <c r="H41" s="23"/>
      <c r="I41" s="23"/>
      <c r="J41" s="23"/>
      <c r="K41" s="23"/>
      <c r="L41" s="23"/>
      <c r="M41" s="23"/>
      <c r="N41" s="23"/>
      <c r="O41" s="24"/>
      <c r="P41" s="16" t="b">
        <v>0</v>
      </c>
      <c r="Q41" s="24"/>
      <c r="R41" s="25"/>
      <c r="S41" s="25"/>
      <c r="T41" s="35"/>
      <c r="U41" s="24"/>
      <c r="V41" s="52" t="s">
        <v>29</v>
      </c>
      <c r="W41" s="29" t="s">
        <v>22</v>
      </c>
      <c r="X41" s="40" t="s">
        <v>68</v>
      </c>
      <c r="Y41" s="31"/>
      <c r="Z41" s="26" t="str">
        <f t="shared" si="5"/>
        <v/>
      </c>
      <c r="AA41" s="26" t="str">
        <f t="shared" si="6"/>
        <v/>
      </c>
      <c r="AB41" s="32" t="str">
        <f t="shared" si="7"/>
        <v/>
      </c>
      <c r="AC41" s="32" t="str">
        <f t="shared" ref="AC41:AG41" si="45">IF(J41&lt;&gt;"", IF(AND($P41=FALSE, $A41=FALSE), -J41, IF(AND($P41=FALSE, $A41=TRUE), 0, IF($P41=TRUE, (J41 / $R41) * 100 * ($S41 / 100)-J41, ))), )</f>
        <v/>
      </c>
      <c r="AD41" s="32" t="str">
        <f t="shared" si="45"/>
        <v/>
      </c>
      <c r="AE41" s="32" t="str">
        <f t="shared" si="45"/>
        <v/>
      </c>
      <c r="AF41" s="32" t="str">
        <f t="shared" si="45"/>
        <v/>
      </c>
      <c r="AG41" s="32" t="str">
        <f t="shared" si="45"/>
        <v/>
      </c>
      <c r="AH41" s="33"/>
    </row>
    <row r="42" hidden="1" outlineLevel="3">
      <c r="A42" s="16" t="b">
        <v>0</v>
      </c>
      <c r="B42" s="17"/>
      <c r="C42" s="18"/>
      <c r="D42" s="19"/>
      <c r="E42" s="29"/>
      <c r="F42" s="34"/>
      <c r="G42" s="23"/>
      <c r="H42" s="23"/>
      <c r="I42" s="23"/>
      <c r="J42" s="23"/>
      <c r="K42" s="23"/>
      <c r="L42" s="23"/>
      <c r="M42" s="23"/>
      <c r="N42" s="23"/>
      <c r="O42" s="24"/>
      <c r="P42" s="16" t="b">
        <v>0</v>
      </c>
      <c r="Q42" s="24"/>
      <c r="R42" s="25"/>
      <c r="S42" s="25"/>
      <c r="T42" s="35"/>
      <c r="U42" s="24"/>
      <c r="V42" s="52" t="s">
        <v>29</v>
      </c>
      <c r="W42" s="29" t="s">
        <v>22</v>
      </c>
      <c r="X42" s="53" t="s">
        <v>69</v>
      </c>
      <c r="Y42" s="31"/>
      <c r="Z42" s="26" t="str">
        <f t="shared" si="5"/>
        <v/>
      </c>
      <c r="AA42" s="26" t="str">
        <f t="shared" si="6"/>
        <v/>
      </c>
      <c r="AB42" s="32" t="str">
        <f t="shared" si="7"/>
        <v/>
      </c>
      <c r="AC42" s="32" t="str">
        <f t="shared" ref="AC42:AG42" si="46">IF(J42&lt;&gt;"", IF(AND($P42=FALSE, $A42=FALSE), -J42, IF(AND($P42=FALSE, $A42=TRUE), 0, IF($P42=TRUE, (J42 / $R42) * 100 * ($S42 / 100)-J42, ))), )</f>
        <v/>
      </c>
      <c r="AD42" s="32" t="str">
        <f t="shared" si="46"/>
        <v/>
      </c>
      <c r="AE42" s="32" t="str">
        <f t="shared" si="46"/>
        <v/>
      </c>
      <c r="AF42" s="32" t="str">
        <f t="shared" si="46"/>
        <v/>
      </c>
      <c r="AG42" s="32" t="str">
        <f t="shared" si="46"/>
        <v/>
      </c>
      <c r="AH42" s="33"/>
    </row>
    <row r="43" hidden="1" outlineLevel="1" collapsed="1">
      <c r="A43" s="16" t="b">
        <v>1</v>
      </c>
      <c r="B43" s="54"/>
      <c r="C43" s="55"/>
      <c r="D43" s="41">
        <v>45235.0</v>
      </c>
      <c r="E43" s="20" t="s">
        <v>24</v>
      </c>
      <c r="F43" s="21" t="s">
        <v>70</v>
      </c>
      <c r="G43" s="23">
        <v>3.0</v>
      </c>
      <c r="H43" s="23">
        <v>2.0</v>
      </c>
      <c r="I43" s="23">
        <v>20.0</v>
      </c>
      <c r="J43" s="23"/>
      <c r="K43" s="23"/>
      <c r="L43" s="23"/>
      <c r="M43" s="23"/>
      <c r="N43" s="23"/>
      <c r="O43" s="56"/>
      <c r="P43" s="16" t="b">
        <v>1</v>
      </c>
      <c r="Q43" s="56"/>
      <c r="R43" s="25">
        <v>25.0</v>
      </c>
      <c r="S43" s="25">
        <v>49.91</v>
      </c>
      <c r="T43" s="27" t="s">
        <v>71</v>
      </c>
      <c r="U43" s="56"/>
      <c r="V43" s="38"/>
      <c r="W43" s="29"/>
      <c r="X43" s="30"/>
      <c r="Y43" s="31"/>
      <c r="Z43" s="26">
        <f t="shared" si="5"/>
        <v>2.9892</v>
      </c>
      <c r="AA43" s="26">
        <f t="shared" si="6"/>
        <v>19.928</v>
      </c>
      <c r="AB43" s="32">
        <f t="shared" si="7"/>
        <v>1.9928</v>
      </c>
      <c r="AC43" s="32" t="str">
        <f t="shared" ref="AC43:AG43" si="47">IF(J43&lt;&gt;"", IF(AND($P43=FALSE, $A43=FALSE), -J43, IF(AND($P43=FALSE, $A43=TRUE), 0, IF($P43=TRUE, (J43 / $R43) * 100 * ($S43 / 100)-J43, ))), )</f>
        <v/>
      </c>
      <c r="AD43" s="32" t="str">
        <f t="shared" si="47"/>
        <v/>
      </c>
      <c r="AE43" s="32" t="str">
        <f t="shared" si="47"/>
        <v/>
      </c>
      <c r="AF43" s="32" t="str">
        <f t="shared" si="47"/>
        <v/>
      </c>
      <c r="AG43" s="32" t="str">
        <f t="shared" si="47"/>
        <v/>
      </c>
      <c r="AH43" s="33"/>
    </row>
    <row r="44" hidden="1" outlineLevel="3">
      <c r="A44" s="16" t="b">
        <v>0</v>
      </c>
      <c r="B44" s="17"/>
      <c r="C44" s="18"/>
      <c r="D44" s="19"/>
      <c r="E44" s="29"/>
      <c r="F44" s="34"/>
      <c r="G44" s="23"/>
      <c r="H44" s="23"/>
      <c r="I44" s="23"/>
      <c r="J44" s="23"/>
      <c r="K44" s="23"/>
      <c r="L44" s="23"/>
      <c r="M44" s="23"/>
      <c r="N44" s="23"/>
      <c r="O44" s="24"/>
      <c r="P44" s="16" t="b">
        <v>0</v>
      </c>
      <c r="Q44" s="24"/>
      <c r="R44" s="50"/>
      <c r="S44" s="34"/>
      <c r="T44" s="35"/>
      <c r="U44" s="24"/>
      <c r="V44" s="52" t="s">
        <v>29</v>
      </c>
      <c r="W44" s="29" t="s">
        <v>22</v>
      </c>
      <c r="X44" s="57" t="s">
        <v>72</v>
      </c>
      <c r="Y44" s="31"/>
      <c r="Z44" s="26" t="str">
        <f t="shared" si="5"/>
        <v/>
      </c>
      <c r="AA44" s="26" t="str">
        <f t="shared" si="6"/>
        <v/>
      </c>
      <c r="AB44" s="32" t="str">
        <f t="shared" si="7"/>
        <v/>
      </c>
      <c r="AC44" s="32" t="str">
        <f t="shared" ref="AC44:AG44" si="48">IF(J44&lt;&gt;"", IF(AND($P44=FALSE, $A44=FALSE), -J44, IF(AND($P44=FALSE, $A44=TRUE), 0, IF($P44=TRUE, (J44 / $R44) * 100 * ($S44 / 100)-J44, ))), )</f>
        <v/>
      </c>
      <c r="AD44" s="32" t="str">
        <f t="shared" si="48"/>
        <v/>
      </c>
      <c r="AE44" s="32" t="str">
        <f t="shared" si="48"/>
        <v/>
      </c>
      <c r="AF44" s="32" t="str">
        <f t="shared" si="48"/>
        <v/>
      </c>
      <c r="AG44" s="32" t="str">
        <f t="shared" si="48"/>
        <v/>
      </c>
      <c r="AH44" s="33"/>
    </row>
    <row r="45" hidden="1" outlineLevel="3">
      <c r="A45" s="16" t="b">
        <v>0</v>
      </c>
      <c r="B45" s="17"/>
      <c r="C45" s="18"/>
      <c r="D45" s="19"/>
      <c r="E45" s="29"/>
      <c r="F45" s="34"/>
      <c r="G45" s="23"/>
      <c r="H45" s="23"/>
      <c r="I45" s="23"/>
      <c r="J45" s="23"/>
      <c r="K45" s="23"/>
      <c r="L45" s="23"/>
      <c r="M45" s="23"/>
      <c r="N45" s="23"/>
      <c r="O45" s="24"/>
      <c r="P45" s="16" t="b">
        <v>0</v>
      </c>
      <c r="Q45" s="24"/>
      <c r="R45" s="50"/>
      <c r="S45" s="34"/>
      <c r="T45" s="35"/>
      <c r="U45" s="24"/>
      <c r="V45" s="52" t="s">
        <v>29</v>
      </c>
      <c r="W45" s="29" t="s">
        <v>22</v>
      </c>
      <c r="X45" s="57" t="s">
        <v>73</v>
      </c>
      <c r="Y45" s="31"/>
      <c r="Z45" s="26" t="str">
        <f t="shared" si="5"/>
        <v/>
      </c>
      <c r="AA45" s="26" t="str">
        <f t="shared" si="6"/>
        <v/>
      </c>
      <c r="AB45" s="32" t="str">
        <f t="shared" si="7"/>
        <v/>
      </c>
      <c r="AC45" s="32" t="str">
        <f t="shared" ref="AC45:AG45" si="49">IF(J45&lt;&gt;"", IF(AND($P45=FALSE, $A45=FALSE), -J45, IF(AND($P45=FALSE, $A45=TRUE), 0, IF($P45=TRUE, (J45 / $R45) * 100 * ($S45 / 100)-J45, ))), )</f>
        <v/>
      </c>
      <c r="AD45" s="32" t="str">
        <f t="shared" si="49"/>
        <v/>
      </c>
      <c r="AE45" s="32" t="str">
        <f t="shared" si="49"/>
        <v/>
      </c>
      <c r="AF45" s="32" t="str">
        <f t="shared" si="49"/>
        <v/>
      </c>
      <c r="AG45" s="32" t="str">
        <f t="shared" si="49"/>
        <v/>
      </c>
      <c r="AH45" s="33"/>
    </row>
    <row r="46" hidden="1" outlineLevel="3">
      <c r="A46" s="16" t="b">
        <v>0</v>
      </c>
      <c r="B46" s="17"/>
      <c r="C46" s="18"/>
      <c r="D46" s="19"/>
      <c r="E46" s="29"/>
      <c r="F46" s="34"/>
      <c r="G46" s="23"/>
      <c r="H46" s="23"/>
      <c r="I46" s="23"/>
      <c r="J46" s="23"/>
      <c r="K46" s="23"/>
      <c r="L46" s="23"/>
      <c r="M46" s="23"/>
      <c r="N46" s="23"/>
      <c r="O46" s="24"/>
      <c r="P46" s="16" t="b">
        <v>0</v>
      </c>
      <c r="Q46" s="24"/>
      <c r="R46" s="50"/>
      <c r="S46" s="34"/>
      <c r="T46" s="35"/>
      <c r="U46" s="24"/>
      <c r="V46" s="52" t="s">
        <v>29</v>
      </c>
      <c r="W46" s="29" t="s">
        <v>22</v>
      </c>
      <c r="X46" s="57" t="s">
        <v>74</v>
      </c>
      <c r="Y46" s="31"/>
      <c r="Z46" s="26" t="str">
        <f t="shared" si="5"/>
        <v/>
      </c>
      <c r="AA46" s="26" t="str">
        <f t="shared" si="6"/>
        <v/>
      </c>
      <c r="AB46" s="32" t="str">
        <f t="shared" si="7"/>
        <v/>
      </c>
      <c r="AC46" s="32" t="str">
        <f t="shared" ref="AC46:AG46" si="50">IF(J46&lt;&gt;"", IF(AND($P46=FALSE, $A46=FALSE), -J46, IF(AND($P46=FALSE, $A46=TRUE), 0, IF($P46=TRUE, (J46 / $R46) * 100 * ($S46 / 100)-J46, ))), )</f>
        <v/>
      </c>
      <c r="AD46" s="32" t="str">
        <f t="shared" si="50"/>
        <v/>
      </c>
      <c r="AE46" s="32" t="str">
        <f t="shared" si="50"/>
        <v/>
      </c>
      <c r="AF46" s="32" t="str">
        <f t="shared" si="50"/>
        <v/>
      </c>
      <c r="AG46" s="32" t="str">
        <f t="shared" si="50"/>
        <v/>
      </c>
      <c r="AH46" s="33"/>
    </row>
    <row r="47" hidden="1" outlineLevel="3">
      <c r="A47" s="16" t="b">
        <v>0</v>
      </c>
      <c r="B47" s="17"/>
      <c r="C47" s="18"/>
      <c r="D47" s="19"/>
      <c r="E47" s="29"/>
      <c r="F47" s="34"/>
      <c r="G47" s="23"/>
      <c r="H47" s="23"/>
      <c r="I47" s="23"/>
      <c r="J47" s="23"/>
      <c r="K47" s="23"/>
      <c r="L47" s="23"/>
      <c r="M47" s="23"/>
      <c r="N47" s="23"/>
      <c r="O47" s="24"/>
      <c r="P47" s="16" t="b">
        <v>0</v>
      </c>
      <c r="Q47" s="24"/>
      <c r="R47" s="50"/>
      <c r="S47" s="34"/>
      <c r="T47" s="35"/>
      <c r="U47" s="24"/>
      <c r="V47" s="52" t="s">
        <v>29</v>
      </c>
      <c r="W47" s="29" t="s">
        <v>22</v>
      </c>
      <c r="X47" s="57" t="s">
        <v>75</v>
      </c>
      <c r="Y47" s="31"/>
      <c r="Z47" s="26" t="str">
        <f t="shared" si="5"/>
        <v/>
      </c>
      <c r="AA47" s="26" t="str">
        <f t="shared" si="6"/>
        <v/>
      </c>
      <c r="AB47" s="32" t="str">
        <f t="shared" si="7"/>
        <v/>
      </c>
      <c r="AC47" s="32" t="str">
        <f t="shared" ref="AC47:AG47" si="51">IF(J47&lt;&gt;"", IF(AND($P47=FALSE, $A47=FALSE), -J47, IF(AND($P47=FALSE, $A47=TRUE), 0, IF($P47=TRUE, (J47 / $R47) * 100 * ($S47 / 100)-J47, ))), )</f>
        <v/>
      </c>
      <c r="AD47" s="32" t="str">
        <f t="shared" si="51"/>
        <v/>
      </c>
      <c r="AE47" s="32" t="str">
        <f t="shared" si="51"/>
        <v/>
      </c>
      <c r="AF47" s="32" t="str">
        <f t="shared" si="51"/>
        <v/>
      </c>
      <c r="AG47" s="32" t="str">
        <f t="shared" si="51"/>
        <v/>
      </c>
      <c r="AH47" s="33"/>
    </row>
    <row r="48" hidden="1" outlineLevel="3">
      <c r="A48" s="16" t="b">
        <v>0</v>
      </c>
      <c r="B48" s="17"/>
      <c r="C48" s="18"/>
      <c r="D48" s="19"/>
      <c r="E48" s="29"/>
      <c r="F48" s="34"/>
      <c r="G48" s="23"/>
      <c r="H48" s="23"/>
      <c r="I48" s="23"/>
      <c r="J48" s="23"/>
      <c r="K48" s="23"/>
      <c r="L48" s="23"/>
      <c r="M48" s="23"/>
      <c r="N48" s="23"/>
      <c r="O48" s="24"/>
      <c r="P48" s="16" t="b">
        <v>0</v>
      </c>
      <c r="Q48" s="24"/>
      <c r="R48" s="50"/>
      <c r="S48" s="34"/>
      <c r="T48" s="35"/>
      <c r="U48" s="24"/>
      <c r="V48" s="52" t="s">
        <v>29</v>
      </c>
      <c r="W48" s="29" t="s">
        <v>22</v>
      </c>
      <c r="X48" s="57" t="s">
        <v>76</v>
      </c>
      <c r="Y48" s="31"/>
      <c r="Z48" s="26" t="str">
        <f t="shared" si="5"/>
        <v/>
      </c>
      <c r="AA48" s="26" t="str">
        <f t="shared" si="6"/>
        <v/>
      </c>
      <c r="AB48" s="32" t="str">
        <f t="shared" si="7"/>
        <v/>
      </c>
      <c r="AC48" s="32" t="str">
        <f t="shared" ref="AC48:AG48" si="52">IF(J48&lt;&gt;"", IF(AND($P48=FALSE, $A48=FALSE), -J48, IF(AND($P48=FALSE, $A48=TRUE), 0, IF($P48=TRUE, (J48 / $R48) * 100 * ($S48 / 100)-J48, ))), )</f>
        <v/>
      </c>
      <c r="AD48" s="32" t="str">
        <f t="shared" si="52"/>
        <v/>
      </c>
      <c r="AE48" s="32" t="str">
        <f t="shared" si="52"/>
        <v/>
      </c>
      <c r="AF48" s="32" t="str">
        <f t="shared" si="52"/>
        <v/>
      </c>
      <c r="AG48" s="32" t="str">
        <f t="shared" si="52"/>
        <v/>
      </c>
      <c r="AH48" s="33"/>
    </row>
    <row r="49" hidden="1" outlineLevel="2" collapsed="1">
      <c r="A49" s="16" t="b">
        <v>0</v>
      </c>
      <c r="B49" s="17"/>
      <c r="C49" s="18"/>
      <c r="D49" s="41">
        <v>45235.0</v>
      </c>
      <c r="E49" s="20" t="s">
        <v>24</v>
      </c>
      <c r="F49" s="21" t="s">
        <v>70</v>
      </c>
      <c r="G49" s="23">
        <v>1.5</v>
      </c>
      <c r="H49" s="23">
        <v>0.75</v>
      </c>
      <c r="I49" s="23">
        <v>2.75</v>
      </c>
      <c r="J49" s="23"/>
      <c r="K49" s="23"/>
      <c r="L49" s="23"/>
      <c r="M49" s="23"/>
      <c r="N49" s="23"/>
      <c r="O49" s="24"/>
      <c r="P49" s="16" t="b">
        <v>0</v>
      </c>
      <c r="Q49" s="24"/>
      <c r="R49" s="25">
        <v>5.0</v>
      </c>
      <c r="S49" s="25">
        <v>20.14</v>
      </c>
      <c r="T49" s="27" t="s">
        <v>77</v>
      </c>
      <c r="U49" s="24"/>
      <c r="V49" s="58"/>
      <c r="W49" s="29"/>
      <c r="X49" s="30"/>
      <c r="Y49" s="31"/>
      <c r="Z49" s="26">
        <f t="shared" si="5"/>
        <v>-1.5</v>
      </c>
      <c r="AA49" s="26">
        <f t="shared" si="6"/>
        <v>-2.75</v>
      </c>
      <c r="AB49" s="32">
        <f t="shared" si="7"/>
        <v>-0.75</v>
      </c>
      <c r="AC49" s="32" t="str">
        <f t="shared" ref="AC49:AG49" si="53">IF(J49&lt;&gt;"", IF(AND($P49=FALSE, $A49=FALSE), -J49, IF(AND($P49=FALSE, $A49=TRUE), 0, IF($P49=TRUE, (J49 / $R49) * 100 * ($S49 / 100)-J49, ))), )</f>
        <v/>
      </c>
      <c r="AD49" s="32" t="str">
        <f t="shared" si="53"/>
        <v/>
      </c>
      <c r="AE49" s="32" t="str">
        <f t="shared" si="53"/>
        <v/>
      </c>
      <c r="AF49" s="32" t="str">
        <f t="shared" si="53"/>
        <v/>
      </c>
      <c r="AG49" s="32" t="str">
        <f t="shared" si="53"/>
        <v/>
      </c>
      <c r="AH49" s="33"/>
    </row>
    <row r="50" hidden="1" outlineLevel="3">
      <c r="A50" s="16" t="b">
        <v>0</v>
      </c>
      <c r="B50" s="17"/>
      <c r="C50" s="18"/>
      <c r="D50" s="19"/>
      <c r="E50" s="29"/>
      <c r="F50" s="34"/>
      <c r="G50" s="23"/>
      <c r="H50" s="23"/>
      <c r="I50" s="23"/>
      <c r="J50" s="23"/>
      <c r="K50" s="23"/>
      <c r="L50" s="23"/>
      <c r="M50" s="23"/>
      <c r="N50" s="23"/>
      <c r="O50" s="24"/>
      <c r="P50" s="16" t="b">
        <v>0</v>
      </c>
      <c r="Q50" s="24"/>
      <c r="R50" s="25"/>
      <c r="S50" s="25"/>
      <c r="T50" s="27"/>
      <c r="U50" s="24"/>
      <c r="V50" s="59" t="s">
        <v>32</v>
      </c>
      <c r="W50" s="29" t="s">
        <v>22</v>
      </c>
      <c r="X50" s="57" t="s">
        <v>78</v>
      </c>
      <c r="Y50" s="31"/>
      <c r="Z50" s="26" t="str">
        <f t="shared" si="5"/>
        <v/>
      </c>
      <c r="AA50" s="26" t="str">
        <f t="shared" si="6"/>
        <v/>
      </c>
      <c r="AB50" s="32" t="str">
        <f t="shared" si="7"/>
        <v/>
      </c>
      <c r="AC50" s="32" t="str">
        <f t="shared" ref="AC50:AG50" si="54">IF(J50&lt;&gt;"", IF(AND($P50=FALSE, $A50=FALSE), -J50, IF(AND($P50=FALSE, $A50=TRUE), 0, IF($P50=TRUE, (J50 / $R50) * 100 * ($S50 / 100)-J50, ))), )</f>
        <v/>
      </c>
      <c r="AD50" s="32" t="str">
        <f t="shared" si="54"/>
        <v/>
      </c>
      <c r="AE50" s="32" t="str">
        <f t="shared" si="54"/>
        <v/>
      </c>
      <c r="AF50" s="32" t="str">
        <f t="shared" si="54"/>
        <v/>
      </c>
      <c r="AG50" s="32" t="str">
        <f t="shared" si="54"/>
        <v/>
      </c>
      <c r="AH50" s="33"/>
    </row>
    <row r="51" hidden="1" outlineLevel="3">
      <c r="A51" s="16" t="b">
        <v>0</v>
      </c>
      <c r="B51" s="17"/>
      <c r="C51" s="18"/>
      <c r="D51" s="19"/>
      <c r="E51" s="29"/>
      <c r="F51" s="34"/>
      <c r="G51" s="23"/>
      <c r="H51" s="23"/>
      <c r="I51" s="23"/>
      <c r="J51" s="23"/>
      <c r="K51" s="23"/>
      <c r="L51" s="23"/>
      <c r="M51" s="23"/>
      <c r="N51" s="23"/>
      <c r="O51" s="24"/>
      <c r="P51" s="16" t="b">
        <v>0</v>
      </c>
      <c r="Q51" s="24"/>
      <c r="R51" s="25"/>
      <c r="S51" s="25"/>
      <c r="T51" s="27"/>
      <c r="U51" s="24"/>
      <c r="V51" s="59" t="s">
        <v>32</v>
      </c>
      <c r="W51" s="29" t="s">
        <v>22</v>
      </c>
      <c r="X51" s="57" t="s">
        <v>79</v>
      </c>
      <c r="Y51" s="31"/>
      <c r="Z51" s="26" t="str">
        <f t="shared" si="5"/>
        <v/>
      </c>
      <c r="AA51" s="26" t="str">
        <f t="shared" si="6"/>
        <v/>
      </c>
      <c r="AB51" s="32" t="str">
        <f t="shared" si="7"/>
        <v/>
      </c>
      <c r="AC51" s="32" t="str">
        <f t="shared" ref="AC51:AG51" si="55">IF(J51&lt;&gt;"", IF(AND($P51=FALSE, $A51=FALSE), -J51, IF(AND($P51=FALSE, $A51=TRUE), 0, IF($P51=TRUE, (J51 / $R51) * 100 * ($S51 / 100)-J51, ))), )</f>
        <v/>
      </c>
      <c r="AD51" s="32" t="str">
        <f t="shared" si="55"/>
        <v/>
      </c>
      <c r="AE51" s="32" t="str">
        <f t="shared" si="55"/>
        <v/>
      </c>
      <c r="AF51" s="32" t="str">
        <f t="shared" si="55"/>
        <v/>
      </c>
      <c r="AG51" s="32" t="str">
        <f t="shared" si="55"/>
        <v/>
      </c>
      <c r="AH51" s="33"/>
    </row>
    <row r="52" hidden="1" outlineLevel="3">
      <c r="A52" s="16" t="b">
        <v>0</v>
      </c>
      <c r="B52" s="17"/>
      <c r="C52" s="18"/>
      <c r="D52" s="19"/>
      <c r="E52" s="29"/>
      <c r="F52" s="34"/>
      <c r="G52" s="23"/>
      <c r="H52" s="23"/>
      <c r="I52" s="23"/>
      <c r="J52" s="23"/>
      <c r="K52" s="23"/>
      <c r="L52" s="23"/>
      <c r="M52" s="23"/>
      <c r="N52" s="23"/>
      <c r="O52" s="24"/>
      <c r="P52" s="16" t="b">
        <v>0</v>
      </c>
      <c r="Q52" s="24"/>
      <c r="R52" s="25"/>
      <c r="S52" s="25"/>
      <c r="T52" s="27"/>
      <c r="U52" s="24"/>
      <c r="V52" s="59" t="s">
        <v>32</v>
      </c>
      <c r="W52" s="29" t="s">
        <v>22</v>
      </c>
      <c r="X52" s="57" t="s">
        <v>80</v>
      </c>
      <c r="Y52" s="31"/>
      <c r="Z52" s="26" t="str">
        <f t="shared" si="5"/>
        <v/>
      </c>
      <c r="AA52" s="26" t="str">
        <f t="shared" si="6"/>
        <v/>
      </c>
      <c r="AB52" s="32" t="str">
        <f t="shared" si="7"/>
        <v/>
      </c>
      <c r="AC52" s="32" t="str">
        <f t="shared" ref="AC52:AG52" si="56">IF(J52&lt;&gt;"", IF(AND($P52=FALSE, $A52=FALSE), -J52, IF(AND($P52=FALSE, $A52=TRUE), 0, IF($P52=TRUE, (J52 / $R52) * 100 * ($S52 / 100)-J52, ))), )</f>
        <v/>
      </c>
      <c r="AD52" s="32" t="str">
        <f t="shared" si="56"/>
        <v/>
      </c>
      <c r="AE52" s="32" t="str">
        <f t="shared" si="56"/>
        <v/>
      </c>
      <c r="AF52" s="32" t="str">
        <f t="shared" si="56"/>
        <v/>
      </c>
      <c r="AG52" s="32" t="str">
        <f t="shared" si="56"/>
        <v/>
      </c>
      <c r="AH52" s="33"/>
    </row>
    <row r="53" hidden="1" outlineLevel="3">
      <c r="A53" s="16" t="b">
        <v>0</v>
      </c>
      <c r="B53" s="17"/>
      <c r="C53" s="18"/>
      <c r="D53" s="19"/>
      <c r="E53" s="29"/>
      <c r="F53" s="34"/>
      <c r="G53" s="23"/>
      <c r="H53" s="23"/>
      <c r="I53" s="23"/>
      <c r="J53" s="23"/>
      <c r="K53" s="23"/>
      <c r="L53" s="23"/>
      <c r="M53" s="23"/>
      <c r="N53" s="23"/>
      <c r="O53" s="24"/>
      <c r="P53" s="16" t="b">
        <v>0</v>
      </c>
      <c r="Q53" s="24"/>
      <c r="R53" s="25"/>
      <c r="S53" s="25"/>
      <c r="T53" s="27"/>
      <c r="U53" s="24"/>
      <c r="V53" s="59" t="s">
        <v>32</v>
      </c>
      <c r="W53" s="29" t="s">
        <v>22</v>
      </c>
      <c r="X53" s="57" t="s">
        <v>81</v>
      </c>
      <c r="Y53" s="31"/>
      <c r="Z53" s="26" t="str">
        <f t="shared" si="5"/>
        <v/>
      </c>
      <c r="AA53" s="26" t="str">
        <f t="shared" si="6"/>
        <v/>
      </c>
      <c r="AB53" s="32" t="str">
        <f t="shared" si="7"/>
        <v/>
      </c>
      <c r="AC53" s="32" t="str">
        <f t="shared" ref="AC53:AG53" si="57">IF(J53&lt;&gt;"", IF(AND($P53=FALSE, $A53=FALSE), -J53, IF(AND($P53=FALSE, $A53=TRUE), 0, IF($P53=TRUE, (J53 / $R53) * 100 * ($S53 / 100)-J53, ))), )</f>
        <v/>
      </c>
      <c r="AD53" s="32" t="str">
        <f t="shared" si="57"/>
        <v/>
      </c>
      <c r="AE53" s="32" t="str">
        <f t="shared" si="57"/>
        <v/>
      </c>
      <c r="AF53" s="32" t="str">
        <f t="shared" si="57"/>
        <v/>
      </c>
      <c r="AG53" s="32" t="str">
        <f t="shared" si="57"/>
        <v/>
      </c>
      <c r="AH53" s="33"/>
    </row>
    <row r="54" hidden="1" outlineLevel="3">
      <c r="A54" s="16" t="b">
        <v>0</v>
      </c>
      <c r="B54" s="17"/>
      <c r="C54" s="18"/>
      <c r="D54" s="19"/>
      <c r="E54" s="29"/>
      <c r="F54" s="34"/>
      <c r="G54" s="23"/>
      <c r="H54" s="23"/>
      <c r="I54" s="23"/>
      <c r="J54" s="23"/>
      <c r="K54" s="23"/>
      <c r="L54" s="23"/>
      <c r="M54" s="23"/>
      <c r="N54" s="23"/>
      <c r="O54" s="24"/>
      <c r="P54" s="16" t="b">
        <v>0</v>
      </c>
      <c r="Q54" s="24"/>
      <c r="R54" s="25"/>
      <c r="S54" s="25"/>
      <c r="T54" s="27"/>
      <c r="U54" s="24"/>
      <c r="V54" s="52" t="s">
        <v>29</v>
      </c>
      <c r="W54" s="29" t="s">
        <v>22</v>
      </c>
      <c r="X54" s="57" t="s">
        <v>82</v>
      </c>
      <c r="Y54" s="31"/>
      <c r="Z54" s="26" t="str">
        <f t="shared" si="5"/>
        <v/>
      </c>
      <c r="AA54" s="26" t="str">
        <f t="shared" si="6"/>
        <v/>
      </c>
      <c r="AB54" s="32" t="str">
        <f t="shared" si="7"/>
        <v/>
      </c>
      <c r="AC54" s="32" t="str">
        <f t="shared" ref="AC54:AG54" si="58">IF(J54&lt;&gt;"", IF(AND($P54=FALSE, $A54=FALSE), -J54, IF(AND($P54=FALSE, $A54=TRUE), 0, IF($P54=TRUE, (J54 / $R54) * 100 * ($S54 / 100)-J54, ))), )</f>
        <v/>
      </c>
      <c r="AD54" s="32" t="str">
        <f t="shared" si="58"/>
        <v/>
      </c>
      <c r="AE54" s="32" t="str">
        <f t="shared" si="58"/>
        <v/>
      </c>
      <c r="AF54" s="32" t="str">
        <f t="shared" si="58"/>
        <v/>
      </c>
      <c r="AG54" s="32" t="str">
        <f t="shared" si="58"/>
        <v/>
      </c>
      <c r="AH54" s="33"/>
    </row>
    <row r="55" hidden="1" outlineLevel="3">
      <c r="A55" s="16" t="b">
        <v>0</v>
      </c>
      <c r="B55" s="17"/>
      <c r="C55" s="18"/>
      <c r="D55" s="19"/>
      <c r="E55" s="29"/>
      <c r="F55" s="34"/>
      <c r="G55" s="23"/>
      <c r="H55" s="23"/>
      <c r="I55" s="23"/>
      <c r="J55" s="23"/>
      <c r="K55" s="23"/>
      <c r="L55" s="23"/>
      <c r="M55" s="23"/>
      <c r="N55" s="23"/>
      <c r="O55" s="24"/>
      <c r="P55" s="16" t="b">
        <v>0</v>
      </c>
      <c r="Q55" s="24"/>
      <c r="R55" s="25"/>
      <c r="S55" s="25"/>
      <c r="T55" s="27"/>
      <c r="U55" s="24"/>
      <c r="V55" s="52" t="s">
        <v>29</v>
      </c>
      <c r="W55" s="29" t="s">
        <v>22</v>
      </c>
      <c r="X55" s="57" t="s">
        <v>83</v>
      </c>
      <c r="Y55" s="31"/>
      <c r="Z55" s="26" t="str">
        <f t="shared" si="5"/>
        <v/>
      </c>
      <c r="AA55" s="26" t="str">
        <f t="shared" si="6"/>
        <v/>
      </c>
      <c r="AB55" s="32" t="str">
        <f t="shared" si="7"/>
        <v/>
      </c>
      <c r="AC55" s="32" t="str">
        <f t="shared" ref="AC55:AG55" si="59">IF(J55&lt;&gt;"", IF(AND($P55=FALSE, $A55=FALSE), -J55, IF(AND($P55=FALSE, $A55=TRUE), 0, IF($P55=TRUE, (J55 / $R55) * 100 * ($S55 / 100)-J55, ))), )</f>
        <v/>
      </c>
      <c r="AD55" s="32" t="str">
        <f t="shared" si="59"/>
        <v/>
      </c>
      <c r="AE55" s="32" t="str">
        <f t="shared" si="59"/>
        <v/>
      </c>
      <c r="AF55" s="32" t="str">
        <f t="shared" si="59"/>
        <v/>
      </c>
      <c r="AG55" s="32" t="str">
        <f t="shared" si="59"/>
        <v/>
      </c>
      <c r="AH55" s="33"/>
    </row>
    <row r="56" hidden="1" outlineLevel="2" collapsed="1">
      <c r="A56" s="16" t="b">
        <v>0</v>
      </c>
      <c r="B56" s="17"/>
      <c r="C56" s="18"/>
      <c r="D56" s="41">
        <v>45235.0</v>
      </c>
      <c r="E56" s="20" t="s">
        <v>24</v>
      </c>
      <c r="F56" s="21" t="s">
        <v>70</v>
      </c>
      <c r="G56" s="22">
        <v>2.0</v>
      </c>
      <c r="H56" s="22">
        <v>1.0</v>
      </c>
      <c r="I56" s="22">
        <v>3.0</v>
      </c>
      <c r="J56" s="22"/>
      <c r="K56" s="23"/>
      <c r="L56" s="22"/>
      <c r="M56" s="23"/>
      <c r="N56" s="23"/>
      <c r="O56" s="24"/>
      <c r="P56" s="16" t="b">
        <v>0</v>
      </c>
      <c r="Q56" s="24"/>
      <c r="R56" s="25">
        <v>6.0</v>
      </c>
      <c r="S56" s="26">
        <v>14.82</v>
      </c>
      <c r="T56" s="27" t="s">
        <v>84</v>
      </c>
      <c r="U56" s="24"/>
      <c r="V56" s="58"/>
      <c r="W56" s="29"/>
      <c r="X56" s="30"/>
      <c r="Y56" s="31"/>
      <c r="Z56" s="26">
        <f t="shared" si="5"/>
        <v>-2</v>
      </c>
      <c r="AA56" s="26">
        <f t="shared" si="6"/>
        <v>-3</v>
      </c>
      <c r="AB56" s="32">
        <f t="shared" si="7"/>
        <v>-1</v>
      </c>
      <c r="AC56" s="32" t="str">
        <f t="shared" ref="AC56:AG56" si="60">IF(J56&lt;&gt;"", IF(AND($P56=FALSE, $A56=FALSE), -J56, IF(AND($P56=FALSE, $A56=TRUE), 0, IF($P56=TRUE, (J56 / $R56) * 100 * ($S56 / 100)-J56, ))), )</f>
        <v/>
      </c>
      <c r="AD56" s="32" t="str">
        <f t="shared" si="60"/>
        <v/>
      </c>
      <c r="AE56" s="32" t="str">
        <f t="shared" si="60"/>
        <v/>
      </c>
      <c r="AF56" s="32" t="str">
        <f t="shared" si="60"/>
        <v/>
      </c>
      <c r="AG56" s="32" t="str">
        <f t="shared" si="60"/>
        <v/>
      </c>
      <c r="AH56" s="33"/>
    </row>
    <row r="57" hidden="1" outlineLevel="3">
      <c r="A57" s="16" t="b">
        <v>0</v>
      </c>
      <c r="B57" s="17"/>
      <c r="C57" s="18"/>
      <c r="D57" s="19"/>
      <c r="E57" s="20"/>
      <c r="F57" s="21"/>
      <c r="G57" s="23"/>
      <c r="H57" s="23"/>
      <c r="I57" s="23"/>
      <c r="J57" s="23"/>
      <c r="K57" s="23"/>
      <c r="L57" s="23"/>
      <c r="M57" s="23"/>
      <c r="N57" s="23"/>
      <c r="O57" s="24"/>
      <c r="P57" s="16" t="b">
        <v>0</v>
      </c>
      <c r="Q57" s="24"/>
      <c r="R57" s="25"/>
      <c r="S57" s="25"/>
      <c r="T57" s="27"/>
      <c r="U57" s="24"/>
      <c r="V57" s="52" t="s">
        <v>29</v>
      </c>
      <c r="W57" s="29" t="s">
        <v>22</v>
      </c>
      <c r="X57" s="57" t="s">
        <v>85</v>
      </c>
      <c r="Y57" s="31"/>
      <c r="Z57" s="26" t="str">
        <f t="shared" si="5"/>
        <v/>
      </c>
      <c r="AA57" s="26" t="str">
        <f t="shared" si="6"/>
        <v/>
      </c>
      <c r="AB57" s="32" t="str">
        <f t="shared" si="7"/>
        <v/>
      </c>
      <c r="AC57" s="32" t="str">
        <f t="shared" ref="AC57:AG57" si="61">IF(J57&lt;&gt;"", IF(AND($P57=FALSE, $A57=FALSE), -J57, IF(AND($P57=FALSE, $A57=TRUE), 0, IF($P57=TRUE, (J57 / $R57) * 100 * ($S57 / 100)-J57, ))), )</f>
        <v/>
      </c>
      <c r="AD57" s="32" t="str">
        <f t="shared" si="61"/>
        <v/>
      </c>
      <c r="AE57" s="32" t="str">
        <f t="shared" si="61"/>
        <v/>
      </c>
      <c r="AF57" s="32" t="str">
        <f t="shared" si="61"/>
        <v/>
      </c>
      <c r="AG57" s="32" t="str">
        <f t="shared" si="61"/>
        <v/>
      </c>
      <c r="AH57" s="33"/>
    </row>
    <row r="58" hidden="1" outlineLevel="3">
      <c r="A58" s="16" t="b">
        <v>0</v>
      </c>
      <c r="B58" s="17"/>
      <c r="C58" s="18"/>
      <c r="D58" s="19"/>
      <c r="E58" s="20"/>
      <c r="F58" s="21"/>
      <c r="G58" s="23"/>
      <c r="H58" s="23"/>
      <c r="I58" s="23"/>
      <c r="J58" s="23"/>
      <c r="K58" s="23"/>
      <c r="L58" s="23"/>
      <c r="M58" s="23"/>
      <c r="N58" s="23"/>
      <c r="O58" s="24"/>
      <c r="P58" s="16" t="b">
        <v>0</v>
      </c>
      <c r="Q58" s="24"/>
      <c r="R58" s="25"/>
      <c r="S58" s="25"/>
      <c r="T58" s="27"/>
      <c r="U58" s="24"/>
      <c r="V58" s="52" t="s">
        <v>29</v>
      </c>
      <c r="W58" s="29" t="s">
        <v>22</v>
      </c>
      <c r="X58" s="57" t="s">
        <v>86</v>
      </c>
      <c r="Y58" s="31"/>
      <c r="Z58" s="26" t="str">
        <f t="shared" si="5"/>
        <v/>
      </c>
      <c r="AA58" s="26" t="str">
        <f t="shared" si="6"/>
        <v/>
      </c>
      <c r="AB58" s="32" t="str">
        <f t="shared" si="7"/>
        <v/>
      </c>
      <c r="AC58" s="32" t="str">
        <f t="shared" ref="AC58:AG58" si="62">IF(J58&lt;&gt;"", IF(AND($P58=FALSE, $A58=FALSE), -J58, IF(AND($P58=FALSE, $A58=TRUE), 0, IF($P58=TRUE, (J58 / $R58) * 100 * ($S58 / 100)-J58, ))), )</f>
        <v/>
      </c>
      <c r="AD58" s="32" t="str">
        <f t="shared" si="62"/>
        <v/>
      </c>
      <c r="AE58" s="32" t="str">
        <f t="shared" si="62"/>
        <v/>
      </c>
      <c r="AF58" s="32" t="str">
        <f t="shared" si="62"/>
        <v/>
      </c>
      <c r="AG58" s="32" t="str">
        <f t="shared" si="62"/>
        <v/>
      </c>
      <c r="AH58" s="33"/>
    </row>
    <row r="59" hidden="1" outlineLevel="3">
      <c r="A59" s="16" t="b">
        <v>0</v>
      </c>
      <c r="B59" s="17"/>
      <c r="C59" s="18"/>
      <c r="D59" s="19"/>
      <c r="E59" s="20"/>
      <c r="F59" s="21"/>
      <c r="G59" s="23"/>
      <c r="H59" s="23"/>
      <c r="I59" s="23"/>
      <c r="J59" s="23"/>
      <c r="K59" s="23"/>
      <c r="L59" s="23"/>
      <c r="M59" s="23"/>
      <c r="N59" s="23"/>
      <c r="O59" s="24"/>
      <c r="P59" s="16" t="b">
        <v>0</v>
      </c>
      <c r="Q59" s="24"/>
      <c r="R59" s="25"/>
      <c r="S59" s="25"/>
      <c r="T59" s="27"/>
      <c r="U59" s="24"/>
      <c r="V59" s="52" t="s">
        <v>29</v>
      </c>
      <c r="W59" s="29" t="s">
        <v>22</v>
      </c>
      <c r="X59" s="57" t="s">
        <v>87</v>
      </c>
      <c r="Y59" s="31"/>
      <c r="Z59" s="26" t="str">
        <f t="shared" si="5"/>
        <v/>
      </c>
      <c r="AA59" s="26" t="str">
        <f t="shared" si="6"/>
        <v/>
      </c>
      <c r="AB59" s="32" t="str">
        <f t="shared" si="7"/>
        <v/>
      </c>
      <c r="AC59" s="32" t="str">
        <f t="shared" ref="AC59:AG59" si="63">IF(J59&lt;&gt;"", IF(AND($P59=FALSE, $A59=FALSE), -J59, IF(AND($P59=FALSE, $A59=TRUE), 0, IF($P59=TRUE, (J59 / $R59) * 100 * ($S59 / 100)-J59, ))), )</f>
        <v/>
      </c>
      <c r="AD59" s="32" t="str">
        <f t="shared" si="63"/>
        <v/>
      </c>
      <c r="AE59" s="32" t="str">
        <f t="shared" si="63"/>
        <v/>
      </c>
      <c r="AF59" s="32" t="str">
        <f t="shared" si="63"/>
        <v/>
      </c>
      <c r="AG59" s="32" t="str">
        <f t="shared" si="63"/>
        <v/>
      </c>
      <c r="AH59" s="33"/>
    </row>
    <row r="60" hidden="1" outlineLevel="3">
      <c r="A60" s="16" t="b">
        <v>0</v>
      </c>
      <c r="B60" s="17"/>
      <c r="C60" s="18"/>
      <c r="D60" s="19"/>
      <c r="E60" s="20"/>
      <c r="F60" s="21"/>
      <c r="G60" s="23"/>
      <c r="H60" s="23"/>
      <c r="I60" s="23"/>
      <c r="J60" s="23"/>
      <c r="K60" s="23"/>
      <c r="L60" s="23"/>
      <c r="M60" s="23"/>
      <c r="N60" s="23"/>
      <c r="O60" s="24"/>
      <c r="P60" s="16" t="b">
        <v>0</v>
      </c>
      <c r="Q60" s="24"/>
      <c r="R60" s="25"/>
      <c r="S60" s="25"/>
      <c r="T60" s="27"/>
      <c r="U60" s="24"/>
      <c r="V60" s="51" t="s">
        <v>32</v>
      </c>
      <c r="W60" s="29" t="s">
        <v>22</v>
      </c>
      <c r="X60" s="57" t="s">
        <v>88</v>
      </c>
      <c r="Y60" s="31"/>
      <c r="Z60" s="26" t="str">
        <f t="shared" si="5"/>
        <v/>
      </c>
      <c r="AA60" s="26" t="str">
        <f t="shared" si="6"/>
        <v/>
      </c>
      <c r="AB60" s="32" t="str">
        <f t="shared" si="7"/>
        <v/>
      </c>
      <c r="AC60" s="32" t="str">
        <f t="shared" ref="AC60:AG60" si="64">IF(J60&lt;&gt;"", IF(AND($P60=FALSE, $A60=FALSE), -J60, IF(AND($P60=FALSE, $A60=TRUE), 0, IF($P60=TRUE, (J60 / $R60) * 100 * ($S60 / 100)-J60, ))), )</f>
        <v/>
      </c>
      <c r="AD60" s="32" t="str">
        <f t="shared" si="64"/>
        <v/>
      </c>
      <c r="AE60" s="32" t="str">
        <f t="shared" si="64"/>
        <v/>
      </c>
      <c r="AF60" s="32" t="str">
        <f t="shared" si="64"/>
        <v/>
      </c>
      <c r="AG60" s="32" t="str">
        <f t="shared" si="64"/>
        <v/>
      </c>
      <c r="AH60" s="33"/>
    </row>
    <row r="61" hidden="1" outlineLevel="2" collapsed="1">
      <c r="A61" s="16" t="b">
        <v>0</v>
      </c>
      <c r="B61" s="17"/>
      <c r="C61" s="18"/>
      <c r="D61" s="41">
        <v>45235.0</v>
      </c>
      <c r="E61" s="20" t="s">
        <v>24</v>
      </c>
      <c r="F61" s="21" t="s">
        <v>70</v>
      </c>
      <c r="G61" s="22">
        <v>1.0</v>
      </c>
      <c r="H61" s="22">
        <v>0.5</v>
      </c>
      <c r="I61" s="22">
        <v>2.5</v>
      </c>
      <c r="J61" s="22"/>
      <c r="K61" s="23"/>
      <c r="L61" s="22"/>
      <c r="M61" s="23"/>
      <c r="N61" s="23"/>
      <c r="O61" s="24"/>
      <c r="P61" s="16" t="b">
        <v>0</v>
      </c>
      <c r="Q61" s="24"/>
      <c r="R61" s="25">
        <v>4.0</v>
      </c>
      <c r="S61" s="39">
        <v>9.95</v>
      </c>
      <c r="T61" s="27" t="s">
        <v>89</v>
      </c>
      <c r="U61" s="24"/>
      <c r="V61" s="58"/>
      <c r="W61" s="29"/>
      <c r="X61" s="30"/>
      <c r="Y61" s="31"/>
      <c r="Z61" s="26">
        <f t="shared" si="5"/>
        <v>-1</v>
      </c>
      <c r="AA61" s="26">
        <f t="shared" si="6"/>
        <v>-2.5</v>
      </c>
      <c r="AB61" s="32">
        <f t="shared" si="7"/>
        <v>-0.5</v>
      </c>
      <c r="AC61" s="32" t="str">
        <f t="shared" ref="AC61:AG61" si="65">IF(J61&lt;&gt;"", IF(AND($P61=FALSE, $A61=FALSE), -J61, IF(AND($P61=FALSE, $A61=TRUE), 0, IF($P61=TRUE, (J61 / $R61) * 100 * ($S61 / 100)-J61, ))), )</f>
        <v/>
      </c>
      <c r="AD61" s="32" t="str">
        <f t="shared" si="65"/>
        <v/>
      </c>
      <c r="AE61" s="32" t="str">
        <f t="shared" si="65"/>
        <v/>
      </c>
      <c r="AF61" s="32" t="str">
        <f t="shared" si="65"/>
        <v/>
      </c>
      <c r="AG61" s="32" t="str">
        <f t="shared" si="65"/>
        <v/>
      </c>
      <c r="AH61" s="33"/>
    </row>
    <row r="62" hidden="1" outlineLevel="3">
      <c r="A62" s="16" t="b">
        <v>0</v>
      </c>
      <c r="B62" s="17"/>
      <c r="C62" s="18"/>
      <c r="D62" s="19"/>
      <c r="E62" s="29"/>
      <c r="F62" s="60"/>
      <c r="G62" s="23"/>
      <c r="H62" s="23"/>
      <c r="I62" s="23"/>
      <c r="J62" s="23"/>
      <c r="K62" s="23"/>
      <c r="L62" s="23"/>
      <c r="M62" s="23"/>
      <c r="N62" s="23"/>
      <c r="O62" s="24"/>
      <c r="P62" s="16" t="b">
        <v>0</v>
      </c>
      <c r="Q62" s="24"/>
      <c r="R62" s="25"/>
      <c r="S62" s="25"/>
      <c r="T62" s="35"/>
      <c r="U62" s="24"/>
      <c r="V62" s="52" t="s">
        <v>29</v>
      </c>
      <c r="W62" s="29" t="s">
        <v>22</v>
      </c>
      <c r="X62" s="57" t="s">
        <v>90</v>
      </c>
      <c r="Y62" s="31"/>
      <c r="Z62" s="26" t="str">
        <f t="shared" si="5"/>
        <v/>
      </c>
      <c r="AA62" s="26" t="str">
        <f t="shared" si="6"/>
        <v/>
      </c>
      <c r="AB62" s="32" t="str">
        <f t="shared" si="7"/>
        <v/>
      </c>
      <c r="AC62" s="32" t="str">
        <f t="shared" ref="AC62:AG62" si="66">IF(J62&lt;&gt;"", IF(AND($P62=FALSE, $A62=FALSE), -J62, IF(AND($P62=FALSE, $A62=TRUE), 0, IF($P62=TRUE, (J62 / $R62) * 100 * ($S62 / 100)-J62, ))), )</f>
        <v/>
      </c>
      <c r="AD62" s="32" t="str">
        <f t="shared" si="66"/>
        <v/>
      </c>
      <c r="AE62" s="32" t="str">
        <f t="shared" si="66"/>
        <v/>
      </c>
      <c r="AF62" s="32" t="str">
        <f t="shared" si="66"/>
        <v/>
      </c>
      <c r="AG62" s="32" t="str">
        <f t="shared" si="66"/>
        <v/>
      </c>
      <c r="AH62" s="33"/>
    </row>
    <row r="63" hidden="1" outlineLevel="3">
      <c r="A63" s="16" t="b">
        <v>0</v>
      </c>
      <c r="B63" s="17"/>
      <c r="C63" s="18"/>
      <c r="D63" s="19"/>
      <c r="E63" s="29"/>
      <c r="F63" s="60"/>
      <c r="G63" s="23"/>
      <c r="H63" s="23"/>
      <c r="I63" s="23"/>
      <c r="J63" s="23"/>
      <c r="K63" s="23"/>
      <c r="L63" s="23"/>
      <c r="M63" s="23"/>
      <c r="N63" s="23"/>
      <c r="O63" s="24"/>
      <c r="P63" s="16" t="b">
        <v>0</v>
      </c>
      <c r="Q63" s="24"/>
      <c r="R63" s="25"/>
      <c r="S63" s="25"/>
      <c r="T63" s="35"/>
      <c r="U63" s="24"/>
      <c r="V63" s="51" t="s">
        <v>32</v>
      </c>
      <c r="W63" s="29" t="s">
        <v>22</v>
      </c>
      <c r="X63" s="57" t="s">
        <v>91</v>
      </c>
      <c r="Y63" s="31"/>
      <c r="Z63" s="26" t="str">
        <f t="shared" si="5"/>
        <v/>
      </c>
      <c r="AA63" s="26" t="str">
        <f t="shared" si="6"/>
        <v/>
      </c>
      <c r="AB63" s="32" t="str">
        <f t="shared" si="7"/>
        <v/>
      </c>
      <c r="AC63" s="32" t="str">
        <f t="shared" ref="AC63:AG63" si="67">IF(J63&lt;&gt;"", IF(AND($P63=FALSE, $A63=FALSE), -J63, IF(AND($P63=FALSE, $A63=TRUE), 0, IF($P63=TRUE, (J63 / $R63) * 100 * ($S63 / 100)-J63, ))), )</f>
        <v/>
      </c>
      <c r="AD63" s="32" t="str">
        <f t="shared" si="67"/>
        <v/>
      </c>
      <c r="AE63" s="32" t="str">
        <f t="shared" si="67"/>
        <v/>
      </c>
      <c r="AF63" s="32" t="str">
        <f t="shared" si="67"/>
        <v/>
      </c>
      <c r="AG63" s="32" t="str">
        <f t="shared" si="67"/>
        <v/>
      </c>
      <c r="AH63" s="33"/>
    </row>
    <row r="64" hidden="1" outlineLevel="3">
      <c r="A64" s="16" t="b">
        <v>0</v>
      </c>
      <c r="B64" s="17"/>
      <c r="C64" s="18"/>
      <c r="D64" s="19"/>
      <c r="E64" s="29"/>
      <c r="F64" s="60"/>
      <c r="G64" s="23"/>
      <c r="H64" s="23"/>
      <c r="I64" s="23"/>
      <c r="J64" s="23"/>
      <c r="K64" s="23"/>
      <c r="L64" s="23"/>
      <c r="M64" s="23"/>
      <c r="N64" s="23"/>
      <c r="O64" s="24"/>
      <c r="P64" s="16" t="b">
        <v>0</v>
      </c>
      <c r="Q64" s="24"/>
      <c r="R64" s="25"/>
      <c r="S64" s="25"/>
      <c r="T64" s="35"/>
      <c r="U64" s="24"/>
      <c r="V64" s="51" t="s">
        <v>32</v>
      </c>
      <c r="W64" s="29" t="s">
        <v>22</v>
      </c>
      <c r="X64" s="57" t="s">
        <v>92</v>
      </c>
      <c r="Y64" s="31"/>
      <c r="Z64" s="26" t="str">
        <f t="shared" si="5"/>
        <v/>
      </c>
      <c r="AA64" s="26" t="str">
        <f t="shared" si="6"/>
        <v/>
      </c>
      <c r="AB64" s="32" t="str">
        <f t="shared" si="7"/>
        <v/>
      </c>
      <c r="AC64" s="32" t="str">
        <f t="shared" ref="AC64:AG64" si="68">IF(J64&lt;&gt;"", IF(AND($P64=FALSE, $A64=FALSE), -J64, IF(AND($P64=FALSE, $A64=TRUE), 0, IF($P64=TRUE, (J64 / $R64) * 100 * ($S64 / 100)-J64, ))), )</f>
        <v/>
      </c>
      <c r="AD64" s="32" t="str">
        <f t="shared" si="68"/>
        <v/>
      </c>
      <c r="AE64" s="32" t="str">
        <f t="shared" si="68"/>
        <v/>
      </c>
      <c r="AF64" s="32" t="str">
        <f t="shared" si="68"/>
        <v/>
      </c>
      <c r="AG64" s="32" t="str">
        <f t="shared" si="68"/>
        <v/>
      </c>
      <c r="AH64" s="33"/>
    </row>
    <row r="65" hidden="1" outlineLevel="3">
      <c r="A65" s="16" t="b">
        <v>0</v>
      </c>
      <c r="B65" s="17"/>
      <c r="C65" s="18"/>
      <c r="D65" s="19"/>
      <c r="E65" s="29"/>
      <c r="F65" s="60"/>
      <c r="G65" s="23"/>
      <c r="H65" s="23"/>
      <c r="I65" s="23"/>
      <c r="J65" s="23"/>
      <c r="K65" s="23"/>
      <c r="L65" s="23"/>
      <c r="M65" s="23"/>
      <c r="N65" s="23"/>
      <c r="O65" s="24"/>
      <c r="P65" s="16" t="b">
        <v>0</v>
      </c>
      <c r="Q65" s="24"/>
      <c r="R65" s="25"/>
      <c r="S65" s="25"/>
      <c r="T65" s="35"/>
      <c r="U65" s="24"/>
      <c r="V65" s="51" t="s">
        <v>32</v>
      </c>
      <c r="W65" s="29" t="s">
        <v>22</v>
      </c>
      <c r="X65" s="57" t="s">
        <v>93</v>
      </c>
      <c r="Y65" s="31"/>
      <c r="Z65" s="26" t="str">
        <f t="shared" si="5"/>
        <v/>
      </c>
      <c r="AA65" s="26" t="str">
        <f t="shared" si="6"/>
        <v/>
      </c>
      <c r="AB65" s="32" t="str">
        <f t="shared" si="7"/>
        <v/>
      </c>
      <c r="AC65" s="32" t="str">
        <f t="shared" ref="AC65:AG65" si="69">IF(J65&lt;&gt;"", IF(AND($P65=FALSE, $A65=FALSE), -J65, IF(AND($P65=FALSE, $A65=TRUE), 0, IF($P65=TRUE, (J65 / $R65) * 100 * ($S65 / 100)-J65, ))), )</f>
        <v/>
      </c>
      <c r="AD65" s="32" t="str">
        <f t="shared" si="69"/>
        <v/>
      </c>
      <c r="AE65" s="32" t="str">
        <f t="shared" si="69"/>
        <v/>
      </c>
      <c r="AF65" s="32" t="str">
        <f t="shared" si="69"/>
        <v/>
      </c>
      <c r="AG65" s="32" t="str">
        <f t="shared" si="69"/>
        <v/>
      </c>
      <c r="AH65" s="33"/>
    </row>
    <row r="66" hidden="1" outlineLevel="2" collapsed="1">
      <c r="A66" s="16" t="b">
        <v>0</v>
      </c>
      <c r="B66" s="17"/>
      <c r="C66" s="18"/>
      <c r="D66" s="41">
        <v>45235.0</v>
      </c>
      <c r="E66" s="20" t="s">
        <v>24</v>
      </c>
      <c r="F66" s="21" t="s">
        <v>70</v>
      </c>
      <c r="G66" s="22">
        <v>1.0</v>
      </c>
      <c r="H66" s="22">
        <v>0.5</v>
      </c>
      <c r="I66" s="22">
        <v>2.5</v>
      </c>
      <c r="J66" s="22"/>
      <c r="K66" s="23"/>
      <c r="L66" s="22"/>
      <c r="M66" s="23"/>
      <c r="N66" s="23"/>
      <c r="O66" s="24"/>
      <c r="P66" s="16" t="b">
        <v>1</v>
      </c>
      <c r="Q66" s="24"/>
      <c r="R66" s="25">
        <v>4.0</v>
      </c>
      <c r="S66" s="39">
        <v>12.28</v>
      </c>
      <c r="T66" s="27" t="s">
        <v>94</v>
      </c>
      <c r="U66" s="24"/>
      <c r="V66" s="58"/>
      <c r="W66" s="29"/>
      <c r="X66" s="30"/>
      <c r="Y66" s="31"/>
      <c r="Z66" s="26">
        <f t="shared" si="5"/>
        <v>2.07</v>
      </c>
      <c r="AA66" s="26">
        <f t="shared" si="6"/>
        <v>5.175</v>
      </c>
      <c r="AB66" s="32">
        <f t="shared" si="7"/>
        <v>1.035</v>
      </c>
      <c r="AC66" s="32" t="str">
        <f t="shared" ref="AC66:AG66" si="70">IF(J66&lt;&gt;"", IF(AND($P66=FALSE, $A66=FALSE), -J66, IF(AND($P66=FALSE, $A66=TRUE), 0, IF($P66=TRUE, (J66 / $R66) * 100 * ($S66 / 100)-J66, ))), )</f>
        <v/>
      </c>
      <c r="AD66" s="32" t="str">
        <f t="shared" si="70"/>
        <v/>
      </c>
      <c r="AE66" s="32" t="str">
        <f t="shared" si="70"/>
        <v/>
      </c>
      <c r="AF66" s="32" t="str">
        <f t="shared" si="70"/>
        <v/>
      </c>
      <c r="AG66" s="32" t="str">
        <f t="shared" si="70"/>
        <v/>
      </c>
      <c r="AH66" s="33"/>
    </row>
    <row r="67" hidden="1" outlineLevel="3">
      <c r="A67" s="16" t="b">
        <v>0</v>
      </c>
      <c r="B67" s="17"/>
      <c r="C67" s="18"/>
      <c r="D67" s="19"/>
      <c r="E67" s="29"/>
      <c r="F67" s="60"/>
      <c r="G67" s="23"/>
      <c r="H67" s="23"/>
      <c r="I67" s="23"/>
      <c r="J67" s="23"/>
      <c r="K67" s="23"/>
      <c r="L67" s="23"/>
      <c r="M67" s="23"/>
      <c r="N67" s="23"/>
      <c r="O67" s="24"/>
      <c r="P67" s="16" t="b">
        <v>0</v>
      </c>
      <c r="Q67" s="24"/>
      <c r="R67" s="25"/>
      <c r="S67" s="39"/>
      <c r="T67" s="35"/>
      <c r="U67" s="24"/>
      <c r="V67" s="52" t="s">
        <v>29</v>
      </c>
      <c r="W67" s="29" t="s">
        <v>22</v>
      </c>
      <c r="X67" s="57" t="s">
        <v>95</v>
      </c>
      <c r="Y67" s="31"/>
      <c r="Z67" s="26" t="str">
        <f t="shared" si="5"/>
        <v/>
      </c>
      <c r="AA67" s="26" t="str">
        <f t="shared" si="6"/>
        <v/>
      </c>
      <c r="AB67" s="32" t="str">
        <f t="shared" si="7"/>
        <v/>
      </c>
      <c r="AC67" s="32" t="str">
        <f t="shared" ref="AC67:AG67" si="71">IF(J67&lt;&gt;"", IF(AND($P67=FALSE, $A67=FALSE), -J67, IF(AND($P67=FALSE, $A67=TRUE), 0, IF($P67=TRUE, (J67 / $R67) * 100 * ($S67 / 100)-J67, ))), )</f>
        <v/>
      </c>
      <c r="AD67" s="32" t="str">
        <f t="shared" si="71"/>
        <v/>
      </c>
      <c r="AE67" s="32" t="str">
        <f t="shared" si="71"/>
        <v/>
      </c>
      <c r="AF67" s="32" t="str">
        <f t="shared" si="71"/>
        <v/>
      </c>
      <c r="AG67" s="32" t="str">
        <f t="shared" si="71"/>
        <v/>
      </c>
      <c r="AH67" s="33"/>
    </row>
    <row r="68" hidden="1" outlineLevel="3">
      <c r="A68" s="16" t="b">
        <v>0</v>
      </c>
      <c r="B68" s="17"/>
      <c r="C68" s="18"/>
      <c r="D68" s="19"/>
      <c r="E68" s="29"/>
      <c r="F68" s="60"/>
      <c r="G68" s="23"/>
      <c r="H68" s="23"/>
      <c r="I68" s="23"/>
      <c r="J68" s="23"/>
      <c r="K68" s="23"/>
      <c r="L68" s="23"/>
      <c r="M68" s="23"/>
      <c r="N68" s="23"/>
      <c r="O68" s="24"/>
      <c r="P68" s="16" t="b">
        <v>0</v>
      </c>
      <c r="Q68" s="24"/>
      <c r="R68" s="25"/>
      <c r="S68" s="39"/>
      <c r="T68" s="35"/>
      <c r="U68" s="24"/>
      <c r="V68" s="52" t="s">
        <v>29</v>
      </c>
      <c r="W68" s="29" t="s">
        <v>22</v>
      </c>
      <c r="X68" s="57" t="s">
        <v>96</v>
      </c>
      <c r="Y68" s="31"/>
      <c r="Z68" s="26" t="str">
        <f t="shared" si="5"/>
        <v/>
      </c>
      <c r="AA68" s="26" t="str">
        <f t="shared" si="6"/>
        <v/>
      </c>
      <c r="AB68" s="32" t="str">
        <f t="shared" si="7"/>
        <v/>
      </c>
      <c r="AC68" s="32" t="str">
        <f t="shared" ref="AC68:AG68" si="72">IF(J68&lt;&gt;"", IF(AND($P68=FALSE, $A68=FALSE), -J68, IF(AND($P68=FALSE, $A68=TRUE), 0, IF($P68=TRUE, (J68 / $R68) * 100 * ($S68 / 100)-J68, ))), )</f>
        <v/>
      </c>
      <c r="AD68" s="32" t="str">
        <f t="shared" si="72"/>
        <v/>
      </c>
      <c r="AE68" s="32" t="str">
        <f t="shared" si="72"/>
        <v/>
      </c>
      <c r="AF68" s="32" t="str">
        <f t="shared" si="72"/>
        <v/>
      </c>
      <c r="AG68" s="32" t="str">
        <f t="shared" si="72"/>
        <v/>
      </c>
      <c r="AH68" s="33"/>
    </row>
    <row r="69" hidden="1" outlineLevel="3">
      <c r="A69" s="16" t="b">
        <v>0</v>
      </c>
      <c r="B69" s="17"/>
      <c r="C69" s="18"/>
      <c r="D69" s="19"/>
      <c r="E69" s="29"/>
      <c r="F69" s="60"/>
      <c r="G69" s="23"/>
      <c r="H69" s="23"/>
      <c r="I69" s="23"/>
      <c r="J69" s="23"/>
      <c r="K69" s="23"/>
      <c r="L69" s="23"/>
      <c r="M69" s="23"/>
      <c r="N69" s="23"/>
      <c r="O69" s="24"/>
      <c r="P69" s="16" t="b">
        <v>0</v>
      </c>
      <c r="Q69" s="24"/>
      <c r="R69" s="25"/>
      <c r="S69" s="39"/>
      <c r="T69" s="35"/>
      <c r="U69" s="24"/>
      <c r="V69" s="52" t="s">
        <v>29</v>
      </c>
      <c r="W69" s="29" t="s">
        <v>22</v>
      </c>
      <c r="X69" s="57" t="s">
        <v>97</v>
      </c>
      <c r="Y69" s="31"/>
      <c r="Z69" s="26" t="str">
        <f t="shared" si="5"/>
        <v/>
      </c>
      <c r="AA69" s="26" t="str">
        <f t="shared" si="6"/>
        <v/>
      </c>
      <c r="AB69" s="32" t="str">
        <f t="shared" si="7"/>
        <v/>
      </c>
      <c r="AC69" s="32" t="str">
        <f t="shared" ref="AC69:AG69" si="73">IF(J69&lt;&gt;"", IF(AND($P69=FALSE, $A69=FALSE), -J69, IF(AND($P69=FALSE, $A69=TRUE), 0, IF($P69=TRUE, (J69 / $R69) * 100 * ($S69 / 100)-J69, ))), )</f>
        <v/>
      </c>
      <c r="AD69" s="32" t="str">
        <f t="shared" si="73"/>
        <v/>
      </c>
      <c r="AE69" s="32" t="str">
        <f t="shared" si="73"/>
        <v/>
      </c>
      <c r="AF69" s="32" t="str">
        <f t="shared" si="73"/>
        <v/>
      </c>
      <c r="AG69" s="32" t="str">
        <f t="shared" si="73"/>
        <v/>
      </c>
      <c r="AH69" s="33"/>
    </row>
    <row r="70" hidden="1" outlineLevel="3">
      <c r="A70" s="16" t="b">
        <v>0</v>
      </c>
      <c r="B70" s="17"/>
      <c r="C70" s="18"/>
      <c r="D70" s="19"/>
      <c r="E70" s="29"/>
      <c r="F70" s="60"/>
      <c r="G70" s="23"/>
      <c r="H70" s="23"/>
      <c r="I70" s="23"/>
      <c r="J70" s="23"/>
      <c r="K70" s="23"/>
      <c r="L70" s="23"/>
      <c r="M70" s="23"/>
      <c r="N70" s="23"/>
      <c r="O70" s="24"/>
      <c r="P70" s="16" t="b">
        <v>0</v>
      </c>
      <c r="Q70" s="24"/>
      <c r="R70" s="25"/>
      <c r="S70" s="39"/>
      <c r="T70" s="35"/>
      <c r="U70" s="24"/>
      <c r="V70" s="52" t="s">
        <v>29</v>
      </c>
      <c r="W70" s="29" t="s">
        <v>22</v>
      </c>
      <c r="X70" s="57" t="s">
        <v>98</v>
      </c>
      <c r="Y70" s="31"/>
      <c r="Z70" s="26" t="str">
        <f t="shared" si="5"/>
        <v/>
      </c>
      <c r="AA70" s="26" t="str">
        <f t="shared" si="6"/>
        <v/>
      </c>
      <c r="AB70" s="32" t="str">
        <f t="shared" si="7"/>
        <v/>
      </c>
      <c r="AC70" s="32" t="str">
        <f t="shared" ref="AC70:AG70" si="74">IF(J70&lt;&gt;"", IF(AND($P70=FALSE, $A70=FALSE), -J70, IF(AND($P70=FALSE, $A70=TRUE), 0, IF($P70=TRUE, (J70 / $R70) * 100 * ($S70 / 100)-J70, ))), )</f>
        <v/>
      </c>
      <c r="AD70" s="32" t="str">
        <f t="shared" si="74"/>
        <v/>
      </c>
      <c r="AE70" s="32" t="str">
        <f t="shared" si="74"/>
        <v/>
      </c>
      <c r="AF70" s="32" t="str">
        <f t="shared" si="74"/>
        <v/>
      </c>
      <c r="AG70" s="32" t="str">
        <f t="shared" si="74"/>
        <v/>
      </c>
      <c r="AH70" s="33"/>
    </row>
    <row r="71" hidden="1" outlineLevel="3">
      <c r="A71" s="16" t="b">
        <v>0</v>
      </c>
      <c r="B71" s="17"/>
      <c r="C71" s="18"/>
      <c r="D71" s="19"/>
      <c r="E71" s="29"/>
      <c r="F71" s="60"/>
      <c r="G71" s="23"/>
      <c r="H71" s="23"/>
      <c r="I71" s="23"/>
      <c r="J71" s="23"/>
      <c r="K71" s="23"/>
      <c r="L71" s="23"/>
      <c r="M71" s="23"/>
      <c r="N71" s="23"/>
      <c r="O71" s="24"/>
      <c r="P71" s="16" t="b">
        <v>0</v>
      </c>
      <c r="Q71" s="24"/>
      <c r="R71" s="25"/>
      <c r="S71" s="39"/>
      <c r="T71" s="35"/>
      <c r="U71" s="24"/>
      <c r="V71" s="52" t="s">
        <v>29</v>
      </c>
      <c r="W71" s="29" t="s">
        <v>22</v>
      </c>
      <c r="X71" s="57" t="s">
        <v>99</v>
      </c>
      <c r="Y71" s="31"/>
      <c r="Z71" s="26" t="str">
        <f t="shared" si="5"/>
        <v/>
      </c>
      <c r="AA71" s="26" t="str">
        <f t="shared" si="6"/>
        <v/>
      </c>
      <c r="AB71" s="32" t="str">
        <f t="shared" si="7"/>
        <v/>
      </c>
      <c r="AC71" s="32" t="str">
        <f t="shared" ref="AC71:AG71" si="75">IF(J71&lt;&gt;"", IF(AND($P71=FALSE, $A71=FALSE), -J71, IF(AND($P71=FALSE, $A71=TRUE), 0, IF($P71=TRUE, (J71 / $R71) * 100 * ($S71 / 100)-J71, ))), )</f>
        <v/>
      </c>
      <c r="AD71" s="32" t="str">
        <f t="shared" si="75"/>
        <v/>
      </c>
      <c r="AE71" s="32" t="str">
        <f t="shared" si="75"/>
        <v/>
      </c>
      <c r="AF71" s="32" t="str">
        <f t="shared" si="75"/>
        <v/>
      </c>
      <c r="AG71" s="32" t="str">
        <f t="shared" si="75"/>
        <v/>
      </c>
      <c r="AH71" s="33"/>
    </row>
    <row r="72" hidden="1" outlineLevel="2" collapsed="1">
      <c r="A72" s="16" t="b">
        <v>0</v>
      </c>
      <c r="B72" s="17"/>
      <c r="C72" s="18"/>
      <c r="D72" s="41">
        <v>45235.0</v>
      </c>
      <c r="E72" s="20" t="s">
        <v>24</v>
      </c>
      <c r="F72" s="21" t="s">
        <v>70</v>
      </c>
      <c r="G72" s="22">
        <v>2.0</v>
      </c>
      <c r="H72" s="22">
        <v>1.0</v>
      </c>
      <c r="I72" s="22"/>
      <c r="J72" s="22"/>
      <c r="K72" s="23"/>
      <c r="L72" s="22"/>
      <c r="M72" s="23"/>
      <c r="N72" s="23"/>
      <c r="O72" s="24"/>
      <c r="P72" s="16" t="b">
        <v>0</v>
      </c>
      <c r="Q72" s="24"/>
      <c r="R72" s="25">
        <v>3.0</v>
      </c>
      <c r="S72" s="39">
        <v>8.11</v>
      </c>
      <c r="T72" s="27" t="s">
        <v>100</v>
      </c>
      <c r="U72" s="24"/>
      <c r="V72" s="58"/>
      <c r="W72" s="29"/>
      <c r="X72" s="30"/>
      <c r="Y72" s="31"/>
      <c r="Z72" s="26">
        <f t="shared" si="5"/>
        <v>-2</v>
      </c>
      <c r="AA72" s="26" t="str">
        <f t="shared" si="6"/>
        <v/>
      </c>
      <c r="AB72" s="32">
        <f t="shared" si="7"/>
        <v>-1</v>
      </c>
      <c r="AC72" s="32" t="str">
        <f t="shared" ref="AC72:AG72" si="76">IF(J72&lt;&gt;"", IF(AND($P72=FALSE, $A72=FALSE), -J72, IF(AND($P72=FALSE, $A72=TRUE), 0, IF($P72=TRUE, (J72 / $R72) * 100 * ($S72 / 100)-J72, ))), )</f>
        <v/>
      </c>
      <c r="AD72" s="32" t="str">
        <f t="shared" si="76"/>
        <v/>
      </c>
      <c r="AE72" s="32" t="str">
        <f t="shared" si="76"/>
        <v/>
      </c>
      <c r="AF72" s="32" t="str">
        <f t="shared" si="76"/>
        <v/>
      </c>
      <c r="AG72" s="32" t="str">
        <f t="shared" si="76"/>
        <v/>
      </c>
      <c r="AH72" s="33"/>
    </row>
    <row r="73" hidden="1" outlineLevel="3">
      <c r="A73" s="16" t="b">
        <v>0</v>
      </c>
      <c r="B73" s="17"/>
      <c r="C73" s="18"/>
      <c r="D73" s="19"/>
      <c r="E73" s="29"/>
      <c r="F73" s="60"/>
      <c r="G73" s="23"/>
      <c r="H73" s="23"/>
      <c r="I73" s="23"/>
      <c r="J73" s="23"/>
      <c r="K73" s="23"/>
      <c r="L73" s="23"/>
      <c r="M73" s="23"/>
      <c r="N73" s="23"/>
      <c r="O73" s="24"/>
      <c r="P73" s="16" t="b">
        <v>0</v>
      </c>
      <c r="Q73" s="24"/>
      <c r="R73" s="25"/>
      <c r="S73" s="25"/>
      <c r="T73" s="35"/>
      <c r="U73" s="24"/>
      <c r="V73" s="52" t="s">
        <v>29</v>
      </c>
      <c r="W73" s="29" t="s">
        <v>22</v>
      </c>
      <c r="X73" s="57" t="s">
        <v>101</v>
      </c>
      <c r="Y73" s="31"/>
      <c r="Z73" s="26" t="str">
        <f t="shared" si="5"/>
        <v/>
      </c>
      <c r="AA73" s="26" t="str">
        <f t="shared" si="6"/>
        <v/>
      </c>
      <c r="AB73" s="32" t="str">
        <f t="shared" si="7"/>
        <v/>
      </c>
      <c r="AC73" s="32" t="str">
        <f t="shared" ref="AC73:AG73" si="77">IF(J73&lt;&gt;"", IF(AND($P73=FALSE, $A73=FALSE), -J73, IF(AND($P73=FALSE, $A73=TRUE), 0, IF($P73=TRUE, (J73 / $R73) * 100 * ($S73 / 100)-J73, ))), )</f>
        <v/>
      </c>
      <c r="AD73" s="32" t="str">
        <f t="shared" si="77"/>
        <v/>
      </c>
      <c r="AE73" s="32" t="str">
        <f t="shared" si="77"/>
        <v/>
      </c>
      <c r="AF73" s="32" t="str">
        <f t="shared" si="77"/>
        <v/>
      </c>
      <c r="AG73" s="32" t="str">
        <f t="shared" si="77"/>
        <v/>
      </c>
      <c r="AH73" s="33"/>
    </row>
    <row r="74" hidden="1" outlineLevel="3">
      <c r="A74" s="16" t="b">
        <v>0</v>
      </c>
      <c r="B74" s="17"/>
      <c r="C74" s="18"/>
      <c r="D74" s="19"/>
      <c r="E74" s="29"/>
      <c r="F74" s="60"/>
      <c r="G74" s="23"/>
      <c r="H74" s="23"/>
      <c r="I74" s="23"/>
      <c r="J74" s="23"/>
      <c r="K74" s="23"/>
      <c r="L74" s="23"/>
      <c r="M74" s="23"/>
      <c r="N74" s="23"/>
      <c r="O74" s="24"/>
      <c r="P74" s="16" t="b">
        <v>0</v>
      </c>
      <c r="Q74" s="24"/>
      <c r="R74" s="25"/>
      <c r="S74" s="25"/>
      <c r="T74" s="35"/>
      <c r="U74" s="24"/>
      <c r="V74" s="52" t="s">
        <v>29</v>
      </c>
      <c r="W74" s="29" t="s">
        <v>22</v>
      </c>
      <c r="X74" s="57" t="s">
        <v>102</v>
      </c>
      <c r="Y74" s="31"/>
      <c r="Z74" s="26" t="str">
        <f t="shared" si="5"/>
        <v/>
      </c>
      <c r="AA74" s="26" t="str">
        <f t="shared" si="6"/>
        <v/>
      </c>
      <c r="AB74" s="32" t="str">
        <f t="shared" si="7"/>
        <v/>
      </c>
      <c r="AC74" s="32" t="str">
        <f t="shared" ref="AC74:AG74" si="78">IF(J74&lt;&gt;"", IF(AND($P74=FALSE, $A74=FALSE), -J74, IF(AND($P74=FALSE, $A74=TRUE), 0, IF($P74=TRUE, (J74 / $R74) * 100 * ($S74 / 100)-J74, ))), )</f>
        <v/>
      </c>
      <c r="AD74" s="32" t="str">
        <f t="shared" si="78"/>
        <v/>
      </c>
      <c r="AE74" s="32" t="str">
        <f t="shared" si="78"/>
        <v/>
      </c>
      <c r="AF74" s="32" t="str">
        <f t="shared" si="78"/>
        <v/>
      </c>
      <c r="AG74" s="32" t="str">
        <f t="shared" si="78"/>
        <v/>
      </c>
      <c r="AH74" s="33"/>
    </row>
    <row r="75" hidden="1" outlineLevel="3">
      <c r="A75" s="16" t="b">
        <v>0</v>
      </c>
      <c r="B75" s="17"/>
      <c r="C75" s="18"/>
      <c r="D75" s="19"/>
      <c r="E75" s="29"/>
      <c r="F75" s="60"/>
      <c r="G75" s="23"/>
      <c r="H75" s="23"/>
      <c r="I75" s="23"/>
      <c r="J75" s="23"/>
      <c r="K75" s="23"/>
      <c r="L75" s="23"/>
      <c r="M75" s="23"/>
      <c r="N75" s="23"/>
      <c r="O75" s="24"/>
      <c r="P75" s="16" t="b">
        <v>0</v>
      </c>
      <c r="Q75" s="24"/>
      <c r="R75" s="25"/>
      <c r="S75" s="25"/>
      <c r="T75" s="35"/>
      <c r="U75" s="24"/>
      <c r="V75" s="51" t="s">
        <v>32</v>
      </c>
      <c r="W75" s="29" t="s">
        <v>22</v>
      </c>
      <c r="X75" s="57" t="s">
        <v>103</v>
      </c>
      <c r="Y75" s="31"/>
      <c r="Z75" s="26" t="str">
        <f t="shared" si="5"/>
        <v/>
      </c>
      <c r="AA75" s="26" t="str">
        <f t="shared" si="6"/>
        <v/>
      </c>
      <c r="AB75" s="32" t="str">
        <f t="shared" si="7"/>
        <v/>
      </c>
      <c r="AC75" s="32" t="str">
        <f t="shared" ref="AC75:AG75" si="79">IF(J75&lt;&gt;"", IF(AND($P75=FALSE, $A75=FALSE), -J75, IF(AND($P75=FALSE, $A75=TRUE), 0, IF($P75=TRUE, (J75 / $R75) * 100 * ($S75 / 100)-J75, ))), )</f>
        <v/>
      </c>
      <c r="AD75" s="32" t="str">
        <f t="shared" si="79"/>
        <v/>
      </c>
      <c r="AE75" s="32" t="str">
        <f t="shared" si="79"/>
        <v/>
      </c>
      <c r="AF75" s="32" t="str">
        <f t="shared" si="79"/>
        <v/>
      </c>
      <c r="AG75" s="32" t="str">
        <f t="shared" si="79"/>
        <v/>
      </c>
      <c r="AH75" s="33"/>
    </row>
    <row r="76" hidden="1" outlineLevel="3">
      <c r="A76" s="16" t="b">
        <v>0</v>
      </c>
      <c r="B76" s="17"/>
      <c r="C76" s="18"/>
      <c r="D76" s="19"/>
      <c r="E76" s="29"/>
      <c r="F76" s="60"/>
      <c r="G76" s="23"/>
      <c r="H76" s="23"/>
      <c r="I76" s="23"/>
      <c r="J76" s="23"/>
      <c r="K76" s="23"/>
      <c r="L76" s="23"/>
      <c r="M76" s="23"/>
      <c r="N76" s="23"/>
      <c r="O76" s="24"/>
      <c r="P76" s="16" t="b">
        <v>0</v>
      </c>
      <c r="Q76" s="24"/>
      <c r="R76" s="25"/>
      <c r="S76" s="25"/>
      <c r="T76" s="35"/>
      <c r="U76" s="24"/>
      <c r="V76" s="51" t="s">
        <v>32</v>
      </c>
      <c r="W76" s="29" t="s">
        <v>22</v>
      </c>
      <c r="X76" s="57" t="s">
        <v>104</v>
      </c>
      <c r="Y76" s="31"/>
      <c r="Z76" s="26" t="str">
        <f t="shared" si="5"/>
        <v/>
      </c>
      <c r="AA76" s="26" t="str">
        <f t="shared" si="6"/>
        <v/>
      </c>
      <c r="AB76" s="32" t="str">
        <f t="shared" si="7"/>
        <v/>
      </c>
      <c r="AC76" s="32" t="str">
        <f t="shared" ref="AC76:AG76" si="80">IF(J76&lt;&gt;"", IF(AND($P76=FALSE, $A76=FALSE), -J76, IF(AND($P76=FALSE, $A76=TRUE), 0, IF($P76=TRUE, (J76 / $R76) * 100 * ($S76 / 100)-J76, ))), )</f>
        <v/>
      </c>
      <c r="AD76" s="32" t="str">
        <f t="shared" si="80"/>
        <v/>
      </c>
      <c r="AE76" s="32" t="str">
        <f t="shared" si="80"/>
        <v/>
      </c>
      <c r="AF76" s="32" t="str">
        <f t="shared" si="80"/>
        <v/>
      </c>
      <c r="AG76" s="32" t="str">
        <f t="shared" si="80"/>
        <v/>
      </c>
      <c r="AH76" s="33"/>
    </row>
    <row r="77" hidden="1" outlineLevel="2" collapsed="1">
      <c r="A77" s="16" t="b">
        <v>0</v>
      </c>
      <c r="B77" s="17"/>
      <c r="C77" s="18"/>
      <c r="D77" s="41">
        <v>45235.0</v>
      </c>
      <c r="E77" s="20" t="s">
        <v>24</v>
      </c>
      <c r="F77" s="21" t="s">
        <v>70</v>
      </c>
      <c r="G77" s="22">
        <v>1.0</v>
      </c>
      <c r="H77" s="22">
        <v>0.5</v>
      </c>
      <c r="I77" s="22">
        <v>2.5</v>
      </c>
      <c r="J77" s="22"/>
      <c r="K77" s="23"/>
      <c r="L77" s="22"/>
      <c r="M77" s="23"/>
      <c r="N77" s="23"/>
      <c r="O77" s="24"/>
      <c r="P77" s="16" t="b">
        <v>1</v>
      </c>
      <c r="Q77" s="24"/>
      <c r="R77" s="25">
        <v>4.0</v>
      </c>
      <c r="S77" s="39">
        <v>13.29</v>
      </c>
      <c r="T77" s="27" t="s">
        <v>105</v>
      </c>
      <c r="U77" s="24"/>
      <c r="V77" s="58"/>
      <c r="W77" s="29"/>
      <c r="X77" s="30"/>
      <c r="Y77" s="31"/>
      <c r="Z77" s="26">
        <f t="shared" si="5"/>
        <v>2.3225</v>
      </c>
      <c r="AA77" s="26">
        <f t="shared" si="6"/>
        <v>5.80625</v>
      </c>
      <c r="AB77" s="32">
        <f t="shared" si="7"/>
        <v>1.16125</v>
      </c>
      <c r="AC77" s="32" t="str">
        <f t="shared" ref="AC77:AG77" si="81">IF(J77&lt;&gt;"", IF(AND($P77=FALSE, $A77=FALSE), -J77, IF(AND($P77=FALSE, $A77=TRUE), 0, IF($P77=TRUE, (J77 / $R77) * 100 * ($S77 / 100)-J77, ))), )</f>
        <v/>
      </c>
      <c r="AD77" s="32" t="str">
        <f t="shared" si="81"/>
        <v/>
      </c>
      <c r="AE77" s="32" t="str">
        <f t="shared" si="81"/>
        <v/>
      </c>
      <c r="AF77" s="32" t="str">
        <f t="shared" si="81"/>
        <v/>
      </c>
      <c r="AG77" s="32" t="str">
        <f t="shared" si="81"/>
        <v/>
      </c>
      <c r="AH77" s="33"/>
    </row>
    <row r="78" hidden="1" outlineLevel="3">
      <c r="A78" s="16" t="b">
        <v>0</v>
      </c>
      <c r="B78" s="17"/>
      <c r="C78" s="18"/>
      <c r="D78" s="19"/>
      <c r="E78" s="29"/>
      <c r="F78" s="60"/>
      <c r="G78" s="23"/>
      <c r="H78" s="23"/>
      <c r="I78" s="23"/>
      <c r="J78" s="23"/>
      <c r="K78" s="23"/>
      <c r="L78" s="23"/>
      <c r="M78" s="23"/>
      <c r="N78" s="23"/>
      <c r="O78" s="24"/>
      <c r="P78" s="16" t="b">
        <v>0</v>
      </c>
      <c r="Q78" s="24"/>
      <c r="R78" s="25"/>
      <c r="S78" s="25"/>
      <c r="T78" s="35"/>
      <c r="U78" s="24"/>
      <c r="V78" s="52" t="s">
        <v>29</v>
      </c>
      <c r="W78" s="29" t="s">
        <v>22</v>
      </c>
      <c r="X78" s="57" t="s">
        <v>106</v>
      </c>
      <c r="Y78" s="31"/>
      <c r="Z78" s="26" t="str">
        <f t="shared" si="5"/>
        <v/>
      </c>
      <c r="AA78" s="26" t="str">
        <f t="shared" si="6"/>
        <v/>
      </c>
      <c r="AB78" s="32" t="str">
        <f t="shared" si="7"/>
        <v/>
      </c>
      <c r="AC78" s="32" t="str">
        <f t="shared" ref="AC78:AG78" si="82">IF(J78&lt;&gt;"", IF(AND($P78=FALSE, $A78=FALSE), -J78, IF(AND($P78=FALSE, $A78=TRUE), 0, IF($P78=TRUE, (J78 / $R78) * 100 * ($S78 / 100)-J78, ))), )</f>
        <v/>
      </c>
      <c r="AD78" s="32" t="str">
        <f t="shared" si="82"/>
        <v/>
      </c>
      <c r="AE78" s="32" t="str">
        <f t="shared" si="82"/>
        <v/>
      </c>
      <c r="AF78" s="32" t="str">
        <f t="shared" si="82"/>
        <v/>
      </c>
      <c r="AG78" s="32" t="str">
        <f t="shared" si="82"/>
        <v/>
      </c>
      <c r="AH78" s="33"/>
    </row>
    <row r="79" hidden="1" outlineLevel="3">
      <c r="A79" s="16" t="b">
        <v>0</v>
      </c>
      <c r="B79" s="17"/>
      <c r="C79" s="18"/>
      <c r="D79" s="19"/>
      <c r="E79" s="29"/>
      <c r="F79" s="60"/>
      <c r="G79" s="23"/>
      <c r="H79" s="23"/>
      <c r="I79" s="23"/>
      <c r="J79" s="23"/>
      <c r="K79" s="23"/>
      <c r="L79" s="23"/>
      <c r="M79" s="23"/>
      <c r="N79" s="23"/>
      <c r="O79" s="24"/>
      <c r="P79" s="16" t="b">
        <v>0</v>
      </c>
      <c r="Q79" s="24"/>
      <c r="R79" s="25"/>
      <c r="S79" s="25"/>
      <c r="T79" s="35"/>
      <c r="U79" s="24"/>
      <c r="V79" s="52" t="s">
        <v>29</v>
      </c>
      <c r="W79" s="29" t="s">
        <v>22</v>
      </c>
      <c r="X79" s="57" t="s">
        <v>107</v>
      </c>
      <c r="Y79" s="31"/>
      <c r="Z79" s="26" t="str">
        <f t="shared" si="5"/>
        <v/>
      </c>
      <c r="AA79" s="26" t="str">
        <f t="shared" si="6"/>
        <v/>
      </c>
      <c r="AB79" s="32" t="str">
        <f t="shared" si="7"/>
        <v/>
      </c>
      <c r="AC79" s="32" t="str">
        <f t="shared" ref="AC79:AG79" si="83">IF(J79&lt;&gt;"", IF(AND($P79=FALSE, $A79=FALSE), -J79, IF(AND($P79=FALSE, $A79=TRUE), 0, IF($P79=TRUE, (J79 / $R79) * 100 * ($S79 / 100)-J79, ))), )</f>
        <v/>
      </c>
      <c r="AD79" s="32" t="str">
        <f t="shared" si="83"/>
        <v/>
      </c>
      <c r="AE79" s="32" t="str">
        <f t="shared" si="83"/>
        <v/>
      </c>
      <c r="AF79" s="32" t="str">
        <f t="shared" si="83"/>
        <v/>
      </c>
      <c r="AG79" s="32" t="str">
        <f t="shared" si="83"/>
        <v/>
      </c>
      <c r="AH79" s="33"/>
    </row>
    <row r="80" hidden="1" outlineLevel="3">
      <c r="A80" s="16" t="b">
        <v>0</v>
      </c>
      <c r="B80" s="17"/>
      <c r="C80" s="18"/>
      <c r="D80" s="19"/>
      <c r="E80" s="29"/>
      <c r="F80" s="60"/>
      <c r="G80" s="23"/>
      <c r="H80" s="23"/>
      <c r="I80" s="23"/>
      <c r="J80" s="23"/>
      <c r="K80" s="23"/>
      <c r="L80" s="23"/>
      <c r="M80" s="23"/>
      <c r="N80" s="23"/>
      <c r="O80" s="24"/>
      <c r="P80" s="16" t="b">
        <v>0</v>
      </c>
      <c r="Q80" s="24"/>
      <c r="R80" s="25"/>
      <c r="S80" s="25"/>
      <c r="T80" s="35"/>
      <c r="U80" s="24"/>
      <c r="V80" s="52" t="s">
        <v>29</v>
      </c>
      <c r="W80" s="29" t="s">
        <v>22</v>
      </c>
      <c r="X80" s="57" t="s">
        <v>108</v>
      </c>
      <c r="Y80" s="31"/>
      <c r="Z80" s="26" t="str">
        <f t="shared" si="5"/>
        <v/>
      </c>
      <c r="AA80" s="26" t="str">
        <f t="shared" si="6"/>
        <v/>
      </c>
      <c r="AB80" s="32" t="str">
        <f t="shared" si="7"/>
        <v/>
      </c>
      <c r="AC80" s="32" t="str">
        <f t="shared" ref="AC80:AG80" si="84">IF(J80&lt;&gt;"", IF(AND($P80=FALSE, $A80=FALSE), -J80, IF(AND($P80=FALSE, $A80=TRUE), 0, IF($P80=TRUE, (J80 / $R80) * 100 * ($S80 / 100)-J80, ))), )</f>
        <v/>
      </c>
      <c r="AD80" s="32" t="str">
        <f t="shared" si="84"/>
        <v/>
      </c>
      <c r="AE80" s="32" t="str">
        <f t="shared" si="84"/>
        <v/>
      </c>
      <c r="AF80" s="32" t="str">
        <f t="shared" si="84"/>
        <v/>
      </c>
      <c r="AG80" s="32" t="str">
        <f t="shared" si="84"/>
        <v/>
      </c>
      <c r="AH80" s="33"/>
    </row>
    <row r="81" hidden="1" outlineLevel="3">
      <c r="A81" s="16" t="b">
        <v>0</v>
      </c>
      <c r="B81" s="17"/>
      <c r="C81" s="18"/>
      <c r="D81" s="19"/>
      <c r="E81" s="29"/>
      <c r="F81" s="60"/>
      <c r="G81" s="23"/>
      <c r="H81" s="23"/>
      <c r="I81" s="23"/>
      <c r="J81" s="23"/>
      <c r="K81" s="23"/>
      <c r="L81" s="23"/>
      <c r="M81" s="23"/>
      <c r="N81" s="23"/>
      <c r="O81" s="24"/>
      <c r="P81" s="16" t="b">
        <v>0</v>
      </c>
      <c r="Q81" s="24"/>
      <c r="R81" s="25"/>
      <c r="S81" s="25"/>
      <c r="T81" s="35"/>
      <c r="U81" s="24"/>
      <c r="V81" s="52" t="s">
        <v>29</v>
      </c>
      <c r="W81" s="29" t="s">
        <v>22</v>
      </c>
      <c r="X81" s="57" t="s">
        <v>109</v>
      </c>
      <c r="Y81" s="31"/>
      <c r="Z81" s="26" t="str">
        <f t="shared" si="5"/>
        <v/>
      </c>
      <c r="AA81" s="26" t="str">
        <f t="shared" si="6"/>
        <v/>
      </c>
      <c r="AB81" s="32" t="str">
        <f t="shared" si="7"/>
        <v/>
      </c>
      <c r="AC81" s="32" t="str">
        <f t="shared" ref="AC81:AG81" si="85">IF(J81&lt;&gt;"", IF(AND($P81=FALSE, $A81=FALSE), -J81, IF(AND($P81=FALSE, $A81=TRUE), 0, IF($P81=TRUE, (J81 / $R81) * 100 * ($S81 / 100)-J81, ))), )</f>
        <v/>
      </c>
      <c r="AD81" s="32" t="str">
        <f t="shared" si="85"/>
        <v/>
      </c>
      <c r="AE81" s="32" t="str">
        <f t="shared" si="85"/>
        <v/>
      </c>
      <c r="AF81" s="32" t="str">
        <f t="shared" si="85"/>
        <v/>
      </c>
      <c r="AG81" s="32" t="str">
        <f t="shared" si="85"/>
        <v/>
      </c>
      <c r="AH81" s="33"/>
    </row>
    <row r="82" hidden="1" outlineLevel="2" collapsed="1">
      <c r="A82" s="16" t="b">
        <v>0</v>
      </c>
      <c r="B82" s="17"/>
      <c r="C82" s="18"/>
      <c r="D82" s="41">
        <v>45235.0</v>
      </c>
      <c r="E82" s="20" t="s">
        <v>24</v>
      </c>
      <c r="F82" s="21" t="s">
        <v>70</v>
      </c>
      <c r="G82" s="22">
        <v>2.0</v>
      </c>
      <c r="H82" s="22">
        <v>1.0</v>
      </c>
      <c r="I82" s="22"/>
      <c r="J82" s="22"/>
      <c r="K82" s="23"/>
      <c r="L82" s="22"/>
      <c r="M82" s="23"/>
      <c r="N82" s="23"/>
      <c r="O82" s="24"/>
      <c r="P82" s="16" t="b">
        <v>0</v>
      </c>
      <c r="Q82" s="24"/>
      <c r="R82" s="25">
        <v>3.0</v>
      </c>
      <c r="S82" s="39">
        <v>8.26</v>
      </c>
      <c r="T82" s="27" t="s">
        <v>110</v>
      </c>
      <c r="U82" s="24"/>
      <c r="V82" s="58"/>
      <c r="W82" s="29"/>
      <c r="X82" s="30"/>
      <c r="Y82" s="31"/>
      <c r="Z82" s="26">
        <f t="shared" si="5"/>
        <v>-2</v>
      </c>
      <c r="AA82" s="26" t="str">
        <f t="shared" si="6"/>
        <v/>
      </c>
      <c r="AB82" s="32">
        <f t="shared" si="7"/>
        <v>-1</v>
      </c>
      <c r="AC82" s="32" t="str">
        <f t="shared" ref="AC82:AG82" si="86">IF(J82&lt;&gt;"", IF(AND($P82=FALSE, $A82=FALSE), -J82, IF(AND($P82=FALSE, $A82=TRUE), 0, IF($P82=TRUE, (J82 / $R82) * 100 * ($S82 / 100)-J82, ))), )</f>
        <v/>
      </c>
      <c r="AD82" s="32" t="str">
        <f t="shared" si="86"/>
        <v/>
      </c>
      <c r="AE82" s="32" t="str">
        <f t="shared" si="86"/>
        <v/>
      </c>
      <c r="AF82" s="32" t="str">
        <f t="shared" si="86"/>
        <v/>
      </c>
      <c r="AG82" s="32" t="str">
        <f t="shared" si="86"/>
        <v/>
      </c>
      <c r="AH82" s="33"/>
    </row>
    <row r="83" hidden="1" outlineLevel="3">
      <c r="A83" s="16" t="b">
        <v>0</v>
      </c>
      <c r="B83" s="17"/>
      <c r="C83" s="18"/>
      <c r="D83" s="19"/>
      <c r="E83" s="29"/>
      <c r="F83" s="60"/>
      <c r="G83" s="23"/>
      <c r="H83" s="23"/>
      <c r="I83" s="23"/>
      <c r="J83" s="23"/>
      <c r="K83" s="23"/>
      <c r="L83" s="23"/>
      <c r="M83" s="23"/>
      <c r="N83" s="23"/>
      <c r="O83" s="24"/>
      <c r="P83" s="16" t="b">
        <v>0</v>
      </c>
      <c r="Q83" s="24"/>
      <c r="R83" s="25"/>
      <c r="S83" s="25"/>
      <c r="T83" s="35"/>
      <c r="U83" s="24"/>
      <c r="V83" s="52" t="s">
        <v>29</v>
      </c>
      <c r="W83" s="29" t="s">
        <v>22</v>
      </c>
      <c r="X83" s="57" t="s">
        <v>111</v>
      </c>
      <c r="Y83" s="31"/>
      <c r="Z83" s="26" t="str">
        <f t="shared" si="5"/>
        <v/>
      </c>
      <c r="AA83" s="26" t="str">
        <f t="shared" si="6"/>
        <v/>
      </c>
      <c r="AB83" s="32" t="str">
        <f t="shared" si="7"/>
        <v/>
      </c>
      <c r="AC83" s="32" t="str">
        <f t="shared" ref="AC83:AG83" si="87">IF(J83&lt;&gt;"", IF(AND($P83=FALSE, $A83=FALSE), -J83, IF(AND($P83=FALSE, $A83=TRUE), 0, IF($P83=TRUE, (J83 / $R83) * 100 * ($S83 / 100)-J83, ))), )</f>
        <v/>
      </c>
      <c r="AD83" s="32" t="str">
        <f t="shared" si="87"/>
        <v/>
      </c>
      <c r="AE83" s="32" t="str">
        <f t="shared" si="87"/>
        <v/>
      </c>
      <c r="AF83" s="32" t="str">
        <f t="shared" si="87"/>
        <v/>
      </c>
      <c r="AG83" s="32" t="str">
        <f t="shared" si="87"/>
        <v/>
      </c>
      <c r="AH83" s="33"/>
    </row>
    <row r="84" hidden="1" outlineLevel="3">
      <c r="A84" s="16" t="b">
        <v>0</v>
      </c>
      <c r="B84" s="17"/>
      <c r="C84" s="18"/>
      <c r="D84" s="19"/>
      <c r="E84" s="29"/>
      <c r="F84" s="60"/>
      <c r="G84" s="23"/>
      <c r="H84" s="23"/>
      <c r="I84" s="23"/>
      <c r="J84" s="23"/>
      <c r="K84" s="23"/>
      <c r="L84" s="23"/>
      <c r="M84" s="23"/>
      <c r="N84" s="23"/>
      <c r="O84" s="24"/>
      <c r="P84" s="16" t="b">
        <v>0</v>
      </c>
      <c r="Q84" s="24"/>
      <c r="R84" s="25"/>
      <c r="S84" s="25"/>
      <c r="T84" s="35"/>
      <c r="U84" s="24"/>
      <c r="V84" s="52" t="s">
        <v>29</v>
      </c>
      <c r="W84" s="29" t="s">
        <v>22</v>
      </c>
      <c r="X84" s="57" t="s">
        <v>112</v>
      </c>
      <c r="Y84" s="31"/>
      <c r="Z84" s="26" t="str">
        <f t="shared" si="5"/>
        <v/>
      </c>
      <c r="AA84" s="26" t="str">
        <f t="shared" si="6"/>
        <v/>
      </c>
      <c r="AB84" s="32" t="str">
        <f t="shared" si="7"/>
        <v/>
      </c>
      <c r="AC84" s="32" t="str">
        <f t="shared" ref="AC84:AG84" si="88">IF(J84&lt;&gt;"", IF(AND($P84=FALSE, $A84=FALSE), -J84, IF(AND($P84=FALSE, $A84=TRUE), 0, IF($P84=TRUE, (J84 / $R84) * 100 * ($S84 / 100)-J84, ))), )</f>
        <v/>
      </c>
      <c r="AD84" s="32" t="str">
        <f t="shared" si="88"/>
        <v/>
      </c>
      <c r="AE84" s="32" t="str">
        <f t="shared" si="88"/>
        <v/>
      </c>
      <c r="AF84" s="32" t="str">
        <f t="shared" si="88"/>
        <v/>
      </c>
      <c r="AG84" s="32" t="str">
        <f t="shared" si="88"/>
        <v/>
      </c>
      <c r="AH84" s="33"/>
    </row>
    <row r="85" hidden="1" outlineLevel="3">
      <c r="A85" s="16" t="b">
        <v>0</v>
      </c>
      <c r="B85" s="17"/>
      <c r="C85" s="18"/>
      <c r="D85" s="19"/>
      <c r="E85" s="29"/>
      <c r="F85" s="60"/>
      <c r="G85" s="23"/>
      <c r="H85" s="23"/>
      <c r="I85" s="23"/>
      <c r="J85" s="23"/>
      <c r="K85" s="23"/>
      <c r="L85" s="23"/>
      <c r="M85" s="23"/>
      <c r="N85" s="23"/>
      <c r="O85" s="24"/>
      <c r="P85" s="16" t="b">
        <v>0</v>
      </c>
      <c r="Q85" s="24"/>
      <c r="R85" s="25"/>
      <c r="S85" s="25"/>
      <c r="T85" s="35"/>
      <c r="U85" s="24"/>
      <c r="V85" s="51" t="s">
        <v>32</v>
      </c>
      <c r="W85" s="29" t="s">
        <v>22</v>
      </c>
      <c r="X85" s="57" t="s">
        <v>113</v>
      </c>
      <c r="Y85" s="31"/>
      <c r="Z85" s="26" t="str">
        <f t="shared" si="5"/>
        <v/>
      </c>
      <c r="AA85" s="26" t="str">
        <f t="shared" si="6"/>
        <v/>
      </c>
      <c r="AB85" s="32" t="str">
        <f t="shared" si="7"/>
        <v/>
      </c>
      <c r="AC85" s="32" t="str">
        <f t="shared" ref="AC85:AG85" si="89">IF(J85&lt;&gt;"", IF(AND($P85=FALSE, $A85=FALSE), -J85, IF(AND($P85=FALSE, $A85=TRUE), 0, IF($P85=TRUE, (J85 / $R85) * 100 * ($S85 / 100)-J85, ))), )</f>
        <v/>
      </c>
      <c r="AD85" s="32" t="str">
        <f t="shared" si="89"/>
        <v/>
      </c>
      <c r="AE85" s="32" t="str">
        <f t="shared" si="89"/>
        <v/>
      </c>
      <c r="AF85" s="32" t="str">
        <f t="shared" si="89"/>
        <v/>
      </c>
      <c r="AG85" s="32" t="str">
        <f t="shared" si="89"/>
        <v/>
      </c>
      <c r="AH85" s="33"/>
    </row>
    <row r="86" hidden="1" outlineLevel="2" collapsed="1">
      <c r="A86" s="16" t="b">
        <v>0</v>
      </c>
      <c r="B86" s="17"/>
      <c r="C86" s="18"/>
      <c r="D86" s="41">
        <v>45235.0</v>
      </c>
      <c r="E86" s="20" t="s">
        <v>24</v>
      </c>
      <c r="F86" s="21" t="s">
        <v>70</v>
      </c>
      <c r="G86" s="22">
        <v>1.5</v>
      </c>
      <c r="H86" s="22">
        <v>0.75</v>
      </c>
      <c r="I86" s="22"/>
      <c r="J86" s="22"/>
      <c r="K86" s="23"/>
      <c r="L86" s="22"/>
      <c r="M86" s="23"/>
      <c r="N86" s="23"/>
      <c r="O86" s="24"/>
      <c r="P86" s="16" t="b">
        <v>1</v>
      </c>
      <c r="Q86" s="24"/>
      <c r="R86" s="25">
        <v>2.25</v>
      </c>
      <c r="S86" s="39">
        <v>7.43</v>
      </c>
      <c r="T86" s="27" t="s">
        <v>114</v>
      </c>
      <c r="U86" s="24"/>
      <c r="V86" s="58"/>
      <c r="W86" s="29"/>
      <c r="X86" s="30"/>
      <c r="Y86" s="31"/>
      <c r="Z86" s="26">
        <f t="shared" si="5"/>
        <v>3.453333333</v>
      </c>
      <c r="AA86" s="26" t="str">
        <f t="shared" si="6"/>
        <v/>
      </c>
      <c r="AB86" s="32">
        <f t="shared" si="7"/>
        <v>1.726666667</v>
      </c>
      <c r="AC86" s="32" t="str">
        <f t="shared" ref="AC86:AG86" si="90">IF(J86&lt;&gt;"", IF(AND($P86=FALSE, $A86=FALSE), -J86, IF(AND($P86=FALSE, $A86=TRUE), 0, IF($P86=TRUE, (J86 / $R86) * 100 * ($S86 / 100)-J86, ))), )</f>
        <v/>
      </c>
      <c r="AD86" s="32" t="str">
        <f t="shared" si="90"/>
        <v/>
      </c>
      <c r="AE86" s="32" t="str">
        <f t="shared" si="90"/>
        <v/>
      </c>
      <c r="AF86" s="32" t="str">
        <f t="shared" si="90"/>
        <v/>
      </c>
      <c r="AG86" s="32" t="str">
        <f t="shared" si="90"/>
        <v/>
      </c>
      <c r="AH86" s="33"/>
    </row>
    <row r="87" hidden="1" outlineLevel="3">
      <c r="A87" s="16" t="b">
        <v>0</v>
      </c>
      <c r="B87" s="17"/>
      <c r="C87" s="18"/>
      <c r="D87" s="19"/>
      <c r="E87" s="29"/>
      <c r="F87" s="34"/>
      <c r="G87" s="61"/>
      <c r="H87" s="61"/>
      <c r="I87" s="61"/>
      <c r="J87" s="62"/>
      <c r="K87" s="62"/>
      <c r="L87" s="61"/>
      <c r="M87" s="62"/>
      <c r="N87" s="23"/>
      <c r="O87" s="24"/>
      <c r="P87" s="16" t="b">
        <v>0</v>
      </c>
      <c r="Q87" s="24"/>
      <c r="R87" s="25"/>
      <c r="S87" s="25"/>
      <c r="T87" s="63"/>
      <c r="U87" s="24"/>
      <c r="V87" s="52" t="s">
        <v>29</v>
      </c>
      <c r="W87" s="29" t="s">
        <v>22</v>
      </c>
      <c r="X87" s="57" t="s">
        <v>115</v>
      </c>
      <c r="Y87" s="31"/>
      <c r="Z87" s="26" t="str">
        <f t="shared" si="5"/>
        <v/>
      </c>
      <c r="AA87" s="26" t="str">
        <f t="shared" si="6"/>
        <v/>
      </c>
      <c r="AB87" s="32" t="str">
        <f t="shared" si="7"/>
        <v/>
      </c>
      <c r="AC87" s="32" t="str">
        <f t="shared" ref="AC87:AG87" si="91">IF(J87&lt;&gt;"", IF(AND($P87=FALSE, $A87=FALSE), -J87, IF(AND($P87=FALSE, $A87=TRUE), 0, IF($P87=TRUE, (J87 / $R87) * 100 * ($S87 / 100)-J87, ))), )</f>
        <v/>
      </c>
      <c r="AD87" s="32" t="str">
        <f t="shared" si="91"/>
        <v/>
      </c>
      <c r="AE87" s="32" t="str">
        <f t="shared" si="91"/>
        <v/>
      </c>
      <c r="AF87" s="32" t="str">
        <f t="shared" si="91"/>
        <v/>
      </c>
      <c r="AG87" s="32" t="str">
        <f t="shared" si="91"/>
        <v/>
      </c>
      <c r="AH87" s="33"/>
    </row>
    <row r="88" hidden="1" outlineLevel="2" collapsed="1">
      <c r="A88" s="16" t="b">
        <v>0</v>
      </c>
      <c r="B88" s="17"/>
      <c r="C88" s="18"/>
      <c r="D88" s="41">
        <v>45235.0</v>
      </c>
      <c r="E88" s="20" t="s">
        <v>24</v>
      </c>
      <c r="F88" s="21" t="s">
        <v>70</v>
      </c>
      <c r="G88" s="22">
        <v>2.0</v>
      </c>
      <c r="H88" s="22">
        <v>1.0</v>
      </c>
      <c r="I88" s="23"/>
      <c r="J88" s="22"/>
      <c r="K88" s="23"/>
      <c r="L88" s="22"/>
      <c r="M88" s="23"/>
      <c r="N88" s="23"/>
      <c r="O88" s="24"/>
      <c r="P88" s="16" t="b">
        <v>1</v>
      </c>
      <c r="Q88" s="24"/>
      <c r="R88" s="25">
        <v>3.0</v>
      </c>
      <c r="S88" s="26">
        <v>8.57</v>
      </c>
      <c r="T88" s="27" t="s">
        <v>116</v>
      </c>
      <c r="U88" s="24"/>
      <c r="V88" s="58"/>
      <c r="W88" s="29"/>
      <c r="X88" s="30"/>
      <c r="Y88" s="31"/>
      <c r="Z88" s="26">
        <f t="shared" si="5"/>
        <v>3.713333333</v>
      </c>
      <c r="AA88" s="26" t="str">
        <f t="shared" si="6"/>
        <v/>
      </c>
      <c r="AB88" s="32">
        <f t="shared" si="7"/>
        <v>1.856666667</v>
      </c>
      <c r="AC88" s="32" t="str">
        <f t="shared" ref="AC88:AG88" si="92">IF(J88&lt;&gt;"", IF(AND($P88=FALSE, $A88=FALSE), -J88, IF(AND($P88=FALSE, $A88=TRUE), 0, IF($P88=TRUE, (J88 / $R88) * 100 * ($S88 / 100)-J88, ))), )</f>
        <v/>
      </c>
      <c r="AD88" s="32" t="str">
        <f t="shared" si="92"/>
        <v/>
      </c>
      <c r="AE88" s="32" t="str">
        <f t="shared" si="92"/>
        <v/>
      </c>
      <c r="AF88" s="32" t="str">
        <f t="shared" si="92"/>
        <v/>
      </c>
      <c r="AG88" s="32" t="str">
        <f t="shared" si="92"/>
        <v/>
      </c>
      <c r="AH88" s="33"/>
    </row>
    <row r="89" hidden="1" outlineLevel="3">
      <c r="A89" s="16" t="b">
        <v>0</v>
      </c>
      <c r="B89" s="17"/>
      <c r="C89" s="18"/>
      <c r="D89" s="19"/>
      <c r="E89" s="29"/>
      <c r="F89" s="21"/>
      <c r="G89" s="23"/>
      <c r="H89" s="23"/>
      <c r="I89" s="23"/>
      <c r="J89" s="23"/>
      <c r="K89" s="23"/>
      <c r="L89" s="23"/>
      <c r="M89" s="23"/>
      <c r="N89" s="23"/>
      <c r="O89" s="24"/>
      <c r="P89" s="16" t="b">
        <v>0</v>
      </c>
      <c r="Q89" s="24"/>
      <c r="R89" s="25"/>
      <c r="S89" s="25"/>
      <c r="T89" s="35"/>
      <c r="U89" s="24"/>
      <c r="V89" s="52" t="s">
        <v>29</v>
      </c>
      <c r="W89" s="29" t="s">
        <v>22</v>
      </c>
      <c r="X89" s="57" t="s">
        <v>117</v>
      </c>
      <c r="Y89" s="31"/>
      <c r="Z89" s="26" t="str">
        <f t="shared" si="5"/>
        <v/>
      </c>
      <c r="AA89" s="26" t="str">
        <f t="shared" si="6"/>
        <v/>
      </c>
      <c r="AB89" s="32" t="str">
        <f t="shared" si="7"/>
        <v/>
      </c>
      <c r="AC89" s="32" t="str">
        <f t="shared" ref="AC89:AG89" si="93">IF(J89&lt;&gt;"", IF(AND($P89=FALSE, $A89=FALSE), -J89, IF(AND($P89=FALSE, $A89=TRUE), 0, IF($P89=TRUE, (J89 / $R89) * 100 * ($S89 / 100)-J89, ))), )</f>
        <v/>
      </c>
      <c r="AD89" s="32" t="str">
        <f t="shared" si="93"/>
        <v/>
      </c>
      <c r="AE89" s="32" t="str">
        <f t="shared" si="93"/>
        <v/>
      </c>
      <c r="AF89" s="32" t="str">
        <f t="shared" si="93"/>
        <v/>
      </c>
      <c r="AG89" s="32" t="str">
        <f t="shared" si="93"/>
        <v/>
      </c>
      <c r="AH89" s="33"/>
    </row>
    <row r="90" hidden="1" outlineLevel="3">
      <c r="A90" s="16" t="b">
        <v>0</v>
      </c>
      <c r="B90" s="17"/>
      <c r="C90" s="18"/>
      <c r="D90" s="19"/>
      <c r="E90" s="29"/>
      <c r="F90" s="21"/>
      <c r="G90" s="23"/>
      <c r="H90" s="23"/>
      <c r="I90" s="23"/>
      <c r="J90" s="23"/>
      <c r="K90" s="23"/>
      <c r="L90" s="23"/>
      <c r="M90" s="23"/>
      <c r="N90" s="23"/>
      <c r="O90" s="24"/>
      <c r="P90" s="16" t="b">
        <v>0</v>
      </c>
      <c r="Q90" s="24"/>
      <c r="R90" s="25"/>
      <c r="S90" s="25"/>
      <c r="T90" s="35"/>
      <c r="U90" s="24"/>
      <c r="V90" s="52" t="s">
        <v>29</v>
      </c>
      <c r="W90" s="29" t="s">
        <v>22</v>
      </c>
      <c r="X90" s="57" t="s">
        <v>118</v>
      </c>
      <c r="Y90" s="31"/>
      <c r="Z90" s="26" t="str">
        <f t="shared" si="5"/>
        <v/>
      </c>
      <c r="AA90" s="26" t="str">
        <f t="shared" si="6"/>
        <v/>
      </c>
      <c r="AB90" s="32" t="str">
        <f t="shared" si="7"/>
        <v/>
      </c>
      <c r="AC90" s="32" t="str">
        <f t="shared" ref="AC90:AG90" si="94">IF(J90&lt;&gt;"", IF(AND($P90=FALSE, $A90=FALSE), -J90, IF(AND($P90=FALSE, $A90=TRUE), 0, IF($P90=TRUE, (J90 / $R90) * 100 * ($S90 / 100)-J90, ))), )</f>
        <v/>
      </c>
      <c r="AD90" s="32" t="str">
        <f t="shared" si="94"/>
        <v/>
      </c>
      <c r="AE90" s="32" t="str">
        <f t="shared" si="94"/>
        <v/>
      </c>
      <c r="AF90" s="32" t="str">
        <f t="shared" si="94"/>
        <v/>
      </c>
      <c r="AG90" s="32" t="str">
        <f t="shared" si="94"/>
        <v/>
      </c>
      <c r="AH90" s="33"/>
    </row>
    <row r="91" hidden="1" outlineLevel="2" collapsed="1">
      <c r="A91" s="16" t="b">
        <v>0</v>
      </c>
      <c r="B91" s="17"/>
      <c r="C91" s="18"/>
      <c r="D91" s="41">
        <v>45235.0</v>
      </c>
      <c r="E91" s="20" t="s">
        <v>24</v>
      </c>
      <c r="F91" s="21" t="s">
        <v>70</v>
      </c>
      <c r="G91" s="22">
        <v>1.75</v>
      </c>
      <c r="H91" s="22">
        <v>1.0</v>
      </c>
      <c r="I91" s="22">
        <v>1.0</v>
      </c>
      <c r="J91" s="22"/>
      <c r="K91" s="23"/>
      <c r="L91" s="22"/>
      <c r="M91" s="23"/>
      <c r="N91" s="23"/>
      <c r="O91" s="24"/>
      <c r="P91" s="16" t="b">
        <v>0</v>
      </c>
      <c r="Q91" s="24"/>
      <c r="R91" s="25">
        <v>3.75</v>
      </c>
      <c r="S91" s="39">
        <v>10.14</v>
      </c>
      <c r="T91" s="27" t="s">
        <v>100</v>
      </c>
      <c r="U91" s="24"/>
      <c r="V91" s="58"/>
      <c r="W91" s="29"/>
      <c r="X91" s="30"/>
      <c r="Y91" s="31"/>
      <c r="Z91" s="26">
        <f t="shared" si="5"/>
        <v>-1.75</v>
      </c>
      <c r="AA91" s="26">
        <f t="shared" si="6"/>
        <v>-1</v>
      </c>
      <c r="AB91" s="32">
        <f t="shared" si="7"/>
        <v>-1</v>
      </c>
      <c r="AC91" s="32" t="str">
        <f t="shared" ref="AC91:AG91" si="95">IF(J91&lt;&gt;"", IF(AND($P91=FALSE, $A91=FALSE), -J91, IF(AND($P91=FALSE, $A91=TRUE), 0, IF($P91=TRUE, (J91 / $R91) * 100 * ($S91 / 100)-J91, ))), )</f>
        <v/>
      </c>
      <c r="AD91" s="32" t="str">
        <f t="shared" si="95"/>
        <v/>
      </c>
      <c r="AE91" s="32" t="str">
        <f t="shared" si="95"/>
        <v/>
      </c>
      <c r="AF91" s="32" t="str">
        <f t="shared" si="95"/>
        <v/>
      </c>
      <c r="AG91" s="32" t="str">
        <f t="shared" si="95"/>
        <v/>
      </c>
      <c r="AH91" s="33"/>
    </row>
    <row r="92" hidden="1" outlineLevel="3">
      <c r="A92" s="16" t="b">
        <v>0</v>
      </c>
      <c r="B92" s="17"/>
      <c r="C92" s="18"/>
      <c r="D92" s="19"/>
      <c r="E92" s="29"/>
      <c r="F92" s="21"/>
      <c r="G92" s="23"/>
      <c r="H92" s="23"/>
      <c r="I92" s="23"/>
      <c r="J92" s="23"/>
      <c r="K92" s="23"/>
      <c r="L92" s="23"/>
      <c r="M92" s="23"/>
      <c r="N92" s="23"/>
      <c r="O92" s="24"/>
      <c r="P92" s="16" t="b">
        <v>0</v>
      </c>
      <c r="Q92" s="24"/>
      <c r="R92" s="25"/>
      <c r="S92" s="25"/>
      <c r="T92" s="35"/>
      <c r="U92" s="24"/>
      <c r="V92" s="51" t="s">
        <v>32</v>
      </c>
      <c r="W92" s="29" t="s">
        <v>22</v>
      </c>
      <c r="X92" s="57" t="s">
        <v>119</v>
      </c>
      <c r="Y92" s="31"/>
      <c r="Z92" s="26" t="str">
        <f t="shared" si="5"/>
        <v/>
      </c>
      <c r="AA92" s="26" t="str">
        <f t="shared" si="6"/>
        <v/>
      </c>
      <c r="AB92" s="32" t="str">
        <f t="shared" si="7"/>
        <v/>
      </c>
      <c r="AC92" s="32" t="str">
        <f t="shared" ref="AC92:AG92" si="96">IF(J92&lt;&gt;"", IF(AND($P92=FALSE, $A92=FALSE), -J92, IF(AND($P92=FALSE, $A92=TRUE), 0, IF($P92=TRUE, (J92 / $R92) * 100 * ($S92 / 100)-J92, ))), )</f>
        <v/>
      </c>
      <c r="AD92" s="32" t="str">
        <f t="shared" si="96"/>
        <v/>
      </c>
      <c r="AE92" s="32" t="str">
        <f t="shared" si="96"/>
        <v/>
      </c>
      <c r="AF92" s="32" t="str">
        <f t="shared" si="96"/>
        <v/>
      </c>
      <c r="AG92" s="32" t="str">
        <f t="shared" si="96"/>
        <v/>
      </c>
      <c r="AH92" s="33"/>
    </row>
    <row r="93" hidden="1" outlineLevel="3">
      <c r="A93" s="16" t="b">
        <v>0</v>
      </c>
      <c r="B93" s="17"/>
      <c r="C93" s="18"/>
      <c r="D93" s="19"/>
      <c r="E93" s="29"/>
      <c r="F93" s="21"/>
      <c r="G93" s="23"/>
      <c r="H93" s="23"/>
      <c r="I93" s="23"/>
      <c r="J93" s="23"/>
      <c r="K93" s="23"/>
      <c r="L93" s="23"/>
      <c r="M93" s="23"/>
      <c r="N93" s="23"/>
      <c r="O93" s="24"/>
      <c r="P93" s="16" t="b">
        <v>0</v>
      </c>
      <c r="Q93" s="24"/>
      <c r="R93" s="25"/>
      <c r="S93" s="25"/>
      <c r="T93" s="35"/>
      <c r="U93" s="24"/>
      <c r="V93" s="52" t="s">
        <v>29</v>
      </c>
      <c r="W93" s="29" t="s">
        <v>22</v>
      </c>
      <c r="X93" s="57" t="s">
        <v>120</v>
      </c>
      <c r="Y93" s="31"/>
      <c r="Z93" s="26" t="str">
        <f t="shared" si="5"/>
        <v/>
      </c>
      <c r="AA93" s="26" t="str">
        <f t="shared" si="6"/>
        <v/>
      </c>
      <c r="AB93" s="32" t="str">
        <f t="shared" si="7"/>
        <v/>
      </c>
      <c r="AC93" s="32" t="str">
        <f t="shared" ref="AC93:AG93" si="97">IF(J93&lt;&gt;"", IF(AND($P93=FALSE, $A93=FALSE), -J93, IF(AND($P93=FALSE, $A93=TRUE), 0, IF($P93=TRUE, (J93 / $R93) * 100 * ($S93 / 100)-J93, ))), )</f>
        <v/>
      </c>
      <c r="AD93" s="32" t="str">
        <f t="shared" si="97"/>
        <v/>
      </c>
      <c r="AE93" s="32" t="str">
        <f t="shared" si="97"/>
        <v/>
      </c>
      <c r="AF93" s="32" t="str">
        <f t="shared" si="97"/>
        <v/>
      </c>
      <c r="AG93" s="32" t="str">
        <f t="shared" si="97"/>
        <v/>
      </c>
      <c r="AH93" s="33"/>
    </row>
    <row r="94" hidden="1" outlineLevel="2" collapsed="1">
      <c r="A94" s="16" t="b">
        <v>0</v>
      </c>
      <c r="B94" s="17"/>
      <c r="C94" s="18"/>
      <c r="D94" s="41">
        <v>45235.0</v>
      </c>
      <c r="E94" s="20" t="s">
        <v>24</v>
      </c>
      <c r="F94" s="21" t="s">
        <v>70</v>
      </c>
      <c r="G94" s="22">
        <v>2.0</v>
      </c>
      <c r="H94" s="22">
        <v>1.0</v>
      </c>
      <c r="I94" s="22">
        <v>0.0</v>
      </c>
      <c r="J94" s="22"/>
      <c r="K94" s="23"/>
      <c r="L94" s="22"/>
      <c r="M94" s="23"/>
      <c r="N94" s="23"/>
      <c r="O94" s="24"/>
      <c r="P94" s="16" t="b">
        <v>1</v>
      </c>
      <c r="Q94" s="24"/>
      <c r="R94" s="25">
        <v>3.0</v>
      </c>
      <c r="S94" s="26">
        <v>8.73</v>
      </c>
      <c r="T94" s="27" t="s">
        <v>121</v>
      </c>
      <c r="U94" s="24"/>
      <c r="V94" s="58"/>
      <c r="W94" s="29"/>
      <c r="X94" s="30"/>
      <c r="Y94" s="31"/>
      <c r="Z94" s="26">
        <f t="shared" si="5"/>
        <v>3.82</v>
      </c>
      <c r="AA94" s="26">
        <f t="shared" si="6"/>
        <v>0</v>
      </c>
      <c r="AB94" s="32">
        <f t="shared" si="7"/>
        <v>1.91</v>
      </c>
      <c r="AC94" s="32" t="str">
        <f t="shared" ref="AC94:AG94" si="98">IF(J94&lt;&gt;"", IF(AND($P94=FALSE, $A94=FALSE), -J94, IF(AND($P94=FALSE, $A94=TRUE), 0, IF($P94=TRUE, (J94 / $R94) * 100 * ($S94 / 100)-J94, ))), )</f>
        <v/>
      </c>
      <c r="AD94" s="32" t="str">
        <f t="shared" si="98"/>
        <v/>
      </c>
      <c r="AE94" s="32" t="str">
        <f t="shared" si="98"/>
        <v/>
      </c>
      <c r="AF94" s="32" t="str">
        <f t="shared" si="98"/>
        <v/>
      </c>
      <c r="AG94" s="32" t="str">
        <f t="shared" si="98"/>
        <v/>
      </c>
      <c r="AH94" s="33"/>
    </row>
    <row r="95" hidden="1" outlineLevel="3">
      <c r="A95" s="16" t="b">
        <v>0</v>
      </c>
      <c r="B95" s="17"/>
      <c r="C95" s="18"/>
      <c r="D95" s="19"/>
      <c r="E95" s="29"/>
      <c r="F95" s="21"/>
      <c r="G95" s="23"/>
      <c r="H95" s="23"/>
      <c r="I95" s="23"/>
      <c r="J95" s="23"/>
      <c r="K95" s="23"/>
      <c r="L95" s="23"/>
      <c r="M95" s="23"/>
      <c r="N95" s="23"/>
      <c r="O95" s="24"/>
      <c r="P95" s="16" t="b">
        <v>0</v>
      </c>
      <c r="Q95" s="24"/>
      <c r="R95" s="25"/>
      <c r="S95" s="25"/>
      <c r="T95" s="35"/>
      <c r="U95" s="24"/>
      <c r="V95" s="52" t="s">
        <v>29</v>
      </c>
      <c r="W95" s="29" t="s">
        <v>22</v>
      </c>
      <c r="X95" s="57" t="s">
        <v>122</v>
      </c>
      <c r="Y95" s="31"/>
      <c r="Z95" s="26" t="str">
        <f t="shared" si="5"/>
        <v/>
      </c>
      <c r="AA95" s="26" t="str">
        <f t="shared" si="6"/>
        <v/>
      </c>
      <c r="AB95" s="32" t="str">
        <f t="shared" si="7"/>
        <v/>
      </c>
      <c r="AC95" s="32" t="str">
        <f t="shared" ref="AC95:AG95" si="99">IF(J95&lt;&gt;"", IF(AND($P95=FALSE, $A95=FALSE), -J95, IF(AND($P95=FALSE, $A95=TRUE), 0, IF($P95=TRUE, (J95 / $R95) * 100 * ($S95 / 100)-J95, ))), )</f>
        <v/>
      </c>
      <c r="AD95" s="32" t="str">
        <f t="shared" si="99"/>
        <v/>
      </c>
      <c r="AE95" s="32" t="str">
        <f t="shared" si="99"/>
        <v/>
      </c>
      <c r="AF95" s="32" t="str">
        <f t="shared" si="99"/>
        <v/>
      </c>
      <c r="AG95" s="32" t="str">
        <f t="shared" si="99"/>
        <v/>
      </c>
      <c r="AH95" s="33"/>
    </row>
    <row r="96" hidden="1" outlineLevel="3">
      <c r="A96" s="16" t="b">
        <v>0</v>
      </c>
      <c r="B96" s="17"/>
      <c r="C96" s="18"/>
      <c r="D96" s="19"/>
      <c r="E96" s="29"/>
      <c r="F96" s="21"/>
      <c r="G96" s="23"/>
      <c r="H96" s="23"/>
      <c r="I96" s="23"/>
      <c r="J96" s="23"/>
      <c r="K96" s="23"/>
      <c r="L96" s="23"/>
      <c r="M96" s="23"/>
      <c r="N96" s="23"/>
      <c r="O96" s="24"/>
      <c r="P96" s="16" t="b">
        <v>0</v>
      </c>
      <c r="Q96" s="24"/>
      <c r="R96" s="25"/>
      <c r="S96" s="25"/>
      <c r="T96" s="35"/>
      <c r="U96" s="24"/>
      <c r="V96" s="52" t="s">
        <v>29</v>
      </c>
      <c r="W96" s="29" t="s">
        <v>22</v>
      </c>
      <c r="X96" s="57" t="s">
        <v>123</v>
      </c>
      <c r="Y96" s="31"/>
      <c r="Z96" s="26" t="str">
        <f t="shared" si="5"/>
        <v/>
      </c>
      <c r="AA96" s="26" t="str">
        <f t="shared" si="6"/>
        <v/>
      </c>
      <c r="AB96" s="32" t="str">
        <f t="shared" si="7"/>
        <v/>
      </c>
      <c r="AC96" s="32" t="str">
        <f t="shared" ref="AC96:AG96" si="100">IF(J96&lt;&gt;"", IF(AND($P96=FALSE, $A96=FALSE), -J96, IF(AND($P96=FALSE, $A96=TRUE), 0, IF($P96=TRUE, (J96 / $R96) * 100 * ($S96 / 100)-J96, ))), )</f>
        <v/>
      </c>
      <c r="AD96" s="32" t="str">
        <f t="shared" si="100"/>
        <v/>
      </c>
      <c r="AE96" s="32" t="str">
        <f t="shared" si="100"/>
        <v/>
      </c>
      <c r="AF96" s="32" t="str">
        <f t="shared" si="100"/>
        <v/>
      </c>
      <c r="AG96" s="32" t="str">
        <f t="shared" si="100"/>
        <v/>
      </c>
      <c r="AH96" s="33"/>
    </row>
    <row r="97" hidden="1" outlineLevel="2" collapsed="1">
      <c r="A97" s="16" t="b">
        <v>0</v>
      </c>
      <c r="B97" s="17"/>
      <c r="C97" s="18"/>
      <c r="D97" s="41">
        <v>45235.0</v>
      </c>
      <c r="E97" s="20" t="s">
        <v>24</v>
      </c>
      <c r="F97" s="21" t="s">
        <v>70</v>
      </c>
      <c r="G97" s="22">
        <v>1.0</v>
      </c>
      <c r="H97" s="22">
        <v>0.5</v>
      </c>
      <c r="I97" s="22">
        <v>1.5</v>
      </c>
      <c r="J97" s="22"/>
      <c r="K97" s="23"/>
      <c r="L97" s="22"/>
      <c r="M97" s="23"/>
      <c r="N97" s="23"/>
      <c r="O97" s="24"/>
      <c r="P97" s="16" t="b">
        <v>1</v>
      </c>
      <c r="Q97" s="24"/>
      <c r="R97" s="25">
        <v>3.0</v>
      </c>
      <c r="S97" s="26">
        <v>7.82</v>
      </c>
      <c r="T97" s="27" t="s">
        <v>124</v>
      </c>
      <c r="U97" s="24"/>
      <c r="V97" s="58"/>
      <c r="W97" s="29"/>
      <c r="X97" s="30"/>
      <c r="Y97" s="31"/>
      <c r="Z97" s="26">
        <f t="shared" si="5"/>
        <v>1.606666667</v>
      </c>
      <c r="AA97" s="26">
        <f t="shared" si="6"/>
        <v>2.41</v>
      </c>
      <c r="AB97" s="32">
        <f t="shared" si="7"/>
        <v>0.8033333333</v>
      </c>
      <c r="AC97" s="32" t="str">
        <f t="shared" ref="AC97:AG97" si="101">IF(J97&lt;&gt;"", IF(AND($P97=FALSE, $A97=FALSE), -J97, IF(AND($P97=FALSE, $A97=TRUE), 0, IF($P97=TRUE, (J97 / $R97) * 100 * ($S97 / 100)-J97, ))), )</f>
        <v/>
      </c>
      <c r="AD97" s="32" t="str">
        <f t="shared" si="101"/>
        <v/>
      </c>
      <c r="AE97" s="32" t="str">
        <f t="shared" si="101"/>
        <v/>
      </c>
      <c r="AF97" s="32" t="str">
        <f t="shared" si="101"/>
        <v/>
      </c>
      <c r="AG97" s="32" t="str">
        <f t="shared" si="101"/>
        <v/>
      </c>
      <c r="AH97" s="33"/>
    </row>
    <row r="98" hidden="1" outlineLevel="3">
      <c r="A98" s="16" t="b">
        <v>0</v>
      </c>
      <c r="B98" s="17"/>
      <c r="C98" s="18"/>
      <c r="D98" s="19"/>
      <c r="E98" s="29"/>
      <c r="F98" s="34"/>
      <c r="G98" s="23"/>
      <c r="H98" s="23"/>
      <c r="I98" s="23"/>
      <c r="J98" s="23"/>
      <c r="K98" s="23"/>
      <c r="L98" s="23"/>
      <c r="M98" s="23"/>
      <c r="N98" s="23"/>
      <c r="O98" s="24"/>
      <c r="P98" s="16" t="b">
        <v>0</v>
      </c>
      <c r="Q98" s="24"/>
      <c r="R98" s="25"/>
      <c r="S98" s="25"/>
      <c r="T98" s="35"/>
      <c r="U98" s="24"/>
      <c r="V98" s="52" t="s">
        <v>29</v>
      </c>
      <c r="W98" s="29" t="s">
        <v>22</v>
      </c>
      <c r="X98" s="57" t="s">
        <v>125</v>
      </c>
      <c r="Y98" s="31"/>
      <c r="Z98" s="26" t="str">
        <f t="shared" si="5"/>
        <v/>
      </c>
      <c r="AA98" s="26" t="str">
        <f t="shared" si="6"/>
        <v/>
      </c>
      <c r="AB98" s="32" t="str">
        <f t="shared" si="7"/>
        <v/>
      </c>
      <c r="AC98" s="32" t="str">
        <f t="shared" ref="AC98:AG98" si="102">IF(J98&lt;&gt;"", IF(AND($P98=FALSE, $A98=FALSE), -J98, IF(AND($P98=FALSE, $A98=TRUE), 0, IF($P98=TRUE, (J98 / $R98) * 100 * ($S98 / 100)-J98, ))), )</f>
        <v/>
      </c>
      <c r="AD98" s="32" t="str">
        <f t="shared" si="102"/>
        <v/>
      </c>
      <c r="AE98" s="32" t="str">
        <f t="shared" si="102"/>
        <v/>
      </c>
      <c r="AF98" s="32" t="str">
        <f t="shared" si="102"/>
        <v/>
      </c>
      <c r="AG98" s="32" t="str">
        <f t="shared" si="102"/>
        <v/>
      </c>
      <c r="AH98" s="33"/>
    </row>
    <row r="99" hidden="1" outlineLevel="3">
      <c r="A99" s="16" t="b">
        <v>0</v>
      </c>
      <c r="B99" s="17"/>
      <c r="C99" s="18"/>
      <c r="D99" s="19"/>
      <c r="E99" s="29"/>
      <c r="F99" s="34"/>
      <c r="G99" s="23"/>
      <c r="H99" s="23"/>
      <c r="I99" s="23"/>
      <c r="J99" s="23"/>
      <c r="K99" s="23"/>
      <c r="L99" s="23"/>
      <c r="M99" s="23"/>
      <c r="N99" s="23"/>
      <c r="O99" s="24"/>
      <c r="P99" s="16" t="b">
        <v>0</v>
      </c>
      <c r="Q99" s="24"/>
      <c r="R99" s="25"/>
      <c r="S99" s="25"/>
      <c r="T99" s="35"/>
      <c r="U99" s="24"/>
      <c r="V99" s="52" t="s">
        <v>29</v>
      </c>
      <c r="W99" s="29" t="s">
        <v>22</v>
      </c>
      <c r="X99" s="57" t="s">
        <v>126</v>
      </c>
      <c r="Y99" s="31"/>
      <c r="Z99" s="26" t="str">
        <f t="shared" si="5"/>
        <v/>
      </c>
      <c r="AA99" s="26" t="str">
        <f t="shared" si="6"/>
        <v/>
      </c>
      <c r="AB99" s="32" t="str">
        <f t="shared" si="7"/>
        <v/>
      </c>
      <c r="AC99" s="32" t="str">
        <f t="shared" ref="AC99:AG99" si="103">IF(J99&lt;&gt;"", IF(AND($P99=FALSE, $A99=FALSE), -J99, IF(AND($P99=FALSE, $A99=TRUE), 0, IF($P99=TRUE, (J99 / $R99) * 100 * ($S99 / 100)-J99, ))), )</f>
        <v/>
      </c>
      <c r="AD99" s="32" t="str">
        <f t="shared" si="103"/>
        <v/>
      </c>
      <c r="AE99" s="32" t="str">
        <f t="shared" si="103"/>
        <v/>
      </c>
      <c r="AF99" s="32" t="str">
        <f t="shared" si="103"/>
        <v/>
      </c>
      <c r="AG99" s="32" t="str">
        <f t="shared" si="103"/>
        <v/>
      </c>
      <c r="AH99" s="33"/>
    </row>
    <row r="100" hidden="1" outlineLevel="3">
      <c r="A100" s="16" t="b">
        <v>0</v>
      </c>
      <c r="B100" s="17"/>
      <c r="C100" s="18"/>
      <c r="D100" s="19"/>
      <c r="E100" s="29"/>
      <c r="F100" s="34"/>
      <c r="G100" s="23"/>
      <c r="H100" s="23"/>
      <c r="I100" s="23"/>
      <c r="J100" s="23"/>
      <c r="K100" s="23"/>
      <c r="L100" s="23"/>
      <c r="M100" s="23"/>
      <c r="N100" s="23"/>
      <c r="O100" s="24"/>
      <c r="P100" s="16" t="b">
        <v>0</v>
      </c>
      <c r="Q100" s="24"/>
      <c r="R100" s="25"/>
      <c r="S100" s="25"/>
      <c r="T100" s="35"/>
      <c r="U100" s="24"/>
      <c r="V100" s="52" t="s">
        <v>29</v>
      </c>
      <c r="W100" s="29" t="s">
        <v>22</v>
      </c>
      <c r="X100" s="57" t="s">
        <v>127</v>
      </c>
      <c r="Y100" s="31"/>
      <c r="Z100" s="26" t="str">
        <f t="shared" si="5"/>
        <v/>
      </c>
      <c r="AA100" s="26" t="str">
        <f t="shared" si="6"/>
        <v/>
      </c>
      <c r="AB100" s="32" t="str">
        <f t="shared" si="7"/>
        <v/>
      </c>
      <c r="AC100" s="32" t="str">
        <f t="shared" ref="AC100:AG100" si="104">IF(J100&lt;&gt;"", IF(AND($P100=FALSE, $A100=FALSE), -J100, IF(AND($P100=FALSE, $A100=TRUE), 0, IF($P100=TRUE, (J100 / $R100) * 100 * ($S100 / 100)-J100, ))), )</f>
        <v/>
      </c>
      <c r="AD100" s="32" t="str">
        <f t="shared" si="104"/>
        <v/>
      </c>
      <c r="AE100" s="32" t="str">
        <f t="shared" si="104"/>
        <v/>
      </c>
      <c r="AF100" s="32" t="str">
        <f t="shared" si="104"/>
        <v/>
      </c>
      <c r="AG100" s="32" t="str">
        <f t="shared" si="104"/>
        <v/>
      </c>
      <c r="AH100" s="33"/>
    </row>
    <row r="101" hidden="1" outlineLevel="2" collapsed="1">
      <c r="A101" s="16" t="b">
        <v>0</v>
      </c>
      <c r="B101" s="17"/>
      <c r="C101" s="18"/>
      <c r="D101" s="41">
        <v>45235.0</v>
      </c>
      <c r="E101" s="20" t="s">
        <v>24</v>
      </c>
      <c r="F101" s="21" t="s">
        <v>70</v>
      </c>
      <c r="G101" s="22">
        <v>3.0</v>
      </c>
      <c r="H101" s="22">
        <v>2.0</v>
      </c>
      <c r="I101" s="22">
        <v>10.0</v>
      </c>
      <c r="J101" s="22"/>
      <c r="K101" s="23"/>
      <c r="L101" s="22"/>
      <c r="M101" s="23"/>
      <c r="N101" s="23"/>
      <c r="O101" s="24"/>
      <c r="P101" s="16" t="b">
        <v>1</v>
      </c>
      <c r="Q101" s="24"/>
      <c r="R101" s="25">
        <v>15.0</v>
      </c>
      <c r="S101" s="26">
        <v>30.0</v>
      </c>
      <c r="T101" s="27" t="s">
        <v>71</v>
      </c>
      <c r="U101" s="24"/>
      <c r="V101" s="28"/>
      <c r="W101" s="29"/>
      <c r="X101" s="30"/>
      <c r="Y101" s="31"/>
      <c r="Z101" s="26">
        <f t="shared" si="5"/>
        <v>3</v>
      </c>
      <c r="AA101" s="26">
        <f t="shared" si="6"/>
        <v>10</v>
      </c>
      <c r="AB101" s="32">
        <f t="shared" si="7"/>
        <v>2</v>
      </c>
      <c r="AC101" s="32" t="str">
        <f t="shared" ref="AC101:AG101" si="105">IF(J101&lt;&gt;"", IF(AND($P101=FALSE, $A101=FALSE), -J101, IF(AND($P101=FALSE, $A101=TRUE), 0, IF($P101=TRUE, (J101 / $R101) * 100 * ($S101 / 100)-J101, ))), )</f>
        <v/>
      </c>
      <c r="AD101" s="32" t="str">
        <f t="shared" si="105"/>
        <v/>
      </c>
      <c r="AE101" s="32" t="str">
        <f t="shared" si="105"/>
        <v/>
      </c>
      <c r="AF101" s="32" t="str">
        <f t="shared" si="105"/>
        <v/>
      </c>
      <c r="AG101" s="32" t="str">
        <f t="shared" si="105"/>
        <v/>
      </c>
      <c r="AH101" s="33"/>
    </row>
    <row r="102" hidden="1" outlineLevel="3">
      <c r="A102" s="16" t="b">
        <v>0</v>
      </c>
      <c r="B102" s="17"/>
      <c r="C102" s="18"/>
      <c r="D102" s="19"/>
      <c r="E102" s="29"/>
      <c r="F102" s="34"/>
      <c r="G102" s="23"/>
      <c r="H102" s="23"/>
      <c r="I102" s="23"/>
      <c r="J102" s="23"/>
      <c r="K102" s="23"/>
      <c r="L102" s="23"/>
      <c r="M102" s="23"/>
      <c r="N102" s="23"/>
      <c r="O102" s="24"/>
      <c r="P102" s="16" t="b">
        <v>0</v>
      </c>
      <c r="Q102" s="24"/>
      <c r="R102" s="25"/>
      <c r="S102" s="25"/>
      <c r="T102" s="35"/>
      <c r="U102" s="24"/>
      <c r="V102" s="51" t="s">
        <v>29</v>
      </c>
      <c r="W102" s="40" t="s">
        <v>22</v>
      </c>
      <c r="X102" s="40" t="s">
        <v>128</v>
      </c>
      <c r="Y102" s="31"/>
      <c r="Z102" s="26" t="str">
        <f t="shared" si="5"/>
        <v/>
      </c>
      <c r="AA102" s="26" t="str">
        <f t="shared" si="6"/>
        <v/>
      </c>
      <c r="AB102" s="32" t="str">
        <f t="shared" si="7"/>
        <v/>
      </c>
      <c r="AC102" s="32" t="str">
        <f t="shared" ref="AC102:AG102" si="106">IF(J102&lt;&gt;"", IF(AND($P102=FALSE, $A102=FALSE), -J102, IF(AND($P102=FALSE, $A102=TRUE), 0, IF($P102=TRUE, (J102 / $R102) * 100 * ($S102 / 100)-J102, ))), )</f>
        <v/>
      </c>
      <c r="AD102" s="32" t="str">
        <f t="shared" si="106"/>
        <v/>
      </c>
      <c r="AE102" s="32" t="str">
        <f t="shared" si="106"/>
        <v/>
      </c>
      <c r="AF102" s="32" t="str">
        <f t="shared" si="106"/>
        <v/>
      </c>
      <c r="AG102" s="32" t="str">
        <f t="shared" si="106"/>
        <v/>
      </c>
      <c r="AH102" s="33"/>
    </row>
    <row r="103" hidden="1" outlineLevel="2" collapsed="1">
      <c r="A103" s="16" t="b">
        <v>0</v>
      </c>
      <c r="B103" s="17"/>
      <c r="C103" s="18"/>
      <c r="D103" s="41">
        <v>45235.0</v>
      </c>
      <c r="E103" s="20" t="s">
        <v>24</v>
      </c>
      <c r="F103" s="21" t="s">
        <v>70</v>
      </c>
      <c r="G103" s="22">
        <v>2.0</v>
      </c>
      <c r="H103" s="22">
        <v>1.0</v>
      </c>
      <c r="I103" s="22">
        <v>3.0</v>
      </c>
      <c r="J103" s="22"/>
      <c r="K103" s="23"/>
      <c r="L103" s="22"/>
      <c r="M103" s="23"/>
      <c r="N103" s="23"/>
      <c r="O103" s="24"/>
      <c r="P103" s="16" t="b">
        <v>1</v>
      </c>
      <c r="Q103" s="24"/>
      <c r="R103" s="25">
        <v>6.0</v>
      </c>
      <c r="S103" s="39">
        <v>14.0</v>
      </c>
      <c r="T103" s="27" t="s">
        <v>129</v>
      </c>
      <c r="U103" s="24"/>
      <c r="V103" s="28"/>
      <c r="W103" s="29"/>
      <c r="X103" s="30"/>
      <c r="Y103" s="31"/>
      <c r="Z103" s="26">
        <f t="shared" si="5"/>
        <v>2.666666667</v>
      </c>
      <c r="AA103" s="26">
        <f t="shared" si="6"/>
        <v>4</v>
      </c>
      <c r="AB103" s="32">
        <f t="shared" si="7"/>
        <v>1.333333333</v>
      </c>
      <c r="AC103" s="32" t="str">
        <f t="shared" ref="AC103:AG103" si="107">IF(J103&lt;&gt;"", IF(AND($P103=FALSE, $A103=FALSE), -J103, IF(AND($P103=FALSE, $A103=TRUE), 0, IF($P103=TRUE, (J103 / $R103) * 100 * ($S103 / 100)-J103, ))), )</f>
        <v/>
      </c>
      <c r="AD103" s="32" t="str">
        <f t="shared" si="107"/>
        <v/>
      </c>
      <c r="AE103" s="32" t="str">
        <f t="shared" si="107"/>
        <v/>
      </c>
      <c r="AF103" s="32" t="str">
        <f t="shared" si="107"/>
        <v/>
      </c>
      <c r="AG103" s="32" t="str">
        <f t="shared" si="107"/>
        <v/>
      </c>
      <c r="AH103" s="33"/>
    </row>
    <row r="104" hidden="1" outlineLevel="3">
      <c r="A104" s="16" t="b">
        <v>0</v>
      </c>
      <c r="B104" s="17"/>
      <c r="C104" s="18"/>
      <c r="D104" s="19"/>
      <c r="E104" s="29"/>
      <c r="F104" s="34"/>
      <c r="G104" s="23"/>
      <c r="H104" s="23"/>
      <c r="I104" s="23"/>
      <c r="J104" s="23"/>
      <c r="K104" s="23"/>
      <c r="L104" s="23"/>
      <c r="M104" s="23"/>
      <c r="N104" s="23"/>
      <c r="O104" s="24"/>
      <c r="P104" s="16" t="b">
        <v>0</v>
      </c>
      <c r="Q104" s="24"/>
      <c r="R104" s="25"/>
      <c r="S104" s="25"/>
      <c r="T104" s="35"/>
      <c r="U104" s="24"/>
      <c r="V104" s="52" t="s">
        <v>29</v>
      </c>
      <c r="W104" s="29" t="s">
        <v>22</v>
      </c>
      <c r="X104" s="40" t="s">
        <v>130</v>
      </c>
      <c r="Y104" s="31"/>
      <c r="Z104" s="26" t="str">
        <f t="shared" si="5"/>
        <v/>
      </c>
      <c r="AA104" s="26" t="str">
        <f t="shared" si="6"/>
        <v/>
      </c>
      <c r="AB104" s="32" t="str">
        <f t="shared" si="7"/>
        <v/>
      </c>
      <c r="AC104" s="32" t="str">
        <f t="shared" ref="AC104:AG104" si="108">IF(J104&lt;&gt;"", IF(AND($P104=FALSE, $A104=FALSE), -J104, IF(AND($P104=FALSE, $A104=TRUE), 0, IF($P104=TRUE, (J104 / $R104) * 100 * ($S104 / 100)-J104, ))), )</f>
        <v/>
      </c>
      <c r="AD104" s="32" t="str">
        <f t="shared" si="108"/>
        <v/>
      </c>
      <c r="AE104" s="32" t="str">
        <f t="shared" si="108"/>
        <v/>
      </c>
      <c r="AF104" s="32" t="str">
        <f t="shared" si="108"/>
        <v/>
      </c>
      <c r="AG104" s="32" t="str">
        <f t="shared" si="108"/>
        <v/>
      </c>
      <c r="AH104" s="33"/>
    </row>
    <row r="105" hidden="1" outlineLevel="3">
      <c r="A105" s="16" t="b">
        <v>0</v>
      </c>
      <c r="B105" s="17"/>
      <c r="C105" s="18"/>
      <c r="D105" s="19"/>
      <c r="E105" s="29"/>
      <c r="F105" s="34"/>
      <c r="G105" s="23"/>
      <c r="H105" s="23"/>
      <c r="I105" s="23"/>
      <c r="J105" s="23"/>
      <c r="K105" s="23"/>
      <c r="L105" s="23"/>
      <c r="M105" s="23"/>
      <c r="N105" s="23"/>
      <c r="O105" s="24"/>
      <c r="P105" s="16" t="b">
        <v>0</v>
      </c>
      <c r="Q105" s="24"/>
      <c r="R105" s="25"/>
      <c r="S105" s="25"/>
      <c r="T105" s="35"/>
      <c r="U105" s="24"/>
      <c r="V105" s="52" t="s">
        <v>29</v>
      </c>
      <c r="W105" s="29" t="s">
        <v>22</v>
      </c>
      <c r="X105" s="40" t="s">
        <v>131</v>
      </c>
      <c r="Y105" s="31"/>
      <c r="Z105" s="26" t="str">
        <f t="shared" si="5"/>
        <v/>
      </c>
      <c r="AA105" s="26" t="str">
        <f t="shared" si="6"/>
        <v/>
      </c>
      <c r="AB105" s="32" t="str">
        <f t="shared" si="7"/>
        <v/>
      </c>
      <c r="AC105" s="32" t="str">
        <f t="shared" ref="AC105:AG105" si="109">IF(J105&lt;&gt;"", IF(AND($P105=FALSE, $A105=FALSE), -J105, IF(AND($P105=FALSE, $A105=TRUE), 0, IF($P105=TRUE, (J105 / $R105) * 100 * ($S105 / 100)-J105, ))), )</f>
        <v/>
      </c>
      <c r="AD105" s="32" t="str">
        <f t="shared" si="109"/>
        <v/>
      </c>
      <c r="AE105" s="32" t="str">
        <f t="shared" si="109"/>
        <v/>
      </c>
      <c r="AF105" s="32" t="str">
        <f t="shared" si="109"/>
        <v/>
      </c>
      <c r="AG105" s="32" t="str">
        <f t="shared" si="109"/>
        <v/>
      </c>
      <c r="AH105" s="33"/>
    </row>
    <row r="106" hidden="1" outlineLevel="2" collapsed="1">
      <c r="A106" s="16" t="b">
        <v>0</v>
      </c>
      <c r="B106" s="17"/>
      <c r="C106" s="18"/>
      <c r="D106" s="41">
        <v>45235.0</v>
      </c>
      <c r="E106" s="20" t="s">
        <v>24</v>
      </c>
      <c r="F106" s="21" t="s">
        <v>70</v>
      </c>
      <c r="G106" s="22">
        <v>2.0</v>
      </c>
      <c r="H106" s="22">
        <v>1.0</v>
      </c>
      <c r="I106" s="22">
        <v>3.0</v>
      </c>
      <c r="J106" s="22"/>
      <c r="K106" s="23"/>
      <c r="L106" s="22"/>
      <c r="M106" s="23"/>
      <c r="N106" s="23"/>
      <c r="O106" s="24"/>
      <c r="P106" s="16" t="b">
        <v>1</v>
      </c>
      <c r="Q106" s="24"/>
      <c r="R106" s="25">
        <v>6.0</v>
      </c>
      <c r="S106" s="39">
        <v>12.21</v>
      </c>
      <c r="T106" s="27" t="s">
        <v>132</v>
      </c>
      <c r="U106" s="24"/>
      <c r="V106" s="28"/>
      <c r="W106" s="29"/>
      <c r="X106" s="30"/>
      <c r="Y106" s="31"/>
      <c r="Z106" s="26">
        <f t="shared" si="5"/>
        <v>2.07</v>
      </c>
      <c r="AA106" s="26">
        <f t="shared" si="6"/>
        <v>3.105</v>
      </c>
      <c r="AB106" s="32">
        <f t="shared" si="7"/>
        <v>1.035</v>
      </c>
      <c r="AC106" s="32" t="str">
        <f t="shared" ref="AC106:AG106" si="110">IF(J106&lt;&gt;"", IF(AND($P106=FALSE, $A106=FALSE), -J106, IF(AND($P106=FALSE, $A106=TRUE), 0, IF($P106=TRUE, (J106 / $R106) * 100 * ($S106 / 100)-J106, ))), )</f>
        <v/>
      </c>
      <c r="AD106" s="32" t="str">
        <f t="shared" si="110"/>
        <v/>
      </c>
      <c r="AE106" s="32" t="str">
        <f t="shared" si="110"/>
        <v/>
      </c>
      <c r="AF106" s="32" t="str">
        <f t="shared" si="110"/>
        <v/>
      </c>
      <c r="AG106" s="32" t="str">
        <f t="shared" si="110"/>
        <v/>
      </c>
      <c r="AH106" s="33"/>
    </row>
    <row r="107" hidden="1" outlineLevel="3">
      <c r="A107" s="16" t="b">
        <v>0</v>
      </c>
      <c r="B107" s="17"/>
      <c r="C107" s="18"/>
      <c r="D107" s="19"/>
      <c r="E107" s="29"/>
      <c r="F107" s="34"/>
      <c r="G107" s="23"/>
      <c r="H107" s="23"/>
      <c r="I107" s="23"/>
      <c r="J107" s="23"/>
      <c r="K107" s="23"/>
      <c r="L107" s="23"/>
      <c r="M107" s="23"/>
      <c r="N107" s="23"/>
      <c r="O107" s="24"/>
      <c r="P107" s="16" t="b">
        <v>0</v>
      </c>
      <c r="Q107" s="24"/>
      <c r="R107" s="25"/>
      <c r="S107" s="25"/>
      <c r="T107" s="35"/>
      <c r="U107" s="24"/>
      <c r="V107" s="52" t="s">
        <v>29</v>
      </c>
      <c r="W107" s="29" t="s">
        <v>22</v>
      </c>
      <c r="X107" s="40" t="s">
        <v>130</v>
      </c>
      <c r="Y107" s="31"/>
      <c r="Z107" s="26" t="str">
        <f t="shared" si="5"/>
        <v/>
      </c>
      <c r="AA107" s="26" t="str">
        <f t="shared" si="6"/>
        <v/>
      </c>
      <c r="AB107" s="32" t="str">
        <f t="shared" si="7"/>
        <v/>
      </c>
      <c r="AC107" s="32" t="str">
        <f t="shared" ref="AC107:AG107" si="111">IF(J107&lt;&gt;"", IF(AND($P107=FALSE, $A107=FALSE), -J107, IF(AND($P107=FALSE, $A107=TRUE), 0, IF($P107=TRUE, (J107 / $R107) * 100 * ($S107 / 100)-J107, ))), )</f>
        <v/>
      </c>
      <c r="AD107" s="32" t="str">
        <f t="shared" si="111"/>
        <v/>
      </c>
      <c r="AE107" s="32" t="str">
        <f t="shared" si="111"/>
        <v/>
      </c>
      <c r="AF107" s="32" t="str">
        <f t="shared" si="111"/>
        <v/>
      </c>
      <c r="AG107" s="32" t="str">
        <f t="shared" si="111"/>
        <v/>
      </c>
      <c r="AH107" s="33"/>
    </row>
    <row r="108" hidden="1" outlineLevel="3">
      <c r="A108" s="16" t="b">
        <v>0</v>
      </c>
      <c r="B108" s="17"/>
      <c r="C108" s="18"/>
      <c r="D108" s="19"/>
      <c r="E108" s="29"/>
      <c r="F108" s="34"/>
      <c r="G108" s="23"/>
      <c r="H108" s="23"/>
      <c r="I108" s="23"/>
      <c r="J108" s="23"/>
      <c r="K108" s="23"/>
      <c r="L108" s="23"/>
      <c r="M108" s="23"/>
      <c r="N108" s="23"/>
      <c r="O108" s="24"/>
      <c r="P108" s="16" t="b">
        <v>0</v>
      </c>
      <c r="Q108" s="24"/>
      <c r="R108" s="25"/>
      <c r="S108" s="25"/>
      <c r="T108" s="35"/>
      <c r="U108" s="24"/>
      <c r="V108" s="52" t="s">
        <v>29</v>
      </c>
      <c r="W108" s="29" t="s">
        <v>22</v>
      </c>
      <c r="X108" s="40" t="s">
        <v>131</v>
      </c>
      <c r="Y108" s="31"/>
      <c r="Z108" s="26" t="str">
        <f t="shared" si="5"/>
        <v/>
      </c>
      <c r="AA108" s="26" t="str">
        <f t="shared" si="6"/>
        <v/>
      </c>
      <c r="AB108" s="32" t="str">
        <f t="shared" si="7"/>
        <v/>
      </c>
      <c r="AC108" s="32" t="str">
        <f t="shared" ref="AC108:AG108" si="112">IF(J108&lt;&gt;"", IF(AND($P108=FALSE, $A108=FALSE), -J108, IF(AND($P108=FALSE, $A108=TRUE), 0, IF($P108=TRUE, (J108 / $R108) * 100 * ($S108 / 100)-J108, ))), )</f>
        <v/>
      </c>
      <c r="AD108" s="32" t="str">
        <f t="shared" si="112"/>
        <v/>
      </c>
      <c r="AE108" s="32" t="str">
        <f t="shared" si="112"/>
        <v/>
      </c>
      <c r="AF108" s="32" t="str">
        <f t="shared" si="112"/>
        <v/>
      </c>
      <c r="AG108" s="32" t="str">
        <f t="shared" si="112"/>
        <v/>
      </c>
      <c r="AH108" s="33"/>
    </row>
    <row r="109" hidden="1" outlineLevel="2" collapsed="1">
      <c r="A109" s="16" t="b">
        <v>0</v>
      </c>
      <c r="B109" s="17"/>
      <c r="C109" s="18"/>
      <c r="D109" s="41">
        <v>45235.0</v>
      </c>
      <c r="E109" s="20" t="s">
        <v>24</v>
      </c>
      <c r="F109" s="21" t="s">
        <v>70</v>
      </c>
      <c r="G109" s="22">
        <v>2.0</v>
      </c>
      <c r="H109" s="22">
        <v>1.0</v>
      </c>
      <c r="I109" s="22">
        <v>2.0</v>
      </c>
      <c r="J109" s="22"/>
      <c r="K109" s="23"/>
      <c r="L109" s="22"/>
      <c r="M109" s="23"/>
      <c r="N109" s="23"/>
      <c r="O109" s="24"/>
      <c r="P109" s="16" t="b">
        <v>1</v>
      </c>
      <c r="Q109" s="24"/>
      <c r="R109" s="25">
        <v>5.0</v>
      </c>
      <c r="S109" s="26">
        <v>13.27</v>
      </c>
      <c r="T109" s="27" t="s">
        <v>133</v>
      </c>
      <c r="U109" s="24"/>
      <c r="V109" s="28"/>
      <c r="W109" s="29"/>
      <c r="X109" s="30"/>
      <c r="Y109" s="31"/>
      <c r="Z109" s="26">
        <f t="shared" si="5"/>
        <v>3.308</v>
      </c>
      <c r="AA109" s="26">
        <f t="shared" si="6"/>
        <v>3.308</v>
      </c>
      <c r="AB109" s="32">
        <f t="shared" si="7"/>
        <v>1.654</v>
      </c>
      <c r="AC109" s="32" t="str">
        <f t="shared" ref="AC109:AG109" si="113">IF(J109&lt;&gt;"", IF(AND($P109=FALSE, $A109=FALSE), -J109, IF(AND($P109=FALSE, $A109=TRUE), 0, IF($P109=TRUE, (J109 / $R109) * 100 * ($S109 / 100)-J109, ))), )</f>
        <v/>
      </c>
      <c r="AD109" s="32" t="str">
        <f t="shared" si="113"/>
        <v/>
      </c>
      <c r="AE109" s="32" t="str">
        <f t="shared" si="113"/>
        <v/>
      </c>
      <c r="AF109" s="32" t="str">
        <f t="shared" si="113"/>
        <v/>
      </c>
      <c r="AG109" s="32" t="str">
        <f t="shared" si="113"/>
        <v/>
      </c>
      <c r="AH109" s="33"/>
    </row>
    <row r="110" hidden="1" outlineLevel="3">
      <c r="A110" s="16" t="b">
        <v>0</v>
      </c>
      <c r="B110" s="17"/>
      <c r="C110" s="18"/>
      <c r="D110" s="19"/>
      <c r="E110" s="29"/>
      <c r="F110" s="34"/>
      <c r="G110" s="23"/>
      <c r="H110" s="23"/>
      <c r="I110" s="23"/>
      <c r="J110" s="23"/>
      <c r="K110" s="23"/>
      <c r="L110" s="23"/>
      <c r="M110" s="23"/>
      <c r="N110" s="23"/>
      <c r="O110" s="24"/>
      <c r="P110" s="16" t="b">
        <v>0</v>
      </c>
      <c r="Q110" s="24"/>
      <c r="R110" s="25"/>
      <c r="S110" s="25"/>
      <c r="T110" s="35"/>
      <c r="U110" s="24"/>
      <c r="V110" s="52" t="s">
        <v>29</v>
      </c>
      <c r="W110" s="29" t="s">
        <v>22</v>
      </c>
      <c r="X110" s="40" t="s">
        <v>134</v>
      </c>
      <c r="Y110" s="31"/>
      <c r="Z110" s="26" t="str">
        <f t="shared" si="5"/>
        <v/>
      </c>
      <c r="AA110" s="26" t="str">
        <f t="shared" si="6"/>
        <v/>
      </c>
      <c r="AB110" s="32" t="str">
        <f t="shared" si="7"/>
        <v/>
      </c>
      <c r="AC110" s="32" t="str">
        <f t="shared" ref="AC110:AG110" si="114">IF(J110&lt;&gt;"", IF(AND($P110=FALSE, $A110=FALSE), -J110, IF(AND($P110=FALSE, $A110=TRUE), 0, IF($P110=TRUE, (J110 / $R110) * 100 * ($S110 / 100)-J110, ))), )</f>
        <v/>
      </c>
      <c r="AD110" s="32" t="str">
        <f t="shared" si="114"/>
        <v/>
      </c>
      <c r="AE110" s="32" t="str">
        <f t="shared" si="114"/>
        <v/>
      </c>
      <c r="AF110" s="32" t="str">
        <f t="shared" si="114"/>
        <v/>
      </c>
      <c r="AG110" s="32" t="str">
        <f t="shared" si="114"/>
        <v/>
      </c>
      <c r="AH110" s="33"/>
    </row>
    <row r="111" hidden="1" outlineLevel="3">
      <c r="A111" s="16" t="b">
        <v>0</v>
      </c>
      <c r="B111" s="17"/>
      <c r="C111" s="18"/>
      <c r="D111" s="19"/>
      <c r="E111" s="29"/>
      <c r="F111" s="34"/>
      <c r="G111" s="23"/>
      <c r="H111" s="23"/>
      <c r="I111" s="23"/>
      <c r="J111" s="23"/>
      <c r="K111" s="23"/>
      <c r="L111" s="23"/>
      <c r="M111" s="23"/>
      <c r="N111" s="23"/>
      <c r="O111" s="24"/>
      <c r="P111" s="16" t="b">
        <v>0</v>
      </c>
      <c r="Q111" s="24"/>
      <c r="R111" s="25"/>
      <c r="S111" s="25"/>
      <c r="T111" s="35"/>
      <c r="U111" s="24"/>
      <c r="V111" s="52" t="s">
        <v>29</v>
      </c>
      <c r="W111" s="29" t="s">
        <v>22</v>
      </c>
      <c r="X111" s="40" t="s">
        <v>135</v>
      </c>
      <c r="Y111" s="31"/>
      <c r="Z111" s="26" t="str">
        <f t="shared" si="5"/>
        <v/>
      </c>
      <c r="AA111" s="26" t="str">
        <f t="shared" si="6"/>
        <v/>
      </c>
      <c r="AB111" s="32" t="str">
        <f t="shared" si="7"/>
        <v/>
      </c>
      <c r="AC111" s="32" t="str">
        <f t="shared" ref="AC111:AG111" si="115">IF(J111&lt;&gt;"", IF(AND($P111=FALSE, $A111=FALSE), -J111, IF(AND($P111=FALSE, $A111=TRUE), 0, IF($P111=TRUE, (J111 / $R111) * 100 * ($S111 / 100)-J111, ))), )</f>
        <v/>
      </c>
      <c r="AD111" s="32" t="str">
        <f t="shared" si="115"/>
        <v/>
      </c>
      <c r="AE111" s="32" t="str">
        <f t="shared" si="115"/>
        <v/>
      </c>
      <c r="AF111" s="32" t="str">
        <f t="shared" si="115"/>
        <v/>
      </c>
      <c r="AG111" s="32" t="str">
        <f t="shared" si="115"/>
        <v/>
      </c>
      <c r="AH111" s="33"/>
    </row>
    <row r="112" hidden="1" outlineLevel="3">
      <c r="A112" s="16" t="b">
        <v>0</v>
      </c>
      <c r="B112" s="17"/>
      <c r="C112" s="18"/>
      <c r="D112" s="19"/>
      <c r="E112" s="29"/>
      <c r="F112" s="34"/>
      <c r="G112" s="23"/>
      <c r="H112" s="23"/>
      <c r="I112" s="23"/>
      <c r="J112" s="23"/>
      <c r="K112" s="23"/>
      <c r="L112" s="23"/>
      <c r="M112" s="23"/>
      <c r="N112" s="23"/>
      <c r="O112" s="24"/>
      <c r="P112" s="16" t="b">
        <v>0</v>
      </c>
      <c r="Q112" s="24"/>
      <c r="R112" s="25"/>
      <c r="S112" s="25"/>
      <c r="T112" s="35"/>
      <c r="U112" s="24"/>
      <c r="V112" s="52" t="s">
        <v>29</v>
      </c>
      <c r="W112" s="29" t="s">
        <v>22</v>
      </c>
      <c r="X112" s="40" t="s">
        <v>136</v>
      </c>
      <c r="Y112" s="31"/>
      <c r="Z112" s="26" t="str">
        <f t="shared" si="5"/>
        <v/>
      </c>
      <c r="AA112" s="26" t="str">
        <f t="shared" si="6"/>
        <v/>
      </c>
      <c r="AB112" s="32" t="str">
        <f t="shared" si="7"/>
        <v/>
      </c>
      <c r="AC112" s="32" t="str">
        <f t="shared" ref="AC112:AG112" si="116">IF(J112&lt;&gt;"", IF(AND($P112=FALSE, $A112=FALSE), -J112, IF(AND($P112=FALSE, $A112=TRUE), 0, IF($P112=TRUE, (J112 / $R112) * 100 * ($S112 / 100)-J112, ))), )</f>
        <v/>
      </c>
      <c r="AD112" s="32" t="str">
        <f t="shared" si="116"/>
        <v/>
      </c>
      <c r="AE112" s="32" t="str">
        <f t="shared" si="116"/>
        <v/>
      </c>
      <c r="AF112" s="32" t="str">
        <f t="shared" si="116"/>
        <v/>
      </c>
      <c r="AG112" s="32" t="str">
        <f t="shared" si="116"/>
        <v/>
      </c>
      <c r="AH112" s="33"/>
    </row>
    <row r="113" hidden="1" outlineLevel="3">
      <c r="A113" s="16" t="b">
        <v>0</v>
      </c>
      <c r="B113" s="17"/>
      <c r="C113" s="18"/>
      <c r="D113" s="19"/>
      <c r="E113" s="29"/>
      <c r="F113" s="34"/>
      <c r="G113" s="23"/>
      <c r="H113" s="23"/>
      <c r="I113" s="23"/>
      <c r="J113" s="23"/>
      <c r="K113" s="23"/>
      <c r="L113" s="23"/>
      <c r="M113" s="23"/>
      <c r="N113" s="23"/>
      <c r="O113" s="24"/>
      <c r="P113" s="16" t="b">
        <v>0</v>
      </c>
      <c r="Q113" s="24"/>
      <c r="R113" s="25"/>
      <c r="S113" s="25"/>
      <c r="T113" s="35"/>
      <c r="U113" s="24"/>
      <c r="V113" s="52" t="s">
        <v>29</v>
      </c>
      <c r="W113" s="29" t="s">
        <v>22</v>
      </c>
      <c r="X113" s="40" t="s">
        <v>137</v>
      </c>
      <c r="Y113" s="31"/>
      <c r="Z113" s="26" t="str">
        <f t="shared" si="5"/>
        <v/>
      </c>
      <c r="AA113" s="26" t="str">
        <f t="shared" si="6"/>
        <v/>
      </c>
      <c r="AB113" s="32" t="str">
        <f t="shared" si="7"/>
        <v/>
      </c>
      <c r="AC113" s="32" t="str">
        <f t="shared" ref="AC113:AG113" si="117">IF(J113&lt;&gt;"", IF(AND($P113=FALSE, $A113=FALSE), -J113, IF(AND($P113=FALSE, $A113=TRUE), 0, IF($P113=TRUE, (J113 / $R113) * 100 * ($S113 / 100)-J113, ))), )</f>
        <v/>
      </c>
      <c r="AD113" s="32" t="str">
        <f t="shared" si="117"/>
        <v/>
      </c>
      <c r="AE113" s="32" t="str">
        <f t="shared" si="117"/>
        <v/>
      </c>
      <c r="AF113" s="32" t="str">
        <f t="shared" si="117"/>
        <v/>
      </c>
      <c r="AG113" s="32" t="str">
        <f t="shared" si="117"/>
        <v/>
      </c>
      <c r="AH113" s="33"/>
    </row>
    <row r="114" hidden="1" outlineLevel="3">
      <c r="A114" s="16" t="b">
        <v>0</v>
      </c>
      <c r="B114" s="17"/>
      <c r="C114" s="18"/>
      <c r="D114" s="19"/>
      <c r="E114" s="29"/>
      <c r="F114" s="34"/>
      <c r="G114" s="23"/>
      <c r="H114" s="23"/>
      <c r="I114" s="23"/>
      <c r="J114" s="23"/>
      <c r="K114" s="23"/>
      <c r="L114" s="23"/>
      <c r="M114" s="23"/>
      <c r="N114" s="23"/>
      <c r="O114" s="24"/>
      <c r="P114" s="16" t="b">
        <v>0</v>
      </c>
      <c r="Q114" s="24"/>
      <c r="R114" s="25"/>
      <c r="S114" s="25"/>
      <c r="T114" s="35"/>
      <c r="U114" s="24"/>
      <c r="V114" s="52" t="s">
        <v>29</v>
      </c>
      <c r="W114" s="29" t="s">
        <v>22</v>
      </c>
      <c r="X114" s="40" t="s">
        <v>138</v>
      </c>
      <c r="Y114" s="31"/>
      <c r="Z114" s="26" t="str">
        <f t="shared" si="5"/>
        <v/>
      </c>
      <c r="AA114" s="26" t="str">
        <f t="shared" si="6"/>
        <v/>
      </c>
      <c r="AB114" s="32" t="str">
        <f t="shared" si="7"/>
        <v/>
      </c>
      <c r="AC114" s="32" t="str">
        <f t="shared" ref="AC114:AG114" si="118">IF(J114&lt;&gt;"", IF(AND($P114=FALSE, $A114=FALSE), -J114, IF(AND($P114=FALSE, $A114=TRUE), 0, IF($P114=TRUE, (J114 / $R114) * 100 * ($S114 / 100)-J114, ))), )</f>
        <v/>
      </c>
      <c r="AD114" s="32" t="str">
        <f t="shared" si="118"/>
        <v/>
      </c>
      <c r="AE114" s="32" t="str">
        <f t="shared" si="118"/>
        <v/>
      </c>
      <c r="AF114" s="32" t="str">
        <f t="shared" si="118"/>
        <v/>
      </c>
      <c r="AG114" s="32" t="str">
        <f t="shared" si="118"/>
        <v/>
      </c>
      <c r="AH114" s="33"/>
    </row>
    <row r="115" hidden="1" outlineLevel="2" collapsed="1">
      <c r="A115" s="16" t="b">
        <v>1</v>
      </c>
      <c r="B115" s="17"/>
      <c r="C115" s="18"/>
      <c r="D115" s="41">
        <v>45235.0</v>
      </c>
      <c r="E115" s="20" t="s">
        <v>24</v>
      </c>
      <c r="F115" s="21" t="s">
        <v>70</v>
      </c>
      <c r="G115" s="22">
        <v>2.0</v>
      </c>
      <c r="H115" s="22">
        <v>1.0</v>
      </c>
      <c r="I115" s="22">
        <v>2.0</v>
      </c>
      <c r="J115" s="22"/>
      <c r="K115" s="23"/>
      <c r="L115" s="22"/>
      <c r="M115" s="23"/>
      <c r="N115" s="23"/>
      <c r="O115" s="24"/>
      <c r="P115" s="16" t="b">
        <v>0</v>
      </c>
      <c r="Q115" s="24"/>
      <c r="R115" s="25">
        <v>5.0</v>
      </c>
      <c r="S115" s="26">
        <v>11.7</v>
      </c>
      <c r="T115" s="27" t="s">
        <v>139</v>
      </c>
      <c r="U115" s="24"/>
      <c r="V115" s="28"/>
      <c r="W115" s="29"/>
      <c r="X115" s="30"/>
      <c r="Y115" s="31"/>
      <c r="Z115" s="26">
        <f t="shared" si="5"/>
        <v>0</v>
      </c>
      <c r="AA115" s="26">
        <f t="shared" si="6"/>
        <v>0</v>
      </c>
      <c r="AB115" s="32">
        <f t="shared" si="7"/>
        <v>0</v>
      </c>
      <c r="AC115" s="32" t="str">
        <f t="shared" ref="AC115:AG115" si="119">IF(J115&lt;&gt;"", IF(AND($P115=FALSE, $A115=FALSE), -J115, IF(AND($P115=FALSE, $A115=TRUE), 0, IF($P115=TRUE, (J115 / $R115) * 100 * ($S115 / 100)-J115, ))), )</f>
        <v/>
      </c>
      <c r="AD115" s="32" t="str">
        <f t="shared" si="119"/>
        <v/>
      </c>
      <c r="AE115" s="32" t="str">
        <f t="shared" si="119"/>
        <v/>
      </c>
      <c r="AF115" s="32" t="str">
        <f t="shared" si="119"/>
        <v/>
      </c>
      <c r="AG115" s="32" t="str">
        <f t="shared" si="119"/>
        <v/>
      </c>
      <c r="AH115" s="33"/>
    </row>
    <row r="116" hidden="1" outlineLevel="3">
      <c r="A116" s="16" t="b">
        <v>0</v>
      </c>
      <c r="B116" s="17"/>
      <c r="C116" s="18"/>
      <c r="D116" s="19"/>
      <c r="E116" s="29"/>
      <c r="F116" s="34"/>
      <c r="G116" s="23"/>
      <c r="H116" s="23"/>
      <c r="I116" s="23"/>
      <c r="J116" s="23"/>
      <c r="K116" s="23"/>
      <c r="L116" s="23"/>
      <c r="M116" s="23"/>
      <c r="N116" s="23"/>
      <c r="O116" s="24"/>
      <c r="P116" s="16" t="b">
        <v>0</v>
      </c>
      <c r="Q116" s="24"/>
      <c r="R116" s="25"/>
      <c r="S116" s="25"/>
      <c r="T116" s="35"/>
      <c r="U116" s="24"/>
      <c r="V116" s="52" t="s">
        <v>29</v>
      </c>
      <c r="W116" s="29" t="s">
        <v>22</v>
      </c>
      <c r="X116" s="40" t="s">
        <v>140</v>
      </c>
      <c r="Y116" s="31"/>
      <c r="Z116" s="26" t="str">
        <f t="shared" si="5"/>
        <v/>
      </c>
      <c r="AA116" s="26" t="str">
        <f t="shared" si="6"/>
        <v/>
      </c>
      <c r="AB116" s="32" t="str">
        <f t="shared" si="7"/>
        <v/>
      </c>
      <c r="AC116" s="32" t="str">
        <f t="shared" ref="AC116:AG116" si="120">IF(J116&lt;&gt;"", IF(AND($P116=FALSE, $A116=FALSE), -J116, IF(AND($P116=FALSE, $A116=TRUE), 0, IF($P116=TRUE, (J116 / $R116) * 100 * ($S116 / 100)-J116, ))), )</f>
        <v/>
      </c>
      <c r="AD116" s="32" t="str">
        <f t="shared" si="120"/>
        <v/>
      </c>
      <c r="AE116" s="32" t="str">
        <f t="shared" si="120"/>
        <v/>
      </c>
      <c r="AF116" s="32" t="str">
        <f t="shared" si="120"/>
        <v/>
      </c>
      <c r="AG116" s="32" t="str">
        <f t="shared" si="120"/>
        <v/>
      </c>
      <c r="AH116" s="33"/>
    </row>
    <row r="117" hidden="1" outlineLevel="3">
      <c r="A117" s="16" t="b">
        <v>0</v>
      </c>
      <c r="B117" s="17"/>
      <c r="C117" s="18"/>
      <c r="D117" s="19"/>
      <c r="E117" s="29"/>
      <c r="F117" s="34"/>
      <c r="G117" s="23"/>
      <c r="H117" s="23"/>
      <c r="I117" s="23"/>
      <c r="J117" s="23"/>
      <c r="K117" s="23"/>
      <c r="L117" s="23"/>
      <c r="M117" s="23"/>
      <c r="N117" s="23"/>
      <c r="O117" s="24"/>
      <c r="P117" s="16" t="b">
        <v>0</v>
      </c>
      <c r="Q117" s="24"/>
      <c r="R117" s="25"/>
      <c r="S117" s="25"/>
      <c r="T117" s="35"/>
      <c r="U117" s="24"/>
      <c r="V117" s="51" t="s">
        <v>32</v>
      </c>
      <c r="W117" s="29" t="s">
        <v>22</v>
      </c>
      <c r="X117" s="40" t="s">
        <v>141</v>
      </c>
      <c r="Y117" s="31"/>
      <c r="Z117" s="26" t="str">
        <f t="shared" si="5"/>
        <v/>
      </c>
      <c r="AA117" s="26" t="str">
        <f t="shared" si="6"/>
        <v/>
      </c>
      <c r="AB117" s="32" t="str">
        <f t="shared" si="7"/>
        <v/>
      </c>
      <c r="AC117" s="32" t="str">
        <f t="shared" ref="AC117:AG117" si="121">IF(J117&lt;&gt;"", IF(AND($P117=FALSE, $A117=FALSE), -J117, IF(AND($P117=FALSE, $A117=TRUE), 0, IF($P117=TRUE, (J117 / $R117) * 100 * ($S117 / 100)-J117, ))), )</f>
        <v/>
      </c>
      <c r="AD117" s="32" t="str">
        <f t="shared" si="121"/>
        <v/>
      </c>
      <c r="AE117" s="32" t="str">
        <f t="shared" si="121"/>
        <v/>
      </c>
      <c r="AF117" s="32" t="str">
        <f t="shared" si="121"/>
        <v/>
      </c>
      <c r="AG117" s="32" t="str">
        <f t="shared" si="121"/>
        <v/>
      </c>
      <c r="AH117" s="33"/>
    </row>
    <row r="118" hidden="1" outlineLevel="3">
      <c r="A118" s="16" t="b">
        <v>0</v>
      </c>
      <c r="B118" s="17"/>
      <c r="C118" s="18"/>
      <c r="D118" s="19"/>
      <c r="E118" s="29"/>
      <c r="F118" s="34"/>
      <c r="G118" s="23"/>
      <c r="H118" s="23"/>
      <c r="I118" s="23"/>
      <c r="J118" s="23"/>
      <c r="K118" s="23"/>
      <c r="L118" s="23"/>
      <c r="M118" s="23"/>
      <c r="N118" s="23"/>
      <c r="O118" s="24"/>
      <c r="P118" s="16" t="b">
        <v>0</v>
      </c>
      <c r="Q118" s="24"/>
      <c r="R118" s="25"/>
      <c r="S118" s="25"/>
      <c r="T118" s="35"/>
      <c r="U118" s="24"/>
      <c r="V118" s="51" t="s">
        <v>32</v>
      </c>
      <c r="W118" s="29" t="s">
        <v>22</v>
      </c>
      <c r="X118" s="40" t="s">
        <v>142</v>
      </c>
      <c r="Y118" s="31"/>
      <c r="Z118" s="26" t="str">
        <f t="shared" si="5"/>
        <v/>
      </c>
      <c r="AA118" s="26" t="str">
        <f t="shared" si="6"/>
        <v/>
      </c>
      <c r="AB118" s="32" t="str">
        <f t="shared" si="7"/>
        <v/>
      </c>
      <c r="AC118" s="32" t="str">
        <f t="shared" ref="AC118:AG118" si="122">IF(J118&lt;&gt;"", IF(AND($P118=FALSE, $A118=FALSE), -J118, IF(AND($P118=FALSE, $A118=TRUE), 0, IF($P118=TRUE, (J118 / $R118) * 100 * ($S118 / 100)-J118, ))), )</f>
        <v/>
      </c>
      <c r="AD118" s="32" t="str">
        <f t="shared" si="122"/>
        <v/>
      </c>
      <c r="AE118" s="32" t="str">
        <f t="shared" si="122"/>
        <v/>
      </c>
      <c r="AF118" s="32" t="str">
        <f t="shared" si="122"/>
        <v/>
      </c>
      <c r="AG118" s="32" t="str">
        <f t="shared" si="122"/>
        <v/>
      </c>
      <c r="AH118" s="33"/>
    </row>
    <row r="119" hidden="1" outlineLevel="3">
      <c r="A119" s="16" t="b">
        <v>0</v>
      </c>
      <c r="B119" s="17"/>
      <c r="C119" s="18"/>
      <c r="D119" s="19"/>
      <c r="E119" s="29"/>
      <c r="F119" s="34"/>
      <c r="G119" s="23"/>
      <c r="H119" s="23"/>
      <c r="I119" s="23"/>
      <c r="J119" s="23"/>
      <c r="K119" s="23"/>
      <c r="L119" s="23"/>
      <c r="M119" s="23"/>
      <c r="N119" s="23"/>
      <c r="O119" s="24"/>
      <c r="P119" s="16" t="b">
        <v>0</v>
      </c>
      <c r="Q119" s="24"/>
      <c r="R119" s="25"/>
      <c r="S119" s="25"/>
      <c r="T119" s="35"/>
      <c r="U119" s="24"/>
      <c r="V119" s="51" t="s">
        <v>32</v>
      </c>
      <c r="W119" s="29" t="s">
        <v>22</v>
      </c>
      <c r="X119" s="40" t="s">
        <v>143</v>
      </c>
      <c r="Y119" s="31"/>
      <c r="Z119" s="26" t="str">
        <f t="shared" si="5"/>
        <v/>
      </c>
      <c r="AA119" s="26" t="str">
        <f t="shared" si="6"/>
        <v/>
      </c>
      <c r="AB119" s="32" t="str">
        <f t="shared" si="7"/>
        <v/>
      </c>
      <c r="AC119" s="32" t="str">
        <f t="shared" ref="AC119:AG119" si="123">IF(J119&lt;&gt;"", IF(AND($P119=FALSE, $A119=FALSE), -J119, IF(AND($P119=FALSE, $A119=TRUE), 0, IF($P119=TRUE, (J119 / $R119) * 100 * ($S119 / 100)-J119, ))), )</f>
        <v/>
      </c>
      <c r="AD119" s="32" t="str">
        <f t="shared" si="123"/>
        <v/>
      </c>
      <c r="AE119" s="32" t="str">
        <f t="shared" si="123"/>
        <v/>
      </c>
      <c r="AF119" s="32" t="str">
        <f t="shared" si="123"/>
        <v/>
      </c>
      <c r="AG119" s="32" t="str">
        <f t="shared" si="123"/>
        <v/>
      </c>
      <c r="AH119" s="33"/>
    </row>
    <row r="120" hidden="1" outlineLevel="2" collapsed="1">
      <c r="A120" s="16" t="b">
        <v>1</v>
      </c>
      <c r="B120" s="17"/>
      <c r="C120" s="18"/>
      <c r="D120" s="41">
        <v>45235.0</v>
      </c>
      <c r="E120" s="20" t="s">
        <v>24</v>
      </c>
      <c r="F120" s="21" t="s">
        <v>70</v>
      </c>
      <c r="G120" s="22">
        <v>2.0</v>
      </c>
      <c r="H120" s="22">
        <v>1.0</v>
      </c>
      <c r="I120" s="22">
        <v>2.0</v>
      </c>
      <c r="J120" s="22"/>
      <c r="K120" s="23"/>
      <c r="L120" s="22"/>
      <c r="M120" s="23"/>
      <c r="N120" s="23"/>
      <c r="O120" s="24"/>
      <c r="P120" s="16" t="b">
        <v>0</v>
      </c>
      <c r="Q120" s="24"/>
      <c r="R120" s="25">
        <v>5.0</v>
      </c>
      <c r="S120" s="26">
        <v>80.0</v>
      </c>
      <c r="T120" s="27" t="s">
        <v>144</v>
      </c>
      <c r="U120" s="24"/>
      <c r="V120" s="28"/>
      <c r="W120" s="29"/>
      <c r="X120" s="30"/>
      <c r="Y120" s="31"/>
      <c r="Z120" s="26">
        <f t="shared" si="5"/>
        <v>0</v>
      </c>
      <c r="AA120" s="26">
        <f t="shared" si="6"/>
        <v>0</v>
      </c>
      <c r="AB120" s="32">
        <f t="shared" si="7"/>
        <v>0</v>
      </c>
      <c r="AC120" s="32" t="str">
        <f t="shared" ref="AC120:AG120" si="124">IF(J120&lt;&gt;"", IF(AND($P120=FALSE, $A120=FALSE), -J120, IF(AND($P120=FALSE, $A120=TRUE), 0, IF($P120=TRUE, (J120 / $R120) * 100 * ($S120 / 100)-J120, ))), )</f>
        <v/>
      </c>
      <c r="AD120" s="32" t="str">
        <f t="shared" si="124"/>
        <v/>
      </c>
      <c r="AE120" s="32" t="str">
        <f t="shared" si="124"/>
        <v/>
      </c>
      <c r="AF120" s="32" t="str">
        <f t="shared" si="124"/>
        <v/>
      </c>
      <c r="AG120" s="32" t="str">
        <f t="shared" si="124"/>
        <v/>
      </c>
      <c r="AH120" s="33"/>
    </row>
    <row r="121" hidden="1" outlineLevel="3">
      <c r="A121" s="16" t="b">
        <v>0</v>
      </c>
      <c r="B121" s="17"/>
      <c r="C121" s="18"/>
      <c r="D121" s="19"/>
      <c r="E121" s="29"/>
      <c r="F121" s="34"/>
      <c r="G121" s="23"/>
      <c r="H121" s="23"/>
      <c r="I121" s="23"/>
      <c r="J121" s="23"/>
      <c r="K121" s="23"/>
      <c r="L121" s="23"/>
      <c r="M121" s="23"/>
      <c r="N121" s="23"/>
      <c r="O121" s="24"/>
      <c r="P121" s="16" t="b">
        <v>0</v>
      </c>
      <c r="Q121" s="24"/>
      <c r="R121" s="25"/>
      <c r="S121" s="25"/>
      <c r="T121" s="35"/>
      <c r="U121" s="24"/>
      <c r="V121" s="51" t="s">
        <v>32</v>
      </c>
      <c r="W121" s="29" t="s">
        <v>22</v>
      </c>
      <c r="X121" s="40" t="s">
        <v>145</v>
      </c>
      <c r="Y121" s="31"/>
      <c r="Z121" s="26" t="str">
        <f t="shared" si="5"/>
        <v/>
      </c>
      <c r="AA121" s="26" t="str">
        <f t="shared" si="6"/>
        <v/>
      </c>
      <c r="AB121" s="32" t="str">
        <f t="shared" si="7"/>
        <v/>
      </c>
      <c r="AC121" s="32" t="str">
        <f t="shared" ref="AC121:AG121" si="125">IF(J121&lt;&gt;"", IF(AND($P121=FALSE, $A121=FALSE), -J121, IF(AND($P121=FALSE, $A121=TRUE), 0, IF($P121=TRUE, (J121 / $R121) * 100 * ($S121 / 100)-J121, ))), )</f>
        <v/>
      </c>
      <c r="AD121" s="32" t="str">
        <f t="shared" si="125"/>
        <v/>
      </c>
      <c r="AE121" s="32" t="str">
        <f t="shared" si="125"/>
        <v/>
      </c>
      <c r="AF121" s="32" t="str">
        <f t="shared" si="125"/>
        <v/>
      </c>
      <c r="AG121" s="32" t="str">
        <f t="shared" si="125"/>
        <v/>
      </c>
      <c r="AH121" s="33"/>
    </row>
    <row r="122" hidden="1" outlineLevel="3">
      <c r="A122" s="16" t="b">
        <v>0</v>
      </c>
      <c r="B122" s="17"/>
      <c r="C122" s="18"/>
      <c r="D122" s="19"/>
      <c r="E122" s="29"/>
      <c r="F122" s="34"/>
      <c r="G122" s="23"/>
      <c r="H122" s="23"/>
      <c r="I122" s="23"/>
      <c r="J122" s="23"/>
      <c r="K122" s="23"/>
      <c r="L122" s="23"/>
      <c r="M122" s="23"/>
      <c r="N122" s="23"/>
      <c r="O122" s="24"/>
      <c r="P122" s="16" t="b">
        <v>0</v>
      </c>
      <c r="Q122" s="24"/>
      <c r="R122" s="25"/>
      <c r="S122" s="25"/>
      <c r="T122" s="35"/>
      <c r="U122" s="24"/>
      <c r="V122" s="52" t="s">
        <v>29</v>
      </c>
      <c r="W122" s="29" t="s">
        <v>22</v>
      </c>
      <c r="X122" s="40" t="s">
        <v>146</v>
      </c>
      <c r="Y122" s="31"/>
      <c r="Z122" s="26" t="str">
        <f t="shared" si="5"/>
        <v/>
      </c>
      <c r="AA122" s="26" t="str">
        <f t="shared" si="6"/>
        <v/>
      </c>
      <c r="AB122" s="32" t="str">
        <f t="shared" si="7"/>
        <v/>
      </c>
      <c r="AC122" s="32" t="str">
        <f t="shared" ref="AC122:AG122" si="126">IF(J122&lt;&gt;"", IF(AND($P122=FALSE, $A122=FALSE), -J122, IF(AND($P122=FALSE, $A122=TRUE), 0, IF($P122=TRUE, (J122 / $R122) * 100 * ($S122 / 100)-J122, ))), )</f>
        <v/>
      </c>
      <c r="AD122" s="32" t="str">
        <f t="shared" si="126"/>
        <v/>
      </c>
      <c r="AE122" s="32" t="str">
        <f t="shared" si="126"/>
        <v/>
      </c>
      <c r="AF122" s="32" t="str">
        <f t="shared" si="126"/>
        <v/>
      </c>
      <c r="AG122" s="32" t="str">
        <f t="shared" si="126"/>
        <v/>
      </c>
      <c r="AH122" s="33"/>
    </row>
    <row r="123" hidden="1" outlineLevel="3">
      <c r="A123" s="16" t="b">
        <v>0</v>
      </c>
      <c r="B123" s="17"/>
      <c r="C123" s="18"/>
      <c r="D123" s="19"/>
      <c r="E123" s="29"/>
      <c r="F123" s="34"/>
      <c r="G123" s="23"/>
      <c r="H123" s="23"/>
      <c r="I123" s="23"/>
      <c r="J123" s="23"/>
      <c r="K123" s="23"/>
      <c r="L123" s="23"/>
      <c r="M123" s="23"/>
      <c r="N123" s="23"/>
      <c r="O123" s="24"/>
      <c r="P123" s="16" t="b">
        <v>0</v>
      </c>
      <c r="Q123" s="24"/>
      <c r="R123" s="25"/>
      <c r="S123" s="25"/>
      <c r="T123" s="35"/>
      <c r="U123" s="24"/>
      <c r="V123" s="51" t="s">
        <v>32</v>
      </c>
      <c r="W123" s="29" t="s">
        <v>22</v>
      </c>
      <c r="X123" s="40" t="s">
        <v>147</v>
      </c>
      <c r="Y123" s="31"/>
      <c r="Z123" s="26" t="str">
        <f t="shared" si="5"/>
        <v/>
      </c>
      <c r="AA123" s="26" t="str">
        <f t="shared" si="6"/>
        <v/>
      </c>
      <c r="AB123" s="32" t="str">
        <f t="shared" si="7"/>
        <v/>
      </c>
      <c r="AC123" s="32" t="str">
        <f t="shared" ref="AC123:AG123" si="127">IF(J123&lt;&gt;"", IF(AND($P123=FALSE, $A123=FALSE), -J123, IF(AND($P123=FALSE, $A123=TRUE), 0, IF($P123=TRUE, (J123 / $R123) * 100 * ($S123 / 100)-J123, ))), )</f>
        <v/>
      </c>
      <c r="AD123" s="32" t="str">
        <f t="shared" si="127"/>
        <v/>
      </c>
      <c r="AE123" s="32" t="str">
        <f t="shared" si="127"/>
        <v/>
      </c>
      <c r="AF123" s="32" t="str">
        <f t="shared" si="127"/>
        <v/>
      </c>
      <c r="AG123" s="32" t="str">
        <f t="shared" si="127"/>
        <v/>
      </c>
      <c r="AH123" s="33"/>
    </row>
    <row r="124" hidden="1" outlineLevel="3">
      <c r="A124" s="16" t="b">
        <v>0</v>
      </c>
      <c r="B124" s="17"/>
      <c r="C124" s="18"/>
      <c r="D124" s="19"/>
      <c r="E124" s="29"/>
      <c r="F124" s="34"/>
      <c r="G124" s="23"/>
      <c r="H124" s="23"/>
      <c r="I124" s="23"/>
      <c r="J124" s="23"/>
      <c r="K124" s="23"/>
      <c r="L124" s="23"/>
      <c r="M124" s="23"/>
      <c r="N124" s="23"/>
      <c r="O124" s="24"/>
      <c r="P124" s="16" t="b">
        <v>0</v>
      </c>
      <c r="Q124" s="24"/>
      <c r="R124" s="25"/>
      <c r="S124" s="25"/>
      <c r="T124" s="35"/>
      <c r="U124" s="24"/>
      <c r="V124" s="51" t="s">
        <v>32</v>
      </c>
      <c r="W124" s="29" t="s">
        <v>22</v>
      </c>
      <c r="X124" s="40" t="s">
        <v>148</v>
      </c>
      <c r="Y124" s="31"/>
      <c r="Z124" s="26" t="str">
        <f t="shared" si="5"/>
        <v/>
      </c>
      <c r="AA124" s="26" t="str">
        <f t="shared" si="6"/>
        <v/>
      </c>
      <c r="AB124" s="32" t="str">
        <f t="shared" si="7"/>
        <v/>
      </c>
      <c r="AC124" s="32" t="str">
        <f t="shared" ref="AC124:AG124" si="128">IF(J124&lt;&gt;"", IF(AND($P124=FALSE, $A124=FALSE), -J124, IF(AND($P124=FALSE, $A124=TRUE), 0, IF($P124=TRUE, (J124 / $R124) * 100 * ($S124 / 100)-J124, ))), )</f>
        <v/>
      </c>
      <c r="AD124" s="32" t="str">
        <f t="shared" si="128"/>
        <v/>
      </c>
      <c r="AE124" s="32" t="str">
        <f t="shared" si="128"/>
        <v/>
      </c>
      <c r="AF124" s="32" t="str">
        <f t="shared" si="128"/>
        <v/>
      </c>
      <c r="AG124" s="32" t="str">
        <f t="shared" si="128"/>
        <v/>
      </c>
      <c r="AH124" s="33"/>
    </row>
    <row r="125" hidden="1" outlineLevel="3">
      <c r="A125" s="16" t="b">
        <v>0</v>
      </c>
      <c r="B125" s="17"/>
      <c r="C125" s="18"/>
      <c r="D125" s="19"/>
      <c r="E125" s="29"/>
      <c r="F125" s="34"/>
      <c r="G125" s="23"/>
      <c r="H125" s="23"/>
      <c r="I125" s="23"/>
      <c r="J125" s="23"/>
      <c r="K125" s="23"/>
      <c r="L125" s="23"/>
      <c r="M125" s="23"/>
      <c r="N125" s="23"/>
      <c r="O125" s="24"/>
      <c r="P125" s="16" t="b">
        <v>0</v>
      </c>
      <c r="Q125" s="24"/>
      <c r="R125" s="25"/>
      <c r="S125" s="25"/>
      <c r="T125" s="35"/>
      <c r="U125" s="24"/>
      <c r="V125" s="51" t="s">
        <v>32</v>
      </c>
      <c r="W125" s="29" t="s">
        <v>22</v>
      </c>
      <c r="X125" s="40" t="s">
        <v>149</v>
      </c>
      <c r="Y125" s="31"/>
      <c r="Z125" s="26" t="str">
        <f t="shared" si="5"/>
        <v/>
      </c>
      <c r="AA125" s="26" t="str">
        <f t="shared" si="6"/>
        <v/>
      </c>
      <c r="AB125" s="32" t="str">
        <f t="shared" si="7"/>
        <v/>
      </c>
      <c r="AC125" s="32" t="str">
        <f t="shared" ref="AC125:AG125" si="129">IF(J125&lt;&gt;"", IF(AND($P125=FALSE, $A125=FALSE), -J125, IF(AND($P125=FALSE, $A125=TRUE), 0, IF($P125=TRUE, (J125 / $R125) * 100 * ($S125 / 100)-J125, ))), )</f>
        <v/>
      </c>
      <c r="AD125" s="32" t="str">
        <f t="shared" si="129"/>
        <v/>
      </c>
      <c r="AE125" s="32" t="str">
        <f t="shared" si="129"/>
        <v/>
      </c>
      <c r="AF125" s="32" t="str">
        <f t="shared" si="129"/>
        <v/>
      </c>
      <c r="AG125" s="32" t="str">
        <f t="shared" si="129"/>
        <v/>
      </c>
      <c r="AH125" s="33"/>
    </row>
    <row r="126" hidden="1" outlineLevel="3">
      <c r="A126" s="16" t="b">
        <v>0</v>
      </c>
      <c r="B126" s="17"/>
      <c r="C126" s="18"/>
      <c r="D126" s="19"/>
      <c r="E126" s="29"/>
      <c r="F126" s="34"/>
      <c r="G126" s="23"/>
      <c r="H126" s="23"/>
      <c r="I126" s="23"/>
      <c r="J126" s="23"/>
      <c r="K126" s="23"/>
      <c r="L126" s="23"/>
      <c r="M126" s="23"/>
      <c r="N126" s="23"/>
      <c r="O126" s="24"/>
      <c r="P126" s="16" t="b">
        <v>0</v>
      </c>
      <c r="Q126" s="24"/>
      <c r="R126" s="25"/>
      <c r="S126" s="25"/>
      <c r="T126" s="35"/>
      <c r="U126" s="24"/>
      <c r="V126" s="52" t="s">
        <v>29</v>
      </c>
      <c r="W126" s="29" t="s">
        <v>22</v>
      </c>
      <c r="X126" s="40" t="s">
        <v>150</v>
      </c>
      <c r="Y126" s="31"/>
      <c r="Z126" s="26" t="str">
        <f t="shared" si="5"/>
        <v/>
      </c>
      <c r="AA126" s="26" t="str">
        <f t="shared" si="6"/>
        <v/>
      </c>
      <c r="AB126" s="32" t="str">
        <f t="shared" si="7"/>
        <v/>
      </c>
      <c r="AC126" s="32" t="str">
        <f t="shared" ref="AC126:AG126" si="130">IF(J126&lt;&gt;"", IF(AND($P126=FALSE, $A126=FALSE), -J126, IF(AND($P126=FALSE, $A126=TRUE), 0, IF($P126=TRUE, (J126 / $R126) * 100 * ($S126 / 100)-J126, ))), )</f>
        <v/>
      </c>
      <c r="AD126" s="32" t="str">
        <f t="shared" si="130"/>
        <v/>
      </c>
      <c r="AE126" s="32" t="str">
        <f t="shared" si="130"/>
        <v/>
      </c>
      <c r="AF126" s="32" t="str">
        <f t="shared" si="130"/>
        <v/>
      </c>
      <c r="AG126" s="32" t="str">
        <f t="shared" si="130"/>
        <v/>
      </c>
      <c r="AH126" s="33"/>
    </row>
    <row r="127" hidden="1" outlineLevel="3">
      <c r="A127" s="16" t="b">
        <v>0</v>
      </c>
      <c r="B127" s="17"/>
      <c r="C127" s="18"/>
      <c r="D127" s="19"/>
      <c r="E127" s="29"/>
      <c r="F127" s="34"/>
      <c r="G127" s="23"/>
      <c r="H127" s="23"/>
      <c r="I127" s="23"/>
      <c r="J127" s="23"/>
      <c r="K127" s="23"/>
      <c r="L127" s="23"/>
      <c r="M127" s="23"/>
      <c r="N127" s="23"/>
      <c r="O127" s="24"/>
      <c r="P127" s="16" t="b">
        <v>0</v>
      </c>
      <c r="Q127" s="24"/>
      <c r="R127" s="25"/>
      <c r="S127" s="25"/>
      <c r="T127" s="35"/>
      <c r="U127" s="24"/>
      <c r="V127" s="52" t="s">
        <v>29</v>
      </c>
      <c r="W127" s="29" t="s">
        <v>22</v>
      </c>
      <c r="X127" s="40" t="s">
        <v>151</v>
      </c>
      <c r="Y127" s="31"/>
      <c r="Z127" s="26" t="str">
        <f t="shared" si="5"/>
        <v/>
      </c>
      <c r="AA127" s="26" t="str">
        <f t="shared" si="6"/>
        <v/>
      </c>
      <c r="AB127" s="32" t="str">
        <f t="shared" si="7"/>
        <v/>
      </c>
      <c r="AC127" s="32" t="str">
        <f t="shared" ref="AC127:AG127" si="131">IF(J127&lt;&gt;"", IF(AND($P127=FALSE, $A127=FALSE), -J127, IF(AND($P127=FALSE, $A127=TRUE), 0, IF($P127=TRUE, (J127 / $R127) * 100 * ($S127 / 100)-J127, ))), )</f>
        <v/>
      </c>
      <c r="AD127" s="32" t="str">
        <f t="shared" si="131"/>
        <v/>
      </c>
      <c r="AE127" s="32" t="str">
        <f t="shared" si="131"/>
        <v/>
      </c>
      <c r="AF127" s="32" t="str">
        <f t="shared" si="131"/>
        <v/>
      </c>
      <c r="AG127" s="32" t="str">
        <f t="shared" si="131"/>
        <v/>
      </c>
      <c r="AH127" s="33"/>
    </row>
    <row r="128" hidden="1" outlineLevel="3">
      <c r="A128" s="16" t="b">
        <v>0</v>
      </c>
      <c r="B128" s="17"/>
      <c r="C128" s="18"/>
      <c r="D128" s="19"/>
      <c r="E128" s="29"/>
      <c r="F128" s="34"/>
      <c r="G128" s="23"/>
      <c r="H128" s="23"/>
      <c r="I128" s="23"/>
      <c r="J128" s="23"/>
      <c r="K128" s="23"/>
      <c r="L128" s="23"/>
      <c r="M128" s="23"/>
      <c r="N128" s="23"/>
      <c r="O128" s="24"/>
      <c r="P128" s="16" t="b">
        <v>0</v>
      </c>
      <c r="Q128" s="24"/>
      <c r="R128" s="25"/>
      <c r="S128" s="25"/>
      <c r="T128" s="35"/>
      <c r="U128" s="24"/>
      <c r="V128" s="51" t="s">
        <v>32</v>
      </c>
      <c r="W128" s="29" t="s">
        <v>22</v>
      </c>
      <c r="X128" s="40" t="s">
        <v>152</v>
      </c>
      <c r="Y128" s="31"/>
      <c r="Z128" s="26" t="str">
        <f t="shared" si="5"/>
        <v/>
      </c>
      <c r="AA128" s="26" t="str">
        <f t="shared" si="6"/>
        <v/>
      </c>
      <c r="AB128" s="32" t="str">
        <f t="shared" si="7"/>
        <v/>
      </c>
      <c r="AC128" s="32" t="str">
        <f t="shared" ref="AC128:AG128" si="132">IF(J128&lt;&gt;"", IF(AND($P128=FALSE, $A128=FALSE), -J128, IF(AND($P128=FALSE, $A128=TRUE), 0, IF($P128=TRUE, (J128 / $R128) * 100 * ($S128 / 100)-J128, ))), )</f>
        <v/>
      </c>
      <c r="AD128" s="32" t="str">
        <f t="shared" si="132"/>
        <v/>
      </c>
      <c r="AE128" s="32" t="str">
        <f t="shared" si="132"/>
        <v/>
      </c>
      <c r="AF128" s="32" t="str">
        <f t="shared" si="132"/>
        <v/>
      </c>
      <c r="AG128" s="32" t="str">
        <f t="shared" si="132"/>
        <v/>
      </c>
      <c r="AH128" s="33"/>
    </row>
    <row r="129" hidden="1" outlineLevel="2" collapsed="1">
      <c r="A129" s="16" t="b">
        <v>0</v>
      </c>
      <c r="B129" s="17"/>
      <c r="C129" s="18"/>
      <c r="D129" s="41">
        <v>45235.0</v>
      </c>
      <c r="E129" s="20" t="s">
        <v>24</v>
      </c>
      <c r="F129" s="21" t="s">
        <v>70</v>
      </c>
      <c r="G129" s="22">
        <v>3.0</v>
      </c>
      <c r="H129" s="22">
        <v>2.0</v>
      </c>
      <c r="I129" s="22">
        <v>20.0</v>
      </c>
      <c r="J129" s="22"/>
      <c r="K129" s="23"/>
      <c r="L129" s="22"/>
      <c r="M129" s="23"/>
      <c r="N129" s="23"/>
      <c r="O129" s="24"/>
      <c r="P129" s="16" t="b">
        <v>1</v>
      </c>
      <c r="Q129" s="24"/>
      <c r="R129" s="25">
        <v>25.0</v>
      </c>
      <c r="S129" s="26">
        <v>50.0</v>
      </c>
      <c r="T129" s="27" t="s">
        <v>71</v>
      </c>
      <c r="U129" s="24"/>
      <c r="V129" s="28"/>
      <c r="W129" s="29"/>
      <c r="X129" s="30"/>
      <c r="Y129" s="31"/>
      <c r="Z129" s="26">
        <f t="shared" si="5"/>
        <v>3</v>
      </c>
      <c r="AA129" s="26">
        <f t="shared" si="6"/>
        <v>20</v>
      </c>
      <c r="AB129" s="32">
        <f t="shared" si="7"/>
        <v>2</v>
      </c>
      <c r="AC129" s="32" t="str">
        <f t="shared" ref="AC129:AG129" si="133">IF(J129&lt;&gt;"", IF(AND($P129=FALSE, $A129=FALSE), -J129, IF(AND($P129=FALSE, $A129=TRUE), 0, IF($P129=TRUE, (J129 / $R129) * 100 * ($S129 / 100)-J129, ))), )</f>
        <v/>
      </c>
      <c r="AD129" s="32" t="str">
        <f t="shared" si="133"/>
        <v/>
      </c>
      <c r="AE129" s="32" t="str">
        <f t="shared" si="133"/>
        <v/>
      </c>
      <c r="AF129" s="32" t="str">
        <f t="shared" si="133"/>
        <v/>
      </c>
      <c r="AG129" s="32" t="str">
        <f t="shared" si="133"/>
        <v/>
      </c>
      <c r="AH129" s="33"/>
    </row>
    <row r="130" hidden="1" outlineLevel="3">
      <c r="A130" s="16" t="b">
        <v>0</v>
      </c>
      <c r="B130" s="17"/>
      <c r="C130" s="18"/>
      <c r="D130" s="19"/>
      <c r="E130" s="29"/>
      <c r="F130" s="34"/>
      <c r="G130" s="23"/>
      <c r="H130" s="23"/>
      <c r="I130" s="23"/>
      <c r="J130" s="23"/>
      <c r="K130" s="23"/>
      <c r="L130" s="23"/>
      <c r="M130" s="23"/>
      <c r="N130" s="23"/>
      <c r="O130" s="24"/>
      <c r="P130" s="16" t="b">
        <v>0</v>
      </c>
      <c r="Q130" s="24"/>
      <c r="R130" s="25"/>
      <c r="S130" s="25"/>
      <c r="T130" s="35"/>
      <c r="U130" s="24"/>
      <c r="V130" s="52" t="s">
        <v>29</v>
      </c>
      <c r="W130" s="29" t="s">
        <v>22</v>
      </c>
      <c r="X130" s="40" t="s">
        <v>153</v>
      </c>
      <c r="Y130" s="31"/>
      <c r="Z130" s="26" t="str">
        <f t="shared" si="5"/>
        <v/>
      </c>
      <c r="AA130" s="26" t="str">
        <f t="shared" si="6"/>
        <v/>
      </c>
      <c r="AB130" s="32" t="str">
        <f t="shared" si="7"/>
        <v/>
      </c>
      <c r="AC130" s="32" t="str">
        <f t="shared" ref="AC130:AG130" si="134">IF(J130&lt;&gt;"", IF(AND($P130=FALSE, $A130=FALSE), -J130, IF(AND($P130=FALSE, $A130=TRUE), 0, IF($P130=TRUE, (J130 / $R130) * 100 * ($S130 / 100)-J130, ))), )</f>
        <v/>
      </c>
      <c r="AD130" s="32" t="str">
        <f t="shared" si="134"/>
        <v/>
      </c>
      <c r="AE130" s="32" t="str">
        <f t="shared" si="134"/>
        <v/>
      </c>
      <c r="AF130" s="32" t="str">
        <f t="shared" si="134"/>
        <v/>
      </c>
      <c r="AG130" s="32" t="str">
        <f t="shared" si="134"/>
        <v/>
      </c>
      <c r="AH130" s="33"/>
    </row>
    <row r="131" hidden="1" outlineLevel="3">
      <c r="A131" s="16" t="b">
        <v>0</v>
      </c>
      <c r="B131" s="17"/>
      <c r="C131" s="18"/>
      <c r="D131" s="19"/>
      <c r="E131" s="29"/>
      <c r="F131" s="34"/>
      <c r="G131" s="23"/>
      <c r="H131" s="23"/>
      <c r="I131" s="23"/>
      <c r="J131" s="23"/>
      <c r="K131" s="23"/>
      <c r="L131" s="23"/>
      <c r="M131" s="23"/>
      <c r="N131" s="23"/>
      <c r="O131" s="24"/>
      <c r="P131" s="16" t="b">
        <v>0</v>
      </c>
      <c r="Q131" s="24"/>
      <c r="R131" s="25"/>
      <c r="S131" s="25"/>
      <c r="T131" s="35"/>
      <c r="U131" s="24"/>
      <c r="V131" s="52" t="s">
        <v>29</v>
      </c>
      <c r="W131" s="29" t="s">
        <v>22</v>
      </c>
      <c r="X131" s="40" t="s">
        <v>138</v>
      </c>
      <c r="Y131" s="31"/>
      <c r="Z131" s="26" t="str">
        <f t="shared" si="5"/>
        <v/>
      </c>
      <c r="AA131" s="26" t="str">
        <f t="shared" si="6"/>
        <v/>
      </c>
      <c r="AB131" s="32" t="str">
        <f t="shared" si="7"/>
        <v/>
      </c>
      <c r="AC131" s="32" t="str">
        <f t="shared" ref="AC131:AG131" si="135">IF(J131&lt;&gt;"", IF(AND($P131=FALSE, $A131=FALSE), -J131, IF(AND($P131=FALSE, $A131=TRUE), 0, IF($P131=TRUE, (J131 / $R131) * 100 * ($S131 / 100)-J131, ))), )</f>
        <v/>
      </c>
      <c r="AD131" s="32" t="str">
        <f t="shared" si="135"/>
        <v/>
      </c>
      <c r="AE131" s="32" t="str">
        <f t="shared" si="135"/>
        <v/>
      </c>
      <c r="AF131" s="32" t="str">
        <f t="shared" si="135"/>
        <v/>
      </c>
      <c r="AG131" s="32" t="str">
        <f t="shared" si="135"/>
        <v/>
      </c>
      <c r="AH131" s="33"/>
    </row>
    <row r="132" hidden="1" outlineLevel="3">
      <c r="A132" s="16" t="b">
        <v>0</v>
      </c>
      <c r="B132" s="17"/>
      <c r="C132" s="18"/>
      <c r="D132" s="19"/>
      <c r="E132" s="29"/>
      <c r="F132" s="34"/>
      <c r="G132" s="23"/>
      <c r="H132" s="23"/>
      <c r="I132" s="23"/>
      <c r="J132" s="23"/>
      <c r="K132" s="23"/>
      <c r="L132" s="23"/>
      <c r="M132" s="23"/>
      <c r="N132" s="23"/>
      <c r="O132" s="24"/>
      <c r="P132" s="16" t="b">
        <v>0</v>
      </c>
      <c r="Q132" s="24"/>
      <c r="R132" s="25"/>
      <c r="S132" s="25"/>
      <c r="T132" s="35"/>
      <c r="U132" s="24"/>
      <c r="V132" s="52" t="s">
        <v>29</v>
      </c>
      <c r="W132" s="29" t="s">
        <v>22</v>
      </c>
      <c r="X132" s="40" t="s">
        <v>154</v>
      </c>
      <c r="Y132" s="31"/>
      <c r="Z132" s="26" t="str">
        <f t="shared" si="5"/>
        <v/>
      </c>
      <c r="AA132" s="26" t="str">
        <f t="shared" si="6"/>
        <v/>
      </c>
      <c r="AB132" s="32" t="str">
        <f t="shared" si="7"/>
        <v/>
      </c>
      <c r="AC132" s="32" t="str">
        <f t="shared" ref="AC132:AG132" si="136">IF(J132&lt;&gt;"", IF(AND($P132=FALSE, $A132=FALSE), -J132, IF(AND($P132=FALSE, $A132=TRUE), 0, IF($P132=TRUE, (J132 / $R132) * 100 * ($S132 / 100)-J132, ))), )</f>
        <v/>
      </c>
      <c r="AD132" s="32" t="str">
        <f t="shared" si="136"/>
        <v/>
      </c>
      <c r="AE132" s="32" t="str">
        <f t="shared" si="136"/>
        <v/>
      </c>
      <c r="AF132" s="32" t="str">
        <f t="shared" si="136"/>
        <v/>
      </c>
      <c r="AG132" s="32" t="str">
        <f t="shared" si="136"/>
        <v/>
      </c>
      <c r="AH132" s="33"/>
    </row>
    <row r="133" hidden="1" outlineLevel="3">
      <c r="A133" s="16" t="b">
        <v>0</v>
      </c>
      <c r="B133" s="17"/>
      <c r="C133" s="18"/>
      <c r="D133" s="19"/>
      <c r="E133" s="29"/>
      <c r="F133" s="34"/>
      <c r="G133" s="23"/>
      <c r="H133" s="23"/>
      <c r="I133" s="23"/>
      <c r="J133" s="23"/>
      <c r="K133" s="23"/>
      <c r="L133" s="23"/>
      <c r="M133" s="23"/>
      <c r="N133" s="23"/>
      <c r="O133" s="24"/>
      <c r="P133" s="16" t="b">
        <v>0</v>
      </c>
      <c r="Q133" s="24"/>
      <c r="R133" s="25"/>
      <c r="S133" s="25"/>
      <c r="T133" s="35"/>
      <c r="U133" s="24"/>
      <c r="V133" s="52" t="s">
        <v>29</v>
      </c>
      <c r="W133" s="29" t="s">
        <v>22</v>
      </c>
      <c r="X133" s="40" t="s">
        <v>155</v>
      </c>
      <c r="Y133" s="31"/>
      <c r="Z133" s="26" t="str">
        <f t="shared" si="5"/>
        <v/>
      </c>
      <c r="AA133" s="26" t="str">
        <f t="shared" si="6"/>
        <v/>
      </c>
      <c r="AB133" s="32" t="str">
        <f t="shared" si="7"/>
        <v/>
      </c>
      <c r="AC133" s="32" t="str">
        <f t="shared" ref="AC133:AG133" si="137">IF(J133&lt;&gt;"", IF(AND($P133=FALSE, $A133=FALSE), -J133, IF(AND($P133=FALSE, $A133=TRUE), 0, IF($P133=TRUE, (J133 / $R133) * 100 * ($S133 / 100)-J133, ))), )</f>
        <v/>
      </c>
      <c r="AD133" s="32" t="str">
        <f t="shared" si="137"/>
        <v/>
      </c>
      <c r="AE133" s="32" t="str">
        <f t="shared" si="137"/>
        <v/>
      </c>
      <c r="AF133" s="32" t="str">
        <f t="shared" si="137"/>
        <v/>
      </c>
      <c r="AG133" s="32" t="str">
        <f t="shared" si="137"/>
        <v/>
      </c>
      <c r="AH133" s="33"/>
    </row>
    <row r="134" hidden="1" outlineLevel="2">
      <c r="A134" s="16" t="b">
        <v>0</v>
      </c>
      <c r="B134" s="17"/>
      <c r="C134" s="18"/>
      <c r="D134" s="41">
        <v>45235.0</v>
      </c>
      <c r="E134" s="20" t="s">
        <v>24</v>
      </c>
      <c r="F134" s="21" t="s">
        <v>70</v>
      </c>
      <c r="G134" s="22">
        <v>1.5</v>
      </c>
      <c r="H134" s="22">
        <v>0.75</v>
      </c>
      <c r="I134" s="23"/>
      <c r="J134" s="22"/>
      <c r="K134" s="23"/>
      <c r="L134" s="22"/>
      <c r="M134" s="23"/>
      <c r="N134" s="23"/>
      <c r="O134" s="24"/>
      <c r="P134" s="16" t="b">
        <v>1</v>
      </c>
      <c r="Q134" s="24"/>
      <c r="R134" s="25">
        <v>2.25</v>
      </c>
      <c r="S134" s="26">
        <v>6.51</v>
      </c>
      <c r="T134" s="27" t="s">
        <v>156</v>
      </c>
      <c r="U134" s="24"/>
      <c r="V134" s="58"/>
      <c r="W134" s="29"/>
      <c r="X134" s="30"/>
      <c r="Y134" s="31"/>
      <c r="Z134" s="26">
        <f t="shared" si="5"/>
        <v>2.84</v>
      </c>
      <c r="AA134" s="26" t="str">
        <f t="shared" si="6"/>
        <v/>
      </c>
      <c r="AB134" s="32">
        <f t="shared" si="7"/>
        <v>1.42</v>
      </c>
      <c r="AC134" s="32" t="str">
        <f t="shared" ref="AC134:AG134" si="138">IF(J134&lt;&gt;"", IF(AND($P134=FALSE, $A134=FALSE), -J134, IF(AND($P134=FALSE, $A134=TRUE), 0, IF($P134=TRUE, (J134 / $R134) * 100 * ($S134 / 100)-J134, ))), )</f>
        <v/>
      </c>
      <c r="AD134" s="32" t="str">
        <f t="shared" si="138"/>
        <v/>
      </c>
      <c r="AE134" s="32" t="str">
        <f t="shared" si="138"/>
        <v/>
      </c>
      <c r="AF134" s="32" t="str">
        <f t="shared" si="138"/>
        <v/>
      </c>
      <c r="AG134" s="32" t="str">
        <f t="shared" si="138"/>
        <v/>
      </c>
      <c r="AH134" s="33"/>
    </row>
    <row r="135" hidden="1" outlineLevel="3">
      <c r="A135" s="16" t="b">
        <v>0</v>
      </c>
      <c r="B135" s="17"/>
      <c r="C135" s="18"/>
      <c r="D135" s="19"/>
      <c r="E135" s="29"/>
      <c r="F135" s="34"/>
      <c r="G135" s="23"/>
      <c r="H135" s="23"/>
      <c r="I135" s="23"/>
      <c r="J135" s="23"/>
      <c r="K135" s="23"/>
      <c r="L135" s="23"/>
      <c r="M135" s="23"/>
      <c r="N135" s="23"/>
      <c r="O135" s="24"/>
      <c r="P135" s="16" t="b">
        <v>0</v>
      </c>
      <c r="Q135" s="24"/>
      <c r="R135" s="25"/>
      <c r="S135" s="25"/>
      <c r="T135" s="27"/>
      <c r="U135" s="24"/>
      <c r="V135" s="52" t="s">
        <v>29</v>
      </c>
      <c r="W135" s="29" t="s">
        <v>22</v>
      </c>
      <c r="X135" s="57" t="s">
        <v>157</v>
      </c>
      <c r="Y135" s="31"/>
      <c r="Z135" s="26" t="str">
        <f t="shared" si="5"/>
        <v/>
      </c>
      <c r="AA135" s="26" t="str">
        <f t="shared" si="6"/>
        <v/>
      </c>
      <c r="AB135" s="32" t="str">
        <f t="shared" si="7"/>
        <v/>
      </c>
      <c r="AC135" s="32" t="str">
        <f t="shared" ref="AC135:AG135" si="139">IF(J135&lt;&gt;"", IF(AND($P135=FALSE, $A135=FALSE), -J135, IF(AND($P135=FALSE, $A135=TRUE), 0, IF($P135=TRUE, (J135 / $R135) * 100 * ($S135 / 100)-J135, ))), )</f>
        <v/>
      </c>
      <c r="AD135" s="32" t="str">
        <f t="shared" si="139"/>
        <v/>
      </c>
      <c r="AE135" s="32" t="str">
        <f t="shared" si="139"/>
        <v/>
      </c>
      <c r="AF135" s="32" t="str">
        <f t="shared" si="139"/>
        <v/>
      </c>
      <c r="AG135" s="32" t="str">
        <f t="shared" si="139"/>
        <v/>
      </c>
      <c r="AH135" s="33"/>
    </row>
    <row r="136" hidden="1" outlineLevel="3">
      <c r="A136" s="16" t="b">
        <v>0</v>
      </c>
      <c r="B136" s="17"/>
      <c r="C136" s="18"/>
      <c r="D136" s="19"/>
      <c r="E136" s="29"/>
      <c r="F136" s="34"/>
      <c r="G136" s="23"/>
      <c r="H136" s="23"/>
      <c r="I136" s="23"/>
      <c r="J136" s="23"/>
      <c r="K136" s="23"/>
      <c r="L136" s="23"/>
      <c r="M136" s="23"/>
      <c r="N136" s="23"/>
      <c r="O136" s="24"/>
      <c r="P136" s="16" t="b">
        <v>0</v>
      </c>
      <c r="Q136" s="24"/>
      <c r="R136" s="25"/>
      <c r="S136" s="25"/>
      <c r="T136" s="27"/>
      <c r="U136" s="24"/>
      <c r="V136" s="52" t="s">
        <v>29</v>
      </c>
      <c r="W136" s="29" t="s">
        <v>22</v>
      </c>
      <c r="X136" s="57" t="s">
        <v>158</v>
      </c>
      <c r="Y136" s="31"/>
      <c r="Z136" s="26" t="str">
        <f t="shared" si="5"/>
        <v/>
      </c>
      <c r="AA136" s="26" t="str">
        <f t="shared" si="6"/>
        <v/>
      </c>
      <c r="AB136" s="32" t="str">
        <f t="shared" si="7"/>
        <v/>
      </c>
      <c r="AC136" s="32" t="str">
        <f t="shared" ref="AC136:AG136" si="140">IF(J136&lt;&gt;"", IF(AND($P136=FALSE, $A136=FALSE), -J136, IF(AND($P136=FALSE, $A136=TRUE), 0, IF($P136=TRUE, (J136 / $R136) * 100 * ($S136 / 100)-J136, ))), )</f>
        <v/>
      </c>
      <c r="AD136" s="32" t="str">
        <f t="shared" si="140"/>
        <v/>
      </c>
      <c r="AE136" s="32" t="str">
        <f t="shared" si="140"/>
        <v/>
      </c>
      <c r="AF136" s="32" t="str">
        <f t="shared" si="140"/>
        <v/>
      </c>
      <c r="AG136" s="32" t="str">
        <f t="shared" si="140"/>
        <v/>
      </c>
      <c r="AH136" s="33"/>
    </row>
    <row r="137" hidden="1" outlineLevel="1" collapsed="1">
      <c r="A137" s="16" t="b">
        <v>0</v>
      </c>
      <c r="B137" s="17"/>
      <c r="C137" s="18"/>
      <c r="D137" s="41">
        <v>45236.0</v>
      </c>
      <c r="E137" s="20" t="s">
        <v>24</v>
      </c>
      <c r="F137" s="21" t="s">
        <v>70</v>
      </c>
      <c r="G137" s="23">
        <v>1.0</v>
      </c>
      <c r="H137" s="23">
        <v>0.5</v>
      </c>
      <c r="I137" s="23">
        <v>2.5</v>
      </c>
      <c r="J137" s="23"/>
      <c r="K137" s="23"/>
      <c r="L137" s="23"/>
      <c r="M137" s="23"/>
      <c r="N137" s="23"/>
      <c r="O137" s="24"/>
      <c r="P137" s="16" t="b">
        <v>0</v>
      </c>
      <c r="Q137" s="24"/>
      <c r="R137" s="25">
        <v>4.0</v>
      </c>
      <c r="S137" s="26">
        <v>20.0</v>
      </c>
      <c r="T137" s="27" t="s">
        <v>159</v>
      </c>
      <c r="U137" s="24"/>
      <c r="V137" s="28"/>
      <c r="W137" s="29"/>
      <c r="X137" s="28"/>
      <c r="Y137" s="31"/>
      <c r="Z137" s="26">
        <f t="shared" si="5"/>
        <v>-1</v>
      </c>
      <c r="AA137" s="26">
        <f t="shared" si="6"/>
        <v>-2.5</v>
      </c>
      <c r="AB137" s="32">
        <f t="shared" si="7"/>
        <v>-0.5</v>
      </c>
      <c r="AC137" s="32" t="str">
        <f t="shared" ref="AC137:AG137" si="141">IF(J137&lt;&gt;"", IF(AND($P137=FALSE, $A137=FALSE), -J137, IF(AND($P137=FALSE, $A137=TRUE), 0, IF($P137=TRUE, (J137 / $R137) * 100 * ($S137 / 100)-J137, ))), )</f>
        <v/>
      </c>
      <c r="AD137" s="32" t="str">
        <f t="shared" si="141"/>
        <v/>
      </c>
      <c r="AE137" s="32" t="str">
        <f t="shared" si="141"/>
        <v/>
      </c>
      <c r="AF137" s="32" t="str">
        <f t="shared" si="141"/>
        <v/>
      </c>
      <c r="AG137" s="32" t="str">
        <f t="shared" si="141"/>
        <v/>
      </c>
      <c r="AH137" s="33"/>
    </row>
    <row r="138" hidden="1" outlineLevel="3">
      <c r="A138" s="16" t="b">
        <v>0</v>
      </c>
      <c r="B138" s="17"/>
      <c r="C138" s="18"/>
      <c r="D138" s="19"/>
      <c r="E138" s="20"/>
      <c r="F138" s="34"/>
      <c r="G138" s="23"/>
      <c r="H138" s="23"/>
      <c r="I138" s="23"/>
      <c r="J138" s="23"/>
      <c r="K138" s="23"/>
      <c r="L138" s="23"/>
      <c r="M138" s="23"/>
      <c r="N138" s="23"/>
      <c r="O138" s="24"/>
      <c r="P138" s="16" t="b">
        <v>0</v>
      </c>
      <c r="Q138" s="24"/>
      <c r="R138" s="25"/>
      <c r="S138" s="25"/>
      <c r="T138" s="35"/>
      <c r="U138" s="24"/>
      <c r="V138" s="28" t="s">
        <v>32</v>
      </c>
      <c r="W138" s="29" t="s">
        <v>22</v>
      </c>
      <c r="X138" s="37" t="s">
        <v>160</v>
      </c>
      <c r="Y138" s="31"/>
      <c r="Z138" s="26" t="str">
        <f t="shared" si="5"/>
        <v/>
      </c>
      <c r="AA138" s="26" t="str">
        <f t="shared" si="6"/>
        <v/>
      </c>
      <c r="AB138" s="32" t="str">
        <f t="shared" si="7"/>
        <v/>
      </c>
      <c r="AC138" s="32" t="str">
        <f t="shared" ref="AC138:AG138" si="142">IF(J138&lt;&gt;"", IF(AND($P138=FALSE, $A138=FALSE), -J138, IF(AND($P138=FALSE, $A138=TRUE), 0, IF($P138=TRUE, (J138 / $R138) * 100 * ($S138 / 100)-J138, ))), )</f>
        <v/>
      </c>
      <c r="AD138" s="32" t="str">
        <f t="shared" si="142"/>
        <v/>
      </c>
      <c r="AE138" s="32" t="str">
        <f t="shared" si="142"/>
        <v/>
      </c>
      <c r="AF138" s="32" t="str">
        <f t="shared" si="142"/>
        <v/>
      </c>
      <c r="AG138" s="32" t="str">
        <f t="shared" si="142"/>
        <v/>
      </c>
      <c r="AH138" s="33"/>
    </row>
    <row r="139" hidden="1" outlineLevel="2" collapsed="1">
      <c r="A139" s="16" t="b">
        <v>0</v>
      </c>
      <c r="B139" s="17"/>
      <c r="C139" s="18"/>
      <c r="D139" s="41">
        <v>45236.0</v>
      </c>
      <c r="E139" s="20" t="s">
        <v>24</v>
      </c>
      <c r="F139" s="21" t="s">
        <v>70</v>
      </c>
      <c r="G139" s="23">
        <v>3.0</v>
      </c>
      <c r="H139" s="23">
        <v>2.0</v>
      </c>
      <c r="I139" s="23">
        <v>20.0</v>
      </c>
      <c r="J139" s="23"/>
      <c r="K139" s="23"/>
      <c r="L139" s="23"/>
      <c r="M139" s="23"/>
      <c r="N139" s="23"/>
      <c r="O139" s="24"/>
      <c r="P139" s="16" t="b">
        <v>0</v>
      </c>
      <c r="Q139" s="24"/>
      <c r="R139" s="25">
        <v>25.0</v>
      </c>
      <c r="S139" s="26">
        <v>50.59</v>
      </c>
      <c r="T139" s="27" t="s">
        <v>161</v>
      </c>
      <c r="U139" s="24"/>
      <c r="V139" s="28"/>
      <c r="W139" s="29"/>
      <c r="X139" s="30"/>
      <c r="Y139" s="31"/>
      <c r="Z139" s="26">
        <f t="shared" si="5"/>
        <v>-3</v>
      </c>
      <c r="AA139" s="26">
        <f t="shared" si="6"/>
        <v>-20</v>
      </c>
      <c r="AB139" s="32">
        <f t="shared" si="7"/>
        <v>-2</v>
      </c>
      <c r="AC139" s="32" t="str">
        <f t="shared" ref="AC139:AG139" si="143">IF(J139&lt;&gt;"", IF(AND($P139=FALSE, $A139=FALSE), -J139, IF(AND($P139=FALSE, $A139=TRUE), 0, IF($P139=TRUE, (J139 / $R139) * 100 * ($S139 / 100)-J139, ))), )</f>
        <v/>
      </c>
      <c r="AD139" s="32" t="str">
        <f t="shared" si="143"/>
        <v/>
      </c>
      <c r="AE139" s="32" t="str">
        <f t="shared" si="143"/>
        <v/>
      </c>
      <c r="AF139" s="32" t="str">
        <f t="shared" si="143"/>
        <v/>
      </c>
      <c r="AG139" s="32" t="str">
        <f t="shared" si="143"/>
        <v/>
      </c>
      <c r="AH139" s="33"/>
    </row>
    <row r="140" hidden="1" outlineLevel="3">
      <c r="A140" s="16" t="b">
        <v>0</v>
      </c>
      <c r="B140" s="17"/>
      <c r="C140" s="18"/>
      <c r="D140" s="19"/>
      <c r="E140" s="20"/>
      <c r="F140" s="34"/>
      <c r="G140" s="23"/>
      <c r="H140" s="23"/>
      <c r="I140" s="23"/>
      <c r="J140" s="23"/>
      <c r="K140" s="23"/>
      <c r="L140" s="23"/>
      <c r="M140" s="23"/>
      <c r="N140" s="23"/>
      <c r="O140" s="24"/>
      <c r="P140" s="16" t="b">
        <v>0</v>
      </c>
      <c r="Q140" s="24"/>
      <c r="R140" s="25"/>
      <c r="S140" s="25"/>
      <c r="T140" s="35"/>
      <c r="U140" s="24"/>
      <c r="V140" s="52" t="s">
        <v>29</v>
      </c>
      <c r="W140" s="29" t="s">
        <v>22</v>
      </c>
      <c r="X140" s="37" t="s">
        <v>162</v>
      </c>
      <c r="Y140" s="31"/>
      <c r="Z140" s="26" t="str">
        <f t="shared" si="5"/>
        <v/>
      </c>
      <c r="AA140" s="26" t="str">
        <f t="shared" si="6"/>
        <v/>
      </c>
      <c r="AB140" s="32" t="str">
        <f t="shared" si="7"/>
        <v/>
      </c>
      <c r="AC140" s="32" t="str">
        <f t="shared" ref="AC140:AG140" si="144">IF(J140&lt;&gt;"", IF(AND($P140=FALSE, $A140=FALSE), -J140, IF(AND($P140=FALSE, $A140=TRUE), 0, IF($P140=TRUE, (J140 / $R140) * 100 * ($S140 / 100)-J140, ))), )</f>
        <v/>
      </c>
      <c r="AD140" s="32" t="str">
        <f t="shared" si="144"/>
        <v/>
      </c>
      <c r="AE140" s="32" t="str">
        <f t="shared" si="144"/>
        <v/>
      </c>
      <c r="AF140" s="32" t="str">
        <f t="shared" si="144"/>
        <v/>
      </c>
      <c r="AG140" s="32" t="str">
        <f t="shared" si="144"/>
        <v/>
      </c>
      <c r="AH140" s="33"/>
    </row>
    <row r="141" hidden="1" outlineLevel="3">
      <c r="A141" s="16" t="b">
        <v>0</v>
      </c>
      <c r="B141" s="17"/>
      <c r="C141" s="18"/>
      <c r="D141" s="19"/>
      <c r="E141" s="20"/>
      <c r="F141" s="34"/>
      <c r="G141" s="23"/>
      <c r="H141" s="23"/>
      <c r="I141" s="23"/>
      <c r="J141" s="23"/>
      <c r="K141" s="23"/>
      <c r="L141" s="23"/>
      <c r="M141" s="23"/>
      <c r="N141" s="23"/>
      <c r="O141" s="24"/>
      <c r="P141" s="16" t="b">
        <v>0</v>
      </c>
      <c r="Q141" s="24"/>
      <c r="R141" s="25"/>
      <c r="S141" s="25"/>
      <c r="T141" s="35"/>
      <c r="U141" s="24"/>
      <c r="V141" s="52" t="s">
        <v>29</v>
      </c>
      <c r="W141" s="29" t="s">
        <v>22</v>
      </c>
      <c r="X141" s="37" t="s">
        <v>163</v>
      </c>
      <c r="Y141" s="31"/>
      <c r="Z141" s="26" t="str">
        <f t="shared" si="5"/>
        <v/>
      </c>
      <c r="AA141" s="26" t="str">
        <f t="shared" si="6"/>
        <v/>
      </c>
      <c r="AB141" s="32" t="str">
        <f t="shared" si="7"/>
        <v/>
      </c>
      <c r="AC141" s="32" t="str">
        <f t="shared" ref="AC141:AG141" si="145">IF(J141&lt;&gt;"", IF(AND($P141=FALSE, $A141=FALSE), -J141, IF(AND($P141=FALSE, $A141=TRUE), 0, IF($P141=TRUE, (J141 / $R141) * 100 * ($S141 / 100)-J141, ))), )</f>
        <v/>
      </c>
      <c r="AD141" s="32" t="str">
        <f t="shared" si="145"/>
        <v/>
      </c>
      <c r="AE141" s="32" t="str">
        <f t="shared" si="145"/>
        <v/>
      </c>
      <c r="AF141" s="32" t="str">
        <f t="shared" si="145"/>
        <v/>
      </c>
      <c r="AG141" s="32" t="str">
        <f t="shared" si="145"/>
        <v/>
      </c>
      <c r="AH141" s="33"/>
    </row>
    <row r="142" hidden="1" outlineLevel="3">
      <c r="A142" s="16" t="b">
        <v>0</v>
      </c>
      <c r="B142" s="17"/>
      <c r="C142" s="18"/>
      <c r="D142" s="19"/>
      <c r="E142" s="20"/>
      <c r="F142" s="34"/>
      <c r="G142" s="23"/>
      <c r="H142" s="23"/>
      <c r="I142" s="23"/>
      <c r="J142" s="23"/>
      <c r="K142" s="23"/>
      <c r="L142" s="23"/>
      <c r="M142" s="23"/>
      <c r="N142" s="23"/>
      <c r="O142" s="24"/>
      <c r="P142" s="16" t="b">
        <v>0</v>
      </c>
      <c r="Q142" s="24"/>
      <c r="R142" s="25"/>
      <c r="S142" s="25"/>
      <c r="T142" s="35"/>
      <c r="U142" s="24"/>
      <c r="V142" s="28" t="s">
        <v>32</v>
      </c>
      <c r="W142" s="29" t="s">
        <v>22</v>
      </c>
      <c r="X142" s="37" t="s">
        <v>164</v>
      </c>
      <c r="Y142" s="31"/>
      <c r="Z142" s="26" t="str">
        <f t="shared" si="5"/>
        <v/>
      </c>
      <c r="AA142" s="26" t="str">
        <f t="shared" si="6"/>
        <v/>
      </c>
      <c r="AB142" s="32" t="str">
        <f t="shared" si="7"/>
        <v/>
      </c>
      <c r="AC142" s="32" t="str">
        <f t="shared" ref="AC142:AG142" si="146">IF(J142&lt;&gt;"", IF(AND($P142=FALSE, $A142=FALSE), -J142, IF(AND($P142=FALSE, $A142=TRUE), 0, IF($P142=TRUE, (J142 / $R142) * 100 * ($S142 / 100)-J142, ))), )</f>
        <v/>
      </c>
      <c r="AD142" s="32" t="str">
        <f t="shared" si="146"/>
        <v/>
      </c>
      <c r="AE142" s="32" t="str">
        <f t="shared" si="146"/>
        <v/>
      </c>
      <c r="AF142" s="32" t="str">
        <f t="shared" si="146"/>
        <v/>
      </c>
      <c r="AG142" s="32" t="str">
        <f t="shared" si="146"/>
        <v/>
      </c>
      <c r="AH142" s="33"/>
    </row>
    <row r="143" hidden="1" outlineLevel="3">
      <c r="A143" s="16" t="b">
        <v>0</v>
      </c>
      <c r="B143" s="17"/>
      <c r="C143" s="18"/>
      <c r="D143" s="19"/>
      <c r="E143" s="20"/>
      <c r="F143" s="34"/>
      <c r="G143" s="23"/>
      <c r="H143" s="23"/>
      <c r="I143" s="23"/>
      <c r="J143" s="23"/>
      <c r="K143" s="23"/>
      <c r="L143" s="23"/>
      <c r="M143" s="23"/>
      <c r="N143" s="23"/>
      <c r="O143" s="24"/>
      <c r="P143" s="16" t="b">
        <v>0</v>
      </c>
      <c r="Q143" s="24"/>
      <c r="R143" s="25"/>
      <c r="S143" s="25"/>
      <c r="T143" s="35"/>
      <c r="U143" s="24"/>
      <c r="V143" s="52" t="s">
        <v>29</v>
      </c>
      <c r="W143" s="29" t="s">
        <v>22</v>
      </c>
      <c r="X143" s="37" t="s">
        <v>165</v>
      </c>
      <c r="Y143" s="31"/>
      <c r="Z143" s="26" t="str">
        <f t="shared" si="5"/>
        <v/>
      </c>
      <c r="AA143" s="26" t="str">
        <f t="shared" si="6"/>
        <v/>
      </c>
      <c r="AB143" s="32" t="str">
        <f t="shared" si="7"/>
        <v/>
      </c>
      <c r="AC143" s="32" t="str">
        <f t="shared" ref="AC143:AG143" si="147">IF(J143&lt;&gt;"", IF(AND($P143=FALSE, $A143=FALSE), -J143, IF(AND($P143=FALSE, $A143=TRUE), 0, IF($P143=TRUE, (J143 / $R143) * 100 * ($S143 / 100)-J143, ))), )</f>
        <v/>
      </c>
      <c r="AD143" s="32" t="str">
        <f t="shared" si="147"/>
        <v/>
      </c>
      <c r="AE143" s="32" t="str">
        <f t="shared" si="147"/>
        <v/>
      </c>
      <c r="AF143" s="32" t="str">
        <f t="shared" si="147"/>
        <v/>
      </c>
      <c r="AG143" s="32" t="str">
        <f t="shared" si="147"/>
        <v/>
      </c>
      <c r="AH143" s="33"/>
    </row>
    <row r="144" hidden="1" outlineLevel="2" collapsed="1">
      <c r="A144" s="16" t="b">
        <v>0</v>
      </c>
      <c r="B144" s="17"/>
      <c r="C144" s="18"/>
      <c r="D144" s="41">
        <v>45236.0</v>
      </c>
      <c r="E144" s="20" t="s">
        <v>24</v>
      </c>
      <c r="F144" s="21" t="s">
        <v>70</v>
      </c>
      <c r="G144" s="23">
        <v>2.0</v>
      </c>
      <c r="H144" s="23">
        <v>1.0</v>
      </c>
      <c r="I144" s="23">
        <v>2.0</v>
      </c>
      <c r="J144" s="23"/>
      <c r="K144" s="23"/>
      <c r="L144" s="23"/>
      <c r="M144" s="23"/>
      <c r="N144" s="23"/>
      <c r="O144" s="24"/>
      <c r="P144" s="16" t="b">
        <v>0</v>
      </c>
      <c r="Q144" s="24"/>
      <c r="R144" s="25">
        <v>5.0</v>
      </c>
      <c r="S144" s="26">
        <v>14.03</v>
      </c>
      <c r="T144" s="27" t="s">
        <v>166</v>
      </c>
      <c r="U144" s="24"/>
      <c r="V144" s="28"/>
      <c r="W144" s="29"/>
      <c r="X144" s="30"/>
      <c r="Y144" s="31"/>
      <c r="Z144" s="26">
        <f t="shared" si="5"/>
        <v>-2</v>
      </c>
      <c r="AA144" s="26">
        <f t="shared" si="6"/>
        <v>-2</v>
      </c>
      <c r="AB144" s="32">
        <f t="shared" si="7"/>
        <v>-1</v>
      </c>
      <c r="AC144" s="32" t="str">
        <f t="shared" ref="AC144:AG144" si="148">IF(J144&lt;&gt;"", IF(AND($P144=FALSE, $A144=FALSE), -J144, IF(AND($P144=FALSE, $A144=TRUE), 0, IF($P144=TRUE, (J144 / $R144) * 100 * ($S144 / 100)-J144, ))), )</f>
        <v/>
      </c>
      <c r="AD144" s="32" t="str">
        <f t="shared" si="148"/>
        <v/>
      </c>
      <c r="AE144" s="32" t="str">
        <f t="shared" si="148"/>
        <v/>
      </c>
      <c r="AF144" s="32" t="str">
        <f t="shared" si="148"/>
        <v/>
      </c>
      <c r="AG144" s="32" t="str">
        <f t="shared" si="148"/>
        <v/>
      </c>
      <c r="AH144" s="33"/>
    </row>
    <row r="145" hidden="1" outlineLevel="3">
      <c r="A145" s="16" t="b">
        <v>0</v>
      </c>
      <c r="B145" s="17"/>
      <c r="C145" s="18"/>
      <c r="D145" s="19"/>
      <c r="E145" s="20"/>
      <c r="F145" s="34"/>
      <c r="G145" s="23"/>
      <c r="H145" s="23"/>
      <c r="I145" s="23"/>
      <c r="J145" s="23"/>
      <c r="K145" s="23"/>
      <c r="L145" s="23"/>
      <c r="M145" s="23"/>
      <c r="N145" s="23"/>
      <c r="O145" s="24"/>
      <c r="P145" s="16" t="b">
        <v>0</v>
      </c>
      <c r="Q145" s="24"/>
      <c r="R145" s="25"/>
      <c r="S145" s="25"/>
      <c r="T145" s="27"/>
      <c r="U145" s="24"/>
      <c r="V145" s="28" t="s">
        <v>32</v>
      </c>
      <c r="W145" s="29" t="s">
        <v>22</v>
      </c>
      <c r="X145" s="37" t="s">
        <v>167</v>
      </c>
      <c r="Y145" s="31"/>
      <c r="Z145" s="26" t="str">
        <f t="shared" si="5"/>
        <v/>
      </c>
      <c r="AA145" s="26" t="str">
        <f t="shared" si="6"/>
        <v/>
      </c>
      <c r="AB145" s="32" t="str">
        <f t="shared" si="7"/>
        <v/>
      </c>
      <c r="AC145" s="32" t="str">
        <f t="shared" ref="AC145:AG145" si="149">IF(J145&lt;&gt;"", IF(AND($P145=FALSE, $A145=FALSE), -J145, IF(AND($P145=FALSE, $A145=TRUE), 0, IF($P145=TRUE, (J145 / $R145) * 100 * ($S145 / 100)-J145, ))), )</f>
        <v/>
      </c>
      <c r="AD145" s="32" t="str">
        <f t="shared" si="149"/>
        <v/>
      </c>
      <c r="AE145" s="32" t="str">
        <f t="shared" si="149"/>
        <v/>
      </c>
      <c r="AF145" s="32" t="str">
        <f t="shared" si="149"/>
        <v/>
      </c>
      <c r="AG145" s="32" t="str">
        <f t="shared" si="149"/>
        <v/>
      </c>
      <c r="AH145" s="33"/>
    </row>
    <row r="146" hidden="1" outlineLevel="3">
      <c r="A146" s="16" t="b">
        <v>0</v>
      </c>
      <c r="B146" s="17"/>
      <c r="C146" s="18"/>
      <c r="D146" s="19"/>
      <c r="E146" s="20"/>
      <c r="F146" s="34"/>
      <c r="G146" s="23"/>
      <c r="H146" s="23"/>
      <c r="I146" s="23"/>
      <c r="J146" s="23"/>
      <c r="K146" s="23"/>
      <c r="L146" s="23"/>
      <c r="M146" s="23"/>
      <c r="N146" s="23"/>
      <c r="O146" s="24"/>
      <c r="P146" s="16" t="b">
        <v>0</v>
      </c>
      <c r="Q146" s="24"/>
      <c r="R146" s="25"/>
      <c r="S146" s="25"/>
      <c r="T146" s="35"/>
      <c r="U146" s="24"/>
      <c r="V146" s="52" t="s">
        <v>29</v>
      </c>
      <c r="W146" s="29" t="s">
        <v>22</v>
      </c>
      <c r="X146" s="37" t="s">
        <v>168</v>
      </c>
      <c r="Y146" s="31"/>
      <c r="Z146" s="26" t="str">
        <f t="shared" si="5"/>
        <v/>
      </c>
      <c r="AA146" s="26" t="str">
        <f t="shared" si="6"/>
        <v/>
      </c>
      <c r="AB146" s="32" t="str">
        <f t="shared" si="7"/>
        <v/>
      </c>
      <c r="AC146" s="32" t="str">
        <f t="shared" ref="AC146:AG146" si="150">IF(J146&lt;&gt;"", IF(AND($P146=FALSE, $A146=FALSE), -J146, IF(AND($P146=FALSE, $A146=TRUE), 0, IF($P146=TRUE, (J146 / $R146) * 100 * ($S146 / 100)-J146, ))), )</f>
        <v/>
      </c>
      <c r="AD146" s="32" t="str">
        <f t="shared" si="150"/>
        <v/>
      </c>
      <c r="AE146" s="32" t="str">
        <f t="shared" si="150"/>
        <v/>
      </c>
      <c r="AF146" s="32" t="str">
        <f t="shared" si="150"/>
        <v/>
      </c>
      <c r="AG146" s="32" t="str">
        <f t="shared" si="150"/>
        <v/>
      </c>
      <c r="AH146" s="33"/>
    </row>
    <row r="147" hidden="1" outlineLevel="3">
      <c r="A147" s="16" t="b">
        <v>0</v>
      </c>
      <c r="B147" s="17"/>
      <c r="C147" s="18"/>
      <c r="D147" s="19"/>
      <c r="E147" s="20"/>
      <c r="F147" s="34"/>
      <c r="G147" s="23"/>
      <c r="H147" s="23"/>
      <c r="I147" s="23"/>
      <c r="J147" s="23"/>
      <c r="K147" s="23"/>
      <c r="L147" s="23"/>
      <c r="M147" s="23"/>
      <c r="N147" s="23"/>
      <c r="O147" s="24"/>
      <c r="P147" s="16" t="b">
        <v>0</v>
      </c>
      <c r="Q147" s="24"/>
      <c r="R147" s="25"/>
      <c r="S147" s="25"/>
      <c r="T147" s="35"/>
      <c r="U147" s="24"/>
      <c r="V147" s="52" t="s">
        <v>29</v>
      </c>
      <c r="W147" s="29" t="s">
        <v>22</v>
      </c>
      <c r="X147" s="37" t="s">
        <v>169</v>
      </c>
      <c r="Y147" s="31"/>
      <c r="Z147" s="26" t="str">
        <f t="shared" si="5"/>
        <v/>
      </c>
      <c r="AA147" s="26" t="str">
        <f t="shared" si="6"/>
        <v/>
      </c>
      <c r="AB147" s="32" t="str">
        <f t="shared" si="7"/>
        <v/>
      </c>
      <c r="AC147" s="32" t="str">
        <f t="shared" ref="AC147:AG147" si="151">IF(J147&lt;&gt;"", IF(AND($P147=FALSE, $A147=FALSE), -J147, IF(AND($P147=FALSE, $A147=TRUE), 0, IF($P147=TRUE, (J147 / $R147) * 100 * ($S147 / 100)-J147, ))), )</f>
        <v/>
      </c>
      <c r="AD147" s="32" t="str">
        <f t="shared" si="151"/>
        <v/>
      </c>
      <c r="AE147" s="32" t="str">
        <f t="shared" si="151"/>
        <v/>
      </c>
      <c r="AF147" s="32" t="str">
        <f t="shared" si="151"/>
        <v/>
      </c>
      <c r="AG147" s="32" t="str">
        <f t="shared" si="151"/>
        <v/>
      </c>
      <c r="AH147" s="33"/>
    </row>
    <row r="148" hidden="1" outlineLevel="3">
      <c r="A148" s="16" t="b">
        <v>0</v>
      </c>
      <c r="B148" s="17"/>
      <c r="C148" s="18"/>
      <c r="D148" s="19"/>
      <c r="E148" s="20"/>
      <c r="F148" s="34"/>
      <c r="G148" s="23"/>
      <c r="H148" s="23"/>
      <c r="I148" s="23"/>
      <c r="J148" s="23"/>
      <c r="K148" s="23"/>
      <c r="L148" s="23"/>
      <c r="M148" s="23"/>
      <c r="N148" s="23"/>
      <c r="O148" s="24"/>
      <c r="P148" s="16" t="b">
        <v>0</v>
      </c>
      <c r="Q148" s="24"/>
      <c r="R148" s="25"/>
      <c r="S148" s="25"/>
      <c r="T148" s="35"/>
      <c r="U148" s="24"/>
      <c r="V148" s="52" t="s">
        <v>29</v>
      </c>
      <c r="W148" s="29" t="s">
        <v>22</v>
      </c>
      <c r="X148" s="37" t="s">
        <v>170</v>
      </c>
      <c r="Y148" s="31"/>
      <c r="Z148" s="26" t="str">
        <f t="shared" si="5"/>
        <v/>
      </c>
      <c r="AA148" s="26" t="str">
        <f t="shared" si="6"/>
        <v/>
      </c>
      <c r="AB148" s="32" t="str">
        <f t="shared" si="7"/>
        <v/>
      </c>
      <c r="AC148" s="32" t="str">
        <f t="shared" ref="AC148:AG148" si="152">IF(J148&lt;&gt;"", IF(AND($P148=FALSE, $A148=FALSE), -J148, IF(AND($P148=FALSE, $A148=TRUE), 0, IF($P148=TRUE, (J148 / $R148) * 100 * ($S148 / 100)-J148, ))), )</f>
        <v/>
      </c>
      <c r="AD148" s="32" t="str">
        <f t="shared" si="152"/>
        <v/>
      </c>
      <c r="AE148" s="32" t="str">
        <f t="shared" si="152"/>
        <v/>
      </c>
      <c r="AF148" s="32" t="str">
        <f t="shared" si="152"/>
        <v/>
      </c>
      <c r="AG148" s="32" t="str">
        <f t="shared" si="152"/>
        <v/>
      </c>
      <c r="AH148" s="33"/>
    </row>
    <row r="149" hidden="1" outlineLevel="3">
      <c r="A149" s="16" t="b">
        <v>0</v>
      </c>
      <c r="B149" s="17"/>
      <c r="C149" s="18"/>
      <c r="D149" s="19"/>
      <c r="E149" s="20"/>
      <c r="F149" s="34"/>
      <c r="G149" s="23"/>
      <c r="H149" s="23"/>
      <c r="I149" s="23"/>
      <c r="J149" s="23"/>
      <c r="K149" s="23"/>
      <c r="L149" s="23"/>
      <c r="M149" s="23"/>
      <c r="N149" s="23"/>
      <c r="O149" s="24"/>
      <c r="P149" s="16" t="b">
        <v>0</v>
      </c>
      <c r="Q149" s="24"/>
      <c r="R149" s="25"/>
      <c r="S149" s="25"/>
      <c r="T149" s="35"/>
      <c r="U149" s="24"/>
      <c r="V149" s="52" t="s">
        <v>29</v>
      </c>
      <c r="W149" s="29" t="s">
        <v>22</v>
      </c>
      <c r="X149" s="37" t="s">
        <v>171</v>
      </c>
      <c r="Y149" s="31"/>
      <c r="Z149" s="26" t="str">
        <f t="shared" si="5"/>
        <v/>
      </c>
      <c r="AA149" s="26" t="str">
        <f t="shared" si="6"/>
        <v/>
      </c>
      <c r="AB149" s="32" t="str">
        <f t="shared" si="7"/>
        <v/>
      </c>
      <c r="AC149" s="32" t="str">
        <f t="shared" ref="AC149:AG149" si="153">IF(J149&lt;&gt;"", IF(AND($P149=FALSE, $A149=FALSE), -J149, IF(AND($P149=FALSE, $A149=TRUE), 0, IF($P149=TRUE, (J149 / $R149) * 100 * ($S149 / 100)-J149, ))), )</f>
        <v/>
      </c>
      <c r="AD149" s="32" t="str">
        <f t="shared" si="153"/>
        <v/>
      </c>
      <c r="AE149" s="32" t="str">
        <f t="shared" si="153"/>
        <v/>
      </c>
      <c r="AF149" s="32" t="str">
        <f t="shared" si="153"/>
        <v/>
      </c>
      <c r="AG149" s="32" t="str">
        <f t="shared" si="153"/>
        <v/>
      </c>
      <c r="AH149" s="33"/>
    </row>
    <row r="150" hidden="1" outlineLevel="2" collapsed="1">
      <c r="A150" s="16" t="b">
        <v>1</v>
      </c>
      <c r="B150" s="17"/>
      <c r="C150" s="18"/>
      <c r="D150" s="41">
        <v>45236.0</v>
      </c>
      <c r="E150" s="20" t="s">
        <v>24</v>
      </c>
      <c r="F150" s="21" t="s">
        <v>70</v>
      </c>
      <c r="G150" s="23">
        <v>1.67</v>
      </c>
      <c r="H150" s="23">
        <v>1.66</v>
      </c>
      <c r="I150" s="23">
        <v>1.67</v>
      </c>
      <c r="J150" s="23"/>
      <c r="K150" s="23"/>
      <c r="L150" s="23"/>
      <c r="M150" s="23"/>
      <c r="N150" s="23"/>
      <c r="O150" s="24"/>
      <c r="P150" s="16" t="b">
        <v>0</v>
      </c>
      <c r="Q150" s="24"/>
      <c r="R150" s="25">
        <v>5.0</v>
      </c>
      <c r="S150" s="26">
        <v>55.0</v>
      </c>
      <c r="T150" s="27" t="s">
        <v>172</v>
      </c>
      <c r="U150" s="24"/>
      <c r="V150" s="28"/>
      <c r="W150" s="29"/>
      <c r="X150" s="30"/>
      <c r="Y150" s="31"/>
      <c r="Z150" s="26">
        <f t="shared" si="5"/>
        <v>0</v>
      </c>
      <c r="AA150" s="26">
        <f t="shared" si="6"/>
        <v>0</v>
      </c>
      <c r="AB150" s="32">
        <f t="shared" si="7"/>
        <v>0</v>
      </c>
      <c r="AC150" s="32" t="str">
        <f t="shared" ref="AC150:AG150" si="154">IF(J150&lt;&gt;"", IF(AND($P150=FALSE, $A150=FALSE), -J150, IF(AND($P150=FALSE, $A150=TRUE), 0, IF($P150=TRUE, (J150 / $R150) * 100 * ($S150 / 100)-J150, ))), )</f>
        <v/>
      </c>
      <c r="AD150" s="32" t="str">
        <f t="shared" si="154"/>
        <v/>
      </c>
      <c r="AE150" s="32" t="str">
        <f t="shared" si="154"/>
        <v/>
      </c>
      <c r="AF150" s="32" t="str">
        <f t="shared" si="154"/>
        <v/>
      </c>
      <c r="AG150" s="32" t="str">
        <f t="shared" si="154"/>
        <v/>
      </c>
      <c r="AH150" s="33"/>
    </row>
    <row r="151" hidden="1" outlineLevel="3">
      <c r="A151" s="16" t="b">
        <v>0</v>
      </c>
      <c r="B151" s="17"/>
      <c r="C151" s="18"/>
      <c r="D151" s="19"/>
      <c r="E151" s="20"/>
      <c r="F151" s="34"/>
      <c r="G151" s="23"/>
      <c r="H151" s="23"/>
      <c r="I151" s="23"/>
      <c r="J151" s="23"/>
      <c r="K151" s="23"/>
      <c r="L151" s="23"/>
      <c r="M151" s="23"/>
      <c r="N151" s="23"/>
      <c r="O151" s="24"/>
      <c r="P151" s="16" t="b">
        <v>0</v>
      </c>
      <c r="Q151" s="24"/>
      <c r="R151" s="25"/>
      <c r="S151" s="25"/>
      <c r="T151" s="35"/>
      <c r="U151" s="24"/>
      <c r="V151" s="28" t="s">
        <v>32</v>
      </c>
      <c r="W151" s="29" t="s">
        <v>22</v>
      </c>
      <c r="X151" s="37" t="s">
        <v>173</v>
      </c>
      <c r="Y151" s="31"/>
      <c r="Z151" s="26" t="str">
        <f t="shared" si="5"/>
        <v/>
      </c>
      <c r="AA151" s="26" t="str">
        <f t="shared" si="6"/>
        <v/>
      </c>
      <c r="AB151" s="32" t="str">
        <f t="shared" si="7"/>
        <v/>
      </c>
      <c r="AC151" s="32" t="str">
        <f t="shared" ref="AC151:AG151" si="155">IF(J151&lt;&gt;"", IF(AND($P151=FALSE, $A151=FALSE), -J151, IF(AND($P151=FALSE, $A151=TRUE), 0, IF($P151=TRUE, (J151 / $R151) * 100 * ($S151 / 100)-J151, ))), )</f>
        <v/>
      </c>
      <c r="AD151" s="32" t="str">
        <f t="shared" si="155"/>
        <v/>
      </c>
      <c r="AE151" s="32" t="str">
        <f t="shared" si="155"/>
        <v/>
      </c>
      <c r="AF151" s="32" t="str">
        <f t="shared" si="155"/>
        <v/>
      </c>
      <c r="AG151" s="32" t="str">
        <f t="shared" si="155"/>
        <v/>
      </c>
      <c r="AH151" s="33"/>
    </row>
    <row r="152" hidden="1" outlineLevel="3">
      <c r="A152" s="16" t="b">
        <v>0</v>
      </c>
      <c r="B152" s="17"/>
      <c r="C152" s="18"/>
      <c r="D152" s="19"/>
      <c r="E152" s="20"/>
      <c r="F152" s="34"/>
      <c r="G152" s="23"/>
      <c r="H152" s="23"/>
      <c r="I152" s="23"/>
      <c r="J152" s="23"/>
      <c r="K152" s="23"/>
      <c r="L152" s="23"/>
      <c r="M152" s="23"/>
      <c r="N152" s="23"/>
      <c r="O152" s="24"/>
      <c r="P152" s="16" t="b">
        <v>0</v>
      </c>
      <c r="Q152" s="24"/>
      <c r="R152" s="25"/>
      <c r="S152" s="25"/>
      <c r="T152" s="35"/>
      <c r="U152" s="24"/>
      <c r="V152" s="28" t="s">
        <v>32</v>
      </c>
      <c r="W152" s="29" t="s">
        <v>22</v>
      </c>
      <c r="X152" s="37" t="s">
        <v>174</v>
      </c>
      <c r="Y152" s="31"/>
      <c r="Z152" s="26" t="str">
        <f t="shared" si="5"/>
        <v/>
      </c>
      <c r="AA152" s="26" t="str">
        <f t="shared" si="6"/>
        <v/>
      </c>
      <c r="AB152" s="32" t="str">
        <f t="shared" si="7"/>
        <v/>
      </c>
      <c r="AC152" s="32" t="str">
        <f t="shared" ref="AC152:AG152" si="156">IF(J152&lt;&gt;"", IF(AND($P152=FALSE, $A152=FALSE), -J152, IF(AND($P152=FALSE, $A152=TRUE), 0, IF($P152=TRUE, (J152 / $R152) * 100 * ($S152 / 100)-J152, ))), )</f>
        <v/>
      </c>
      <c r="AD152" s="32" t="str">
        <f t="shared" si="156"/>
        <v/>
      </c>
      <c r="AE152" s="32" t="str">
        <f t="shared" si="156"/>
        <v/>
      </c>
      <c r="AF152" s="32" t="str">
        <f t="shared" si="156"/>
        <v/>
      </c>
      <c r="AG152" s="32" t="str">
        <f t="shared" si="156"/>
        <v/>
      </c>
      <c r="AH152" s="33"/>
    </row>
    <row r="153" hidden="1" outlineLevel="3">
      <c r="A153" s="16" t="b">
        <v>0</v>
      </c>
      <c r="B153" s="17"/>
      <c r="C153" s="18"/>
      <c r="D153" s="19"/>
      <c r="E153" s="20"/>
      <c r="F153" s="34"/>
      <c r="G153" s="23"/>
      <c r="H153" s="23"/>
      <c r="I153" s="23"/>
      <c r="J153" s="23"/>
      <c r="K153" s="23"/>
      <c r="L153" s="23"/>
      <c r="M153" s="23"/>
      <c r="N153" s="23"/>
      <c r="O153" s="24"/>
      <c r="P153" s="16" t="b">
        <v>0</v>
      </c>
      <c r="Q153" s="24"/>
      <c r="R153" s="25"/>
      <c r="S153" s="25"/>
      <c r="T153" s="35"/>
      <c r="U153" s="24"/>
      <c r="V153" s="52" t="s">
        <v>29</v>
      </c>
      <c r="W153" s="29" t="s">
        <v>22</v>
      </c>
      <c r="X153" s="37" t="s">
        <v>175</v>
      </c>
      <c r="Y153" s="31"/>
      <c r="Z153" s="26" t="str">
        <f t="shared" si="5"/>
        <v/>
      </c>
      <c r="AA153" s="26" t="str">
        <f t="shared" si="6"/>
        <v/>
      </c>
      <c r="AB153" s="32" t="str">
        <f t="shared" si="7"/>
        <v/>
      </c>
      <c r="AC153" s="32" t="str">
        <f t="shared" ref="AC153:AG153" si="157">IF(J153&lt;&gt;"", IF(AND($P153=FALSE, $A153=FALSE), -J153, IF(AND($P153=FALSE, $A153=TRUE), 0, IF($P153=TRUE, (J153 / $R153) * 100 * ($S153 / 100)-J153, ))), )</f>
        <v/>
      </c>
      <c r="AD153" s="32" t="str">
        <f t="shared" si="157"/>
        <v/>
      </c>
      <c r="AE153" s="32" t="str">
        <f t="shared" si="157"/>
        <v/>
      </c>
      <c r="AF153" s="32" t="str">
        <f t="shared" si="157"/>
        <v/>
      </c>
      <c r="AG153" s="32" t="str">
        <f t="shared" si="157"/>
        <v/>
      </c>
      <c r="AH153" s="33"/>
    </row>
    <row r="154" hidden="1" outlineLevel="3">
      <c r="A154" s="16" t="b">
        <v>0</v>
      </c>
      <c r="B154" s="17"/>
      <c r="C154" s="18"/>
      <c r="D154" s="19"/>
      <c r="E154" s="20"/>
      <c r="F154" s="34"/>
      <c r="G154" s="23"/>
      <c r="H154" s="23"/>
      <c r="I154" s="23"/>
      <c r="J154" s="23"/>
      <c r="K154" s="23"/>
      <c r="L154" s="23"/>
      <c r="M154" s="23"/>
      <c r="N154" s="23"/>
      <c r="O154" s="24"/>
      <c r="P154" s="16" t="b">
        <v>0</v>
      </c>
      <c r="Q154" s="24"/>
      <c r="R154" s="25"/>
      <c r="S154" s="25"/>
      <c r="T154" s="35"/>
      <c r="U154" s="24"/>
      <c r="V154" s="64" t="s">
        <v>176</v>
      </c>
      <c r="W154" s="29" t="s">
        <v>22</v>
      </c>
      <c r="X154" s="37" t="s">
        <v>177</v>
      </c>
      <c r="Y154" s="31"/>
      <c r="Z154" s="26" t="str">
        <f t="shared" si="5"/>
        <v/>
      </c>
      <c r="AA154" s="26" t="str">
        <f t="shared" si="6"/>
        <v/>
      </c>
      <c r="AB154" s="32" t="str">
        <f t="shared" si="7"/>
        <v/>
      </c>
      <c r="AC154" s="32" t="str">
        <f t="shared" ref="AC154:AG154" si="158">IF(J154&lt;&gt;"", IF(AND($P154=FALSE, $A154=FALSE), -J154, IF(AND($P154=FALSE, $A154=TRUE), 0, IF($P154=TRUE, (J154 / $R154) * 100 * ($S154 / 100)-J154, ))), )</f>
        <v/>
      </c>
      <c r="AD154" s="32" t="str">
        <f t="shared" si="158"/>
        <v/>
      </c>
      <c r="AE154" s="32" t="str">
        <f t="shared" si="158"/>
        <v/>
      </c>
      <c r="AF154" s="32" t="str">
        <f t="shared" si="158"/>
        <v/>
      </c>
      <c r="AG154" s="32" t="str">
        <f t="shared" si="158"/>
        <v/>
      </c>
      <c r="AH154" s="33"/>
    </row>
    <row r="155" hidden="1" outlineLevel="2" collapsed="1">
      <c r="A155" s="16" t="b">
        <v>0</v>
      </c>
      <c r="B155" s="17"/>
      <c r="C155" s="18"/>
      <c r="D155" s="41">
        <v>45236.0</v>
      </c>
      <c r="E155" s="20" t="s">
        <v>60</v>
      </c>
      <c r="F155" s="21" t="s">
        <v>61</v>
      </c>
      <c r="G155" s="23">
        <v>2.0</v>
      </c>
      <c r="H155" s="23">
        <v>1.0</v>
      </c>
      <c r="I155" s="23">
        <v>2.0</v>
      </c>
      <c r="J155" s="23"/>
      <c r="K155" s="23"/>
      <c r="L155" s="23"/>
      <c r="M155" s="23"/>
      <c r="N155" s="23"/>
      <c r="O155" s="24"/>
      <c r="P155" s="16" t="b">
        <v>1</v>
      </c>
      <c r="Q155" s="24"/>
      <c r="R155" s="25">
        <v>5.0</v>
      </c>
      <c r="S155" s="26">
        <v>11.88</v>
      </c>
      <c r="T155" s="27" t="s">
        <v>178</v>
      </c>
      <c r="U155" s="24"/>
      <c r="V155" s="28"/>
      <c r="W155" s="29"/>
      <c r="X155" s="30"/>
      <c r="Y155" s="31"/>
      <c r="Z155" s="26">
        <f t="shared" si="5"/>
        <v>2.752</v>
      </c>
      <c r="AA155" s="26">
        <f t="shared" si="6"/>
        <v>2.752</v>
      </c>
      <c r="AB155" s="32">
        <f t="shared" si="7"/>
        <v>1.376</v>
      </c>
      <c r="AC155" s="32" t="str">
        <f t="shared" ref="AC155:AG155" si="159">IF(J155&lt;&gt;"", IF(AND($P155=FALSE, $A155=FALSE), -J155, IF(AND($P155=FALSE, $A155=TRUE), 0, IF($P155=TRUE, (J155 / $R155) * 100 * ($S155 / 100)-J155, ))), )</f>
        <v/>
      </c>
      <c r="AD155" s="32" t="str">
        <f t="shared" si="159"/>
        <v/>
      </c>
      <c r="AE155" s="32" t="str">
        <f t="shared" si="159"/>
        <v/>
      </c>
      <c r="AF155" s="32" t="str">
        <f t="shared" si="159"/>
        <v/>
      </c>
      <c r="AG155" s="32" t="str">
        <f t="shared" si="159"/>
        <v/>
      </c>
      <c r="AH155" s="33"/>
    </row>
    <row r="156" hidden="1" outlineLevel="3">
      <c r="A156" s="16" t="b">
        <v>0</v>
      </c>
      <c r="B156" s="17"/>
      <c r="C156" s="18"/>
      <c r="D156" s="19"/>
      <c r="E156" s="20"/>
      <c r="F156" s="34"/>
      <c r="G156" s="23"/>
      <c r="H156" s="23"/>
      <c r="I156" s="23"/>
      <c r="J156" s="23"/>
      <c r="K156" s="23"/>
      <c r="L156" s="23"/>
      <c r="M156" s="23"/>
      <c r="N156" s="23"/>
      <c r="O156" s="24"/>
      <c r="P156" s="16" t="b">
        <v>0</v>
      </c>
      <c r="Q156" s="24"/>
      <c r="R156" s="25"/>
      <c r="S156" s="25"/>
      <c r="T156" s="35"/>
      <c r="U156" s="24"/>
      <c r="V156" s="52" t="s">
        <v>29</v>
      </c>
      <c r="W156" s="29" t="s">
        <v>22</v>
      </c>
      <c r="X156" s="37" t="s">
        <v>179</v>
      </c>
      <c r="Y156" s="31"/>
      <c r="Z156" s="26" t="str">
        <f t="shared" si="5"/>
        <v/>
      </c>
      <c r="AA156" s="26" t="str">
        <f t="shared" si="6"/>
        <v/>
      </c>
      <c r="AB156" s="32" t="str">
        <f t="shared" si="7"/>
        <v/>
      </c>
      <c r="AC156" s="32" t="str">
        <f t="shared" ref="AC156:AG156" si="160">IF(J156&lt;&gt;"", IF(AND($P156=FALSE, $A156=FALSE), -J156, IF(AND($P156=FALSE, $A156=TRUE), 0, IF($P156=TRUE, (J156 / $R156) * 100 * ($S156 / 100)-J156, ))), )</f>
        <v/>
      </c>
      <c r="AD156" s="32" t="str">
        <f t="shared" si="160"/>
        <v/>
      </c>
      <c r="AE156" s="32" t="str">
        <f t="shared" si="160"/>
        <v/>
      </c>
      <c r="AF156" s="32" t="str">
        <f t="shared" si="160"/>
        <v/>
      </c>
      <c r="AG156" s="32" t="str">
        <f t="shared" si="160"/>
        <v/>
      </c>
      <c r="AH156" s="33"/>
    </row>
    <row r="157" hidden="1" outlineLevel="3">
      <c r="A157" s="16" t="b">
        <v>0</v>
      </c>
      <c r="B157" s="17"/>
      <c r="C157" s="18"/>
      <c r="D157" s="19"/>
      <c r="E157" s="20"/>
      <c r="F157" s="34"/>
      <c r="G157" s="23"/>
      <c r="H157" s="23"/>
      <c r="I157" s="23"/>
      <c r="J157" s="23"/>
      <c r="K157" s="23"/>
      <c r="L157" s="23"/>
      <c r="M157" s="23"/>
      <c r="N157" s="23"/>
      <c r="O157" s="24"/>
      <c r="P157" s="16" t="b">
        <v>0</v>
      </c>
      <c r="Q157" s="24"/>
      <c r="R157" s="25"/>
      <c r="S157" s="25"/>
      <c r="T157" s="35"/>
      <c r="U157" s="24"/>
      <c r="V157" s="52" t="s">
        <v>29</v>
      </c>
      <c r="W157" s="29" t="s">
        <v>22</v>
      </c>
      <c r="X157" s="37" t="s">
        <v>180</v>
      </c>
      <c r="Y157" s="31"/>
      <c r="Z157" s="26" t="str">
        <f t="shared" si="5"/>
        <v/>
      </c>
      <c r="AA157" s="26" t="str">
        <f t="shared" si="6"/>
        <v/>
      </c>
      <c r="AB157" s="32" t="str">
        <f t="shared" si="7"/>
        <v/>
      </c>
      <c r="AC157" s="32" t="str">
        <f t="shared" ref="AC157:AG157" si="161">IF(J157&lt;&gt;"", IF(AND($P157=FALSE, $A157=FALSE), -J157, IF(AND($P157=FALSE, $A157=TRUE), 0, IF($P157=TRUE, (J157 / $R157) * 100 * ($S157 / 100)-J157, ))), )</f>
        <v/>
      </c>
      <c r="AD157" s="32" t="str">
        <f t="shared" si="161"/>
        <v/>
      </c>
      <c r="AE157" s="32" t="str">
        <f t="shared" si="161"/>
        <v/>
      </c>
      <c r="AF157" s="32" t="str">
        <f t="shared" si="161"/>
        <v/>
      </c>
      <c r="AG157" s="32" t="str">
        <f t="shared" si="161"/>
        <v/>
      </c>
      <c r="AH157" s="33"/>
    </row>
    <row r="158" hidden="1" outlineLevel="3">
      <c r="A158" s="16" t="b">
        <v>0</v>
      </c>
      <c r="B158" s="17"/>
      <c r="C158" s="18"/>
      <c r="D158" s="19"/>
      <c r="E158" s="20"/>
      <c r="F158" s="34"/>
      <c r="G158" s="23"/>
      <c r="H158" s="23"/>
      <c r="I158" s="23"/>
      <c r="J158" s="23"/>
      <c r="K158" s="23"/>
      <c r="L158" s="23"/>
      <c r="M158" s="23"/>
      <c r="N158" s="23"/>
      <c r="O158" s="24"/>
      <c r="P158" s="16" t="b">
        <v>0</v>
      </c>
      <c r="Q158" s="24"/>
      <c r="R158" s="25"/>
      <c r="S158" s="25"/>
      <c r="T158" s="35"/>
      <c r="U158" s="24"/>
      <c r="V158" s="52" t="s">
        <v>29</v>
      </c>
      <c r="W158" s="29" t="s">
        <v>22</v>
      </c>
      <c r="X158" s="37" t="s">
        <v>181</v>
      </c>
      <c r="Y158" s="31"/>
      <c r="Z158" s="26" t="str">
        <f t="shared" si="5"/>
        <v/>
      </c>
      <c r="AA158" s="26" t="str">
        <f t="shared" si="6"/>
        <v/>
      </c>
      <c r="AB158" s="32" t="str">
        <f t="shared" si="7"/>
        <v/>
      </c>
      <c r="AC158" s="32" t="str">
        <f t="shared" ref="AC158:AG158" si="162">IF(J158&lt;&gt;"", IF(AND($P158=FALSE, $A158=FALSE), -J158, IF(AND($P158=FALSE, $A158=TRUE), 0, IF($P158=TRUE, (J158 / $R158) * 100 * ($S158 / 100)-J158, ))), )</f>
        <v/>
      </c>
      <c r="AD158" s="32" t="str">
        <f t="shared" si="162"/>
        <v/>
      </c>
      <c r="AE158" s="32" t="str">
        <f t="shared" si="162"/>
        <v/>
      </c>
      <c r="AF158" s="32" t="str">
        <f t="shared" si="162"/>
        <v/>
      </c>
      <c r="AG158" s="32" t="str">
        <f t="shared" si="162"/>
        <v/>
      </c>
      <c r="AH158" s="33"/>
    </row>
    <row r="159" hidden="1" outlineLevel="2" collapsed="1">
      <c r="A159" s="16" t="b">
        <v>0</v>
      </c>
      <c r="B159" s="17"/>
      <c r="C159" s="18"/>
      <c r="D159" s="41">
        <v>45236.0</v>
      </c>
      <c r="E159" s="20" t="s">
        <v>60</v>
      </c>
      <c r="F159" s="21" t="s">
        <v>61</v>
      </c>
      <c r="G159" s="23">
        <v>2.0</v>
      </c>
      <c r="H159" s="23">
        <v>1.0</v>
      </c>
      <c r="I159" s="23">
        <v>2.0</v>
      </c>
      <c r="J159" s="23"/>
      <c r="K159" s="23"/>
      <c r="L159" s="23"/>
      <c r="M159" s="23"/>
      <c r="N159" s="23"/>
      <c r="O159" s="24"/>
      <c r="P159" s="16" t="b">
        <v>0</v>
      </c>
      <c r="Q159" s="24"/>
      <c r="R159" s="25">
        <v>5.0</v>
      </c>
      <c r="S159" s="26">
        <v>12.97</v>
      </c>
      <c r="T159" s="27" t="s">
        <v>182</v>
      </c>
      <c r="U159" s="24"/>
      <c r="V159" s="28"/>
      <c r="W159" s="29"/>
      <c r="X159" s="30"/>
      <c r="Y159" s="31"/>
      <c r="Z159" s="26">
        <f t="shared" si="5"/>
        <v>-2</v>
      </c>
      <c r="AA159" s="26">
        <f t="shared" si="6"/>
        <v>-2</v>
      </c>
      <c r="AB159" s="32">
        <f t="shared" si="7"/>
        <v>-1</v>
      </c>
      <c r="AC159" s="32" t="str">
        <f t="shared" ref="AC159:AG159" si="163">IF(J159&lt;&gt;"", IF(AND($P159=FALSE, $A159=FALSE), -J159, IF(AND($P159=FALSE, $A159=TRUE), 0, IF($P159=TRUE, (J159 / $R159) * 100 * ($S159 / 100)-J159, ))), )</f>
        <v/>
      </c>
      <c r="AD159" s="32" t="str">
        <f t="shared" si="163"/>
        <v/>
      </c>
      <c r="AE159" s="32" t="str">
        <f t="shared" si="163"/>
        <v/>
      </c>
      <c r="AF159" s="32" t="str">
        <f t="shared" si="163"/>
        <v/>
      </c>
      <c r="AG159" s="32" t="str">
        <f t="shared" si="163"/>
        <v/>
      </c>
      <c r="AH159" s="33"/>
    </row>
    <row r="160" hidden="1" outlineLevel="3">
      <c r="A160" s="16" t="b">
        <v>0</v>
      </c>
      <c r="B160" s="17"/>
      <c r="C160" s="18"/>
      <c r="D160" s="41"/>
      <c r="E160" s="20"/>
      <c r="F160" s="34"/>
      <c r="G160" s="23"/>
      <c r="H160" s="23"/>
      <c r="I160" s="23"/>
      <c r="J160" s="23"/>
      <c r="K160" s="23"/>
      <c r="L160" s="23"/>
      <c r="M160" s="23"/>
      <c r="N160" s="23"/>
      <c r="O160" s="24"/>
      <c r="P160" s="16" t="b">
        <v>0</v>
      </c>
      <c r="Q160" s="24"/>
      <c r="R160" s="25"/>
      <c r="S160" s="25"/>
      <c r="T160" s="35"/>
      <c r="U160" s="24"/>
      <c r="V160" s="28" t="s">
        <v>32</v>
      </c>
      <c r="W160" s="29" t="s">
        <v>22</v>
      </c>
      <c r="X160" s="37" t="s">
        <v>183</v>
      </c>
      <c r="Y160" s="31"/>
      <c r="Z160" s="26" t="str">
        <f t="shared" si="5"/>
        <v/>
      </c>
      <c r="AA160" s="26" t="str">
        <f t="shared" si="6"/>
        <v/>
      </c>
      <c r="AB160" s="32" t="str">
        <f t="shared" si="7"/>
        <v/>
      </c>
      <c r="AC160" s="32" t="str">
        <f t="shared" ref="AC160:AG160" si="164">IF(J160&lt;&gt;"", IF(AND($P160=FALSE, $A160=FALSE), -J160, IF(AND($P160=FALSE, $A160=TRUE), 0, IF($P160=TRUE, (J160 / $R160) * 100 * ($S160 / 100)-J160, ))), )</f>
        <v/>
      </c>
      <c r="AD160" s="32" t="str">
        <f t="shared" si="164"/>
        <v/>
      </c>
      <c r="AE160" s="32" t="str">
        <f t="shared" si="164"/>
        <v/>
      </c>
      <c r="AF160" s="32" t="str">
        <f t="shared" si="164"/>
        <v/>
      </c>
      <c r="AG160" s="32" t="str">
        <f t="shared" si="164"/>
        <v/>
      </c>
      <c r="AH160" s="33"/>
    </row>
    <row r="161" hidden="1" outlineLevel="3">
      <c r="A161" s="16" t="b">
        <v>0</v>
      </c>
      <c r="B161" s="17"/>
      <c r="C161" s="18"/>
      <c r="D161" s="41"/>
      <c r="E161" s="20"/>
      <c r="F161" s="34"/>
      <c r="G161" s="23"/>
      <c r="H161" s="23"/>
      <c r="I161" s="23"/>
      <c r="J161" s="23"/>
      <c r="K161" s="23"/>
      <c r="L161" s="23"/>
      <c r="M161" s="23"/>
      <c r="N161" s="23"/>
      <c r="O161" s="24"/>
      <c r="P161" s="16" t="b">
        <v>0</v>
      </c>
      <c r="Q161" s="24"/>
      <c r="R161" s="25"/>
      <c r="S161" s="25"/>
      <c r="T161" s="35"/>
      <c r="U161" s="24"/>
      <c r="V161" s="52" t="s">
        <v>29</v>
      </c>
      <c r="W161" s="29" t="s">
        <v>22</v>
      </c>
      <c r="X161" s="37" t="s">
        <v>184</v>
      </c>
      <c r="Y161" s="31"/>
      <c r="Z161" s="26" t="str">
        <f t="shared" si="5"/>
        <v/>
      </c>
      <c r="AA161" s="26" t="str">
        <f t="shared" si="6"/>
        <v/>
      </c>
      <c r="AB161" s="32" t="str">
        <f t="shared" si="7"/>
        <v/>
      </c>
      <c r="AC161" s="32" t="str">
        <f t="shared" ref="AC161:AG161" si="165">IF(J161&lt;&gt;"", IF(AND($P161=FALSE, $A161=FALSE), -J161, IF(AND($P161=FALSE, $A161=TRUE), 0, IF($P161=TRUE, (J161 / $R161) * 100 * ($S161 / 100)-J161, ))), )</f>
        <v/>
      </c>
      <c r="AD161" s="32" t="str">
        <f t="shared" si="165"/>
        <v/>
      </c>
      <c r="AE161" s="32" t="str">
        <f t="shared" si="165"/>
        <v/>
      </c>
      <c r="AF161" s="32" t="str">
        <f t="shared" si="165"/>
        <v/>
      </c>
      <c r="AG161" s="32" t="str">
        <f t="shared" si="165"/>
        <v/>
      </c>
      <c r="AH161" s="33"/>
    </row>
    <row r="162" hidden="1" outlineLevel="3">
      <c r="A162" s="16" t="b">
        <v>0</v>
      </c>
      <c r="B162" s="17"/>
      <c r="C162" s="18"/>
      <c r="D162" s="41"/>
      <c r="E162" s="20"/>
      <c r="F162" s="34"/>
      <c r="G162" s="23"/>
      <c r="H162" s="23"/>
      <c r="I162" s="23"/>
      <c r="J162" s="23"/>
      <c r="K162" s="23"/>
      <c r="L162" s="23"/>
      <c r="M162" s="23"/>
      <c r="N162" s="23"/>
      <c r="O162" s="24"/>
      <c r="P162" s="16" t="b">
        <v>0</v>
      </c>
      <c r="Q162" s="24"/>
      <c r="R162" s="25"/>
      <c r="S162" s="25"/>
      <c r="T162" s="35"/>
      <c r="U162" s="24"/>
      <c r="V162" s="28" t="s">
        <v>32</v>
      </c>
      <c r="W162" s="29" t="s">
        <v>22</v>
      </c>
      <c r="X162" s="37" t="s">
        <v>185</v>
      </c>
      <c r="Y162" s="31"/>
      <c r="Z162" s="26" t="str">
        <f t="shared" si="5"/>
        <v/>
      </c>
      <c r="AA162" s="26" t="str">
        <f t="shared" si="6"/>
        <v/>
      </c>
      <c r="AB162" s="32" t="str">
        <f t="shared" si="7"/>
        <v/>
      </c>
      <c r="AC162" s="32" t="str">
        <f t="shared" ref="AC162:AG162" si="166">IF(J162&lt;&gt;"", IF(AND($P162=FALSE, $A162=FALSE), -J162, IF(AND($P162=FALSE, $A162=TRUE), 0, IF($P162=TRUE, (J162 / $R162) * 100 * ($S162 / 100)-J162, ))), )</f>
        <v/>
      </c>
      <c r="AD162" s="32" t="str">
        <f t="shared" si="166"/>
        <v/>
      </c>
      <c r="AE162" s="32" t="str">
        <f t="shared" si="166"/>
        <v/>
      </c>
      <c r="AF162" s="32" t="str">
        <f t="shared" si="166"/>
        <v/>
      </c>
      <c r="AG162" s="32" t="str">
        <f t="shared" si="166"/>
        <v/>
      </c>
      <c r="AH162" s="33"/>
    </row>
    <row r="163" hidden="1" outlineLevel="3">
      <c r="A163" s="16" t="b">
        <v>0</v>
      </c>
      <c r="B163" s="17"/>
      <c r="C163" s="18"/>
      <c r="D163" s="41"/>
      <c r="E163" s="20"/>
      <c r="F163" s="34"/>
      <c r="G163" s="23"/>
      <c r="H163" s="23"/>
      <c r="I163" s="23"/>
      <c r="J163" s="23"/>
      <c r="K163" s="23"/>
      <c r="L163" s="23"/>
      <c r="M163" s="23"/>
      <c r="N163" s="23"/>
      <c r="O163" s="24"/>
      <c r="P163" s="16" t="b">
        <v>0</v>
      </c>
      <c r="Q163" s="24"/>
      <c r="R163" s="25"/>
      <c r="S163" s="25"/>
      <c r="T163" s="35"/>
      <c r="U163" s="24"/>
      <c r="V163" s="52" t="s">
        <v>29</v>
      </c>
      <c r="W163" s="29" t="s">
        <v>22</v>
      </c>
      <c r="X163" s="37" t="s">
        <v>186</v>
      </c>
      <c r="Y163" s="31"/>
      <c r="Z163" s="26" t="str">
        <f t="shared" si="5"/>
        <v/>
      </c>
      <c r="AA163" s="26" t="str">
        <f t="shared" si="6"/>
        <v/>
      </c>
      <c r="AB163" s="32" t="str">
        <f t="shared" si="7"/>
        <v/>
      </c>
      <c r="AC163" s="32" t="str">
        <f t="shared" ref="AC163:AG163" si="167">IF(J163&lt;&gt;"", IF(AND($P163=FALSE, $A163=FALSE), -J163, IF(AND($P163=FALSE, $A163=TRUE), 0, IF($P163=TRUE, (J163 / $R163) * 100 * ($S163 / 100)-J163, ))), )</f>
        <v/>
      </c>
      <c r="AD163" s="32" t="str">
        <f t="shared" si="167"/>
        <v/>
      </c>
      <c r="AE163" s="32" t="str">
        <f t="shared" si="167"/>
        <v/>
      </c>
      <c r="AF163" s="32" t="str">
        <f t="shared" si="167"/>
        <v/>
      </c>
      <c r="AG163" s="32" t="str">
        <f t="shared" si="167"/>
        <v/>
      </c>
      <c r="AH163" s="33"/>
    </row>
    <row r="164" hidden="1" outlineLevel="2" collapsed="1">
      <c r="A164" s="16" t="b">
        <v>0</v>
      </c>
      <c r="B164" s="17"/>
      <c r="C164" s="18"/>
      <c r="D164" s="41">
        <v>45236.0</v>
      </c>
      <c r="E164" s="20" t="s">
        <v>60</v>
      </c>
      <c r="F164" s="21" t="s">
        <v>61</v>
      </c>
      <c r="G164" s="23">
        <v>2.0</v>
      </c>
      <c r="H164" s="23">
        <v>1.0</v>
      </c>
      <c r="I164" s="23">
        <v>2.0</v>
      </c>
      <c r="J164" s="23"/>
      <c r="K164" s="23"/>
      <c r="L164" s="23"/>
      <c r="M164" s="23"/>
      <c r="N164" s="23"/>
      <c r="O164" s="24"/>
      <c r="P164" s="16" t="b">
        <v>1</v>
      </c>
      <c r="Q164" s="24"/>
      <c r="R164" s="25">
        <v>5.0</v>
      </c>
      <c r="S164" s="26">
        <v>11.83</v>
      </c>
      <c r="T164" s="27" t="s">
        <v>187</v>
      </c>
      <c r="U164" s="24"/>
      <c r="V164" s="28"/>
      <c r="W164" s="29"/>
      <c r="X164" s="30"/>
      <c r="Y164" s="31"/>
      <c r="Z164" s="26">
        <f t="shared" si="5"/>
        <v>2.732</v>
      </c>
      <c r="AA164" s="26">
        <f t="shared" si="6"/>
        <v>2.732</v>
      </c>
      <c r="AB164" s="32">
        <f t="shared" si="7"/>
        <v>1.366</v>
      </c>
      <c r="AC164" s="32" t="str">
        <f t="shared" ref="AC164:AG164" si="168">IF(J164&lt;&gt;"", IF(AND($P164=FALSE, $A164=FALSE), -J164, IF(AND($P164=FALSE, $A164=TRUE), 0, IF($P164=TRUE, (J164 / $R164) * 100 * ($S164 / 100)-J164, ))), )</f>
        <v/>
      </c>
      <c r="AD164" s="32" t="str">
        <f t="shared" si="168"/>
        <v/>
      </c>
      <c r="AE164" s="32" t="str">
        <f t="shared" si="168"/>
        <v/>
      </c>
      <c r="AF164" s="32" t="str">
        <f t="shared" si="168"/>
        <v/>
      </c>
      <c r="AG164" s="32" t="str">
        <f t="shared" si="168"/>
        <v/>
      </c>
      <c r="AH164" s="33"/>
    </row>
    <row r="165" hidden="1" outlineLevel="3">
      <c r="A165" s="16" t="b">
        <v>0</v>
      </c>
      <c r="B165" s="17"/>
      <c r="C165" s="18"/>
      <c r="D165" s="41"/>
      <c r="E165" s="20"/>
      <c r="F165" s="34"/>
      <c r="G165" s="23"/>
      <c r="H165" s="23"/>
      <c r="I165" s="23"/>
      <c r="J165" s="23"/>
      <c r="K165" s="23"/>
      <c r="L165" s="23"/>
      <c r="M165" s="23"/>
      <c r="N165" s="23"/>
      <c r="O165" s="24"/>
      <c r="P165" s="16" t="b">
        <v>0</v>
      </c>
      <c r="Q165" s="24"/>
      <c r="R165" s="25"/>
      <c r="S165" s="25"/>
      <c r="T165" s="35"/>
      <c r="U165" s="24"/>
      <c r="V165" s="52" t="s">
        <v>29</v>
      </c>
      <c r="W165" s="29" t="s">
        <v>22</v>
      </c>
      <c r="X165" s="37" t="s">
        <v>188</v>
      </c>
      <c r="Y165" s="31"/>
      <c r="Z165" s="26" t="str">
        <f t="shared" si="5"/>
        <v/>
      </c>
      <c r="AA165" s="26" t="str">
        <f t="shared" si="6"/>
        <v/>
      </c>
      <c r="AB165" s="32" t="str">
        <f t="shared" si="7"/>
        <v/>
      </c>
      <c r="AC165" s="32" t="str">
        <f t="shared" ref="AC165:AG165" si="169">IF(J165&lt;&gt;"", IF(AND($P165=FALSE, $A165=FALSE), -J165, IF(AND($P165=FALSE, $A165=TRUE), 0, IF($P165=TRUE, (J165 / $R165) * 100 * ($S165 / 100)-J165, ))), )</f>
        <v/>
      </c>
      <c r="AD165" s="32" t="str">
        <f t="shared" si="169"/>
        <v/>
      </c>
      <c r="AE165" s="32" t="str">
        <f t="shared" si="169"/>
        <v/>
      </c>
      <c r="AF165" s="32" t="str">
        <f t="shared" si="169"/>
        <v/>
      </c>
      <c r="AG165" s="32" t="str">
        <f t="shared" si="169"/>
        <v/>
      </c>
      <c r="AH165" s="33"/>
    </row>
    <row r="166" hidden="1" outlineLevel="3">
      <c r="A166" s="16" t="b">
        <v>0</v>
      </c>
      <c r="B166" s="17"/>
      <c r="C166" s="18"/>
      <c r="D166" s="41"/>
      <c r="E166" s="20"/>
      <c r="F166" s="34"/>
      <c r="G166" s="23"/>
      <c r="H166" s="23"/>
      <c r="I166" s="23"/>
      <c r="J166" s="23"/>
      <c r="K166" s="23"/>
      <c r="L166" s="23"/>
      <c r="M166" s="23"/>
      <c r="N166" s="23"/>
      <c r="O166" s="24"/>
      <c r="P166" s="16" t="b">
        <v>0</v>
      </c>
      <c r="Q166" s="24"/>
      <c r="R166" s="25"/>
      <c r="S166" s="25"/>
      <c r="T166" s="35"/>
      <c r="U166" s="24"/>
      <c r="V166" s="52" t="s">
        <v>29</v>
      </c>
      <c r="W166" s="29" t="s">
        <v>22</v>
      </c>
      <c r="X166" s="37" t="s">
        <v>189</v>
      </c>
      <c r="Y166" s="31"/>
      <c r="Z166" s="26" t="str">
        <f t="shared" si="5"/>
        <v/>
      </c>
      <c r="AA166" s="26" t="str">
        <f t="shared" si="6"/>
        <v/>
      </c>
      <c r="AB166" s="32" t="str">
        <f t="shared" si="7"/>
        <v/>
      </c>
      <c r="AC166" s="32" t="str">
        <f t="shared" ref="AC166:AG166" si="170">IF(J166&lt;&gt;"", IF(AND($P166=FALSE, $A166=FALSE), -J166, IF(AND($P166=FALSE, $A166=TRUE), 0, IF($P166=TRUE, (J166 / $R166) * 100 * ($S166 / 100)-J166, ))), )</f>
        <v/>
      </c>
      <c r="AD166" s="32" t="str">
        <f t="shared" si="170"/>
        <v/>
      </c>
      <c r="AE166" s="32" t="str">
        <f t="shared" si="170"/>
        <v/>
      </c>
      <c r="AF166" s="32" t="str">
        <f t="shared" si="170"/>
        <v/>
      </c>
      <c r="AG166" s="32" t="str">
        <f t="shared" si="170"/>
        <v/>
      </c>
      <c r="AH166" s="33"/>
    </row>
    <row r="167" hidden="1" outlineLevel="3">
      <c r="A167" s="16" t="b">
        <v>0</v>
      </c>
      <c r="B167" s="17"/>
      <c r="C167" s="18"/>
      <c r="D167" s="41"/>
      <c r="E167" s="20"/>
      <c r="F167" s="34"/>
      <c r="G167" s="23"/>
      <c r="H167" s="23"/>
      <c r="I167" s="23"/>
      <c r="J167" s="23"/>
      <c r="K167" s="23"/>
      <c r="L167" s="23"/>
      <c r="M167" s="23"/>
      <c r="N167" s="23"/>
      <c r="O167" s="24"/>
      <c r="P167" s="16" t="b">
        <v>0</v>
      </c>
      <c r="Q167" s="24"/>
      <c r="R167" s="25"/>
      <c r="S167" s="25"/>
      <c r="T167" s="35"/>
      <c r="U167" s="24"/>
      <c r="V167" s="52" t="s">
        <v>29</v>
      </c>
      <c r="W167" s="29" t="s">
        <v>22</v>
      </c>
      <c r="X167" s="37" t="s">
        <v>190</v>
      </c>
      <c r="Y167" s="31"/>
      <c r="Z167" s="26" t="str">
        <f t="shared" si="5"/>
        <v/>
      </c>
      <c r="AA167" s="26" t="str">
        <f t="shared" si="6"/>
        <v/>
      </c>
      <c r="AB167" s="32" t="str">
        <f t="shared" si="7"/>
        <v/>
      </c>
      <c r="AC167" s="32" t="str">
        <f t="shared" ref="AC167:AG167" si="171">IF(J167&lt;&gt;"", IF(AND($P167=FALSE, $A167=FALSE), -J167, IF(AND($P167=FALSE, $A167=TRUE), 0, IF($P167=TRUE, (J167 / $R167) * 100 * ($S167 / 100)-J167, ))), )</f>
        <v/>
      </c>
      <c r="AD167" s="32" t="str">
        <f t="shared" si="171"/>
        <v/>
      </c>
      <c r="AE167" s="32" t="str">
        <f t="shared" si="171"/>
        <v/>
      </c>
      <c r="AF167" s="32" t="str">
        <f t="shared" si="171"/>
        <v/>
      </c>
      <c r="AG167" s="32" t="str">
        <f t="shared" si="171"/>
        <v/>
      </c>
      <c r="AH167" s="33"/>
    </row>
    <row r="168" hidden="1" outlineLevel="2" collapsed="1">
      <c r="A168" s="16" t="b">
        <v>0</v>
      </c>
      <c r="B168" s="17"/>
      <c r="C168" s="18"/>
      <c r="D168" s="41">
        <v>45236.0</v>
      </c>
      <c r="E168" s="20" t="s">
        <v>60</v>
      </c>
      <c r="F168" s="21" t="s">
        <v>61</v>
      </c>
      <c r="G168" s="23">
        <v>2.0</v>
      </c>
      <c r="H168" s="23">
        <v>1.0</v>
      </c>
      <c r="I168" s="23">
        <v>5.0</v>
      </c>
      <c r="J168" s="23"/>
      <c r="K168" s="23"/>
      <c r="L168" s="23"/>
      <c r="M168" s="23"/>
      <c r="N168" s="23"/>
      <c r="O168" s="24"/>
      <c r="P168" s="16" t="b">
        <v>0</v>
      </c>
      <c r="Q168" s="24"/>
      <c r="R168" s="25">
        <v>8.0</v>
      </c>
      <c r="S168" s="26">
        <v>16.19</v>
      </c>
      <c r="T168" s="27" t="s">
        <v>161</v>
      </c>
      <c r="U168" s="24"/>
      <c r="V168" s="28"/>
      <c r="W168" s="29"/>
      <c r="X168" s="30"/>
      <c r="Y168" s="31"/>
      <c r="Z168" s="26">
        <f t="shared" si="5"/>
        <v>-2</v>
      </c>
      <c r="AA168" s="26">
        <f t="shared" si="6"/>
        <v>-5</v>
      </c>
      <c r="AB168" s="32">
        <f t="shared" si="7"/>
        <v>-1</v>
      </c>
      <c r="AC168" s="32" t="str">
        <f t="shared" ref="AC168:AG168" si="172">IF(J168&lt;&gt;"", IF(AND($P168=FALSE, $A168=FALSE), -J168, IF(AND($P168=FALSE, $A168=TRUE), 0, IF($P168=TRUE, (J168 / $R168) * 100 * ($S168 / 100)-J168, ))), )</f>
        <v/>
      </c>
      <c r="AD168" s="32" t="str">
        <f t="shared" si="172"/>
        <v/>
      </c>
      <c r="AE168" s="32" t="str">
        <f t="shared" si="172"/>
        <v/>
      </c>
      <c r="AF168" s="32" t="str">
        <f t="shared" si="172"/>
        <v/>
      </c>
      <c r="AG168" s="32" t="str">
        <f t="shared" si="172"/>
        <v/>
      </c>
      <c r="AH168" s="33"/>
    </row>
    <row r="169" hidden="1" outlineLevel="3">
      <c r="A169" s="16" t="b">
        <v>0</v>
      </c>
      <c r="B169" s="17"/>
      <c r="C169" s="18"/>
      <c r="D169" s="41"/>
      <c r="E169" s="20"/>
      <c r="F169" s="34"/>
      <c r="G169" s="23"/>
      <c r="H169" s="23"/>
      <c r="I169" s="23"/>
      <c r="J169" s="23"/>
      <c r="K169" s="23"/>
      <c r="L169" s="23"/>
      <c r="M169" s="23"/>
      <c r="N169" s="23"/>
      <c r="O169" s="24"/>
      <c r="P169" s="16" t="b">
        <v>0</v>
      </c>
      <c r="Q169" s="24"/>
      <c r="R169" s="25"/>
      <c r="S169" s="25"/>
      <c r="T169" s="35"/>
      <c r="U169" s="24"/>
      <c r="V169" s="28" t="s">
        <v>32</v>
      </c>
      <c r="W169" s="29" t="s">
        <v>22</v>
      </c>
      <c r="X169" s="37" t="s">
        <v>191</v>
      </c>
      <c r="Y169" s="31"/>
      <c r="Z169" s="26" t="str">
        <f t="shared" si="5"/>
        <v/>
      </c>
      <c r="AA169" s="26" t="str">
        <f t="shared" si="6"/>
        <v/>
      </c>
      <c r="AB169" s="32" t="str">
        <f t="shared" si="7"/>
        <v/>
      </c>
      <c r="AC169" s="32" t="str">
        <f t="shared" ref="AC169:AG169" si="173">IF(J169&lt;&gt;"", IF(AND($P169=FALSE, $A169=FALSE), -J169, IF(AND($P169=FALSE, $A169=TRUE), 0, IF($P169=TRUE, (J169 / $R169) * 100 * ($S169 / 100)-J169, ))), )</f>
        <v/>
      </c>
      <c r="AD169" s="32" t="str">
        <f t="shared" si="173"/>
        <v/>
      </c>
      <c r="AE169" s="32" t="str">
        <f t="shared" si="173"/>
        <v/>
      </c>
      <c r="AF169" s="32" t="str">
        <f t="shared" si="173"/>
        <v/>
      </c>
      <c r="AG169" s="32" t="str">
        <f t="shared" si="173"/>
        <v/>
      </c>
      <c r="AH169" s="33"/>
    </row>
    <row r="170" hidden="1" outlineLevel="3">
      <c r="A170" s="16" t="b">
        <v>0</v>
      </c>
      <c r="B170" s="17"/>
      <c r="C170" s="18"/>
      <c r="D170" s="41"/>
      <c r="E170" s="20"/>
      <c r="F170" s="34"/>
      <c r="G170" s="23"/>
      <c r="H170" s="23"/>
      <c r="I170" s="23"/>
      <c r="J170" s="23"/>
      <c r="K170" s="23"/>
      <c r="L170" s="23"/>
      <c r="M170" s="23"/>
      <c r="N170" s="23"/>
      <c r="O170" s="24"/>
      <c r="P170" s="16" t="b">
        <v>0</v>
      </c>
      <c r="Q170" s="24"/>
      <c r="R170" s="25"/>
      <c r="S170" s="25"/>
      <c r="T170" s="35"/>
      <c r="U170" s="24"/>
      <c r="V170" s="28" t="s">
        <v>32</v>
      </c>
      <c r="W170" s="29" t="s">
        <v>22</v>
      </c>
      <c r="X170" s="37" t="s">
        <v>192</v>
      </c>
      <c r="Y170" s="31"/>
      <c r="Z170" s="26" t="str">
        <f t="shared" si="5"/>
        <v/>
      </c>
      <c r="AA170" s="26" t="str">
        <f t="shared" si="6"/>
        <v/>
      </c>
      <c r="AB170" s="32" t="str">
        <f t="shared" si="7"/>
        <v/>
      </c>
      <c r="AC170" s="32" t="str">
        <f t="shared" ref="AC170:AG170" si="174">IF(J170&lt;&gt;"", IF(AND($P170=FALSE, $A170=FALSE), -J170, IF(AND($P170=FALSE, $A170=TRUE), 0, IF($P170=TRUE, (J170 / $R170) * 100 * ($S170 / 100)-J170, ))), )</f>
        <v/>
      </c>
      <c r="AD170" s="32" t="str">
        <f t="shared" si="174"/>
        <v/>
      </c>
      <c r="AE170" s="32" t="str">
        <f t="shared" si="174"/>
        <v/>
      </c>
      <c r="AF170" s="32" t="str">
        <f t="shared" si="174"/>
        <v/>
      </c>
      <c r="AG170" s="32" t="str">
        <f t="shared" si="174"/>
        <v/>
      </c>
      <c r="AH170" s="33"/>
    </row>
    <row r="171" hidden="1" outlineLevel="3">
      <c r="A171" s="16" t="b">
        <v>0</v>
      </c>
      <c r="B171" s="17"/>
      <c r="C171" s="18"/>
      <c r="D171" s="41"/>
      <c r="E171" s="20"/>
      <c r="F171" s="34"/>
      <c r="G171" s="23"/>
      <c r="H171" s="23"/>
      <c r="I171" s="23"/>
      <c r="J171" s="23"/>
      <c r="K171" s="23"/>
      <c r="L171" s="23"/>
      <c r="M171" s="23"/>
      <c r="N171" s="23"/>
      <c r="O171" s="24"/>
      <c r="P171" s="16" t="b">
        <v>0</v>
      </c>
      <c r="Q171" s="24"/>
      <c r="R171" s="25"/>
      <c r="S171" s="25"/>
      <c r="T171" s="35"/>
      <c r="U171" s="24"/>
      <c r="V171" s="52" t="s">
        <v>29</v>
      </c>
      <c r="W171" s="29" t="s">
        <v>22</v>
      </c>
      <c r="X171" s="37" t="s">
        <v>193</v>
      </c>
      <c r="Y171" s="31"/>
      <c r="Z171" s="26" t="str">
        <f t="shared" si="5"/>
        <v/>
      </c>
      <c r="AA171" s="26" t="str">
        <f t="shared" si="6"/>
        <v/>
      </c>
      <c r="AB171" s="32" t="str">
        <f t="shared" si="7"/>
        <v/>
      </c>
      <c r="AC171" s="32" t="str">
        <f t="shared" ref="AC171:AG171" si="175">IF(J171&lt;&gt;"", IF(AND($P171=FALSE, $A171=FALSE), -J171, IF(AND($P171=FALSE, $A171=TRUE), 0, IF($P171=TRUE, (J171 / $R171) * 100 * ($S171 / 100)-J171, ))), )</f>
        <v/>
      </c>
      <c r="AD171" s="32" t="str">
        <f t="shared" si="175"/>
        <v/>
      </c>
      <c r="AE171" s="32" t="str">
        <f t="shared" si="175"/>
        <v/>
      </c>
      <c r="AF171" s="32" t="str">
        <f t="shared" si="175"/>
        <v/>
      </c>
      <c r="AG171" s="32" t="str">
        <f t="shared" si="175"/>
        <v/>
      </c>
      <c r="AH171" s="33"/>
    </row>
    <row r="172" hidden="1" outlineLevel="2" collapsed="1">
      <c r="A172" s="16" t="b">
        <v>0</v>
      </c>
      <c r="B172" s="17"/>
      <c r="C172" s="18"/>
      <c r="D172" s="41">
        <v>45236.0</v>
      </c>
      <c r="E172" s="20" t="s">
        <v>60</v>
      </c>
      <c r="F172" s="21" t="s">
        <v>61</v>
      </c>
      <c r="G172" s="23">
        <v>2.0</v>
      </c>
      <c r="H172" s="23">
        <v>1.0</v>
      </c>
      <c r="I172" s="23">
        <v>2.0</v>
      </c>
      <c r="J172" s="23"/>
      <c r="K172" s="23"/>
      <c r="L172" s="23"/>
      <c r="M172" s="23"/>
      <c r="N172" s="23"/>
      <c r="O172" s="24"/>
      <c r="P172" s="16" t="b">
        <v>0</v>
      </c>
      <c r="Q172" s="24"/>
      <c r="R172" s="25">
        <v>5.0</v>
      </c>
      <c r="S172" s="26">
        <v>14.14</v>
      </c>
      <c r="T172" s="27" t="s">
        <v>194</v>
      </c>
      <c r="U172" s="24"/>
      <c r="V172" s="28"/>
      <c r="W172" s="29"/>
      <c r="X172" s="30"/>
      <c r="Y172" s="31"/>
      <c r="Z172" s="26">
        <f t="shared" si="5"/>
        <v>-2</v>
      </c>
      <c r="AA172" s="26">
        <f t="shared" si="6"/>
        <v>-2</v>
      </c>
      <c r="AB172" s="32">
        <f t="shared" si="7"/>
        <v>-1</v>
      </c>
      <c r="AC172" s="32" t="str">
        <f t="shared" ref="AC172:AG172" si="176">IF(J172&lt;&gt;"", IF(AND($P172=FALSE, $A172=FALSE), -J172, IF(AND($P172=FALSE, $A172=TRUE), 0, IF($P172=TRUE, (J172 / $R172) * 100 * ($S172 / 100)-J172, ))), )</f>
        <v/>
      </c>
      <c r="AD172" s="32" t="str">
        <f t="shared" si="176"/>
        <v/>
      </c>
      <c r="AE172" s="32" t="str">
        <f t="shared" si="176"/>
        <v/>
      </c>
      <c r="AF172" s="32" t="str">
        <f t="shared" si="176"/>
        <v/>
      </c>
      <c r="AG172" s="32" t="str">
        <f t="shared" si="176"/>
        <v/>
      </c>
      <c r="AH172" s="33"/>
    </row>
    <row r="173" hidden="1" outlineLevel="3">
      <c r="A173" s="16" t="b">
        <v>0</v>
      </c>
      <c r="B173" s="17"/>
      <c r="C173" s="18"/>
      <c r="D173" s="41"/>
      <c r="E173" s="20"/>
      <c r="F173" s="34"/>
      <c r="G173" s="23"/>
      <c r="H173" s="23"/>
      <c r="I173" s="23"/>
      <c r="J173" s="23"/>
      <c r="K173" s="23"/>
      <c r="L173" s="23"/>
      <c r="M173" s="23"/>
      <c r="N173" s="23"/>
      <c r="O173" s="24"/>
      <c r="P173" s="16" t="b">
        <v>0</v>
      </c>
      <c r="Q173" s="24"/>
      <c r="R173" s="25"/>
      <c r="S173" s="25"/>
      <c r="T173" s="35"/>
      <c r="U173" s="24"/>
      <c r="V173" s="52" t="s">
        <v>29</v>
      </c>
      <c r="W173" s="29" t="s">
        <v>22</v>
      </c>
      <c r="X173" s="37" t="s">
        <v>195</v>
      </c>
      <c r="Y173" s="31"/>
      <c r="Z173" s="26" t="str">
        <f t="shared" si="5"/>
        <v/>
      </c>
      <c r="AA173" s="26" t="str">
        <f t="shared" si="6"/>
        <v/>
      </c>
      <c r="AB173" s="32" t="str">
        <f t="shared" si="7"/>
        <v/>
      </c>
      <c r="AC173" s="32" t="str">
        <f t="shared" ref="AC173:AG173" si="177">IF(J173&lt;&gt;"", IF(AND($P173=FALSE, $A173=FALSE), -J173, IF(AND($P173=FALSE, $A173=TRUE), 0, IF($P173=TRUE, (J173 / $R173) * 100 * ($S173 / 100)-J173, ))), )</f>
        <v/>
      </c>
      <c r="AD173" s="32" t="str">
        <f t="shared" si="177"/>
        <v/>
      </c>
      <c r="AE173" s="32" t="str">
        <f t="shared" si="177"/>
        <v/>
      </c>
      <c r="AF173" s="32" t="str">
        <f t="shared" si="177"/>
        <v/>
      </c>
      <c r="AG173" s="32" t="str">
        <f t="shared" si="177"/>
        <v/>
      </c>
      <c r="AH173" s="33"/>
    </row>
    <row r="174" hidden="1" outlineLevel="3">
      <c r="A174" s="16" t="b">
        <v>0</v>
      </c>
      <c r="B174" s="17"/>
      <c r="C174" s="18"/>
      <c r="D174" s="41"/>
      <c r="E174" s="20"/>
      <c r="F174" s="34"/>
      <c r="G174" s="23"/>
      <c r="H174" s="23"/>
      <c r="I174" s="23"/>
      <c r="J174" s="23"/>
      <c r="K174" s="23"/>
      <c r="L174" s="23"/>
      <c r="M174" s="23"/>
      <c r="N174" s="23"/>
      <c r="O174" s="24"/>
      <c r="P174" s="16" t="b">
        <v>0</v>
      </c>
      <c r="Q174" s="24"/>
      <c r="R174" s="25"/>
      <c r="S174" s="25"/>
      <c r="T174" s="35"/>
      <c r="U174" s="24"/>
      <c r="V174" s="28" t="s">
        <v>32</v>
      </c>
      <c r="W174" s="29" t="s">
        <v>22</v>
      </c>
      <c r="X174" s="37" t="s">
        <v>196</v>
      </c>
      <c r="Y174" s="31"/>
      <c r="Z174" s="26" t="str">
        <f t="shared" si="5"/>
        <v/>
      </c>
      <c r="AA174" s="26" t="str">
        <f t="shared" si="6"/>
        <v/>
      </c>
      <c r="AB174" s="32" t="str">
        <f t="shared" si="7"/>
        <v/>
      </c>
      <c r="AC174" s="32" t="str">
        <f t="shared" ref="AC174:AG174" si="178">IF(J174&lt;&gt;"", IF(AND($P174=FALSE, $A174=FALSE), -J174, IF(AND($P174=FALSE, $A174=TRUE), 0, IF($P174=TRUE, (J174 / $R174) * 100 * ($S174 / 100)-J174, ))), )</f>
        <v/>
      </c>
      <c r="AD174" s="32" t="str">
        <f t="shared" si="178"/>
        <v/>
      </c>
      <c r="AE174" s="32" t="str">
        <f t="shared" si="178"/>
        <v/>
      </c>
      <c r="AF174" s="32" t="str">
        <f t="shared" si="178"/>
        <v/>
      </c>
      <c r="AG174" s="32" t="str">
        <f t="shared" si="178"/>
        <v/>
      </c>
      <c r="AH174" s="33"/>
    </row>
    <row r="175" hidden="1" outlineLevel="3">
      <c r="A175" s="16" t="b">
        <v>0</v>
      </c>
      <c r="B175" s="17"/>
      <c r="C175" s="18"/>
      <c r="D175" s="41"/>
      <c r="E175" s="20"/>
      <c r="F175" s="34"/>
      <c r="G175" s="23"/>
      <c r="H175" s="23"/>
      <c r="I175" s="23"/>
      <c r="J175" s="23"/>
      <c r="K175" s="23"/>
      <c r="L175" s="23"/>
      <c r="M175" s="23"/>
      <c r="N175" s="23"/>
      <c r="O175" s="24"/>
      <c r="P175" s="16" t="b">
        <v>0</v>
      </c>
      <c r="Q175" s="24"/>
      <c r="R175" s="25"/>
      <c r="S175" s="25"/>
      <c r="T175" s="35"/>
      <c r="U175" s="24"/>
      <c r="V175" s="28" t="s">
        <v>32</v>
      </c>
      <c r="W175" s="29" t="s">
        <v>22</v>
      </c>
      <c r="X175" s="37" t="s">
        <v>197</v>
      </c>
      <c r="Y175" s="31"/>
      <c r="Z175" s="26" t="str">
        <f t="shared" si="5"/>
        <v/>
      </c>
      <c r="AA175" s="26" t="str">
        <f t="shared" si="6"/>
        <v/>
      </c>
      <c r="AB175" s="32" t="str">
        <f t="shared" si="7"/>
        <v/>
      </c>
      <c r="AC175" s="32" t="str">
        <f t="shared" ref="AC175:AG175" si="179">IF(J175&lt;&gt;"", IF(AND($P175=FALSE, $A175=FALSE), -J175, IF(AND($P175=FALSE, $A175=TRUE), 0, IF($P175=TRUE, (J175 / $R175) * 100 * ($S175 / 100)-J175, ))), )</f>
        <v/>
      </c>
      <c r="AD175" s="32" t="str">
        <f t="shared" si="179"/>
        <v/>
      </c>
      <c r="AE175" s="32" t="str">
        <f t="shared" si="179"/>
        <v/>
      </c>
      <c r="AF175" s="32" t="str">
        <f t="shared" si="179"/>
        <v/>
      </c>
      <c r="AG175" s="32" t="str">
        <f t="shared" si="179"/>
        <v/>
      </c>
      <c r="AH175" s="33"/>
    </row>
    <row r="176" hidden="1" outlineLevel="3">
      <c r="A176" s="16" t="b">
        <v>0</v>
      </c>
      <c r="B176" s="17"/>
      <c r="C176" s="18"/>
      <c r="D176" s="41"/>
      <c r="E176" s="20"/>
      <c r="F176" s="34"/>
      <c r="G176" s="23"/>
      <c r="H176" s="23"/>
      <c r="I176" s="23"/>
      <c r="J176" s="23"/>
      <c r="K176" s="23"/>
      <c r="L176" s="23"/>
      <c r="M176" s="23"/>
      <c r="N176" s="23"/>
      <c r="O176" s="24"/>
      <c r="P176" s="16" t="b">
        <v>0</v>
      </c>
      <c r="Q176" s="24"/>
      <c r="R176" s="25"/>
      <c r="S176" s="25"/>
      <c r="T176" s="35"/>
      <c r="U176" s="24"/>
      <c r="V176" s="28" t="s">
        <v>32</v>
      </c>
      <c r="W176" s="29" t="s">
        <v>22</v>
      </c>
      <c r="X176" s="37" t="s">
        <v>198</v>
      </c>
      <c r="Y176" s="31"/>
      <c r="Z176" s="26" t="str">
        <f t="shared" si="5"/>
        <v/>
      </c>
      <c r="AA176" s="26" t="str">
        <f t="shared" si="6"/>
        <v/>
      </c>
      <c r="AB176" s="32" t="str">
        <f t="shared" si="7"/>
        <v/>
      </c>
      <c r="AC176" s="32" t="str">
        <f t="shared" ref="AC176:AG176" si="180">IF(J176&lt;&gt;"", IF(AND($P176=FALSE, $A176=FALSE), -J176, IF(AND($P176=FALSE, $A176=TRUE), 0, IF($P176=TRUE, (J176 / $R176) * 100 * ($S176 / 100)-J176, ))), )</f>
        <v/>
      </c>
      <c r="AD176" s="32" t="str">
        <f t="shared" si="180"/>
        <v/>
      </c>
      <c r="AE176" s="32" t="str">
        <f t="shared" si="180"/>
        <v/>
      </c>
      <c r="AF176" s="32" t="str">
        <f t="shared" si="180"/>
        <v/>
      </c>
      <c r="AG176" s="32" t="str">
        <f t="shared" si="180"/>
        <v/>
      </c>
      <c r="AH176" s="33"/>
    </row>
    <row r="177" hidden="1" outlineLevel="2" collapsed="1">
      <c r="A177" s="16" t="b">
        <v>0</v>
      </c>
      <c r="B177" s="17"/>
      <c r="C177" s="18"/>
      <c r="D177" s="41">
        <v>45236.0</v>
      </c>
      <c r="E177" s="20" t="s">
        <v>60</v>
      </c>
      <c r="F177" s="21" t="s">
        <v>61</v>
      </c>
      <c r="G177" s="23">
        <v>2.0</v>
      </c>
      <c r="H177" s="23">
        <v>1.0</v>
      </c>
      <c r="I177" s="23">
        <v>1.0</v>
      </c>
      <c r="J177" s="23"/>
      <c r="K177" s="23"/>
      <c r="L177" s="23"/>
      <c r="M177" s="23"/>
      <c r="N177" s="23"/>
      <c r="O177" s="24"/>
      <c r="P177" s="16" t="b">
        <v>0</v>
      </c>
      <c r="Q177" s="24"/>
      <c r="R177" s="25">
        <v>4.0</v>
      </c>
      <c r="S177" s="26">
        <v>11.85</v>
      </c>
      <c r="T177" s="27" t="s">
        <v>199</v>
      </c>
      <c r="U177" s="24"/>
      <c r="V177" s="28"/>
      <c r="W177" s="29"/>
      <c r="X177" s="30"/>
      <c r="Y177" s="31"/>
      <c r="Z177" s="26">
        <f t="shared" si="5"/>
        <v>-2</v>
      </c>
      <c r="AA177" s="26">
        <f t="shared" si="6"/>
        <v>-1</v>
      </c>
      <c r="AB177" s="32">
        <f t="shared" si="7"/>
        <v>-1</v>
      </c>
      <c r="AC177" s="32" t="str">
        <f t="shared" ref="AC177:AG177" si="181">IF(J177&lt;&gt;"", IF(AND($P177=FALSE, $A177=FALSE), -J177, IF(AND($P177=FALSE, $A177=TRUE), 0, IF($P177=TRUE, (J177 / $R177) * 100 * ($S177 / 100)-J177, ))), )</f>
        <v/>
      </c>
      <c r="AD177" s="32" t="str">
        <f t="shared" si="181"/>
        <v/>
      </c>
      <c r="AE177" s="32" t="str">
        <f t="shared" si="181"/>
        <v/>
      </c>
      <c r="AF177" s="32" t="str">
        <f t="shared" si="181"/>
        <v/>
      </c>
      <c r="AG177" s="32" t="str">
        <f t="shared" si="181"/>
        <v/>
      </c>
      <c r="AH177" s="33"/>
    </row>
    <row r="178" hidden="1" outlineLevel="3">
      <c r="A178" s="16" t="b">
        <v>0</v>
      </c>
      <c r="B178" s="17"/>
      <c r="C178" s="18"/>
      <c r="D178" s="41"/>
      <c r="E178" s="20"/>
      <c r="F178" s="34"/>
      <c r="G178" s="23"/>
      <c r="H178" s="23"/>
      <c r="I178" s="23"/>
      <c r="J178" s="23"/>
      <c r="K178" s="23"/>
      <c r="L178" s="23"/>
      <c r="M178" s="23"/>
      <c r="N178" s="23"/>
      <c r="O178" s="24"/>
      <c r="P178" s="16" t="b">
        <v>0</v>
      </c>
      <c r="Q178" s="24"/>
      <c r="R178" s="25"/>
      <c r="S178" s="25"/>
      <c r="T178" s="35"/>
      <c r="U178" s="24"/>
      <c r="V178" s="52" t="s">
        <v>29</v>
      </c>
      <c r="W178" s="29" t="s">
        <v>22</v>
      </c>
      <c r="X178" s="37" t="s">
        <v>200</v>
      </c>
      <c r="Y178" s="31"/>
      <c r="Z178" s="26" t="str">
        <f t="shared" si="5"/>
        <v/>
      </c>
      <c r="AA178" s="26" t="str">
        <f t="shared" si="6"/>
        <v/>
      </c>
      <c r="AB178" s="32" t="str">
        <f t="shared" si="7"/>
        <v/>
      </c>
      <c r="AC178" s="32" t="str">
        <f t="shared" ref="AC178:AG178" si="182">IF(J178&lt;&gt;"", IF(AND($P178=FALSE, $A178=FALSE), -J178, IF(AND($P178=FALSE, $A178=TRUE), 0, IF($P178=TRUE, (J178 / $R178) * 100 * ($S178 / 100)-J178, ))), )</f>
        <v/>
      </c>
      <c r="AD178" s="32" t="str">
        <f t="shared" si="182"/>
        <v/>
      </c>
      <c r="AE178" s="32" t="str">
        <f t="shared" si="182"/>
        <v/>
      </c>
      <c r="AF178" s="32" t="str">
        <f t="shared" si="182"/>
        <v/>
      </c>
      <c r="AG178" s="32" t="str">
        <f t="shared" si="182"/>
        <v/>
      </c>
      <c r="AH178" s="33"/>
    </row>
    <row r="179" hidden="1" outlineLevel="3">
      <c r="A179" s="16" t="b">
        <v>0</v>
      </c>
      <c r="B179" s="17"/>
      <c r="C179" s="18"/>
      <c r="D179" s="41"/>
      <c r="E179" s="20"/>
      <c r="F179" s="34"/>
      <c r="G179" s="23"/>
      <c r="H179" s="23"/>
      <c r="I179" s="23"/>
      <c r="J179" s="23"/>
      <c r="K179" s="23"/>
      <c r="L179" s="23"/>
      <c r="M179" s="23"/>
      <c r="N179" s="23"/>
      <c r="O179" s="24"/>
      <c r="P179" s="16" t="b">
        <v>0</v>
      </c>
      <c r="Q179" s="24"/>
      <c r="R179" s="25"/>
      <c r="S179" s="25"/>
      <c r="T179" s="35"/>
      <c r="U179" s="24"/>
      <c r="V179" s="28" t="s">
        <v>32</v>
      </c>
      <c r="W179" s="29" t="s">
        <v>22</v>
      </c>
      <c r="X179" s="37" t="s">
        <v>201</v>
      </c>
      <c r="Y179" s="31"/>
      <c r="Z179" s="26" t="str">
        <f t="shared" si="5"/>
        <v/>
      </c>
      <c r="AA179" s="26" t="str">
        <f t="shared" si="6"/>
        <v/>
      </c>
      <c r="AB179" s="32" t="str">
        <f t="shared" si="7"/>
        <v/>
      </c>
      <c r="AC179" s="32" t="str">
        <f t="shared" ref="AC179:AG179" si="183">IF(J179&lt;&gt;"", IF(AND($P179=FALSE, $A179=FALSE), -J179, IF(AND($P179=FALSE, $A179=TRUE), 0, IF($P179=TRUE, (J179 / $R179) * 100 * ($S179 / 100)-J179, ))), )</f>
        <v/>
      </c>
      <c r="AD179" s="32" t="str">
        <f t="shared" si="183"/>
        <v/>
      </c>
      <c r="AE179" s="32" t="str">
        <f t="shared" si="183"/>
        <v/>
      </c>
      <c r="AF179" s="32" t="str">
        <f t="shared" si="183"/>
        <v/>
      </c>
      <c r="AG179" s="32" t="str">
        <f t="shared" si="183"/>
        <v/>
      </c>
      <c r="AH179" s="33"/>
    </row>
    <row r="180" hidden="1" outlineLevel="3">
      <c r="A180" s="16" t="b">
        <v>0</v>
      </c>
      <c r="B180" s="17"/>
      <c r="C180" s="18"/>
      <c r="D180" s="41"/>
      <c r="E180" s="20"/>
      <c r="F180" s="34"/>
      <c r="G180" s="23"/>
      <c r="H180" s="23"/>
      <c r="I180" s="23"/>
      <c r="J180" s="23"/>
      <c r="K180" s="23"/>
      <c r="L180" s="23"/>
      <c r="M180" s="23"/>
      <c r="N180" s="23"/>
      <c r="O180" s="24"/>
      <c r="P180" s="16" t="b">
        <v>0</v>
      </c>
      <c r="Q180" s="24"/>
      <c r="R180" s="25"/>
      <c r="S180" s="25"/>
      <c r="T180" s="35"/>
      <c r="U180" s="24"/>
      <c r="V180" s="28" t="s">
        <v>32</v>
      </c>
      <c r="W180" s="29" t="s">
        <v>22</v>
      </c>
      <c r="X180" s="37" t="s">
        <v>202</v>
      </c>
      <c r="Y180" s="31"/>
      <c r="Z180" s="26" t="str">
        <f t="shared" si="5"/>
        <v/>
      </c>
      <c r="AA180" s="26" t="str">
        <f t="shared" si="6"/>
        <v/>
      </c>
      <c r="AB180" s="32" t="str">
        <f t="shared" si="7"/>
        <v/>
      </c>
      <c r="AC180" s="32" t="str">
        <f t="shared" ref="AC180:AG180" si="184">IF(J180&lt;&gt;"", IF(AND($P180=FALSE, $A180=FALSE), -J180, IF(AND($P180=FALSE, $A180=TRUE), 0, IF($P180=TRUE, (J180 / $R180) * 100 * ($S180 / 100)-J180, ))), )</f>
        <v/>
      </c>
      <c r="AD180" s="32" t="str">
        <f t="shared" si="184"/>
        <v/>
      </c>
      <c r="AE180" s="32" t="str">
        <f t="shared" si="184"/>
        <v/>
      </c>
      <c r="AF180" s="32" t="str">
        <f t="shared" si="184"/>
        <v/>
      </c>
      <c r="AG180" s="32" t="str">
        <f t="shared" si="184"/>
        <v/>
      </c>
      <c r="AH180" s="33"/>
    </row>
    <row r="181" hidden="1" outlineLevel="2" collapsed="1">
      <c r="A181" s="16" t="b">
        <v>0</v>
      </c>
      <c r="B181" s="17"/>
      <c r="C181" s="18"/>
      <c r="D181" s="41">
        <v>45236.0</v>
      </c>
      <c r="E181" s="20" t="s">
        <v>60</v>
      </c>
      <c r="F181" s="21" t="s">
        <v>61</v>
      </c>
      <c r="G181" s="23">
        <v>2.0</v>
      </c>
      <c r="H181" s="23">
        <v>1.0</v>
      </c>
      <c r="I181" s="23">
        <v>1.0</v>
      </c>
      <c r="J181" s="23"/>
      <c r="K181" s="23"/>
      <c r="L181" s="23"/>
      <c r="M181" s="23"/>
      <c r="N181" s="23"/>
      <c r="O181" s="24"/>
      <c r="P181" s="16" t="b">
        <v>0</v>
      </c>
      <c r="Q181" s="24"/>
      <c r="R181" s="25">
        <v>4.0</v>
      </c>
      <c r="S181" s="26">
        <v>21.62</v>
      </c>
      <c r="T181" s="27" t="s">
        <v>203</v>
      </c>
      <c r="U181" s="24"/>
      <c r="V181" s="28"/>
      <c r="W181" s="29"/>
      <c r="X181" s="30"/>
      <c r="Y181" s="31"/>
      <c r="Z181" s="26">
        <f t="shared" si="5"/>
        <v>-2</v>
      </c>
      <c r="AA181" s="26">
        <f t="shared" si="6"/>
        <v>-1</v>
      </c>
      <c r="AB181" s="32">
        <f t="shared" si="7"/>
        <v>-1</v>
      </c>
      <c r="AC181" s="32" t="str">
        <f t="shared" ref="AC181:AG181" si="185">IF(J181&lt;&gt;"", IF(AND($P181=FALSE, $A181=FALSE), -J181, IF(AND($P181=FALSE, $A181=TRUE), 0, IF($P181=TRUE, (J181 / $R181) * 100 * ($S181 / 100)-J181, ))), )</f>
        <v/>
      </c>
      <c r="AD181" s="32" t="str">
        <f t="shared" si="185"/>
        <v/>
      </c>
      <c r="AE181" s="32" t="str">
        <f t="shared" si="185"/>
        <v/>
      </c>
      <c r="AF181" s="32" t="str">
        <f t="shared" si="185"/>
        <v/>
      </c>
      <c r="AG181" s="32" t="str">
        <f t="shared" si="185"/>
        <v/>
      </c>
      <c r="AH181" s="33"/>
    </row>
    <row r="182" hidden="1" outlineLevel="3">
      <c r="A182" s="16" t="b">
        <v>0</v>
      </c>
      <c r="B182" s="17"/>
      <c r="C182" s="18"/>
      <c r="D182" s="41"/>
      <c r="E182" s="20"/>
      <c r="F182" s="34"/>
      <c r="G182" s="23"/>
      <c r="H182" s="23"/>
      <c r="I182" s="23"/>
      <c r="J182" s="23"/>
      <c r="K182" s="23"/>
      <c r="L182" s="23"/>
      <c r="M182" s="23"/>
      <c r="N182" s="23"/>
      <c r="O182" s="24"/>
      <c r="P182" s="16" t="b">
        <v>0</v>
      </c>
      <c r="Q182" s="24"/>
      <c r="R182" s="25"/>
      <c r="S182" s="25"/>
      <c r="T182" s="35"/>
      <c r="U182" s="24"/>
      <c r="V182" s="52" t="s">
        <v>29</v>
      </c>
      <c r="W182" s="29" t="s">
        <v>22</v>
      </c>
      <c r="X182" s="37" t="s">
        <v>204</v>
      </c>
      <c r="Y182" s="31"/>
      <c r="Z182" s="26" t="str">
        <f t="shared" si="5"/>
        <v/>
      </c>
      <c r="AA182" s="26" t="str">
        <f t="shared" si="6"/>
        <v/>
      </c>
      <c r="AB182" s="32" t="str">
        <f t="shared" si="7"/>
        <v/>
      </c>
      <c r="AC182" s="32" t="str">
        <f t="shared" ref="AC182:AG182" si="186">IF(J182&lt;&gt;"", IF(AND($P182=FALSE, $A182=FALSE), -J182, IF(AND($P182=FALSE, $A182=TRUE), 0, IF($P182=TRUE, (J182 / $R182) * 100 * ($S182 / 100)-J182, ))), )</f>
        <v/>
      </c>
      <c r="AD182" s="32" t="str">
        <f t="shared" si="186"/>
        <v/>
      </c>
      <c r="AE182" s="32" t="str">
        <f t="shared" si="186"/>
        <v/>
      </c>
      <c r="AF182" s="32" t="str">
        <f t="shared" si="186"/>
        <v/>
      </c>
      <c r="AG182" s="32" t="str">
        <f t="shared" si="186"/>
        <v/>
      </c>
      <c r="AH182" s="33"/>
    </row>
    <row r="183" hidden="1" outlineLevel="3">
      <c r="A183" s="16" t="b">
        <v>0</v>
      </c>
      <c r="B183" s="17"/>
      <c r="C183" s="18"/>
      <c r="D183" s="41"/>
      <c r="E183" s="20"/>
      <c r="F183" s="34"/>
      <c r="G183" s="23"/>
      <c r="H183" s="23"/>
      <c r="I183" s="23"/>
      <c r="J183" s="23"/>
      <c r="K183" s="23"/>
      <c r="L183" s="23"/>
      <c r="M183" s="23"/>
      <c r="N183" s="23"/>
      <c r="O183" s="24"/>
      <c r="P183" s="16" t="b">
        <v>0</v>
      </c>
      <c r="Q183" s="24"/>
      <c r="R183" s="25"/>
      <c r="S183" s="25"/>
      <c r="T183" s="35"/>
      <c r="U183" s="24"/>
      <c r="V183" s="28" t="s">
        <v>32</v>
      </c>
      <c r="W183" s="29" t="s">
        <v>22</v>
      </c>
      <c r="X183" s="37" t="s">
        <v>205</v>
      </c>
      <c r="Y183" s="31"/>
      <c r="Z183" s="26" t="str">
        <f t="shared" si="5"/>
        <v/>
      </c>
      <c r="AA183" s="26" t="str">
        <f t="shared" si="6"/>
        <v/>
      </c>
      <c r="AB183" s="32" t="str">
        <f t="shared" si="7"/>
        <v/>
      </c>
      <c r="AC183" s="32" t="str">
        <f t="shared" ref="AC183:AG183" si="187">IF(J183&lt;&gt;"", IF(AND($P183=FALSE, $A183=FALSE), -J183, IF(AND($P183=FALSE, $A183=TRUE), 0, IF($P183=TRUE, (J183 / $R183) * 100 * ($S183 / 100)-J183, ))), )</f>
        <v/>
      </c>
      <c r="AD183" s="32" t="str">
        <f t="shared" si="187"/>
        <v/>
      </c>
      <c r="AE183" s="32" t="str">
        <f t="shared" si="187"/>
        <v/>
      </c>
      <c r="AF183" s="32" t="str">
        <f t="shared" si="187"/>
        <v/>
      </c>
      <c r="AG183" s="32" t="str">
        <f t="shared" si="187"/>
        <v/>
      </c>
      <c r="AH183" s="33"/>
    </row>
    <row r="184" hidden="1" outlineLevel="3">
      <c r="A184" s="16" t="b">
        <v>0</v>
      </c>
      <c r="B184" s="17"/>
      <c r="C184" s="18"/>
      <c r="D184" s="41"/>
      <c r="E184" s="20"/>
      <c r="F184" s="34"/>
      <c r="G184" s="23"/>
      <c r="H184" s="23"/>
      <c r="I184" s="23"/>
      <c r="J184" s="23"/>
      <c r="K184" s="23"/>
      <c r="L184" s="23"/>
      <c r="M184" s="23"/>
      <c r="N184" s="23"/>
      <c r="O184" s="24"/>
      <c r="P184" s="16" t="b">
        <v>0</v>
      </c>
      <c r="Q184" s="24"/>
      <c r="R184" s="25"/>
      <c r="S184" s="25"/>
      <c r="T184" s="35"/>
      <c r="U184" s="24"/>
      <c r="V184" s="52" t="s">
        <v>29</v>
      </c>
      <c r="W184" s="29" t="s">
        <v>22</v>
      </c>
      <c r="X184" s="37" t="s">
        <v>206</v>
      </c>
      <c r="Y184" s="31"/>
      <c r="Z184" s="26" t="str">
        <f t="shared" si="5"/>
        <v/>
      </c>
      <c r="AA184" s="26" t="str">
        <f t="shared" si="6"/>
        <v/>
      </c>
      <c r="AB184" s="32" t="str">
        <f t="shared" si="7"/>
        <v/>
      </c>
      <c r="AC184" s="32" t="str">
        <f t="shared" ref="AC184:AG184" si="188">IF(J184&lt;&gt;"", IF(AND($P184=FALSE, $A184=FALSE), -J184, IF(AND($P184=FALSE, $A184=TRUE), 0, IF($P184=TRUE, (J184 / $R184) * 100 * ($S184 / 100)-J184, ))), )</f>
        <v/>
      </c>
      <c r="AD184" s="32" t="str">
        <f t="shared" si="188"/>
        <v/>
      </c>
      <c r="AE184" s="32" t="str">
        <f t="shared" si="188"/>
        <v/>
      </c>
      <c r="AF184" s="32" t="str">
        <f t="shared" si="188"/>
        <v/>
      </c>
      <c r="AG184" s="32" t="str">
        <f t="shared" si="188"/>
        <v/>
      </c>
      <c r="AH184" s="33"/>
    </row>
    <row r="185" hidden="1" outlineLevel="3">
      <c r="A185" s="16" t="b">
        <v>0</v>
      </c>
      <c r="B185" s="17"/>
      <c r="C185" s="18"/>
      <c r="D185" s="41"/>
      <c r="E185" s="20"/>
      <c r="F185" s="34"/>
      <c r="G185" s="23"/>
      <c r="H185" s="23"/>
      <c r="I185" s="23"/>
      <c r="J185" s="23"/>
      <c r="K185" s="23"/>
      <c r="L185" s="23"/>
      <c r="M185" s="23"/>
      <c r="N185" s="23"/>
      <c r="O185" s="24"/>
      <c r="P185" s="16" t="b">
        <v>0</v>
      </c>
      <c r="Q185" s="24"/>
      <c r="R185" s="25"/>
      <c r="S185" s="25"/>
      <c r="T185" s="35"/>
      <c r="U185" s="24"/>
      <c r="V185" s="52" t="s">
        <v>29</v>
      </c>
      <c r="W185" s="29" t="s">
        <v>22</v>
      </c>
      <c r="X185" s="37" t="s">
        <v>207</v>
      </c>
      <c r="Y185" s="31"/>
      <c r="Z185" s="26" t="str">
        <f t="shared" si="5"/>
        <v/>
      </c>
      <c r="AA185" s="26" t="str">
        <f t="shared" si="6"/>
        <v/>
      </c>
      <c r="AB185" s="32" t="str">
        <f t="shared" si="7"/>
        <v/>
      </c>
      <c r="AC185" s="32" t="str">
        <f t="shared" ref="AC185:AG185" si="189">IF(J185&lt;&gt;"", IF(AND($P185=FALSE, $A185=FALSE), -J185, IF(AND($P185=FALSE, $A185=TRUE), 0, IF($P185=TRUE, (J185 / $R185) * 100 * ($S185 / 100)-J185, ))), )</f>
        <v/>
      </c>
      <c r="AD185" s="32" t="str">
        <f t="shared" si="189"/>
        <v/>
      </c>
      <c r="AE185" s="32" t="str">
        <f t="shared" si="189"/>
        <v/>
      </c>
      <c r="AF185" s="32" t="str">
        <f t="shared" si="189"/>
        <v/>
      </c>
      <c r="AG185" s="32" t="str">
        <f t="shared" si="189"/>
        <v/>
      </c>
      <c r="AH185" s="33"/>
    </row>
    <row r="186" hidden="1" outlineLevel="3">
      <c r="A186" s="16" t="b">
        <v>0</v>
      </c>
      <c r="B186" s="17"/>
      <c r="C186" s="18"/>
      <c r="D186" s="41"/>
      <c r="E186" s="20"/>
      <c r="F186" s="34"/>
      <c r="G186" s="23"/>
      <c r="H186" s="23"/>
      <c r="I186" s="23"/>
      <c r="J186" s="23"/>
      <c r="K186" s="23"/>
      <c r="L186" s="23"/>
      <c r="M186" s="23"/>
      <c r="N186" s="23"/>
      <c r="O186" s="24"/>
      <c r="P186" s="16" t="b">
        <v>0</v>
      </c>
      <c r="Q186" s="24"/>
      <c r="R186" s="25"/>
      <c r="S186" s="25"/>
      <c r="T186" s="35"/>
      <c r="U186" s="24"/>
      <c r="V186" s="52" t="s">
        <v>29</v>
      </c>
      <c r="W186" s="29" t="s">
        <v>22</v>
      </c>
      <c r="X186" s="37" t="s">
        <v>208</v>
      </c>
      <c r="Y186" s="31"/>
      <c r="Z186" s="26" t="str">
        <f t="shared" si="5"/>
        <v/>
      </c>
      <c r="AA186" s="26" t="str">
        <f t="shared" si="6"/>
        <v/>
      </c>
      <c r="AB186" s="32" t="str">
        <f t="shared" si="7"/>
        <v/>
      </c>
      <c r="AC186" s="32" t="str">
        <f t="shared" ref="AC186:AG186" si="190">IF(J186&lt;&gt;"", IF(AND($P186=FALSE, $A186=FALSE), -J186, IF(AND($P186=FALSE, $A186=TRUE), 0, IF($P186=TRUE, (J186 / $R186) * 100 * ($S186 / 100)-J186, ))), )</f>
        <v/>
      </c>
      <c r="AD186" s="32" t="str">
        <f t="shared" si="190"/>
        <v/>
      </c>
      <c r="AE186" s="32" t="str">
        <f t="shared" si="190"/>
        <v/>
      </c>
      <c r="AF186" s="32" t="str">
        <f t="shared" si="190"/>
        <v/>
      </c>
      <c r="AG186" s="32" t="str">
        <f t="shared" si="190"/>
        <v/>
      </c>
      <c r="AH186" s="33"/>
    </row>
    <row r="187" hidden="1" outlineLevel="3">
      <c r="A187" s="16" t="b">
        <v>0</v>
      </c>
      <c r="B187" s="17"/>
      <c r="C187" s="18"/>
      <c r="D187" s="41"/>
      <c r="E187" s="20"/>
      <c r="F187" s="34"/>
      <c r="G187" s="23"/>
      <c r="H187" s="23"/>
      <c r="I187" s="23"/>
      <c r="J187" s="23"/>
      <c r="K187" s="23"/>
      <c r="L187" s="23"/>
      <c r="M187" s="23"/>
      <c r="N187" s="23"/>
      <c r="O187" s="24"/>
      <c r="P187" s="16" t="b">
        <v>0</v>
      </c>
      <c r="Q187" s="24"/>
      <c r="R187" s="25"/>
      <c r="S187" s="25"/>
      <c r="T187" s="35"/>
      <c r="U187" s="24"/>
      <c r="V187" s="52" t="s">
        <v>29</v>
      </c>
      <c r="W187" s="29" t="s">
        <v>22</v>
      </c>
      <c r="X187" s="37" t="s">
        <v>209</v>
      </c>
      <c r="Y187" s="31"/>
      <c r="Z187" s="26" t="str">
        <f t="shared" si="5"/>
        <v/>
      </c>
      <c r="AA187" s="26" t="str">
        <f t="shared" si="6"/>
        <v/>
      </c>
      <c r="AB187" s="32" t="str">
        <f t="shared" si="7"/>
        <v/>
      </c>
      <c r="AC187" s="32" t="str">
        <f t="shared" ref="AC187:AG187" si="191">IF(J187&lt;&gt;"", IF(AND($P187=FALSE, $A187=FALSE), -J187, IF(AND($P187=FALSE, $A187=TRUE), 0, IF($P187=TRUE, (J187 / $R187) * 100 * ($S187 / 100)-J187, ))), )</f>
        <v/>
      </c>
      <c r="AD187" s="32" t="str">
        <f t="shared" si="191"/>
        <v/>
      </c>
      <c r="AE187" s="32" t="str">
        <f t="shared" si="191"/>
        <v/>
      </c>
      <c r="AF187" s="32" t="str">
        <f t="shared" si="191"/>
        <v/>
      </c>
      <c r="AG187" s="32" t="str">
        <f t="shared" si="191"/>
        <v/>
      </c>
      <c r="AH187" s="33"/>
    </row>
    <row r="188" hidden="1" outlineLevel="2" collapsed="1">
      <c r="A188" s="16" t="b">
        <v>0</v>
      </c>
      <c r="B188" s="17"/>
      <c r="C188" s="18"/>
      <c r="D188" s="41">
        <v>45236.0</v>
      </c>
      <c r="E188" s="20" t="s">
        <v>60</v>
      </c>
      <c r="F188" s="21" t="s">
        <v>61</v>
      </c>
      <c r="G188" s="23">
        <v>2.0</v>
      </c>
      <c r="H188" s="23">
        <v>1.0</v>
      </c>
      <c r="I188" s="23">
        <v>2.0</v>
      </c>
      <c r="J188" s="23"/>
      <c r="K188" s="23"/>
      <c r="L188" s="23"/>
      <c r="M188" s="23"/>
      <c r="N188" s="23"/>
      <c r="O188" s="24"/>
      <c r="P188" s="16" t="b">
        <v>0</v>
      </c>
      <c r="Q188" s="24"/>
      <c r="R188" s="25">
        <v>5.0</v>
      </c>
      <c r="S188" s="26">
        <v>10.92</v>
      </c>
      <c r="T188" s="27" t="s">
        <v>210</v>
      </c>
      <c r="U188" s="24"/>
      <c r="V188" s="28"/>
      <c r="W188" s="29"/>
      <c r="X188" s="30"/>
      <c r="Y188" s="31"/>
      <c r="Z188" s="26">
        <f t="shared" si="5"/>
        <v>-2</v>
      </c>
      <c r="AA188" s="26">
        <f t="shared" si="6"/>
        <v>-2</v>
      </c>
      <c r="AB188" s="32">
        <f t="shared" si="7"/>
        <v>-1</v>
      </c>
      <c r="AC188" s="32" t="str">
        <f t="shared" ref="AC188:AG188" si="192">IF(J188&lt;&gt;"", IF(AND($P188=FALSE, $A188=FALSE), -J188, IF(AND($P188=FALSE, $A188=TRUE), 0, IF($P188=TRUE, (J188 / $R188) * 100 * ($S188 / 100)-J188, ))), )</f>
        <v/>
      </c>
      <c r="AD188" s="32" t="str">
        <f t="shared" si="192"/>
        <v/>
      </c>
      <c r="AE188" s="32" t="str">
        <f t="shared" si="192"/>
        <v/>
      </c>
      <c r="AF188" s="32" t="str">
        <f t="shared" si="192"/>
        <v/>
      </c>
      <c r="AG188" s="32" t="str">
        <f t="shared" si="192"/>
        <v/>
      </c>
      <c r="AH188" s="33"/>
    </row>
    <row r="189" hidden="1" outlineLevel="3">
      <c r="A189" s="16" t="b">
        <v>0</v>
      </c>
      <c r="B189" s="17"/>
      <c r="C189" s="18"/>
      <c r="D189" s="41"/>
      <c r="E189" s="20"/>
      <c r="F189" s="34"/>
      <c r="G189" s="23"/>
      <c r="H189" s="23"/>
      <c r="I189" s="23"/>
      <c r="J189" s="23"/>
      <c r="K189" s="23"/>
      <c r="L189" s="23"/>
      <c r="M189" s="23"/>
      <c r="N189" s="23"/>
      <c r="O189" s="24"/>
      <c r="P189" s="16" t="b">
        <v>0</v>
      </c>
      <c r="Q189" s="24"/>
      <c r="R189" s="25"/>
      <c r="S189" s="25"/>
      <c r="T189" s="35"/>
      <c r="U189" s="24"/>
      <c r="V189" s="52" t="s">
        <v>29</v>
      </c>
      <c r="W189" s="29" t="s">
        <v>22</v>
      </c>
      <c r="X189" s="37" t="s">
        <v>211</v>
      </c>
      <c r="Y189" s="31"/>
      <c r="Z189" s="26" t="str">
        <f t="shared" si="5"/>
        <v/>
      </c>
      <c r="AA189" s="26" t="str">
        <f t="shared" si="6"/>
        <v/>
      </c>
      <c r="AB189" s="32" t="str">
        <f t="shared" si="7"/>
        <v/>
      </c>
      <c r="AC189" s="32" t="str">
        <f t="shared" ref="AC189:AG189" si="193">IF(J189&lt;&gt;"", IF(AND($P189=FALSE, $A189=FALSE), -J189, IF(AND($P189=FALSE, $A189=TRUE), 0, IF($P189=TRUE, (J189 / $R189) * 100 * ($S189 / 100)-J189, ))), )</f>
        <v/>
      </c>
      <c r="AD189" s="32" t="str">
        <f t="shared" si="193"/>
        <v/>
      </c>
      <c r="AE189" s="32" t="str">
        <f t="shared" si="193"/>
        <v/>
      </c>
      <c r="AF189" s="32" t="str">
        <f t="shared" si="193"/>
        <v/>
      </c>
      <c r="AG189" s="32" t="str">
        <f t="shared" si="193"/>
        <v/>
      </c>
      <c r="AH189" s="33"/>
    </row>
    <row r="190" hidden="1" outlineLevel="3">
      <c r="A190" s="16" t="b">
        <v>0</v>
      </c>
      <c r="B190" s="17"/>
      <c r="C190" s="18"/>
      <c r="D190" s="41"/>
      <c r="E190" s="20"/>
      <c r="F190" s="34"/>
      <c r="G190" s="23"/>
      <c r="H190" s="23"/>
      <c r="I190" s="23"/>
      <c r="J190" s="23"/>
      <c r="K190" s="23"/>
      <c r="L190" s="23"/>
      <c r="M190" s="23"/>
      <c r="N190" s="23"/>
      <c r="O190" s="24"/>
      <c r="P190" s="16" t="b">
        <v>0</v>
      </c>
      <c r="Q190" s="24"/>
      <c r="R190" s="25"/>
      <c r="S190" s="25"/>
      <c r="T190" s="35"/>
      <c r="U190" s="24"/>
      <c r="V190" s="52" t="s">
        <v>29</v>
      </c>
      <c r="W190" s="29" t="s">
        <v>22</v>
      </c>
      <c r="X190" s="37" t="s">
        <v>212</v>
      </c>
      <c r="Y190" s="31"/>
      <c r="Z190" s="26" t="str">
        <f t="shared" si="5"/>
        <v/>
      </c>
      <c r="AA190" s="26" t="str">
        <f t="shared" si="6"/>
        <v/>
      </c>
      <c r="AB190" s="32" t="str">
        <f t="shared" si="7"/>
        <v/>
      </c>
      <c r="AC190" s="32" t="str">
        <f t="shared" ref="AC190:AG190" si="194">IF(J190&lt;&gt;"", IF(AND($P190=FALSE, $A190=FALSE), -J190, IF(AND($P190=FALSE, $A190=TRUE), 0, IF($P190=TRUE, (J190 / $R190) * 100 * ($S190 / 100)-J190, ))), )</f>
        <v/>
      </c>
      <c r="AD190" s="32" t="str">
        <f t="shared" si="194"/>
        <v/>
      </c>
      <c r="AE190" s="32" t="str">
        <f t="shared" si="194"/>
        <v/>
      </c>
      <c r="AF190" s="32" t="str">
        <f t="shared" si="194"/>
        <v/>
      </c>
      <c r="AG190" s="32" t="str">
        <f t="shared" si="194"/>
        <v/>
      </c>
      <c r="AH190" s="33"/>
    </row>
    <row r="191" hidden="1" outlineLevel="3">
      <c r="A191" s="16" t="b">
        <v>0</v>
      </c>
      <c r="B191" s="17"/>
      <c r="C191" s="18"/>
      <c r="D191" s="41"/>
      <c r="E191" s="20"/>
      <c r="F191" s="34"/>
      <c r="G191" s="23"/>
      <c r="H191" s="23"/>
      <c r="I191" s="23"/>
      <c r="J191" s="23"/>
      <c r="K191" s="23"/>
      <c r="L191" s="23"/>
      <c r="M191" s="23"/>
      <c r="N191" s="23"/>
      <c r="O191" s="24"/>
      <c r="P191" s="16" t="b">
        <v>0</v>
      </c>
      <c r="Q191" s="24"/>
      <c r="R191" s="25"/>
      <c r="S191" s="25"/>
      <c r="T191" s="35"/>
      <c r="U191" s="24"/>
      <c r="V191" s="28" t="s">
        <v>32</v>
      </c>
      <c r="W191" s="29" t="s">
        <v>22</v>
      </c>
      <c r="X191" s="37" t="s">
        <v>213</v>
      </c>
      <c r="Y191" s="31"/>
      <c r="Z191" s="26" t="str">
        <f t="shared" si="5"/>
        <v/>
      </c>
      <c r="AA191" s="26" t="str">
        <f t="shared" si="6"/>
        <v/>
      </c>
      <c r="AB191" s="32" t="str">
        <f t="shared" si="7"/>
        <v/>
      </c>
      <c r="AC191" s="32" t="str">
        <f t="shared" ref="AC191:AG191" si="195">IF(J191&lt;&gt;"", IF(AND($P191=FALSE, $A191=FALSE), -J191, IF(AND($P191=FALSE, $A191=TRUE), 0, IF($P191=TRUE, (J191 / $R191) * 100 * ($S191 / 100)-J191, ))), )</f>
        <v/>
      </c>
      <c r="AD191" s="32" t="str">
        <f t="shared" si="195"/>
        <v/>
      </c>
      <c r="AE191" s="32" t="str">
        <f t="shared" si="195"/>
        <v/>
      </c>
      <c r="AF191" s="32" t="str">
        <f t="shared" si="195"/>
        <v/>
      </c>
      <c r="AG191" s="32" t="str">
        <f t="shared" si="195"/>
        <v/>
      </c>
      <c r="AH191" s="33"/>
    </row>
    <row r="192" hidden="1" outlineLevel="2" collapsed="1">
      <c r="A192" s="16" t="b">
        <v>0</v>
      </c>
      <c r="B192" s="17"/>
      <c r="C192" s="18"/>
      <c r="D192" s="41">
        <v>45236.0</v>
      </c>
      <c r="E192" s="20" t="s">
        <v>60</v>
      </c>
      <c r="F192" s="21" t="s">
        <v>61</v>
      </c>
      <c r="G192" s="23">
        <v>2.0</v>
      </c>
      <c r="H192" s="23">
        <v>1.0</v>
      </c>
      <c r="I192" s="23">
        <v>1.0</v>
      </c>
      <c r="J192" s="23"/>
      <c r="K192" s="23"/>
      <c r="L192" s="23"/>
      <c r="M192" s="23"/>
      <c r="N192" s="23"/>
      <c r="O192" s="24"/>
      <c r="P192" s="16" t="b">
        <v>1</v>
      </c>
      <c r="Q192" s="24"/>
      <c r="R192" s="25">
        <v>4.0</v>
      </c>
      <c r="S192" s="26">
        <v>9.85</v>
      </c>
      <c r="T192" s="27" t="s">
        <v>214</v>
      </c>
      <c r="U192" s="24"/>
      <c r="V192" s="28"/>
      <c r="W192" s="29"/>
      <c r="X192" s="30"/>
      <c r="Y192" s="31"/>
      <c r="Z192" s="26">
        <f t="shared" si="5"/>
        <v>2.925</v>
      </c>
      <c r="AA192" s="26">
        <f t="shared" si="6"/>
        <v>1.4625</v>
      </c>
      <c r="AB192" s="32">
        <f t="shared" si="7"/>
        <v>1.4625</v>
      </c>
      <c r="AC192" s="32" t="str">
        <f t="shared" ref="AC192:AG192" si="196">IF(J192&lt;&gt;"", IF(AND($P192=FALSE, $A192=FALSE), -J192, IF(AND($P192=FALSE, $A192=TRUE), 0, IF($P192=TRUE, (J192 / $R192) * 100 * ($S192 / 100)-J192, ))), )</f>
        <v/>
      </c>
      <c r="AD192" s="32" t="str">
        <f t="shared" si="196"/>
        <v/>
      </c>
      <c r="AE192" s="32" t="str">
        <f t="shared" si="196"/>
        <v/>
      </c>
      <c r="AF192" s="32" t="str">
        <f t="shared" si="196"/>
        <v/>
      </c>
      <c r="AG192" s="32" t="str">
        <f t="shared" si="196"/>
        <v/>
      </c>
      <c r="AH192" s="33"/>
    </row>
    <row r="193" hidden="1" outlineLevel="3">
      <c r="A193" s="16" t="b">
        <v>0</v>
      </c>
      <c r="B193" s="17"/>
      <c r="C193" s="18"/>
      <c r="D193" s="41"/>
      <c r="E193" s="20"/>
      <c r="F193" s="34"/>
      <c r="G193" s="23"/>
      <c r="H193" s="23"/>
      <c r="I193" s="23"/>
      <c r="J193" s="23"/>
      <c r="K193" s="23"/>
      <c r="L193" s="23"/>
      <c r="M193" s="23"/>
      <c r="N193" s="23"/>
      <c r="O193" s="24"/>
      <c r="P193" s="16" t="b">
        <v>0</v>
      </c>
      <c r="Q193" s="24"/>
      <c r="R193" s="25"/>
      <c r="S193" s="25"/>
      <c r="T193" s="35"/>
      <c r="U193" s="24"/>
      <c r="V193" s="52" t="s">
        <v>29</v>
      </c>
      <c r="W193" s="29" t="s">
        <v>22</v>
      </c>
      <c r="X193" s="37" t="s">
        <v>215</v>
      </c>
      <c r="Y193" s="31"/>
      <c r="Z193" s="26" t="str">
        <f t="shared" si="5"/>
        <v/>
      </c>
      <c r="AA193" s="26" t="str">
        <f t="shared" si="6"/>
        <v/>
      </c>
      <c r="AB193" s="32" t="str">
        <f t="shared" si="7"/>
        <v/>
      </c>
      <c r="AC193" s="32" t="str">
        <f t="shared" ref="AC193:AG193" si="197">IF(J193&lt;&gt;"", IF(AND($P193=FALSE, $A193=FALSE), -J193, IF(AND($P193=FALSE, $A193=TRUE), 0, IF($P193=TRUE, (J193 / $R193) * 100 * ($S193 / 100)-J193, ))), )</f>
        <v/>
      </c>
      <c r="AD193" s="32" t="str">
        <f t="shared" si="197"/>
        <v/>
      </c>
      <c r="AE193" s="32" t="str">
        <f t="shared" si="197"/>
        <v/>
      </c>
      <c r="AF193" s="32" t="str">
        <f t="shared" si="197"/>
        <v/>
      </c>
      <c r="AG193" s="32" t="str">
        <f t="shared" si="197"/>
        <v/>
      </c>
      <c r="AH193" s="33"/>
    </row>
    <row r="194" hidden="1" outlineLevel="3">
      <c r="A194" s="16" t="b">
        <v>0</v>
      </c>
      <c r="B194" s="17"/>
      <c r="C194" s="18"/>
      <c r="D194" s="41"/>
      <c r="E194" s="20"/>
      <c r="F194" s="34"/>
      <c r="G194" s="23"/>
      <c r="H194" s="23"/>
      <c r="I194" s="23"/>
      <c r="J194" s="23"/>
      <c r="K194" s="23"/>
      <c r="L194" s="23"/>
      <c r="M194" s="23"/>
      <c r="N194" s="23"/>
      <c r="O194" s="24"/>
      <c r="P194" s="16" t="b">
        <v>0</v>
      </c>
      <c r="Q194" s="24"/>
      <c r="R194" s="25"/>
      <c r="S194" s="25"/>
      <c r="T194" s="35"/>
      <c r="U194" s="24"/>
      <c r="V194" s="52" t="s">
        <v>29</v>
      </c>
      <c r="W194" s="29" t="s">
        <v>22</v>
      </c>
      <c r="X194" s="37" t="s">
        <v>216</v>
      </c>
      <c r="Y194" s="31"/>
      <c r="Z194" s="26" t="str">
        <f t="shared" si="5"/>
        <v/>
      </c>
      <c r="AA194" s="26" t="str">
        <f t="shared" si="6"/>
        <v/>
      </c>
      <c r="AB194" s="32" t="str">
        <f t="shared" si="7"/>
        <v/>
      </c>
      <c r="AC194" s="32" t="str">
        <f t="shared" ref="AC194:AG194" si="198">IF(J194&lt;&gt;"", IF(AND($P194=FALSE, $A194=FALSE), -J194, IF(AND($P194=FALSE, $A194=TRUE), 0, IF($P194=TRUE, (J194 / $R194) * 100 * ($S194 / 100)-J194, ))), )</f>
        <v/>
      </c>
      <c r="AD194" s="32" t="str">
        <f t="shared" si="198"/>
        <v/>
      </c>
      <c r="AE194" s="32" t="str">
        <f t="shared" si="198"/>
        <v/>
      </c>
      <c r="AF194" s="32" t="str">
        <f t="shared" si="198"/>
        <v/>
      </c>
      <c r="AG194" s="32" t="str">
        <f t="shared" si="198"/>
        <v/>
      </c>
      <c r="AH194" s="33"/>
    </row>
    <row r="195" hidden="1" outlineLevel="3">
      <c r="A195" s="16" t="b">
        <v>0</v>
      </c>
      <c r="B195" s="17"/>
      <c r="C195" s="18"/>
      <c r="D195" s="41"/>
      <c r="E195" s="20"/>
      <c r="F195" s="34"/>
      <c r="G195" s="23"/>
      <c r="H195" s="23"/>
      <c r="I195" s="23"/>
      <c r="J195" s="23"/>
      <c r="K195" s="23"/>
      <c r="L195" s="23"/>
      <c r="M195" s="23"/>
      <c r="N195" s="23"/>
      <c r="O195" s="24"/>
      <c r="P195" s="16" t="b">
        <v>0</v>
      </c>
      <c r="Q195" s="24"/>
      <c r="R195" s="25"/>
      <c r="S195" s="25"/>
      <c r="T195" s="35"/>
      <c r="U195" s="24"/>
      <c r="V195" s="52" t="s">
        <v>29</v>
      </c>
      <c r="W195" s="29" t="s">
        <v>22</v>
      </c>
      <c r="X195" s="37" t="s">
        <v>217</v>
      </c>
      <c r="Y195" s="31"/>
      <c r="Z195" s="26" t="str">
        <f t="shared" si="5"/>
        <v/>
      </c>
      <c r="AA195" s="26" t="str">
        <f t="shared" si="6"/>
        <v/>
      </c>
      <c r="AB195" s="32" t="str">
        <f t="shared" si="7"/>
        <v/>
      </c>
      <c r="AC195" s="32" t="str">
        <f t="shared" ref="AC195:AG195" si="199">IF(J195&lt;&gt;"", IF(AND($P195=FALSE, $A195=FALSE), -J195, IF(AND($P195=FALSE, $A195=TRUE), 0, IF($P195=TRUE, (J195 / $R195) * 100 * ($S195 / 100)-J195, ))), )</f>
        <v/>
      </c>
      <c r="AD195" s="32" t="str">
        <f t="shared" si="199"/>
        <v/>
      </c>
      <c r="AE195" s="32" t="str">
        <f t="shared" si="199"/>
        <v/>
      </c>
      <c r="AF195" s="32" t="str">
        <f t="shared" si="199"/>
        <v/>
      </c>
      <c r="AG195" s="32" t="str">
        <f t="shared" si="199"/>
        <v/>
      </c>
      <c r="AH195" s="33"/>
    </row>
    <row r="196" hidden="1" outlineLevel="2" collapsed="1">
      <c r="A196" s="16" t="b">
        <v>0</v>
      </c>
      <c r="B196" s="17"/>
      <c r="C196" s="18"/>
      <c r="D196" s="41">
        <v>45236.0</v>
      </c>
      <c r="E196" s="20" t="s">
        <v>60</v>
      </c>
      <c r="F196" s="21" t="s">
        <v>61</v>
      </c>
      <c r="G196" s="23">
        <v>0.01</v>
      </c>
      <c r="H196" s="23">
        <v>0.01</v>
      </c>
      <c r="I196" s="23">
        <v>0.01</v>
      </c>
      <c r="J196" s="23"/>
      <c r="K196" s="23"/>
      <c r="L196" s="23"/>
      <c r="M196" s="23"/>
      <c r="N196" s="23"/>
      <c r="O196" s="24"/>
      <c r="P196" s="16" t="b">
        <v>1</v>
      </c>
      <c r="Q196" s="24"/>
      <c r="R196" s="25">
        <v>0.03</v>
      </c>
      <c r="S196" s="26">
        <v>20.0</v>
      </c>
      <c r="T196" s="27" t="s">
        <v>218</v>
      </c>
      <c r="U196" s="24"/>
      <c r="V196" s="28"/>
      <c r="W196" s="29"/>
      <c r="X196" s="30"/>
      <c r="Y196" s="31"/>
      <c r="Z196" s="26">
        <f t="shared" si="5"/>
        <v>6.656666667</v>
      </c>
      <c r="AA196" s="26">
        <f t="shared" si="6"/>
        <v>6.656666667</v>
      </c>
      <c r="AB196" s="32">
        <f t="shared" si="7"/>
        <v>6.656666667</v>
      </c>
      <c r="AC196" s="32" t="str">
        <f t="shared" ref="AC196:AG196" si="200">IF(J196&lt;&gt;"", IF(AND($P196=FALSE, $A196=FALSE), -J196, IF(AND($P196=FALSE, $A196=TRUE), 0, IF($P196=TRUE, (J196 / $R196) * 100 * ($S196 / 100)-J196, ))), )</f>
        <v/>
      </c>
      <c r="AD196" s="32" t="str">
        <f t="shared" si="200"/>
        <v/>
      </c>
      <c r="AE196" s="32" t="str">
        <f t="shared" si="200"/>
        <v/>
      </c>
      <c r="AF196" s="32" t="str">
        <f t="shared" si="200"/>
        <v/>
      </c>
      <c r="AG196" s="32" t="str">
        <f t="shared" si="200"/>
        <v/>
      </c>
      <c r="AH196" s="33"/>
    </row>
    <row r="197" hidden="1" outlineLevel="3">
      <c r="A197" s="16" t="b">
        <v>0</v>
      </c>
      <c r="B197" s="17"/>
      <c r="C197" s="18"/>
      <c r="D197" s="19"/>
      <c r="E197" s="20"/>
      <c r="F197" s="34"/>
      <c r="G197" s="23"/>
      <c r="H197" s="23"/>
      <c r="I197" s="23"/>
      <c r="J197" s="23"/>
      <c r="K197" s="23"/>
      <c r="L197" s="23"/>
      <c r="M197" s="23"/>
      <c r="N197" s="23"/>
      <c r="O197" s="24"/>
      <c r="P197" s="16" t="b">
        <v>0</v>
      </c>
      <c r="Q197" s="24"/>
      <c r="R197" s="25"/>
      <c r="S197" s="25"/>
      <c r="T197" s="35"/>
      <c r="U197" s="24"/>
      <c r="V197" s="52" t="s">
        <v>29</v>
      </c>
      <c r="W197" s="29" t="s">
        <v>22</v>
      </c>
      <c r="X197" s="37" t="s">
        <v>204</v>
      </c>
      <c r="Y197" s="31"/>
      <c r="Z197" s="26" t="str">
        <f t="shared" si="5"/>
        <v/>
      </c>
      <c r="AA197" s="26" t="str">
        <f t="shared" si="6"/>
        <v/>
      </c>
      <c r="AB197" s="32" t="str">
        <f t="shared" si="7"/>
        <v/>
      </c>
      <c r="AC197" s="32" t="str">
        <f t="shared" ref="AC197:AG197" si="201">IF(J197&lt;&gt;"", IF(AND($P197=FALSE, $A197=FALSE), -J197, IF(AND($P197=FALSE, $A197=TRUE), 0, IF($P197=TRUE, (J197 / $R197) * 100 * ($S197 / 100)-J197, ))), )</f>
        <v/>
      </c>
      <c r="AD197" s="32" t="str">
        <f t="shared" si="201"/>
        <v/>
      </c>
      <c r="AE197" s="32" t="str">
        <f t="shared" si="201"/>
        <v/>
      </c>
      <c r="AF197" s="32" t="str">
        <f t="shared" si="201"/>
        <v/>
      </c>
      <c r="AG197" s="32" t="str">
        <f t="shared" si="201"/>
        <v/>
      </c>
      <c r="AH197" s="33"/>
    </row>
    <row r="198" hidden="1" outlineLevel="3">
      <c r="A198" s="16" t="b">
        <v>0</v>
      </c>
      <c r="B198" s="17"/>
      <c r="C198" s="18"/>
      <c r="D198" s="19"/>
      <c r="E198" s="20"/>
      <c r="F198" s="34"/>
      <c r="G198" s="23"/>
      <c r="H198" s="23"/>
      <c r="I198" s="23"/>
      <c r="J198" s="23"/>
      <c r="K198" s="23"/>
      <c r="L198" s="23"/>
      <c r="M198" s="23"/>
      <c r="N198" s="23"/>
      <c r="O198" s="24"/>
      <c r="P198" s="16" t="b">
        <v>0</v>
      </c>
      <c r="Q198" s="24"/>
      <c r="R198" s="25"/>
      <c r="S198" s="25"/>
      <c r="T198" s="35"/>
      <c r="U198" s="24"/>
      <c r="V198" s="28" t="s">
        <v>29</v>
      </c>
      <c r="W198" s="29" t="s">
        <v>22</v>
      </c>
      <c r="X198" s="37" t="s">
        <v>215</v>
      </c>
      <c r="Y198" s="31"/>
      <c r="Z198" s="26" t="str">
        <f t="shared" si="5"/>
        <v/>
      </c>
      <c r="AA198" s="26" t="str">
        <f t="shared" si="6"/>
        <v/>
      </c>
      <c r="AB198" s="32" t="str">
        <f t="shared" si="7"/>
        <v/>
      </c>
      <c r="AC198" s="32" t="str">
        <f t="shared" ref="AC198:AG198" si="202">IF(J198&lt;&gt;"", IF(AND($P198=FALSE, $A198=FALSE), -J198, IF(AND($P198=FALSE, $A198=TRUE), 0, IF($P198=TRUE, (J198 / $R198) * 100 * ($S198 / 100)-J198, ))), )</f>
        <v/>
      </c>
      <c r="AD198" s="32" t="str">
        <f t="shared" si="202"/>
        <v/>
      </c>
      <c r="AE198" s="32" t="str">
        <f t="shared" si="202"/>
        <v/>
      </c>
      <c r="AF198" s="32" t="str">
        <f t="shared" si="202"/>
        <v/>
      </c>
      <c r="AG198" s="32" t="str">
        <f t="shared" si="202"/>
        <v/>
      </c>
      <c r="AH198" s="33"/>
    </row>
    <row r="199" hidden="1" outlineLevel="3">
      <c r="A199" s="16" t="b">
        <v>0</v>
      </c>
      <c r="B199" s="17"/>
      <c r="C199" s="18"/>
      <c r="D199" s="19"/>
      <c r="E199" s="20"/>
      <c r="F199" s="34"/>
      <c r="G199" s="23"/>
      <c r="H199" s="23"/>
      <c r="I199" s="23"/>
      <c r="J199" s="23"/>
      <c r="K199" s="23"/>
      <c r="L199" s="23"/>
      <c r="M199" s="23"/>
      <c r="N199" s="23"/>
      <c r="O199" s="24"/>
      <c r="P199" s="16" t="b">
        <v>0</v>
      </c>
      <c r="Q199" s="24"/>
      <c r="R199" s="25"/>
      <c r="S199" s="25"/>
      <c r="T199" s="35"/>
      <c r="U199" s="24"/>
      <c r="V199" s="52" t="s">
        <v>29</v>
      </c>
      <c r="W199" s="29" t="s">
        <v>22</v>
      </c>
      <c r="X199" s="37" t="s">
        <v>219</v>
      </c>
      <c r="Y199" s="31"/>
      <c r="Z199" s="26" t="str">
        <f t="shared" si="5"/>
        <v/>
      </c>
      <c r="AA199" s="26" t="str">
        <f t="shared" si="6"/>
        <v/>
      </c>
      <c r="AB199" s="32" t="str">
        <f t="shared" si="7"/>
        <v/>
      </c>
      <c r="AC199" s="32" t="str">
        <f t="shared" ref="AC199:AG199" si="203">IF(J199&lt;&gt;"", IF(AND($P199=FALSE, $A199=FALSE), -J199, IF(AND($P199=FALSE, $A199=TRUE), 0, IF($P199=TRUE, (J199 / $R199) * 100 * ($S199 / 100)-J199, ))), )</f>
        <v/>
      </c>
      <c r="AD199" s="32" t="str">
        <f t="shared" si="203"/>
        <v/>
      </c>
      <c r="AE199" s="32" t="str">
        <f t="shared" si="203"/>
        <v/>
      </c>
      <c r="AF199" s="32" t="str">
        <f t="shared" si="203"/>
        <v/>
      </c>
      <c r="AG199" s="32" t="str">
        <f t="shared" si="203"/>
        <v/>
      </c>
      <c r="AH199" s="33"/>
    </row>
    <row r="200" hidden="1" outlineLevel="2">
      <c r="A200" s="16" t="b">
        <v>0</v>
      </c>
      <c r="B200" s="17"/>
      <c r="C200" s="18"/>
      <c r="D200" s="41">
        <v>45238.0</v>
      </c>
      <c r="E200" s="20" t="s">
        <v>60</v>
      </c>
      <c r="F200" s="21" t="s">
        <v>61</v>
      </c>
      <c r="G200" s="23">
        <v>2.0</v>
      </c>
      <c r="H200" s="23">
        <v>1.0</v>
      </c>
      <c r="I200" s="23">
        <v>2.0</v>
      </c>
      <c r="J200" s="23"/>
      <c r="K200" s="23"/>
      <c r="L200" s="23"/>
      <c r="M200" s="23"/>
      <c r="N200" s="23"/>
      <c r="O200" s="24"/>
      <c r="P200" s="16" t="b">
        <v>0</v>
      </c>
      <c r="Q200" s="24"/>
      <c r="R200" s="25">
        <v>5.0</v>
      </c>
      <c r="S200" s="26">
        <v>11.66</v>
      </c>
      <c r="T200" s="27" t="s">
        <v>129</v>
      </c>
      <c r="U200" s="24"/>
      <c r="V200" s="28"/>
      <c r="W200" s="29"/>
      <c r="X200" s="30"/>
      <c r="Y200" s="31"/>
      <c r="Z200" s="26">
        <f t="shared" si="5"/>
        <v>-2</v>
      </c>
      <c r="AA200" s="26">
        <f t="shared" si="6"/>
        <v>-2</v>
      </c>
      <c r="AB200" s="32">
        <f t="shared" si="7"/>
        <v>-1</v>
      </c>
      <c r="AC200" s="32" t="str">
        <f t="shared" ref="AC200:AG200" si="204">IF(J200&lt;&gt;"", IF(AND($P200=FALSE, $A200=FALSE), -J200, IF(AND($P200=FALSE, $A200=TRUE), 0, IF($P200=TRUE, (J200 / $R200) * 100 * ($S200 / 100)-J200, ))), )</f>
        <v/>
      </c>
      <c r="AD200" s="32" t="str">
        <f t="shared" si="204"/>
        <v/>
      </c>
      <c r="AE200" s="32" t="str">
        <f t="shared" si="204"/>
        <v/>
      </c>
      <c r="AF200" s="32" t="str">
        <f t="shared" si="204"/>
        <v/>
      </c>
      <c r="AG200" s="32" t="str">
        <f t="shared" si="204"/>
        <v/>
      </c>
      <c r="AH200" s="33"/>
    </row>
    <row r="201" hidden="1" outlineLevel="3">
      <c r="A201" s="16" t="b">
        <v>0</v>
      </c>
      <c r="B201" s="17"/>
      <c r="C201" s="18"/>
      <c r="D201" s="41"/>
      <c r="E201" s="20"/>
      <c r="F201" s="21"/>
      <c r="G201" s="23"/>
      <c r="H201" s="23"/>
      <c r="I201" s="23"/>
      <c r="J201" s="23"/>
      <c r="K201" s="23"/>
      <c r="L201" s="23"/>
      <c r="M201" s="23"/>
      <c r="N201" s="23"/>
      <c r="O201" s="24"/>
      <c r="P201" s="16" t="b">
        <v>0</v>
      </c>
      <c r="Q201" s="24"/>
      <c r="R201" s="25"/>
      <c r="S201" s="26"/>
      <c r="T201" s="27"/>
      <c r="U201" s="24"/>
      <c r="V201" s="28" t="s">
        <v>32</v>
      </c>
      <c r="W201" s="29" t="s">
        <v>22</v>
      </c>
      <c r="X201" s="37" t="s">
        <v>204</v>
      </c>
      <c r="Y201" s="31"/>
      <c r="Z201" s="26" t="str">
        <f t="shared" si="5"/>
        <v/>
      </c>
      <c r="AA201" s="26" t="str">
        <f t="shared" si="6"/>
        <v/>
      </c>
      <c r="AB201" s="32" t="str">
        <f t="shared" si="7"/>
        <v/>
      </c>
      <c r="AC201" s="32" t="str">
        <f t="shared" ref="AC201:AG201" si="205">IF(J201&lt;&gt;"", IF(AND($P201=FALSE, $A201=FALSE), -J201, IF(AND($P201=FALSE, $A201=TRUE), 0, IF($P201=TRUE, (J201 / $R201) * 100 * ($S201 / 100)-J201, ))), )</f>
        <v/>
      </c>
      <c r="AD201" s="32" t="str">
        <f t="shared" si="205"/>
        <v/>
      </c>
      <c r="AE201" s="32" t="str">
        <f t="shared" si="205"/>
        <v/>
      </c>
      <c r="AF201" s="32" t="str">
        <f t="shared" si="205"/>
        <v/>
      </c>
      <c r="AG201" s="32" t="str">
        <f t="shared" si="205"/>
        <v/>
      </c>
      <c r="AH201" s="33"/>
    </row>
    <row r="202" hidden="1" outlineLevel="3">
      <c r="A202" s="16" t="b">
        <v>0</v>
      </c>
      <c r="B202" s="17"/>
      <c r="C202" s="18"/>
      <c r="D202" s="41"/>
      <c r="E202" s="20"/>
      <c r="F202" s="21"/>
      <c r="G202" s="23"/>
      <c r="H202" s="23"/>
      <c r="I202" s="23"/>
      <c r="J202" s="23"/>
      <c r="K202" s="23"/>
      <c r="L202" s="23"/>
      <c r="M202" s="23"/>
      <c r="N202" s="23"/>
      <c r="O202" s="24"/>
      <c r="P202" s="16" t="b">
        <v>0</v>
      </c>
      <c r="Q202" s="24"/>
      <c r="R202" s="25"/>
      <c r="S202" s="26"/>
      <c r="T202" s="27"/>
      <c r="U202" s="24"/>
      <c r="V202" s="38" t="s">
        <v>29</v>
      </c>
      <c r="W202" s="29" t="s">
        <v>22</v>
      </c>
      <c r="X202" s="37" t="s">
        <v>180</v>
      </c>
      <c r="Y202" s="31"/>
      <c r="Z202" s="26" t="str">
        <f t="shared" si="5"/>
        <v/>
      </c>
      <c r="AA202" s="26" t="str">
        <f t="shared" si="6"/>
        <v/>
      </c>
      <c r="AB202" s="32" t="str">
        <f t="shared" si="7"/>
        <v/>
      </c>
      <c r="AC202" s="32" t="str">
        <f t="shared" ref="AC202:AG202" si="206">IF(J202&lt;&gt;"", IF(AND($P202=FALSE, $A202=FALSE), -J202, IF(AND($P202=FALSE, $A202=TRUE), 0, IF($P202=TRUE, (J202 / $R202) * 100 * ($S202 / 100)-J202, ))), )</f>
        <v/>
      </c>
      <c r="AD202" s="32" t="str">
        <f t="shared" si="206"/>
        <v/>
      </c>
      <c r="AE202" s="32" t="str">
        <f t="shared" si="206"/>
        <v/>
      </c>
      <c r="AF202" s="32" t="str">
        <f t="shared" si="206"/>
        <v/>
      </c>
      <c r="AG202" s="32" t="str">
        <f t="shared" si="206"/>
        <v/>
      </c>
      <c r="AH202" s="33"/>
    </row>
    <row r="203" hidden="1" outlineLevel="3">
      <c r="A203" s="16" t="b">
        <v>0</v>
      </c>
      <c r="B203" s="17"/>
      <c r="C203" s="18"/>
      <c r="D203" s="41"/>
      <c r="E203" s="20"/>
      <c r="F203" s="21"/>
      <c r="G203" s="23"/>
      <c r="H203" s="23"/>
      <c r="I203" s="23"/>
      <c r="J203" s="23"/>
      <c r="K203" s="23"/>
      <c r="L203" s="23"/>
      <c r="M203" s="23"/>
      <c r="N203" s="23"/>
      <c r="O203" s="24"/>
      <c r="P203" s="16" t="b">
        <v>0</v>
      </c>
      <c r="Q203" s="24"/>
      <c r="R203" s="25"/>
      <c r="S203" s="26"/>
      <c r="T203" s="27"/>
      <c r="U203" s="24"/>
      <c r="V203" s="38" t="s">
        <v>29</v>
      </c>
      <c r="W203" s="29" t="s">
        <v>22</v>
      </c>
      <c r="X203" s="37" t="s">
        <v>220</v>
      </c>
      <c r="Y203" s="31"/>
      <c r="Z203" s="26" t="str">
        <f t="shared" si="5"/>
        <v/>
      </c>
      <c r="AA203" s="26" t="str">
        <f t="shared" si="6"/>
        <v/>
      </c>
      <c r="AB203" s="32" t="str">
        <f t="shared" si="7"/>
        <v/>
      </c>
      <c r="AC203" s="32" t="str">
        <f t="shared" ref="AC203:AG203" si="207">IF(J203&lt;&gt;"", IF(AND($P203=FALSE, $A203=FALSE), -J203, IF(AND($P203=FALSE, $A203=TRUE), 0, IF($P203=TRUE, (J203 / $R203) * 100 * ($S203 / 100)-J203, ))), )</f>
        <v/>
      </c>
      <c r="AD203" s="32" t="str">
        <f t="shared" si="207"/>
        <v/>
      </c>
      <c r="AE203" s="32" t="str">
        <f t="shared" si="207"/>
        <v/>
      </c>
      <c r="AF203" s="32" t="str">
        <f t="shared" si="207"/>
        <v/>
      </c>
      <c r="AG203" s="32" t="str">
        <f t="shared" si="207"/>
        <v/>
      </c>
      <c r="AH203" s="33"/>
    </row>
    <row r="204" hidden="1" outlineLevel="1" collapsed="1">
      <c r="A204" s="16" t="b">
        <v>0</v>
      </c>
      <c r="B204" s="17"/>
      <c r="C204" s="18"/>
      <c r="D204" s="41">
        <v>45238.0</v>
      </c>
      <c r="E204" s="20" t="s">
        <v>60</v>
      </c>
      <c r="F204" s="21" t="s">
        <v>61</v>
      </c>
      <c r="G204" s="23">
        <v>2.0</v>
      </c>
      <c r="H204" s="23">
        <v>1.0</v>
      </c>
      <c r="I204" s="23">
        <v>2.0</v>
      </c>
      <c r="J204" s="23"/>
      <c r="K204" s="23"/>
      <c r="L204" s="23"/>
      <c r="M204" s="23"/>
      <c r="N204" s="23"/>
      <c r="O204" s="24"/>
      <c r="P204" s="16" t="b">
        <v>1</v>
      </c>
      <c r="Q204" s="24"/>
      <c r="R204" s="25">
        <v>5.0</v>
      </c>
      <c r="S204" s="26">
        <v>11.02</v>
      </c>
      <c r="T204" s="27" t="s">
        <v>221</v>
      </c>
      <c r="U204" s="24"/>
      <c r="V204" s="28"/>
      <c r="W204" s="29"/>
      <c r="X204" s="30"/>
      <c r="Y204" s="31"/>
      <c r="Z204" s="26">
        <f t="shared" si="5"/>
        <v>2.408</v>
      </c>
      <c r="AA204" s="26">
        <f t="shared" si="6"/>
        <v>2.408</v>
      </c>
      <c r="AB204" s="32">
        <f t="shared" si="7"/>
        <v>1.204</v>
      </c>
      <c r="AC204" s="32" t="str">
        <f t="shared" ref="AC204:AG204" si="208">IF(J204&lt;&gt;"", IF(AND($P204=FALSE, $A204=FALSE), -J204, IF(AND($P204=FALSE, $A204=TRUE), 0, IF($P204=TRUE, (J204 / $R204) * 100 * ($S204 / 100)-J204, ))), )</f>
        <v/>
      </c>
      <c r="AD204" s="32" t="str">
        <f t="shared" si="208"/>
        <v/>
      </c>
      <c r="AE204" s="32" t="str">
        <f t="shared" si="208"/>
        <v/>
      </c>
      <c r="AF204" s="32" t="str">
        <f t="shared" si="208"/>
        <v/>
      </c>
      <c r="AG204" s="32" t="str">
        <f t="shared" si="208"/>
        <v/>
      </c>
      <c r="AH204" s="33"/>
    </row>
    <row r="205" hidden="1" outlineLevel="3">
      <c r="A205" s="16" t="b">
        <v>0</v>
      </c>
      <c r="B205" s="17"/>
      <c r="C205" s="18"/>
      <c r="D205" s="41"/>
      <c r="E205" s="20"/>
      <c r="F205" s="21"/>
      <c r="G205" s="23"/>
      <c r="H205" s="23"/>
      <c r="I205" s="23"/>
      <c r="J205" s="23"/>
      <c r="K205" s="23"/>
      <c r="L205" s="23"/>
      <c r="M205" s="23"/>
      <c r="N205" s="23"/>
      <c r="O205" s="24"/>
      <c r="P205" s="16" t="b">
        <v>0</v>
      </c>
      <c r="Q205" s="24"/>
      <c r="R205" s="25"/>
      <c r="S205" s="26"/>
      <c r="T205" s="27"/>
      <c r="U205" s="24"/>
      <c r="V205" s="38" t="s">
        <v>29</v>
      </c>
      <c r="W205" s="29" t="s">
        <v>22</v>
      </c>
      <c r="X205" s="30" t="s">
        <v>184</v>
      </c>
      <c r="Y205" s="31"/>
      <c r="Z205" s="26" t="str">
        <f t="shared" si="5"/>
        <v/>
      </c>
      <c r="AA205" s="26" t="str">
        <f t="shared" si="6"/>
        <v/>
      </c>
      <c r="AB205" s="32" t="str">
        <f t="shared" si="7"/>
        <v/>
      </c>
      <c r="AC205" s="32" t="str">
        <f t="shared" ref="AC205:AG205" si="209">IF(J205&lt;&gt;"", IF(AND($P205=FALSE, $A205=FALSE), -J205, IF(AND($P205=FALSE, $A205=TRUE), 0, IF($P205=TRUE, (J205 / $R205) * 100 * ($S205 / 100)-J205, ))), )</f>
        <v/>
      </c>
      <c r="AD205" s="32" t="str">
        <f t="shared" si="209"/>
        <v/>
      </c>
      <c r="AE205" s="32" t="str">
        <f t="shared" si="209"/>
        <v/>
      </c>
      <c r="AF205" s="32" t="str">
        <f t="shared" si="209"/>
        <v/>
      </c>
      <c r="AG205" s="32" t="str">
        <f t="shared" si="209"/>
        <v/>
      </c>
      <c r="AH205" s="33"/>
    </row>
    <row r="206" hidden="1" outlineLevel="3">
      <c r="A206" s="16" t="b">
        <v>0</v>
      </c>
      <c r="B206" s="17"/>
      <c r="C206" s="18"/>
      <c r="D206" s="41"/>
      <c r="E206" s="20"/>
      <c r="F206" s="21"/>
      <c r="G206" s="23"/>
      <c r="H206" s="23"/>
      <c r="I206" s="23"/>
      <c r="J206" s="23"/>
      <c r="K206" s="23"/>
      <c r="L206" s="23"/>
      <c r="M206" s="23"/>
      <c r="N206" s="23"/>
      <c r="O206" s="24"/>
      <c r="P206" s="16" t="b">
        <v>0</v>
      </c>
      <c r="Q206" s="24"/>
      <c r="R206" s="25"/>
      <c r="S206" s="26"/>
      <c r="T206" s="27"/>
      <c r="U206" s="24"/>
      <c r="V206" s="38" t="s">
        <v>29</v>
      </c>
      <c r="W206" s="29" t="s">
        <v>22</v>
      </c>
      <c r="X206" s="30" t="s">
        <v>222</v>
      </c>
      <c r="Y206" s="31"/>
      <c r="Z206" s="26" t="str">
        <f t="shared" si="5"/>
        <v/>
      </c>
      <c r="AA206" s="26" t="str">
        <f t="shared" si="6"/>
        <v/>
      </c>
      <c r="AB206" s="32" t="str">
        <f t="shared" si="7"/>
        <v/>
      </c>
      <c r="AC206" s="32" t="str">
        <f t="shared" ref="AC206:AG206" si="210">IF(J206&lt;&gt;"", IF(AND($P206=FALSE, $A206=FALSE), -J206, IF(AND($P206=FALSE, $A206=TRUE), 0, IF($P206=TRUE, (J206 / $R206) * 100 * ($S206 / 100)-J206, ))), )</f>
        <v/>
      </c>
      <c r="AD206" s="32" t="str">
        <f t="shared" si="210"/>
        <v/>
      </c>
      <c r="AE206" s="32" t="str">
        <f t="shared" si="210"/>
        <v/>
      </c>
      <c r="AF206" s="32" t="str">
        <f t="shared" si="210"/>
        <v/>
      </c>
      <c r="AG206" s="32" t="str">
        <f t="shared" si="210"/>
        <v/>
      </c>
      <c r="AH206" s="33"/>
    </row>
    <row r="207" hidden="1" outlineLevel="3">
      <c r="A207" s="16"/>
      <c r="B207" s="17"/>
      <c r="C207" s="18"/>
      <c r="D207" s="41"/>
      <c r="E207" s="20"/>
      <c r="F207" s="21"/>
      <c r="G207" s="23"/>
      <c r="H207" s="23"/>
      <c r="I207" s="23"/>
      <c r="J207" s="23"/>
      <c r="K207" s="23"/>
      <c r="L207" s="23"/>
      <c r="M207" s="23"/>
      <c r="N207" s="23"/>
      <c r="O207" s="24"/>
      <c r="P207" s="16"/>
      <c r="Q207" s="24"/>
      <c r="R207" s="25"/>
      <c r="S207" s="26"/>
      <c r="T207" s="27"/>
      <c r="U207" s="24"/>
      <c r="V207" s="38" t="s">
        <v>29</v>
      </c>
      <c r="W207" s="29" t="s">
        <v>22</v>
      </c>
      <c r="X207" s="30" t="s">
        <v>223</v>
      </c>
      <c r="Y207" s="31"/>
      <c r="Z207" s="26" t="str">
        <f t="shared" si="5"/>
        <v/>
      </c>
      <c r="AA207" s="26" t="str">
        <f t="shared" si="6"/>
        <v/>
      </c>
      <c r="AB207" s="32" t="str">
        <f t="shared" si="7"/>
        <v/>
      </c>
      <c r="AC207" s="32" t="str">
        <f t="shared" ref="AC207:AG207" si="211">IF(J207&lt;&gt;"", IF(AND($P207=FALSE, $A207=FALSE), -J207, IF(AND($P207=FALSE, $A207=TRUE), 0, IF($P207=TRUE, (J207 / $R207) * 100 * ($S207 / 100)-J207, ))), )</f>
        <v/>
      </c>
      <c r="AD207" s="32" t="str">
        <f t="shared" si="211"/>
        <v/>
      </c>
      <c r="AE207" s="32" t="str">
        <f t="shared" si="211"/>
        <v/>
      </c>
      <c r="AF207" s="32" t="str">
        <f t="shared" si="211"/>
        <v/>
      </c>
      <c r="AG207" s="32" t="str">
        <f t="shared" si="211"/>
        <v/>
      </c>
      <c r="AH207" s="33"/>
    </row>
    <row r="208" hidden="1" outlineLevel="2" collapsed="1">
      <c r="A208" s="16" t="b">
        <v>0</v>
      </c>
      <c r="B208" s="17"/>
      <c r="C208" s="18"/>
      <c r="D208" s="41">
        <v>45238.0</v>
      </c>
      <c r="E208" s="20" t="s">
        <v>60</v>
      </c>
      <c r="F208" s="21" t="s">
        <v>61</v>
      </c>
      <c r="G208" s="23">
        <v>2.0</v>
      </c>
      <c r="H208" s="23">
        <v>1.0</v>
      </c>
      <c r="I208" s="23">
        <v>2.0</v>
      </c>
      <c r="J208" s="23"/>
      <c r="K208" s="23"/>
      <c r="L208" s="23"/>
      <c r="M208" s="23"/>
      <c r="N208" s="23"/>
      <c r="O208" s="24"/>
      <c r="P208" s="16" t="b">
        <v>0</v>
      </c>
      <c r="Q208" s="24"/>
      <c r="R208" s="25">
        <v>5.0</v>
      </c>
      <c r="S208" s="26">
        <v>13.1</v>
      </c>
      <c r="T208" s="27" t="s">
        <v>224</v>
      </c>
      <c r="U208" s="24"/>
      <c r="V208" s="28"/>
      <c r="W208" s="29"/>
      <c r="X208" s="30"/>
      <c r="Y208" s="31"/>
      <c r="Z208" s="26">
        <f t="shared" si="5"/>
        <v>-2</v>
      </c>
      <c r="AA208" s="26">
        <f t="shared" si="6"/>
        <v>-2</v>
      </c>
      <c r="AB208" s="32">
        <f t="shared" si="7"/>
        <v>-1</v>
      </c>
      <c r="AC208" s="32" t="str">
        <f t="shared" ref="AC208:AG208" si="212">IF(J208&lt;&gt;"", IF(AND($P208=FALSE, $A208=FALSE), -J208, IF(AND($P208=FALSE, $A208=TRUE), 0, IF($P208=TRUE, (J208 / $R208) * 100 * ($S208 / 100)-J208, ))), )</f>
        <v/>
      </c>
      <c r="AD208" s="32" t="str">
        <f t="shared" si="212"/>
        <v/>
      </c>
      <c r="AE208" s="32" t="str">
        <f t="shared" si="212"/>
        <v/>
      </c>
      <c r="AF208" s="32" t="str">
        <f t="shared" si="212"/>
        <v/>
      </c>
      <c r="AG208" s="32" t="str">
        <f t="shared" si="212"/>
        <v/>
      </c>
      <c r="AH208" s="33"/>
    </row>
    <row r="209" hidden="1" outlineLevel="3">
      <c r="A209" s="16" t="b">
        <v>0</v>
      </c>
      <c r="B209" s="17"/>
      <c r="C209" s="18"/>
      <c r="D209" s="41"/>
      <c r="E209" s="20"/>
      <c r="F209" s="21"/>
      <c r="G209" s="23"/>
      <c r="H209" s="23"/>
      <c r="I209" s="23"/>
      <c r="J209" s="23"/>
      <c r="K209" s="23"/>
      <c r="L209" s="23"/>
      <c r="M209" s="23"/>
      <c r="N209" s="23"/>
      <c r="O209" s="24"/>
      <c r="P209" s="16" t="b">
        <v>0</v>
      </c>
      <c r="Q209" s="24"/>
      <c r="R209" s="25"/>
      <c r="S209" s="26"/>
      <c r="T209" s="27"/>
      <c r="U209" s="24"/>
      <c r="V209" s="28" t="s">
        <v>32</v>
      </c>
      <c r="W209" s="29" t="s">
        <v>22</v>
      </c>
      <c r="X209" s="37" t="s">
        <v>225</v>
      </c>
      <c r="Y209" s="31"/>
      <c r="Z209" s="26" t="str">
        <f t="shared" si="5"/>
        <v/>
      </c>
      <c r="AA209" s="26" t="str">
        <f t="shared" si="6"/>
        <v/>
      </c>
      <c r="AB209" s="32" t="str">
        <f t="shared" si="7"/>
        <v/>
      </c>
      <c r="AC209" s="32" t="str">
        <f t="shared" ref="AC209:AG209" si="213">IF(J209&lt;&gt;"", IF(AND($P209=FALSE, $A209=FALSE), -J209, IF(AND($P209=FALSE, $A209=TRUE), 0, IF($P209=TRUE, (J209 / $R209) * 100 * ($S209 / 100)-J209, ))), )</f>
        <v/>
      </c>
      <c r="AD209" s="32" t="str">
        <f t="shared" si="213"/>
        <v/>
      </c>
      <c r="AE209" s="32" t="str">
        <f t="shared" si="213"/>
        <v/>
      </c>
      <c r="AF209" s="32" t="str">
        <f t="shared" si="213"/>
        <v/>
      </c>
      <c r="AG209" s="32" t="str">
        <f t="shared" si="213"/>
        <v/>
      </c>
      <c r="AH209" s="33"/>
    </row>
    <row r="210" hidden="1" outlineLevel="3">
      <c r="A210" s="16" t="b">
        <v>0</v>
      </c>
      <c r="B210" s="17"/>
      <c r="C210" s="18"/>
      <c r="D210" s="41"/>
      <c r="E210" s="20"/>
      <c r="F210" s="21"/>
      <c r="G210" s="23"/>
      <c r="H210" s="23"/>
      <c r="I210" s="23"/>
      <c r="J210" s="23"/>
      <c r="K210" s="23"/>
      <c r="L210" s="23"/>
      <c r="M210" s="23"/>
      <c r="N210" s="23"/>
      <c r="O210" s="24"/>
      <c r="P210" s="16" t="b">
        <v>0</v>
      </c>
      <c r="Q210" s="24"/>
      <c r="R210" s="25"/>
      <c r="S210" s="26"/>
      <c r="T210" s="27"/>
      <c r="U210" s="24"/>
      <c r="V210" s="28" t="s">
        <v>32</v>
      </c>
      <c r="W210" s="29" t="s">
        <v>22</v>
      </c>
      <c r="X210" s="37" t="s">
        <v>226</v>
      </c>
      <c r="Y210" s="31"/>
      <c r="Z210" s="26" t="str">
        <f t="shared" si="5"/>
        <v/>
      </c>
      <c r="AA210" s="26" t="str">
        <f t="shared" si="6"/>
        <v/>
      </c>
      <c r="AB210" s="32" t="str">
        <f t="shared" si="7"/>
        <v/>
      </c>
      <c r="AC210" s="32" t="str">
        <f t="shared" ref="AC210:AG210" si="214">IF(J210&lt;&gt;"", IF(AND($P210=FALSE, $A210=FALSE), -J210, IF(AND($P210=FALSE, $A210=TRUE), 0, IF($P210=TRUE, (J210 / $R210) * 100 * ($S210 / 100)-J210, ))), )</f>
        <v/>
      </c>
      <c r="AD210" s="32" t="str">
        <f t="shared" si="214"/>
        <v/>
      </c>
      <c r="AE210" s="32" t="str">
        <f t="shared" si="214"/>
        <v/>
      </c>
      <c r="AF210" s="32" t="str">
        <f t="shared" si="214"/>
        <v/>
      </c>
      <c r="AG210" s="32" t="str">
        <f t="shared" si="214"/>
        <v/>
      </c>
      <c r="AH210" s="33"/>
    </row>
    <row r="211" hidden="1" outlineLevel="3">
      <c r="A211" s="16" t="b">
        <v>0</v>
      </c>
      <c r="B211" s="17"/>
      <c r="C211" s="18"/>
      <c r="D211" s="41"/>
      <c r="E211" s="20"/>
      <c r="F211" s="21"/>
      <c r="G211" s="23"/>
      <c r="H211" s="23"/>
      <c r="I211" s="23"/>
      <c r="J211" s="23"/>
      <c r="K211" s="23"/>
      <c r="L211" s="23"/>
      <c r="M211" s="23"/>
      <c r="N211" s="23"/>
      <c r="O211" s="24"/>
      <c r="P211" s="16" t="b">
        <v>0</v>
      </c>
      <c r="Q211" s="24"/>
      <c r="R211" s="25"/>
      <c r="S211" s="26"/>
      <c r="T211" s="27"/>
      <c r="U211" s="24"/>
      <c r="V211" s="38" t="s">
        <v>29</v>
      </c>
      <c r="W211" s="29" t="s">
        <v>22</v>
      </c>
      <c r="X211" s="37" t="s">
        <v>219</v>
      </c>
      <c r="Y211" s="31"/>
      <c r="Z211" s="26" t="str">
        <f t="shared" si="5"/>
        <v/>
      </c>
      <c r="AA211" s="26" t="str">
        <f t="shared" si="6"/>
        <v/>
      </c>
      <c r="AB211" s="32" t="str">
        <f t="shared" si="7"/>
        <v/>
      </c>
      <c r="AC211" s="32" t="str">
        <f t="shared" ref="AC211:AG211" si="215">IF(J211&lt;&gt;"", IF(AND($P211=FALSE, $A211=FALSE), -J211, IF(AND($P211=FALSE, $A211=TRUE), 0, IF($P211=TRUE, (J211 / $R211) * 100 * ($S211 / 100)-J211, ))), )</f>
        <v/>
      </c>
      <c r="AD211" s="32" t="str">
        <f t="shared" si="215"/>
        <v/>
      </c>
      <c r="AE211" s="32" t="str">
        <f t="shared" si="215"/>
        <v/>
      </c>
      <c r="AF211" s="32" t="str">
        <f t="shared" si="215"/>
        <v/>
      </c>
      <c r="AG211" s="32" t="str">
        <f t="shared" si="215"/>
        <v/>
      </c>
      <c r="AH211" s="33"/>
    </row>
    <row r="212" hidden="1" outlineLevel="2" collapsed="1">
      <c r="A212" s="16" t="b">
        <v>0</v>
      </c>
      <c r="B212" s="17"/>
      <c r="C212" s="18"/>
      <c r="D212" s="41">
        <v>45238.0</v>
      </c>
      <c r="E212" s="20" t="s">
        <v>60</v>
      </c>
      <c r="F212" s="21" t="s">
        <v>61</v>
      </c>
      <c r="G212" s="23">
        <v>2.0</v>
      </c>
      <c r="H212" s="23">
        <v>1.0</v>
      </c>
      <c r="I212" s="23">
        <v>1.0</v>
      </c>
      <c r="J212" s="23"/>
      <c r="K212" s="23"/>
      <c r="L212" s="23"/>
      <c r="M212" s="23"/>
      <c r="N212" s="23"/>
      <c r="O212" s="24"/>
      <c r="P212" s="16" t="b">
        <v>0</v>
      </c>
      <c r="Q212" s="24"/>
      <c r="R212" s="26">
        <v>4.0</v>
      </c>
      <c r="S212" s="26">
        <v>13.04</v>
      </c>
      <c r="T212" s="27" t="s">
        <v>227</v>
      </c>
      <c r="U212" s="24"/>
      <c r="V212" s="28"/>
      <c r="W212" s="29"/>
      <c r="X212" s="30"/>
      <c r="Y212" s="31"/>
      <c r="Z212" s="26">
        <f t="shared" si="5"/>
        <v>-2</v>
      </c>
      <c r="AA212" s="26">
        <f t="shared" si="6"/>
        <v>-1</v>
      </c>
      <c r="AB212" s="32">
        <f t="shared" si="7"/>
        <v>-1</v>
      </c>
      <c r="AC212" s="32" t="str">
        <f t="shared" ref="AC212:AG212" si="216">IF(J212&lt;&gt;"", IF(AND($P212=FALSE, $A212=FALSE), -J212, IF(AND($P212=FALSE, $A212=TRUE), 0, IF($P212=TRUE, (J212 / $R212) * 100 * ($S212 / 100)-J212, ))), )</f>
        <v/>
      </c>
      <c r="AD212" s="32" t="str">
        <f t="shared" si="216"/>
        <v/>
      </c>
      <c r="AE212" s="32" t="str">
        <f t="shared" si="216"/>
        <v/>
      </c>
      <c r="AF212" s="32" t="str">
        <f t="shared" si="216"/>
        <v/>
      </c>
      <c r="AG212" s="32" t="str">
        <f t="shared" si="216"/>
        <v/>
      </c>
      <c r="AH212" s="33"/>
    </row>
    <row r="213" hidden="1" outlineLevel="3">
      <c r="A213" s="16" t="b">
        <v>0</v>
      </c>
      <c r="B213" s="17"/>
      <c r="C213" s="18"/>
      <c r="D213" s="41"/>
      <c r="E213" s="20"/>
      <c r="F213" s="21"/>
      <c r="G213" s="23"/>
      <c r="H213" s="23"/>
      <c r="I213" s="23"/>
      <c r="J213" s="23"/>
      <c r="K213" s="23"/>
      <c r="L213" s="23"/>
      <c r="M213" s="23"/>
      <c r="N213" s="23"/>
      <c r="O213" s="24"/>
      <c r="P213" s="16" t="b">
        <v>0</v>
      </c>
      <c r="Q213" s="24"/>
      <c r="R213" s="25"/>
      <c r="S213" s="26"/>
      <c r="T213" s="27"/>
      <c r="U213" s="24"/>
      <c r="V213" s="38" t="s">
        <v>29</v>
      </c>
      <c r="W213" s="29" t="s">
        <v>22</v>
      </c>
      <c r="X213" s="30" t="s">
        <v>188</v>
      </c>
      <c r="Y213" s="31"/>
      <c r="Z213" s="26" t="str">
        <f t="shared" si="5"/>
        <v/>
      </c>
      <c r="AA213" s="26" t="str">
        <f t="shared" si="6"/>
        <v/>
      </c>
      <c r="AB213" s="32" t="str">
        <f t="shared" si="7"/>
        <v/>
      </c>
      <c r="AC213" s="32" t="str">
        <f t="shared" ref="AC213:AG213" si="217">IF(J213&lt;&gt;"", IF(AND($P213=FALSE, $A213=FALSE), -J213, IF(AND($P213=FALSE, $A213=TRUE), 0, IF($P213=TRUE, (J213 / $R213) * 100 * ($S213 / 100)-J213, ))), )</f>
        <v/>
      </c>
      <c r="AD213" s="32" t="str">
        <f t="shared" si="217"/>
        <v/>
      </c>
      <c r="AE213" s="32" t="str">
        <f t="shared" si="217"/>
        <v/>
      </c>
      <c r="AF213" s="32" t="str">
        <f t="shared" si="217"/>
        <v/>
      </c>
      <c r="AG213" s="32" t="str">
        <f t="shared" si="217"/>
        <v/>
      </c>
      <c r="AH213" s="33"/>
    </row>
    <row r="214" hidden="1" outlineLevel="3">
      <c r="A214" s="16" t="b">
        <v>0</v>
      </c>
      <c r="B214" s="17"/>
      <c r="C214" s="18"/>
      <c r="D214" s="41"/>
      <c r="E214" s="20"/>
      <c r="F214" s="21"/>
      <c r="G214" s="23"/>
      <c r="H214" s="23"/>
      <c r="I214" s="23"/>
      <c r="J214" s="23"/>
      <c r="K214" s="23"/>
      <c r="L214" s="23"/>
      <c r="M214" s="23"/>
      <c r="N214" s="23"/>
      <c r="O214" s="24"/>
      <c r="P214" s="16" t="b">
        <v>0</v>
      </c>
      <c r="Q214" s="24"/>
      <c r="R214" s="25"/>
      <c r="S214" s="26"/>
      <c r="T214" s="27"/>
      <c r="U214" s="24"/>
      <c r="V214" s="28" t="s">
        <v>32</v>
      </c>
      <c r="W214" s="29" t="s">
        <v>22</v>
      </c>
      <c r="X214" s="30" t="s">
        <v>228</v>
      </c>
      <c r="Y214" s="31"/>
      <c r="Z214" s="26" t="str">
        <f t="shared" si="5"/>
        <v/>
      </c>
      <c r="AA214" s="26" t="str">
        <f t="shared" si="6"/>
        <v/>
      </c>
      <c r="AB214" s="32" t="str">
        <f t="shared" si="7"/>
        <v/>
      </c>
      <c r="AC214" s="32" t="str">
        <f t="shared" ref="AC214:AG214" si="218">IF(J214&lt;&gt;"", IF(AND($P214=FALSE, $A214=FALSE), -J214, IF(AND($P214=FALSE, $A214=TRUE), 0, IF($P214=TRUE, (J214 / $R214) * 100 * ($S214 / 100)-J214, ))), )</f>
        <v/>
      </c>
      <c r="AD214" s="32" t="str">
        <f t="shared" si="218"/>
        <v/>
      </c>
      <c r="AE214" s="32" t="str">
        <f t="shared" si="218"/>
        <v/>
      </c>
      <c r="AF214" s="32" t="str">
        <f t="shared" si="218"/>
        <v/>
      </c>
      <c r="AG214" s="32" t="str">
        <f t="shared" si="218"/>
        <v/>
      </c>
      <c r="AH214" s="33"/>
    </row>
    <row r="215" hidden="1" outlineLevel="3">
      <c r="A215" s="16" t="b">
        <v>0</v>
      </c>
      <c r="B215" s="17"/>
      <c r="C215" s="18"/>
      <c r="D215" s="41"/>
      <c r="E215" s="20"/>
      <c r="F215" s="21"/>
      <c r="G215" s="23"/>
      <c r="H215" s="23"/>
      <c r="I215" s="23"/>
      <c r="J215" s="23"/>
      <c r="K215" s="23"/>
      <c r="L215" s="23"/>
      <c r="M215" s="23"/>
      <c r="N215" s="23"/>
      <c r="O215" s="24"/>
      <c r="P215" s="16" t="b">
        <v>0</v>
      </c>
      <c r="Q215" s="24"/>
      <c r="R215" s="25"/>
      <c r="S215" s="26"/>
      <c r="T215" s="27"/>
      <c r="U215" s="24"/>
      <c r="V215" s="38" t="s">
        <v>29</v>
      </c>
      <c r="W215" s="29" t="s">
        <v>22</v>
      </c>
      <c r="X215" s="30" t="s">
        <v>229</v>
      </c>
      <c r="Y215" s="31"/>
      <c r="Z215" s="26" t="str">
        <f t="shared" si="5"/>
        <v/>
      </c>
      <c r="AA215" s="26" t="str">
        <f t="shared" si="6"/>
        <v/>
      </c>
      <c r="AB215" s="32" t="str">
        <f t="shared" si="7"/>
        <v/>
      </c>
      <c r="AC215" s="32" t="str">
        <f t="shared" ref="AC215:AG215" si="219">IF(J215&lt;&gt;"", IF(AND($P215=FALSE, $A215=FALSE), -J215, IF(AND($P215=FALSE, $A215=TRUE), 0, IF($P215=TRUE, (J215 / $R215) * 100 * ($S215 / 100)-J215, ))), )</f>
        <v/>
      </c>
      <c r="AD215" s="32" t="str">
        <f t="shared" si="219"/>
        <v/>
      </c>
      <c r="AE215" s="32" t="str">
        <f t="shared" si="219"/>
        <v/>
      </c>
      <c r="AF215" s="32" t="str">
        <f t="shared" si="219"/>
        <v/>
      </c>
      <c r="AG215" s="32" t="str">
        <f t="shared" si="219"/>
        <v/>
      </c>
      <c r="AH215" s="33"/>
    </row>
    <row r="216" hidden="1" outlineLevel="3">
      <c r="A216" s="16" t="b">
        <v>0</v>
      </c>
      <c r="B216" s="17"/>
      <c r="C216" s="18"/>
      <c r="D216" s="41"/>
      <c r="E216" s="20"/>
      <c r="F216" s="21"/>
      <c r="G216" s="23"/>
      <c r="H216" s="23"/>
      <c r="I216" s="23"/>
      <c r="J216" s="23"/>
      <c r="K216" s="23"/>
      <c r="L216" s="23"/>
      <c r="M216" s="23"/>
      <c r="N216" s="23"/>
      <c r="O216" s="24"/>
      <c r="P216" s="16" t="b">
        <v>0</v>
      </c>
      <c r="Q216" s="24"/>
      <c r="R216" s="25"/>
      <c r="S216" s="26"/>
      <c r="T216" s="27"/>
      <c r="U216" s="24"/>
      <c r="V216" s="28" t="s">
        <v>32</v>
      </c>
      <c r="W216" s="29" t="s">
        <v>22</v>
      </c>
      <c r="X216" s="30" t="s">
        <v>230</v>
      </c>
      <c r="Y216" s="31"/>
      <c r="Z216" s="26" t="str">
        <f t="shared" si="5"/>
        <v/>
      </c>
      <c r="AA216" s="26" t="str">
        <f t="shared" si="6"/>
        <v/>
      </c>
      <c r="AB216" s="32" t="str">
        <f t="shared" si="7"/>
        <v/>
      </c>
      <c r="AC216" s="32" t="str">
        <f t="shared" ref="AC216:AG216" si="220">IF(J216&lt;&gt;"", IF(AND($P216=FALSE, $A216=FALSE), -J216, IF(AND($P216=FALSE, $A216=TRUE), 0, IF($P216=TRUE, (J216 / $R216) * 100 * ($S216 / 100)-J216, ))), )</f>
        <v/>
      </c>
      <c r="AD216" s="32" t="str">
        <f t="shared" si="220"/>
        <v/>
      </c>
      <c r="AE216" s="32" t="str">
        <f t="shared" si="220"/>
        <v/>
      </c>
      <c r="AF216" s="32" t="str">
        <f t="shared" si="220"/>
        <v/>
      </c>
      <c r="AG216" s="32" t="str">
        <f t="shared" si="220"/>
        <v/>
      </c>
      <c r="AH216" s="33"/>
    </row>
    <row r="217" hidden="1" outlineLevel="2" collapsed="1">
      <c r="A217" s="16" t="b">
        <v>0</v>
      </c>
      <c r="B217" s="17"/>
      <c r="C217" s="18"/>
      <c r="D217" s="41">
        <v>45238.0</v>
      </c>
      <c r="E217" s="20" t="s">
        <v>60</v>
      </c>
      <c r="F217" s="21" t="s">
        <v>61</v>
      </c>
      <c r="G217" s="23">
        <v>2.0</v>
      </c>
      <c r="H217" s="23">
        <v>1.0</v>
      </c>
      <c r="I217" s="23">
        <v>2.0</v>
      </c>
      <c r="J217" s="23"/>
      <c r="K217" s="23"/>
      <c r="L217" s="23"/>
      <c r="M217" s="23"/>
      <c r="N217" s="23"/>
      <c r="O217" s="24"/>
      <c r="P217" s="16" t="b">
        <v>1</v>
      </c>
      <c r="Q217" s="24"/>
      <c r="R217" s="25">
        <v>5.0</v>
      </c>
      <c r="S217" s="26">
        <v>11.12</v>
      </c>
      <c r="T217" s="27" t="s">
        <v>231</v>
      </c>
      <c r="U217" s="24"/>
      <c r="V217" s="28"/>
      <c r="W217" s="29"/>
      <c r="X217" s="30"/>
      <c r="Y217" s="31"/>
      <c r="Z217" s="26">
        <f t="shared" si="5"/>
        <v>2.448</v>
      </c>
      <c r="AA217" s="26">
        <f t="shared" si="6"/>
        <v>2.448</v>
      </c>
      <c r="AB217" s="32">
        <f t="shared" si="7"/>
        <v>1.224</v>
      </c>
      <c r="AC217" s="32" t="str">
        <f t="shared" ref="AC217:AG217" si="221">IF(J217&lt;&gt;"", IF(AND($P217=FALSE, $A217=FALSE), -J217, IF(AND($P217=FALSE, $A217=TRUE), 0, IF($P217=TRUE, (J217 / $R217) * 100 * ($S217 / 100)-J217, ))), )</f>
        <v/>
      </c>
      <c r="AD217" s="32" t="str">
        <f t="shared" si="221"/>
        <v/>
      </c>
      <c r="AE217" s="32" t="str">
        <f t="shared" si="221"/>
        <v/>
      </c>
      <c r="AF217" s="32" t="str">
        <f t="shared" si="221"/>
        <v/>
      </c>
      <c r="AG217" s="32" t="str">
        <f t="shared" si="221"/>
        <v/>
      </c>
      <c r="AH217" s="33"/>
    </row>
    <row r="218" hidden="1" outlineLevel="3">
      <c r="A218" s="16" t="b">
        <v>0</v>
      </c>
      <c r="B218" s="17"/>
      <c r="C218" s="18"/>
      <c r="D218" s="41"/>
      <c r="E218" s="20"/>
      <c r="F218" s="21"/>
      <c r="G218" s="23"/>
      <c r="H218" s="23"/>
      <c r="I218" s="23"/>
      <c r="J218" s="23"/>
      <c r="K218" s="23"/>
      <c r="L218" s="23"/>
      <c r="M218" s="23"/>
      <c r="N218" s="23"/>
      <c r="O218" s="24"/>
      <c r="P218" s="16" t="b">
        <v>0</v>
      </c>
      <c r="Q218" s="24"/>
      <c r="R218" s="25"/>
      <c r="S218" s="26"/>
      <c r="T218" s="27"/>
      <c r="U218" s="24"/>
      <c r="V218" s="38" t="s">
        <v>29</v>
      </c>
      <c r="W218" s="29" t="s">
        <v>22</v>
      </c>
      <c r="X218" s="30" t="s">
        <v>232</v>
      </c>
      <c r="Y218" s="31"/>
      <c r="Z218" s="26" t="str">
        <f t="shared" si="5"/>
        <v/>
      </c>
      <c r="AA218" s="26" t="str">
        <f t="shared" si="6"/>
        <v/>
      </c>
      <c r="AB218" s="32" t="str">
        <f t="shared" si="7"/>
        <v/>
      </c>
      <c r="AC218" s="32" t="str">
        <f t="shared" ref="AC218:AG218" si="222">IF(J218&lt;&gt;"", IF(AND($P218=FALSE, $A218=FALSE), -J218, IF(AND($P218=FALSE, $A218=TRUE), 0, IF($P218=TRUE, (J218 / $R218) * 100 * ($S218 / 100)-J218, ))), )</f>
        <v/>
      </c>
      <c r="AD218" s="32" t="str">
        <f t="shared" si="222"/>
        <v/>
      </c>
      <c r="AE218" s="32" t="str">
        <f t="shared" si="222"/>
        <v/>
      </c>
      <c r="AF218" s="32" t="str">
        <f t="shared" si="222"/>
        <v/>
      </c>
      <c r="AG218" s="32" t="str">
        <f t="shared" si="222"/>
        <v/>
      </c>
      <c r="AH218" s="33"/>
    </row>
    <row r="219" hidden="1" outlineLevel="3">
      <c r="A219" s="16" t="b">
        <v>0</v>
      </c>
      <c r="B219" s="17"/>
      <c r="C219" s="18"/>
      <c r="D219" s="41"/>
      <c r="E219" s="20"/>
      <c r="F219" s="21"/>
      <c r="G219" s="23"/>
      <c r="H219" s="23"/>
      <c r="I219" s="23"/>
      <c r="J219" s="23"/>
      <c r="K219" s="23"/>
      <c r="L219" s="23"/>
      <c r="M219" s="23"/>
      <c r="N219" s="23"/>
      <c r="O219" s="24"/>
      <c r="P219" s="16" t="b">
        <v>0</v>
      </c>
      <c r="Q219" s="24"/>
      <c r="R219" s="25"/>
      <c r="S219" s="26"/>
      <c r="T219" s="27"/>
      <c r="U219" s="24"/>
      <c r="V219" s="38" t="s">
        <v>29</v>
      </c>
      <c r="W219" s="29" t="s">
        <v>22</v>
      </c>
      <c r="X219" s="30" t="s">
        <v>211</v>
      </c>
      <c r="Y219" s="31"/>
      <c r="Z219" s="26" t="str">
        <f t="shared" si="5"/>
        <v/>
      </c>
      <c r="AA219" s="26" t="str">
        <f t="shared" si="6"/>
        <v/>
      </c>
      <c r="AB219" s="32" t="str">
        <f t="shared" si="7"/>
        <v/>
      </c>
      <c r="AC219" s="32" t="str">
        <f t="shared" ref="AC219:AG219" si="223">IF(J219&lt;&gt;"", IF(AND($P219=FALSE, $A219=FALSE), -J219, IF(AND($P219=FALSE, $A219=TRUE), 0, IF($P219=TRUE, (J219 / $R219) * 100 * ($S219 / 100)-J219, ))), )</f>
        <v/>
      </c>
      <c r="AD219" s="32" t="str">
        <f t="shared" si="223"/>
        <v/>
      </c>
      <c r="AE219" s="32" t="str">
        <f t="shared" si="223"/>
        <v/>
      </c>
      <c r="AF219" s="32" t="str">
        <f t="shared" si="223"/>
        <v/>
      </c>
      <c r="AG219" s="32" t="str">
        <f t="shared" si="223"/>
        <v/>
      </c>
      <c r="AH219" s="33"/>
    </row>
    <row r="220" hidden="1" outlineLevel="3">
      <c r="A220" s="16" t="b">
        <v>0</v>
      </c>
      <c r="B220" s="17"/>
      <c r="C220" s="18"/>
      <c r="D220" s="41"/>
      <c r="E220" s="20"/>
      <c r="F220" s="21"/>
      <c r="G220" s="23"/>
      <c r="H220" s="23"/>
      <c r="I220" s="23"/>
      <c r="J220" s="23"/>
      <c r="K220" s="23"/>
      <c r="L220" s="23"/>
      <c r="M220" s="23"/>
      <c r="N220" s="23"/>
      <c r="O220" s="24"/>
      <c r="P220" s="16" t="b">
        <v>0</v>
      </c>
      <c r="Q220" s="24"/>
      <c r="R220" s="25"/>
      <c r="S220" s="26"/>
      <c r="T220" s="27"/>
      <c r="U220" s="24"/>
      <c r="V220" s="38" t="s">
        <v>29</v>
      </c>
      <c r="W220" s="29" t="s">
        <v>22</v>
      </c>
      <c r="X220" s="37" t="s">
        <v>233</v>
      </c>
      <c r="Y220" s="31"/>
      <c r="Z220" s="26" t="str">
        <f t="shared" si="5"/>
        <v/>
      </c>
      <c r="AA220" s="26" t="str">
        <f t="shared" si="6"/>
        <v/>
      </c>
      <c r="AB220" s="32" t="str">
        <f t="shared" si="7"/>
        <v/>
      </c>
      <c r="AC220" s="32" t="str">
        <f t="shared" ref="AC220:AG220" si="224">IF(J220&lt;&gt;"", IF(AND($P220=FALSE, $A220=FALSE), -J220, IF(AND($P220=FALSE, $A220=TRUE), 0, IF($P220=TRUE, (J220 / $R220) * 100 * ($S220 / 100)-J220, ))), )</f>
        <v/>
      </c>
      <c r="AD220" s="32" t="str">
        <f t="shared" si="224"/>
        <v/>
      </c>
      <c r="AE220" s="32" t="str">
        <f t="shared" si="224"/>
        <v/>
      </c>
      <c r="AF220" s="32" t="str">
        <f t="shared" si="224"/>
        <v/>
      </c>
      <c r="AG220" s="32" t="str">
        <f t="shared" si="224"/>
        <v/>
      </c>
      <c r="AH220" s="33"/>
    </row>
    <row r="221" hidden="1" outlineLevel="2" collapsed="1">
      <c r="A221" s="16" t="b">
        <v>0</v>
      </c>
      <c r="B221" s="17"/>
      <c r="C221" s="18"/>
      <c r="D221" s="41">
        <v>45238.0</v>
      </c>
      <c r="E221" s="20" t="s">
        <v>60</v>
      </c>
      <c r="F221" s="21" t="s">
        <v>61</v>
      </c>
      <c r="G221" s="23">
        <v>2.0</v>
      </c>
      <c r="H221" s="23">
        <v>1.0</v>
      </c>
      <c r="I221" s="23">
        <v>5.0</v>
      </c>
      <c r="J221" s="23"/>
      <c r="K221" s="23"/>
      <c r="L221" s="23"/>
      <c r="M221" s="23"/>
      <c r="N221" s="23"/>
      <c r="O221" s="24"/>
      <c r="P221" s="16" t="b">
        <v>0</v>
      </c>
      <c r="Q221" s="24"/>
      <c r="R221" s="25">
        <v>8.0</v>
      </c>
      <c r="S221" s="26">
        <v>15.68</v>
      </c>
      <c r="T221" s="27">
        <v>-104.0</v>
      </c>
      <c r="U221" s="24"/>
      <c r="V221" s="28"/>
      <c r="W221" s="29"/>
      <c r="X221" s="30"/>
      <c r="Y221" s="31"/>
      <c r="Z221" s="26">
        <f t="shared" si="5"/>
        <v>-2</v>
      </c>
      <c r="AA221" s="26">
        <f t="shared" si="6"/>
        <v>-5</v>
      </c>
      <c r="AB221" s="32">
        <f t="shared" si="7"/>
        <v>-1</v>
      </c>
      <c r="AC221" s="32" t="str">
        <f t="shared" ref="AC221:AG221" si="225">IF(J221&lt;&gt;"", IF(AND($P221=FALSE, $A221=FALSE), -J221, IF(AND($P221=FALSE, $A221=TRUE), 0, IF($P221=TRUE, (J221 / $R221) * 100 * ($S221 / 100)-J221, ))), )</f>
        <v/>
      </c>
      <c r="AD221" s="32" t="str">
        <f t="shared" si="225"/>
        <v/>
      </c>
      <c r="AE221" s="32" t="str">
        <f t="shared" si="225"/>
        <v/>
      </c>
      <c r="AF221" s="32" t="str">
        <f t="shared" si="225"/>
        <v/>
      </c>
      <c r="AG221" s="32" t="str">
        <f t="shared" si="225"/>
        <v/>
      </c>
      <c r="AH221" s="33"/>
    </row>
    <row r="222" hidden="1" outlineLevel="3">
      <c r="A222" s="16" t="b">
        <v>0</v>
      </c>
      <c r="B222" s="17"/>
      <c r="C222" s="18"/>
      <c r="D222" s="41"/>
      <c r="E222" s="20"/>
      <c r="F222" s="21"/>
      <c r="G222" s="23"/>
      <c r="H222" s="23"/>
      <c r="I222" s="23"/>
      <c r="J222" s="23"/>
      <c r="K222" s="23"/>
      <c r="L222" s="23"/>
      <c r="M222" s="23"/>
      <c r="N222" s="23"/>
      <c r="O222" s="24"/>
      <c r="P222" s="16" t="b">
        <v>0</v>
      </c>
      <c r="Q222" s="24"/>
      <c r="R222" s="25"/>
      <c r="S222" s="26"/>
      <c r="T222" s="27"/>
      <c r="U222" s="24"/>
      <c r="V222" s="28" t="s">
        <v>32</v>
      </c>
      <c r="W222" s="29" t="s">
        <v>22</v>
      </c>
      <c r="X222" s="37" t="s">
        <v>195</v>
      </c>
      <c r="Y222" s="31"/>
      <c r="Z222" s="26" t="str">
        <f t="shared" si="5"/>
        <v/>
      </c>
      <c r="AA222" s="26" t="str">
        <f t="shared" si="6"/>
        <v/>
      </c>
      <c r="AB222" s="32" t="str">
        <f t="shared" si="7"/>
        <v/>
      </c>
      <c r="AC222" s="32" t="str">
        <f t="shared" ref="AC222:AG222" si="226">IF(J222&lt;&gt;"", IF(AND($P222=FALSE, $A222=FALSE), -J222, IF(AND($P222=FALSE, $A222=TRUE), 0, IF($P222=TRUE, (J222 / $R222) * 100 * ($S222 / 100)-J222, ))), )</f>
        <v/>
      </c>
      <c r="AD222" s="32" t="str">
        <f t="shared" si="226"/>
        <v/>
      </c>
      <c r="AE222" s="32" t="str">
        <f t="shared" si="226"/>
        <v/>
      </c>
      <c r="AF222" s="32" t="str">
        <f t="shared" si="226"/>
        <v/>
      </c>
      <c r="AG222" s="32" t="str">
        <f t="shared" si="226"/>
        <v/>
      </c>
      <c r="AH222" s="33"/>
    </row>
    <row r="223" hidden="1" outlineLevel="3">
      <c r="A223" s="16" t="b">
        <v>0</v>
      </c>
      <c r="B223" s="17"/>
      <c r="C223" s="18"/>
      <c r="D223" s="41"/>
      <c r="E223" s="20"/>
      <c r="F223" s="21"/>
      <c r="G223" s="23"/>
      <c r="H223" s="23"/>
      <c r="I223" s="23"/>
      <c r="J223" s="23"/>
      <c r="K223" s="23"/>
      <c r="L223" s="23"/>
      <c r="M223" s="23"/>
      <c r="N223" s="23"/>
      <c r="O223" s="24"/>
      <c r="P223" s="16" t="b">
        <v>0</v>
      </c>
      <c r="Q223" s="24"/>
      <c r="R223" s="25"/>
      <c r="S223" s="26"/>
      <c r="T223" s="27"/>
      <c r="U223" s="24"/>
      <c r="V223" s="38" t="s">
        <v>29</v>
      </c>
      <c r="W223" s="29" t="s">
        <v>22</v>
      </c>
      <c r="X223" s="37" t="s">
        <v>196</v>
      </c>
      <c r="Y223" s="31"/>
      <c r="Z223" s="26" t="str">
        <f t="shared" si="5"/>
        <v/>
      </c>
      <c r="AA223" s="26" t="str">
        <f t="shared" si="6"/>
        <v/>
      </c>
      <c r="AB223" s="32" t="str">
        <f t="shared" si="7"/>
        <v/>
      </c>
      <c r="AC223" s="32" t="str">
        <f t="shared" ref="AC223:AG223" si="227">IF(J223&lt;&gt;"", IF(AND($P223=FALSE, $A223=FALSE), -J223, IF(AND($P223=FALSE, $A223=TRUE), 0, IF($P223=TRUE, (J223 / $R223) * 100 * ($S223 / 100)-J223, ))), )</f>
        <v/>
      </c>
      <c r="AD223" s="32" t="str">
        <f t="shared" si="227"/>
        <v/>
      </c>
      <c r="AE223" s="32" t="str">
        <f t="shared" si="227"/>
        <v/>
      </c>
      <c r="AF223" s="32" t="str">
        <f t="shared" si="227"/>
        <v/>
      </c>
      <c r="AG223" s="32" t="str">
        <f t="shared" si="227"/>
        <v/>
      </c>
      <c r="AH223" s="33"/>
    </row>
    <row r="224" hidden="1" outlineLevel="3">
      <c r="A224" s="16" t="b">
        <v>0</v>
      </c>
      <c r="B224" s="17"/>
      <c r="C224" s="18"/>
      <c r="D224" s="41"/>
      <c r="E224" s="20"/>
      <c r="F224" s="21"/>
      <c r="G224" s="23"/>
      <c r="H224" s="23"/>
      <c r="I224" s="23"/>
      <c r="J224" s="23"/>
      <c r="K224" s="23"/>
      <c r="L224" s="23"/>
      <c r="M224" s="23"/>
      <c r="N224" s="23"/>
      <c r="O224" s="24"/>
      <c r="P224" s="16" t="b">
        <v>0</v>
      </c>
      <c r="Q224" s="24"/>
      <c r="R224" s="25"/>
      <c r="S224" s="26"/>
      <c r="T224" s="27"/>
      <c r="U224" s="24"/>
      <c r="V224" s="28" t="s">
        <v>32</v>
      </c>
      <c r="W224" s="29" t="s">
        <v>22</v>
      </c>
      <c r="X224" s="37" t="s">
        <v>234</v>
      </c>
      <c r="Y224" s="31"/>
      <c r="Z224" s="26" t="str">
        <f t="shared" si="5"/>
        <v/>
      </c>
      <c r="AA224" s="26" t="str">
        <f t="shared" si="6"/>
        <v/>
      </c>
      <c r="AB224" s="32" t="str">
        <f t="shared" si="7"/>
        <v/>
      </c>
      <c r="AC224" s="32" t="str">
        <f t="shared" ref="AC224:AG224" si="228">IF(J224&lt;&gt;"", IF(AND($P224=FALSE, $A224=FALSE), -J224, IF(AND($P224=FALSE, $A224=TRUE), 0, IF($P224=TRUE, (J224 / $R224) * 100 * ($S224 / 100)-J224, ))), )</f>
        <v/>
      </c>
      <c r="AD224" s="32" t="str">
        <f t="shared" si="228"/>
        <v/>
      </c>
      <c r="AE224" s="32" t="str">
        <f t="shared" si="228"/>
        <v/>
      </c>
      <c r="AF224" s="32" t="str">
        <f t="shared" si="228"/>
        <v/>
      </c>
      <c r="AG224" s="32" t="str">
        <f t="shared" si="228"/>
        <v/>
      </c>
      <c r="AH224" s="33"/>
    </row>
    <row r="225" hidden="1" outlineLevel="2" collapsed="1">
      <c r="A225" s="16" t="b">
        <v>0</v>
      </c>
      <c r="B225" s="17"/>
      <c r="C225" s="18"/>
      <c r="D225" s="41">
        <v>45238.0</v>
      </c>
      <c r="E225" s="20" t="s">
        <v>60</v>
      </c>
      <c r="F225" s="21" t="s">
        <v>61</v>
      </c>
      <c r="G225" s="23">
        <v>2.0</v>
      </c>
      <c r="H225" s="23">
        <v>1.0</v>
      </c>
      <c r="I225" s="23">
        <v>1.0</v>
      </c>
      <c r="J225" s="23"/>
      <c r="K225" s="23"/>
      <c r="L225" s="23"/>
      <c r="M225" s="23"/>
      <c r="N225" s="23"/>
      <c r="O225" s="24"/>
      <c r="P225" s="16" t="b">
        <v>0</v>
      </c>
      <c r="Q225" s="24"/>
      <c r="R225" s="25">
        <v>4.0</v>
      </c>
      <c r="S225" s="26">
        <v>11.38</v>
      </c>
      <c r="T225" s="27" t="s">
        <v>235</v>
      </c>
      <c r="U225" s="24"/>
      <c r="V225" s="28"/>
      <c r="W225" s="29"/>
      <c r="X225" s="30"/>
      <c r="Y225" s="31"/>
      <c r="Z225" s="26">
        <f t="shared" si="5"/>
        <v>-2</v>
      </c>
      <c r="AA225" s="26">
        <f t="shared" si="6"/>
        <v>-1</v>
      </c>
      <c r="AB225" s="32">
        <f t="shared" si="7"/>
        <v>-1</v>
      </c>
      <c r="AC225" s="32" t="str">
        <f t="shared" ref="AC225:AG225" si="229">IF(J225&lt;&gt;"", IF(AND($P225=FALSE, $A225=FALSE), -J225, IF(AND($P225=FALSE, $A225=TRUE), 0, IF($P225=TRUE, (J225 / $R225) * 100 * ($S225 / 100)-J225, ))), )</f>
        <v/>
      </c>
      <c r="AD225" s="32" t="str">
        <f t="shared" si="229"/>
        <v/>
      </c>
      <c r="AE225" s="32" t="str">
        <f t="shared" si="229"/>
        <v/>
      </c>
      <c r="AF225" s="32" t="str">
        <f t="shared" si="229"/>
        <v/>
      </c>
      <c r="AG225" s="32" t="str">
        <f t="shared" si="229"/>
        <v/>
      </c>
      <c r="AH225" s="33"/>
    </row>
    <row r="226" hidden="1" outlineLevel="3">
      <c r="A226" s="16" t="b">
        <v>0</v>
      </c>
      <c r="B226" s="17"/>
      <c r="C226" s="18"/>
      <c r="D226" s="41"/>
      <c r="E226" s="20"/>
      <c r="F226" s="21"/>
      <c r="G226" s="23"/>
      <c r="H226" s="23"/>
      <c r="I226" s="23"/>
      <c r="J226" s="23"/>
      <c r="K226" s="23"/>
      <c r="L226" s="23"/>
      <c r="M226" s="23"/>
      <c r="N226" s="23"/>
      <c r="O226" s="24"/>
      <c r="P226" s="16" t="b">
        <v>0</v>
      </c>
      <c r="Q226" s="24"/>
      <c r="R226" s="25"/>
      <c r="S226" s="26"/>
      <c r="T226" s="27"/>
      <c r="U226" s="24"/>
      <c r="V226" s="38" t="s">
        <v>29</v>
      </c>
      <c r="W226" s="29" t="s">
        <v>22</v>
      </c>
      <c r="X226" s="37" t="s">
        <v>63</v>
      </c>
      <c r="Y226" s="31"/>
      <c r="Z226" s="26" t="str">
        <f t="shared" si="5"/>
        <v/>
      </c>
      <c r="AA226" s="26" t="str">
        <f t="shared" si="6"/>
        <v/>
      </c>
      <c r="AB226" s="32" t="str">
        <f t="shared" si="7"/>
        <v/>
      </c>
      <c r="AC226" s="32" t="str">
        <f t="shared" ref="AC226:AG226" si="230">IF(J226&lt;&gt;"", IF(AND($P226=FALSE, $A226=FALSE), -J226, IF(AND($P226=FALSE, $A226=TRUE), 0, IF($P226=TRUE, (J226 / $R226) * 100 * ($S226 / 100)-J226, ))), )</f>
        <v/>
      </c>
      <c r="AD226" s="32" t="str">
        <f t="shared" si="230"/>
        <v/>
      </c>
      <c r="AE226" s="32" t="str">
        <f t="shared" si="230"/>
        <v/>
      </c>
      <c r="AF226" s="32" t="str">
        <f t="shared" si="230"/>
        <v/>
      </c>
      <c r="AG226" s="32" t="str">
        <f t="shared" si="230"/>
        <v/>
      </c>
      <c r="AH226" s="33"/>
    </row>
    <row r="227" hidden="1" outlineLevel="3">
      <c r="A227" s="16" t="b">
        <v>0</v>
      </c>
      <c r="B227" s="17"/>
      <c r="C227" s="18"/>
      <c r="D227" s="41"/>
      <c r="E227" s="20"/>
      <c r="F227" s="21"/>
      <c r="G227" s="23"/>
      <c r="H227" s="23"/>
      <c r="I227" s="23"/>
      <c r="J227" s="23"/>
      <c r="K227" s="23"/>
      <c r="L227" s="23"/>
      <c r="M227" s="23"/>
      <c r="N227" s="23"/>
      <c r="O227" s="24"/>
      <c r="P227" s="16" t="b">
        <v>0</v>
      </c>
      <c r="Q227" s="24"/>
      <c r="R227" s="25"/>
      <c r="S227" s="26"/>
      <c r="T227" s="27"/>
      <c r="U227" s="24"/>
      <c r="V227" s="28" t="s">
        <v>32</v>
      </c>
      <c r="W227" s="29" t="s">
        <v>22</v>
      </c>
      <c r="X227" s="37" t="s">
        <v>65</v>
      </c>
      <c r="Y227" s="31"/>
      <c r="Z227" s="26" t="str">
        <f t="shared" si="5"/>
        <v/>
      </c>
      <c r="AA227" s="26" t="str">
        <f t="shared" si="6"/>
        <v/>
      </c>
      <c r="AB227" s="32" t="str">
        <f t="shared" si="7"/>
        <v/>
      </c>
      <c r="AC227" s="32" t="str">
        <f t="shared" ref="AC227:AG227" si="231">IF(J227&lt;&gt;"", IF(AND($P227=FALSE, $A227=FALSE), -J227, IF(AND($P227=FALSE, $A227=TRUE), 0, IF($P227=TRUE, (J227 / $R227) * 100 * ($S227 / 100)-J227, ))), )</f>
        <v/>
      </c>
      <c r="AD227" s="32" t="str">
        <f t="shared" si="231"/>
        <v/>
      </c>
      <c r="AE227" s="32" t="str">
        <f t="shared" si="231"/>
        <v/>
      </c>
      <c r="AF227" s="32" t="str">
        <f t="shared" si="231"/>
        <v/>
      </c>
      <c r="AG227" s="32" t="str">
        <f t="shared" si="231"/>
        <v/>
      </c>
      <c r="AH227" s="33"/>
    </row>
    <row r="228" hidden="1" outlineLevel="3">
      <c r="A228" s="16" t="b">
        <v>0</v>
      </c>
      <c r="B228" s="17"/>
      <c r="C228" s="18"/>
      <c r="D228" s="41"/>
      <c r="E228" s="20"/>
      <c r="F228" s="21"/>
      <c r="G228" s="23"/>
      <c r="H228" s="23"/>
      <c r="I228" s="23"/>
      <c r="J228" s="23"/>
      <c r="K228" s="23"/>
      <c r="L228" s="23"/>
      <c r="M228" s="23"/>
      <c r="N228" s="23"/>
      <c r="O228" s="24"/>
      <c r="P228" s="16" t="b">
        <v>0</v>
      </c>
      <c r="Q228" s="24"/>
      <c r="R228" s="25"/>
      <c r="S228" s="26"/>
      <c r="T228" s="27"/>
      <c r="U228" s="24"/>
      <c r="V228" s="38" t="s">
        <v>29</v>
      </c>
      <c r="W228" s="29" t="s">
        <v>22</v>
      </c>
      <c r="X228" s="37" t="s">
        <v>236</v>
      </c>
      <c r="Y228" s="31"/>
      <c r="Z228" s="26" t="str">
        <f t="shared" si="5"/>
        <v/>
      </c>
      <c r="AA228" s="26" t="str">
        <f t="shared" si="6"/>
        <v/>
      </c>
      <c r="AB228" s="32" t="str">
        <f t="shared" si="7"/>
        <v/>
      </c>
      <c r="AC228" s="32" t="str">
        <f t="shared" ref="AC228:AG228" si="232">IF(J228&lt;&gt;"", IF(AND($P228=FALSE, $A228=FALSE), -J228, IF(AND($P228=FALSE, $A228=TRUE), 0, IF($P228=TRUE, (J228 / $R228) * 100 * ($S228 / 100)-J228, ))), )</f>
        <v/>
      </c>
      <c r="AD228" s="32" t="str">
        <f t="shared" si="232"/>
        <v/>
      </c>
      <c r="AE228" s="32" t="str">
        <f t="shared" si="232"/>
        <v/>
      </c>
      <c r="AF228" s="32" t="str">
        <f t="shared" si="232"/>
        <v/>
      </c>
      <c r="AG228" s="32" t="str">
        <f t="shared" si="232"/>
        <v/>
      </c>
      <c r="AH228" s="33"/>
    </row>
    <row r="229" hidden="1" outlineLevel="3">
      <c r="A229" s="16" t="b">
        <v>0</v>
      </c>
      <c r="B229" s="17"/>
      <c r="C229" s="18"/>
      <c r="D229" s="41"/>
      <c r="E229" s="20"/>
      <c r="F229" s="21"/>
      <c r="G229" s="23"/>
      <c r="H229" s="23"/>
      <c r="I229" s="23"/>
      <c r="J229" s="23"/>
      <c r="K229" s="23"/>
      <c r="L229" s="23"/>
      <c r="M229" s="23"/>
      <c r="N229" s="23"/>
      <c r="O229" s="24"/>
      <c r="P229" s="16" t="b">
        <v>0</v>
      </c>
      <c r="Q229" s="24"/>
      <c r="R229" s="25"/>
      <c r="S229" s="26"/>
      <c r="T229" s="27"/>
      <c r="U229" s="24"/>
      <c r="V229" s="38" t="s">
        <v>29</v>
      </c>
      <c r="W229" s="29" t="s">
        <v>22</v>
      </c>
      <c r="X229" s="37" t="s">
        <v>237</v>
      </c>
      <c r="Y229" s="31"/>
      <c r="Z229" s="26" t="str">
        <f t="shared" si="5"/>
        <v/>
      </c>
      <c r="AA229" s="26" t="str">
        <f t="shared" si="6"/>
        <v/>
      </c>
      <c r="AB229" s="32" t="str">
        <f t="shared" si="7"/>
        <v/>
      </c>
      <c r="AC229" s="32" t="str">
        <f t="shared" ref="AC229:AG229" si="233">IF(J229&lt;&gt;"", IF(AND($P229=FALSE, $A229=FALSE), -J229, IF(AND($P229=FALSE, $A229=TRUE), 0, IF($P229=TRUE, (J229 / $R229) * 100 * ($S229 / 100)-J229, ))), )</f>
        <v/>
      </c>
      <c r="AD229" s="32" t="str">
        <f t="shared" si="233"/>
        <v/>
      </c>
      <c r="AE229" s="32" t="str">
        <f t="shared" si="233"/>
        <v/>
      </c>
      <c r="AF229" s="32" t="str">
        <f t="shared" si="233"/>
        <v/>
      </c>
      <c r="AG229" s="32" t="str">
        <f t="shared" si="233"/>
        <v/>
      </c>
      <c r="AH229" s="33"/>
    </row>
    <row r="230" hidden="1" outlineLevel="2">
      <c r="A230" s="16" t="b">
        <v>0</v>
      </c>
      <c r="B230" s="17"/>
      <c r="C230" s="18"/>
      <c r="D230" s="41">
        <v>45238.0</v>
      </c>
      <c r="E230" s="20" t="s">
        <v>60</v>
      </c>
      <c r="F230" s="21" t="s">
        <v>61</v>
      </c>
      <c r="G230" s="23">
        <v>2.0</v>
      </c>
      <c r="H230" s="23">
        <v>1.0</v>
      </c>
      <c r="I230" s="23">
        <v>2.0</v>
      </c>
      <c r="J230" s="23"/>
      <c r="K230" s="23"/>
      <c r="L230" s="23"/>
      <c r="M230" s="23"/>
      <c r="N230" s="23"/>
      <c r="O230" s="24"/>
      <c r="P230" s="16" t="b">
        <v>0</v>
      </c>
      <c r="Q230" s="24"/>
      <c r="R230" s="25">
        <v>5.0</v>
      </c>
      <c r="S230" s="26">
        <v>15.97</v>
      </c>
      <c r="T230" s="27" t="s">
        <v>238</v>
      </c>
      <c r="U230" s="24"/>
      <c r="V230" s="28"/>
      <c r="W230" s="29"/>
      <c r="X230" s="30"/>
      <c r="Y230" s="31"/>
      <c r="Z230" s="26">
        <f t="shared" si="5"/>
        <v>-2</v>
      </c>
      <c r="AA230" s="26">
        <f t="shared" si="6"/>
        <v>-2</v>
      </c>
      <c r="AB230" s="32">
        <f t="shared" si="7"/>
        <v>-1</v>
      </c>
      <c r="AC230" s="32" t="str">
        <f t="shared" ref="AC230:AG230" si="234">IF(J230&lt;&gt;"", IF(AND($P230=FALSE, $A230=FALSE), -J230, IF(AND($P230=FALSE, $A230=TRUE), 0, IF($P230=TRUE, (J230 / $R230) * 100 * ($S230 / 100)-J230, ))), )</f>
        <v/>
      </c>
      <c r="AD230" s="32" t="str">
        <f t="shared" si="234"/>
        <v/>
      </c>
      <c r="AE230" s="32" t="str">
        <f t="shared" si="234"/>
        <v/>
      </c>
      <c r="AF230" s="32" t="str">
        <f t="shared" si="234"/>
        <v/>
      </c>
      <c r="AG230" s="32" t="str">
        <f t="shared" si="234"/>
        <v/>
      </c>
      <c r="AH230" s="33"/>
    </row>
    <row r="231" hidden="1" outlineLevel="3">
      <c r="A231" s="16" t="b">
        <v>0</v>
      </c>
      <c r="B231" s="17"/>
      <c r="C231" s="18"/>
      <c r="D231" s="41"/>
      <c r="E231" s="20"/>
      <c r="F231" s="21"/>
      <c r="G231" s="23"/>
      <c r="H231" s="23"/>
      <c r="I231" s="23"/>
      <c r="J231" s="23"/>
      <c r="K231" s="23"/>
      <c r="L231" s="23"/>
      <c r="M231" s="23"/>
      <c r="N231" s="23"/>
      <c r="O231" s="24"/>
      <c r="P231" s="16" t="b">
        <v>0</v>
      </c>
      <c r="Q231" s="24"/>
      <c r="R231" s="25"/>
      <c r="S231" s="26"/>
      <c r="T231" s="27"/>
      <c r="U231" s="24"/>
      <c r="V231" s="28" t="s">
        <v>32</v>
      </c>
      <c r="W231" s="29" t="s">
        <v>22</v>
      </c>
      <c r="X231" s="37" t="s">
        <v>189</v>
      </c>
      <c r="Y231" s="31"/>
      <c r="Z231" s="26" t="str">
        <f t="shared" si="5"/>
        <v/>
      </c>
      <c r="AA231" s="26" t="str">
        <f t="shared" si="6"/>
        <v/>
      </c>
      <c r="AB231" s="32" t="str">
        <f t="shared" si="7"/>
        <v/>
      </c>
      <c r="AC231" s="32" t="str">
        <f t="shared" ref="AC231:AG231" si="235">IF(J231&lt;&gt;"", IF(AND($P231=FALSE, $A231=FALSE), -J231, IF(AND($P231=FALSE, $A231=TRUE), 0, IF($P231=TRUE, (J231 / $R231) * 100 * ($S231 / 100)-J231, ))), )</f>
        <v/>
      </c>
      <c r="AD231" s="32" t="str">
        <f t="shared" si="235"/>
        <v/>
      </c>
      <c r="AE231" s="32" t="str">
        <f t="shared" si="235"/>
        <v/>
      </c>
      <c r="AF231" s="32" t="str">
        <f t="shared" si="235"/>
        <v/>
      </c>
      <c r="AG231" s="32" t="str">
        <f t="shared" si="235"/>
        <v/>
      </c>
      <c r="AH231" s="33"/>
    </row>
    <row r="232" hidden="1" outlineLevel="3">
      <c r="A232" s="16" t="b">
        <v>0</v>
      </c>
      <c r="B232" s="17"/>
      <c r="C232" s="18"/>
      <c r="D232" s="41"/>
      <c r="E232" s="20"/>
      <c r="F232" s="21"/>
      <c r="G232" s="23"/>
      <c r="H232" s="23"/>
      <c r="I232" s="23"/>
      <c r="J232" s="23"/>
      <c r="K232" s="23"/>
      <c r="L232" s="23"/>
      <c r="M232" s="23"/>
      <c r="N232" s="23"/>
      <c r="O232" s="24"/>
      <c r="P232" s="16" t="b">
        <v>0</v>
      </c>
      <c r="Q232" s="24"/>
      <c r="R232" s="25"/>
      <c r="S232" s="26"/>
      <c r="T232" s="27"/>
      <c r="U232" s="24"/>
      <c r="V232" s="38" t="s">
        <v>29</v>
      </c>
      <c r="W232" s="29" t="s">
        <v>22</v>
      </c>
      <c r="X232" s="37" t="s">
        <v>239</v>
      </c>
      <c r="Y232" s="31"/>
      <c r="Z232" s="26" t="str">
        <f t="shared" si="5"/>
        <v/>
      </c>
      <c r="AA232" s="26" t="str">
        <f t="shared" si="6"/>
        <v/>
      </c>
      <c r="AB232" s="32" t="str">
        <f t="shared" si="7"/>
        <v/>
      </c>
      <c r="AC232" s="32" t="str">
        <f t="shared" ref="AC232:AG232" si="236">IF(J232&lt;&gt;"", IF(AND($P232=FALSE, $A232=FALSE), -J232, IF(AND($P232=FALSE, $A232=TRUE), 0, IF($P232=TRUE, (J232 / $R232) * 100 * ($S232 / 100)-J232, ))), )</f>
        <v/>
      </c>
      <c r="AD232" s="32" t="str">
        <f t="shared" si="236"/>
        <v/>
      </c>
      <c r="AE232" s="32" t="str">
        <f t="shared" si="236"/>
        <v/>
      </c>
      <c r="AF232" s="32" t="str">
        <f t="shared" si="236"/>
        <v/>
      </c>
      <c r="AG232" s="32" t="str">
        <f t="shared" si="236"/>
        <v/>
      </c>
      <c r="AH232" s="33"/>
    </row>
    <row r="233" hidden="1" outlineLevel="3">
      <c r="A233" s="16" t="b">
        <v>0</v>
      </c>
      <c r="B233" s="17"/>
      <c r="C233" s="18"/>
      <c r="D233" s="41"/>
      <c r="E233" s="20"/>
      <c r="F233" s="21"/>
      <c r="G233" s="23"/>
      <c r="H233" s="23"/>
      <c r="I233" s="23"/>
      <c r="J233" s="23"/>
      <c r="K233" s="23"/>
      <c r="L233" s="23"/>
      <c r="M233" s="23"/>
      <c r="N233" s="23"/>
      <c r="O233" s="24"/>
      <c r="P233" s="16" t="b">
        <v>0</v>
      </c>
      <c r="Q233" s="24"/>
      <c r="R233" s="25"/>
      <c r="S233" s="26"/>
      <c r="T233" s="27"/>
      <c r="U233" s="24"/>
      <c r="V233" s="38" t="s">
        <v>29</v>
      </c>
      <c r="W233" s="29" t="s">
        <v>22</v>
      </c>
      <c r="X233" s="37" t="s">
        <v>240</v>
      </c>
      <c r="Y233" s="31"/>
      <c r="Z233" s="26" t="str">
        <f t="shared" si="5"/>
        <v/>
      </c>
      <c r="AA233" s="26" t="str">
        <f t="shared" si="6"/>
        <v/>
      </c>
      <c r="AB233" s="32" t="str">
        <f t="shared" si="7"/>
        <v/>
      </c>
      <c r="AC233" s="32" t="str">
        <f t="shared" ref="AC233:AG233" si="237">IF(J233&lt;&gt;"", IF(AND($P233=FALSE, $A233=FALSE), -J233, IF(AND($P233=FALSE, $A233=TRUE), 0, IF($P233=TRUE, (J233 / $R233) * 100 * ($S233 / 100)-J233, ))), )</f>
        <v/>
      </c>
      <c r="AD233" s="32" t="str">
        <f t="shared" si="237"/>
        <v/>
      </c>
      <c r="AE233" s="32" t="str">
        <f t="shared" si="237"/>
        <v/>
      </c>
      <c r="AF233" s="32" t="str">
        <f t="shared" si="237"/>
        <v/>
      </c>
      <c r="AG233" s="32" t="str">
        <f t="shared" si="237"/>
        <v/>
      </c>
      <c r="AH233" s="33"/>
    </row>
    <row r="234" hidden="1" outlineLevel="3">
      <c r="A234" s="16" t="b">
        <v>0</v>
      </c>
      <c r="B234" s="17"/>
      <c r="C234" s="18"/>
      <c r="D234" s="41"/>
      <c r="E234" s="20"/>
      <c r="F234" s="21"/>
      <c r="G234" s="23"/>
      <c r="H234" s="23"/>
      <c r="I234" s="23"/>
      <c r="J234" s="23"/>
      <c r="K234" s="23"/>
      <c r="L234" s="23"/>
      <c r="M234" s="23"/>
      <c r="N234" s="23"/>
      <c r="O234" s="24"/>
      <c r="P234" s="16" t="b">
        <v>0</v>
      </c>
      <c r="Q234" s="24"/>
      <c r="R234" s="25"/>
      <c r="S234" s="26"/>
      <c r="T234" s="27"/>
      <c r="U234" s="24"/>
      <c r="V234" s="28" t="s">
        <v>32</v>
      </c>
      <c r="W234" s="29" t="s">
        <v>22</v>
      </c>
      <c r="X234" s="37" t="s">
        <v>217</v>
      </c>
      <c r="Y234" s="31"/>
      <c r="Z234" s="26" t="str">
        <f t="shared" si="5"/>
        <v/>
      </c>
      <c r="AA234" s="26" t="str">
        <f t="shared" si="6"/>
        <v/>
      </c>
      <c r="AB234" s="32" t="str">
        <f t="shared" si="7"/>
        <v/>
      </c>
      <c r="AC234" s="32" t="str">
        <f t="shared" ref="AC234:AG234" si="238">IF(J234&lt;&gt;"", IF(AND($P234=FALSE, $A234=FALSE), -J234, IF(AND($P234=FALSE, $A234=TRUE), 0, IF($P234=TRUE, (J234 / $R234) * 100 * ($S234 / 100)-J234, ))), )</f>
        <v/>
      </c>
      <c r="AD234" s="32" t="str">
        <f t="shared" si="238"/>
        <v/>
      </c>
      <c r="AE234" s="32" t="str">
        <f t="shared" si="238"/>
        <v/>
      </c>
      <c r="AF234" s="32" t="str">
        <f t="shared" si="238"/>
        <v/>
      </c>
      <c r="AG234" s="32" t="str">
        <f t="shared" si="238"/>
        <v/>
      </c>
      <c r="AH234" s="33"/>
    </row>
    <row r="235" hidden="1" outlineLevel="1" collapsed="1">
      <c r="A235" s="16" t="b">
        <v>0</v>
      </c>
      <c r="B235" s="17"/>
      <c r="C235" s="18"/>
      <c r="D235" s="41">
        <v>45239.0</v>
      </c>
      <c r="E235" s="20" t="s">
        <v>24</v>
      </c>
      <c r="F235" s="21" t="s">
        <v>52</v>
      </c>
      <c r="G235" s="23">
        <v>2.0</v>
      </c>
      <c r="H235" s="23">
        <v>1.0</v>
      </c>
      <c r="I235" s="23">
        <v>2.0</v>
      </c>
      <c r="J235" s="23"/>
      <c r="K235" s="23"/>
      <c r="L235" s="23"/>
      <c r="M235" s="23"/>
      <c r="N235" s="23"/>
      <c r="O235" s="24"/>
      <c r="P235" s="16" t="b">
        <v>1</v>
      </c>
      <c r="Q235" s="24"/>
      <c r="R235" s="25">
        <v>5.0</v>
      </c>
      <c r="S235" s="26">
        <v>15.0</v>
      </c>
      <c r="T235" s="27" t="s">
        <v>55</v>
      </c>
      <c r="U235" s="24"/>
      <c r="V235" s="28"/>
      <c r="W235" s="29"/>
      <c r="X235" s="30"/>
      <c r="Y235" s="31"/>
      <c r="Z235" s="26">
        <f t="shared" si="5"/>
        <v>4</v>
      </c>
      <c r="AA235" s="26">
        <f t="shared" si="6"/>
        <v>4</v>
      </c>
      <c r="AB235" s="32">
        <f t="shared" si="7"/>
        <v>2</v>
      </c>
      <c r="AC235" s="32" t="str">
        <f t="shared" ref="AC235:AG235" si="239">IF(J235&lt;&gt;"", IF(AND($P235=FALSE, $A235=FALSE), -J235, IF(AND($P235=FALSE, $A235=TRUE), 0, IF($P235=TRUE, (J235 / $R235) * 100 * ($S235 / 100)-J235, ))), )</f>
        <v/>
      </c>
      <c r="AD235" s="32" t="str">
        <f t="shared" si="239"/>
        <v/>
      </c>
      <c r="AE235" s="32" t="str">
        <f t="shared" si="239"/>
        <v/>
      </c>
      <c r="AF235" s="32" t="str">
        <f t="shared" si="239"/>
        <v/>
      </c>
      <c r="AG235" s="32" t="str">
        <f t="shared" si="239"/>
        <v/>
      </c>
      <c r="AH235" s="33"/>
    </row>
    <row r="236" hidden="1" outlineLevel="3">
      <c r="A236" s="16" t="b">
        <v>0</v>
      </c>
      <c r="B236" s="17"/>
      <c r="C236" s="18"/>
      <c r="D236" s="41"/>
      <c r="E236" s="20"/>
      <c r="F236" s="21"/>
      <c r="G236" s="23"/>
      <c r="H236" s="23"/>
      <c r="I236" s="23"/>
      <c r="J236" s="23"/>
      <c r="K236" s="23"/>
      <c r="L236" s="23"/>
      <c r="M236" s="23"/>
      <c r="N236" s="23"/>
      <c r="O236" s="24"/>
      <c r="P236" s="16" t="b">
        <v>0</v>
      </c>
      <c r="Q236" s="24"/>
      <c r="R236" s="25"/>
      <c r="S236" s="26"/>
      <c r="T236" s="27"/>
      <c r="U236" s="24"/>
      <c r="V236" s="38" t="s">
        <v>29</v>
      </c>
      <c r="W236" s="29" t="s">
        <v>22</v>
      </c>
      <c r="X236" s="37" t="s">
        <v>241</v>
      </c>
      <c r="Y236" s="31"/>
      <c r="Z236" s="26" t="str">
        <f t="shared" si="5"/>
        <v/>
      </c>
      <c r="AA236" s="26" t="str">
        <f t="shared" si="6"/>
        <v/>
      </c>
      <c r="AB236" s="32" t="str">
        <f t="shared" si="7"/>
        <v/>
      </c>
      <c r="AC236" s="32" t="str">
        <f t="shared" ref="AC236:AG236" si="240">IF(J236&lt;&gt;"", IF(AND($P236=FALSE, $A236=FALSE), -J236, IF(AND($P236=FALSE, $A236=TRUE), 0, IF($P236=TRUE, (J236 / $R236) * 100 * ($S236 / 100)-J236, ))), )</f>
        <v/>
      </c>
      <c r="AD236" s="32" t="str">
        <f t="shared" si="240"/>
        <v/>
      </c>
      <c r="AE236" s="32" t="str">
        <f t="shared" si="240"/>
        <v/>
      </c>
      <c r="AF236" s="32" t="str">
        <f t="shared" si="240"/>
        <v/>
      </c>
      <c r="AG236" s="32" t="str">
        <f t="shared" si="240"/>
        <v/>
      </c>
      <c r="AH236" s="33"/>
    </row>
    <row r="237" hidden="1" outlineLevel="3">
      <c r="A237" s="16" t="b">
        <v>0</v>
      </c>
      <c r="B237" s="17"/>
      <c r="C237" s="18"/>
      <c r="D237" s="41"/>
      <c r="E237" s="20"/>
      <c r="F237" s="21"/>
      <c r="G237" s="23"/>
      <c r="H237" s="23"/>
      <c r="I237" s="23"/>
      <c r="J237" s="23"/>
      <c r="K237" s="23"/>
      <c r="L237" s="23"/>
      <c r="M237" s="23"/>
      <c r="N237" s="23"/>
      <c r="O237" s="24"/>
      <c r="P237" s="16" t="b">
        <v>0</v>
      </c>
      <c r="Q237" s="24"/>
      <c r="R237" s="25"/>
      <c r="S237" s="26"/>
      <c r="T237" s="27"/>
      <c r="U237" s="24"/>
      <c r="V237" s="38" t="s">
        <v>29</v>
      </c>
      <c r="W237" s="29" t="s">
        <v>22</v>
      </c>
      <c r="X237" s="37" t="s">
        <v>242</v>
      </c>
      <c r="Y237" s="31"/>
      <c r="Z237" s="26" t="str">
        <f t="shared" si="5"/>
        <v/>
      </c>
      <c r="AA237" s="26" t="str">
        <f t="shared" si="6"/>
        <v/>
      </c>
      <c r="AB237" s="32" t="str">
        <f t="shared" si="7"/>
        <v/>
      </c>
      <c r="AC237" s="32" t="str">
        <f t="shared" ref="AC237:AG237" si="241">IF(J237&lt;&gt;"", IF(AND($P237=FALSE, $A237=FALSE), -J237, IF(AND($P237=FALSE, $A237=TRUE), 0, IF($P237=TRUE, (J237 / $R237) * 100 * ($S237 / 100)-J237, ))), )</f>
        <v/>
      </c>
      <c r="AD237" s="32" t="str">
        <f t="shared" si="241"/>
        <v/>
      </c>
      <c r="AE237" s="32" t="str">
        <f t="shared" si="241"/>
        <v/>
      </c>
      <c r="AF237" s="32" t="str">
        <f t="shared" si="241"/>
        <v/>
      </c>
      <c r="AG237" s="32" t="str">
        <f t="shared" si="241"/>
        <v/>
      </c>
      <c r="AH237" s="33"/>
    </row>
    <row r="238" hidden="1" outlineLevel="2" collapsed="1">
      <c r="A238" s="16" t="b">
        <v>0</v>
      </c>
      <c r="B238" s="17"/>
      <c r="C238" s="18"/>
      <c r="D238" s="41">
        <v>45239.0</v>
      </c>
      <c r="E238" s="20" t="s">
        <v>24</v>
      </c>
      <c r="F238" s="21" t="s">
        <v>52</v>
      </c>
      <c r="G238" s="23">
        <v>2.0</v>
      </c>
      <c r="H238" s="23">
        <v>1.0</v>
      </c>
      <c r="I238" s="23">
        <v>7.0</v>
      </c>
      <c r="J238" s="23"/>
      <c r="K238" s="23"/>
      <c r="L238" s="23"/>
      <c r="M238" s="23"/>
      <c r="N238" s="23"/>
      <c r="O238" s="24"/>
      <c r="P238" s="16" t="b">
        <v>1</v>
      </c>
      <c r="Q238" s="24"/>
      <c r="R238" s="25">
        <v>10.0</v>
      </c>
      <c r="S238" s="26">
        <v>23.63</v>
      </c>
      <c r="T238" s="27" t="s">
        <v>243</v>
      </c>
      <c r="U238" s="24"/>
      <c r="V238" s="28"/>
      <c r="W238" s="29"/>
      <c r="X238" s="30"/>
      <c r="Y238" s="31"/>
      <c r="Z238" s="26">
        <f t="shared" si="5"/>
        <v>2.726</v>
      </c>
      <c r="AA238" s="26">
        <f t="shared" si="6"/>
        <v>9.541</v>
      </c>
      <c r="AB238" s="32">
        <f t="shared" si="7"/>
        <v>1.363</v>
      </c>
      <c r="AC238" s="32" t="str">
        <f t="shared" ref="AC238:AG238" si="242">IF(J238&lt;&gt;"", IF(AND($P238=FALSE, $A238=FALSE), -J238, IF(AND($P238=FALSE, $A238=TRUE), 0, IF($P238=TRUE, (J238 / $R238) * 100 * ($S238 / 100)-J238, ))), )</f>
        <v/>
      </c>
      <c r="AD238" s="32" t="str">
        <f t="shared" si="242"/>
        <v/>
      </c>
      <c r="AE238" s="32" t="str">
        <f t="shared" si="242"/>
        <v/>
      </c>
      <c r="AF238" s="32" t="str">
        <f t="shared" si="242"/>
        <v/>
      </c>
      <c r="AG238" s="32" t="str">
        <f t="shared" si="242"/>
        <v/>
      </c>
      <c r="AH238" s="33"/>
    </row>
    <row r="239" hidden="1" outlineLevel="3">
      <c r="A239" s="16" t="b">
        <v>0</v>
      </c>
      <c r="B239" s="17"/>
      <c r="C239" s="18"/>
      <c r="D239" s="41"/>
      <c r="E239" s="20"/>
      <c r="F239" s="21"/>
      <c r="G239" s="23"/>
      <c r="H239" s="23"/>
      <c r="I239" s="23"/>
      <c r="J239" s="23"/>
      <c r="K239" s="23"/>
      <c r="L239" s="23"/>
      <c r="M239" s="23"/>
      <c r="N239" s="23"/>
      <c r="O239" s="24"/>
      <c r="P239" s="16" t="b">
        <v>0</v>
      </c>
      <c r="Q239" s="24"/>
      <c r="R239" s="25"/>
      <c r="S239" s="26"/>
      <c r="T239" s="27"/>
      <c r="U239" s="24"/>
      <c r="V239" s="38" t="s">
        <v>29</v>
      </c>
      <c r="W239" s="29" t="s">
        <v>22</v>
      </c>
      <c r="X239" s="37" t="s">
        <v>244</v>
      </c>
      <c r="Y239" s="31"/>
      <c r="Z239" s="26" t="str">
        <f t="shared" si="5"/>
        <v/>
      </c>
      <c r="AA239" s="26" t="str">
        <f t="shared" si="6"/>
        <v/>
      </c>
      <c r="AB239" s="32" t="str">
        <f t="shared" si="7"/>
        <v/>
      </c>
      <c r="AC239" s="32" t="str">
        <f t="shared" ref="AC239:AG239" si="243">IF(J239&lt;&gt;"", IF(AND($P239=FALSE, $A239=FALSE), -J239, IF(AND($P239=FALSE, $A239=TRUE), 0, IF($P239=TRUE, (J239 / $R239) * 100 * ($S239 / 100)-J239, ))), )</f>
        <v/>
      </c>
      <c r="AD239" s="32" t="str">
        <f t="shared" si="243"/>
        <v/>
      </c>
      <c r="AE239" s="32" t="str">
        <f t="shared" si="243"/>
        <v/>
      </c>
      <c r="AF239" s="32" t="str">
        <f t="shared" si="243"/>
        <v/>
      </c>
      <c r="AG239" s="32" t="str">
        <f t="shared" si="243"/>
        <v/>
      </c>
      <c r="AH239" s="33"/>
    </row>
    <row r="240" hidden="1" outlineLevel="2" collapsed="1">
      <c r="A240" s="16" t="b">
        <v>0</v>
      </c>
      <c r="B240" s="17"/>
      <c r="C240" s="18"/>
      <c r="D240" s="41">
        <v>45239.0</v>
      </c>
      <c r="E240" s="20" t="s">
        <v>24</v>
      </c>
      <c r="F240" s="21" t="s">
        <v>52</v>
      </c>
      <c r="G240" s="23">
        <v>2.0</v>
      </c>
      <c r="H240" s="23">
        <v>1.0</v>
      </c>
      <c r="I240" s="23">
        <v>3.0</v>
      </c>
      <c r="J240" s="23"/>
      <c r="K240" s="23"/>
      <c r="L240" s="23"/>
      <c r="M240" s="23"/>
      <c r="N240" s="23"/>
      <c r="O240" s="24"/>
      <c r="P240" s="16" t="b">
        <v>1</v>
      </c>
      <c r="Q240" s="24"/>
      <c r="R240" s="25">
        <v>6.0</v>
      </c>
      <c r="S240" s="26">
        <v>13.71</v>
      </c>
      <c r="T240" s="27" t="s">
        <v>245</v>
      </c>
      <c r="U240" s="24"/>
      <c r="V240" s="28"/>
      <c r="W240" s="29"/>
      <c r="X240" s="30"/>
      <c r="Y240" s="31"/>
      <c r="Z240" s="26">
        <f t="shared" si="5"/>
        <v>2.57</v>
      </c>
      <c r="AA240" s="26">
        <f t="shared" si="6"/>
        <v>3.855</v>
      </c>
      <c r="AB240" s="32">
        <f t="shared" si="7"/>
        <v>1.285</v>
      </c>
      <c r="AC240" s="32" t="str">
        <f t="shared" ref="AC240:AG240" si="244">IF(J240&lt;&gt;"", IF(AND($P240=FALSE, $A240=FALSE), -J240, IF(AND($P240=FALSE, $A240=TRUE), 0, IF($P240=TRUE, (J240 / $R240) * 100 * ($S240 / 100)-J240, ))), )</f>
        <v/>
      </c>
      <c r="AD240" s="32" t="str">
        <f t="shared" si="244"/>
        <v/>
      </c>
      <c r="AE240" s="32" t="str">
        <f t="shared" si="244"/>
        <v/>
      </c>
      <c r="AF240" s="32" t="str">
        <f t="shared" si="244"/>
        <v/>
      </c>
      <c r="AG240" s="32" t="str">
        <f t="shared" si="244"/>
        <v/>
      </c>
      <c r="AH240" s="33"/>
    </row>
    <row r="241" hidden="1" outlineLevel="3">
      <c r="A241" s="16" t="b">
        <v>0</v>
      </c>
      <c r="B241" s="17"/>
      <c r="C241" s="18"/>
      <c r="D241" s="41"/>
      <c r="E241" s="20"/>
      <c r="F241" s="21"/>
      <c r="G241" s="23"/>
      <c r="H241" s="23"/>
      <c r="I241" s="23"/>
      <c r="J241" s="23"/>
      <c r="K241" s="23"/>
      <c r="L241" s="23"/>
      <c r="M241" s="23"/>
      <c r="N241" s="23"/>
      <c r="O241" s="24"/>
      <c r="P241" s="16" t="b">
        <v>0</v>
      </c>
      <c r="Q241" s="24"/>
      <c r="R241" s="25"/>
      <c r="S241" s="26"/>
      <c r="T241" s="27"/>
      <c r="U241" s="24"/>
      <c r="V241" s="38" t="s">
        <v>29</v>
      </c>
      <c r="W241" s="29" t="s">
        <v>22</v>
      </c>
      <c r="X241" s="37" t="s">
        <v>246</v>
      </c>
      <c r="Y241" s="31"/>
      <c r="Z241" s="26" t="str">
        <f t="shared" si="5"/>
        <v/>
      </c>
      <c r="AA241" s="26" t="str">
        <f t="shared" si="6"/>
        <v/>
      </c>
      <c r="AB241" s="32" t="str">
        <f t="shared" si="7"/>
        <v/>
      </c>
      <c r="AC241" s="32" t="str">
        <f t="shared" ref="AC241:AG241" si="245">IF(J241&lt;&gt;"", IF(AND($P241=FALSE, $A241=FALSE), -J241, IF(AND($P241=FALSE, $A241=TRUE), 0, IF($P241=TRUE, (J241 / $R241) * 100 * ($S241 / 100)-J241, ))), )</f>
        <v/>
      </c>
      <c r="AD241" s="32" t="str">
        <f t="shared" si="245"/>
        <v/>
      </c>
      <c r="AE241" s="32" t="str">
        <f t="shared" si="245"/>
        <v/>
      </c>
      <c r="AF241" s="32" t="str">
        <f t="shared" si="245"/>
        <v/>
      </c>
      <c r="AG241" s="32" t="str">
        <f t="shared" si="245"/>
        <v/>
      </c>
      <c r="AH241" s="33"/>
    </row>
    <row r="242" hidden="1" outlineLevel="3">
      <c r="A242" s="16" t="b">
        <v>0</v>
      </c>
      <c r="B242" s="17"/>
      <c r="C242" s="18"/>
      <c r="D242" s="41"/>
      <c r="E242" s="20"/>
      <c r="F242" s="21"/>
      <c r="G242" s="23"/>
      <c r="H242" s="23"/>
      <c r="I242" s="23"/>
      <c r="J242" s="23"/>
      <c r="K242" s="23"/>
      <c r="L242" s="23"/>
      <c r="M242" s="23"/>
      <c r="N242" s="23"/>
      <c r="O242" s="24"/>
      <c r="P242" s="16" t="b">
        <v>0</v>
      </c>
      <c r="Q242" s="24"/>
      <c r="R242" s="25"/>
      <c r="S242" s="26"/>
      <c r="T242" s="27"/>
      <c r="U242" s="24"/>
      <c r="V242" s="38" t="s">
        <v>29</v>
      </c>
      <c r="W242" s="29" t="s">
        <v>22</v>
      </c>
      <c r="X242" s="37" t="s">
        <v>247</v>
      </c>
      <c r="Y242" s="31"/>
      <c r="Z242" s="26" t="str">
        <f t="shared" si="5"/>
        <v/>
      </c>
      <c r="AA242" s="26" t="str">
        <f t="shared" si="6"/>
        <v/>
      </c>
      <c r="AB242" s="32" t="str">
        <f t="shared" si="7"/>
        <v/>
      </c>
      <c r="AC242" s="32" t="str">
        <f t="shared" ref="AC242:AG242" si="246">IF(J242&lt;&gt;"", IF(AND($P242=FALSE, $A242=FALSE), -J242, IF(AND($P242=FALSE, $A242=TRUE), 0, IF($P242=TRUE, (J242 / $R242) * 100 * ($S242 / 100)-J242, ))), )</f>
        <v/>
      </c>
      <c r="AD242" s="32" t="str">
        <f t="shared" si="246"/>
        <v/>
      </c>
      <c r="AE242" s="32" t="str">
        <f t="shared" si="246"/>
        <v/>
      </c>
      <c r="AF242" s="32" t="str">
        <f t="shared" si="246"/>
        <v/>
      </c>
      <c r="AG242" s="32" t="str">
        <f t="shared" si="246"/>
        <v/>
      </c>
      <c r="AH242" s="33"/>
    </row>
    <row r="243" hidden="1" outlineLevel="2" collapsed="1">
      <c r="A243" s="16" t="b">
        <v>1</v>
      </c>
      <c r="B243" s="17"/>
      <c r="C243" s="18"/>
      <c r="D243" s="41">
        <v>45239.0</v>
      </c>
      <c r="E243" s="20" t="s">
        <v>24</v>
      </c>
      <c r="F243" s="21" t="s">
        <v>52</v>
      </c>
      <c r="G243" s="23">
        <v>2.0</v>
      </c>
      <c r="H243" s="23">
        <v>1.0</v>
      </c>
      <c r="I243" s="23">
        <v>2.0</v>
      </c>
      <c r="J243" s="23"/>
      <c r="K243" s="23"/>
      <c r="L243" s="23"/>
      <c r="M243" s="23"/>
      <c r="N243" s="23"/>
      <c r="O243" s="24"/>
      <c r="P243" s="16" t="b">
        <v>0</v>
      </c>
      <c r="Q243" s="24"/>
      <c r="R243" s="25">
        <v>5.0</v>
      </c>
      <c r="S243" s="26">
        <v>73.98</v>
      </c>
      <c r="T243" s="27" t="s">
        <v>248</v>
      </c>
      <c r="U243" s="24"/>
      <c r="V243" s="28"/>
      <c r="W243" s="29"/>
      <c r="X243" s="30"/>
      <c r="Y243" s="31"/>
      <c r="Z243" s="26">
        <f t="shared" si="5"/>
        <v>0</v>
      </c>
      <c r="AA243" s="26">
        <f t="shared" si="6"/>
        <v>0</v>
      </c>
      <c r="AB243" s="32">
        <f t="shared" si="7"/>
        <v>0</v>
      </c>
      <c r="AC243" s="32" t="str">
        <f t="shared" ref="AC243:AG243" si="247">IF(J243&lt;&gt;"", IF(AND($P243=FALSE, $A243=FALSE), -J243, IF(AND($P243=FALSE, $A243=TRUE), 0, IF($P243=TRUE, (J243 / $R243) * 100 * ($S243 / 100)-J243, ))), )</f>
        <v/>
      </c>
      <c r="AD243" s="32" t="str">
        <f t="shared" si="247"/>
        <v/>
      </c>
      <c r="AE243" s="32" t="str">
        <f t="shared" si="247"/>
        <v/>
      </c>
      <c r="AF243" s="32" t="str">
        <f t="shared" si="247"/>
        <v/>
      </c>
      <c r="AG243" s="32" t="str">
        <f t="shared" si="247"/>
        <v/>
      </c>
      <c r="AH243" s="33"/>
    </row>
    <row r="244" hidden="1" outlineLevel="3">
      <c r="A244" s="16" t="b">
        <v>0</v>
      </c>
      <c r="B244" s="17"/>
      <c r="C244" s="18"/>
      <c r="D244" s="41"/>
      <c r="E244" s="20"/>
      <c r="F244" s="21"/>
      <c r="G244" s="23"/>
      <c r="H244" s="23"/>
      <c r="I244" s="23"/>
      <c r="J244" s="23"/>
      <c r="K244" s="23"/>
      <c r="L244" s="23"/>
      <c r="M244" s="23"/>
      <c r="N244" s="23"/>
      <c r="O244" s="24"/>
      <c r="P244" s="16" t="b">
        <v>0</v>
      </c>
      <c r="Q244" s="24"/>
      <c r="R244" s="25"/>
      <c r="S244" s="26"/>
      <c r="T244" s="27"/>
      <c r="U244" s="24"/>
      <c r="V244" s="38" t="s">
        <v>29</v>
      </c>
      <c r="W244" s="29" t="s">
        <v>22</v>
      </c>
      <c r="X244" s="37" t="s">
        <v>249</v>
      </c>
      <c r="Y244" s="31"/>
      <c r="Z244" s="26" t="str">
        <f t="shared" si="5"/>
        <v/>
      </c>
      <c r="AA244" s="26" t="str">
        <f t="shared" si="6"/>
        <v/>
      </c>
      <c r="AB244" s="32" t="str">
        <f t="shared" si="7"/>
        <v/>
      </c>
      <c r="AC244" s="32" t="str">
        <f t="shared" ref="AC244:AG244" si="248">IF(J244&lt;&gt;"", IF(AND($P244=FALSE, $A244=FALSE), -J244, IF(AND($P244=FALSE, $A244=TRUE), 0, IF($P244=TRUE, (J244 / $R244) * 100 * ($S244 / 100)-J244, ))), )</f>
        <v/>
      </c>
      <c r="AD244" s="32" t="str">
        <f t="shared" si="248"/>
        <v/>
      </c>
      <c r="AE244" s="32" t="str">
        <f t="shared" si="248"/>
        <v/>
      </c>
      <c r="AF244" s="32" t="str">
        <f t="shared" si="248"/>
        <v/>
      </c>
      <c r="AG244" s="32" t="str">
        <f t="shared" si="248"/>
        <v/>
      </c>
      <c r="AH244" s="33"/>
    </row>
    <row r="245" hidden="1" outlineLevel="3">
      <c r="A245" s="16" t="b">
        <v>0</v>
      </c>
      <c r="B245" s="17"/>
      <c r="C245" s="18"/>
      <c r="D245" s="41"/>
      <c r="E245" s="20"/>
      <c r="F245" s="21"/>
      <c r="G245" s="23"/>
      <c r="H245" s="23"/>
      <c r="I245" s="23"/>
      <c r="J245" s="23"/>
      <c r="K245" s="23"/>
      <c r="L245" s="23"/>
      <c r="M245" s="23"/>
      <c r="N245" s="23"/>
      <c r="O245" s="24"/>
      <c r="P245" s="16" t="b">
        <v>0</v>
      </c>
      <c r="Q245" s="24"/>
      <c r="R245" s="25"/>
      <c r="S245" s="26"/>
      <c r="T245" s="27"/>
      <c r="U245" s="24"/>
      <c r="V245" s="38" t="s">
        <v>29</v>
      </c>
      <c r="W245" s="29" t="s">
        <v>22</v>
      </c>
      <c r="X245" s="37" t="s">
        <v>250</v>
      </c>
      <c r="Y245" s="31"/>
      <c r="Z245" s="26" t="str">
        <f t="shared" si="5"/>
        <v/>
      </c>
      <c r="AA245" s="26" t="str">
        <f t="shared" si="6"/>
        <v/>
      </c>
      <c r="AB245" s="32" t="str">
        <f t="shared" si="7"/>
        <v/>
      </c>
      <c r="AC245" s="32" t="str">
        <f t="shared" ref="AC245:AG245" si="249">IF(J245&lt;&gt;"", IF(AND($P245=FALSE, $A245=FALSE), -J245, IF(AND($P245=FALSE, $A245=TRUE), 0, IF($P245=TRUE, (J245 / $R245) * 100 * ($S245 / 100)-J245, ))), )</f>
        <v/>
      </c>
      <c r="AD245" s="32" t="str">
        <f t="shared" si="249"/>
        <v/>
      </c>
      <c r="AE245" s="32" t="str">
        <f t="shared" si="249"/>
        <v/>
      </c>
      <c r="AF245" s="32" t="str">
        <f t="shared" si="249"/>
        <v/>
      </c>
      <c r="AG245" s="32" t="str">
        <f t="shared" si="249"/>
        <v/>
      </c>
      <c r="AH245" s="33"/>
    </row>
    <row r="246" hidden="1" outlineLevel="3">
      <c r="A246" s="16" t="b">
        <v>0</v>
      </c>
      <c r="B246" s="17"/>
      <c r="C246" s="18"/>
      <c r="D246" s="41"/>
      <c r="E246" s="20"/>
      <c r="F246" s="21"/>
      <c r="G246" s="23"/>
      <c r="H246" s="23"/>
      <c r="I246" s="23"/>
      <c r="J246" s="23"/>
      <c r="K246" s="23"/>
      <c r="L246" s="23"/>
      <c r="M246" s="23"/>
      <c r="N246" s="23"/>
      <c r="O246" s="24"/>
      <c r="P246" s="16" t="b">
        <v>0</v>
      </c>
      <c r="Q246" s="24"/>
      <c r="R246" s="25"/>
      <c r="S246" s="26"/>
      <c r="T246" s="27"/>
      <c r="U246" s="24"/>
      <c r="V246" s="38" t="s">
        <v>29</v>
      </c>
      <c r="W246" s="29" t="s">
        <v>22</v>
      </c>
      <c r="X246" s="37" t="s">
        <v>251</v>
      </c>
      <c r="Y246" s="31"/>
      <c r="Z246" s="26" t="str">
        <f t="shared" si="5"/>
        <v/>
      </c>
      <c r="AA246" s="26" t="str">
        <f t="shared" si="6"/>
        <v/>
      </c>
      <c r="AB246" s="32" t="str">
        <f t="shared" si="7"/>
        <v/>
      </c>
      <c r="AC246" s="32" t="str">
        <f t="shared" ref="AC246:AG246" si="250">IF(J246&lt;&gt;"", IF(AND($P246=FALSE, $A246=FALSE), -J246, IF(AND($P246=FALSE, $A246=TRUE), 0, IF($P246=TRUE, (J246 / $R246) * 100 * ($S246 / 100)-J246, ))), )</f>
        <v/>
      </c>
      <c r="AD246" s="32" t="str">
        <f t="shared" si="250"/>
        <v/>
      </c>
      <c r="AE246" s="32" t="str">
        <f t="shared" si="250"/>
        <v/>
      </c>
      <c r="AF246" s="32" t="str">
        <f t="shared" si="250"/>
        <v/>
      </c>
      <c r="AG246" s="32" t="str">
        <f t="shared" si="250"/>
        <v/>
      </c>
      <c r="AH246" s="33"/>
    </row>
    <row r="247" hidden="1" outlineLevel="3">
      <c r="A247" s="16" t="b">
        <v>0</v>
      </c>
      <c r="B247" s="17"/>
      <c r="C247" s="18"/>
      <c r="D247" s="41"/>
      <c r="E247" s="20"/>
      <c r="F247" s="21"/>
      <c r="G247" s="23"/>
      <c r="H247" s="23"/>
      <c r="I247" s="23"/>
      <c r="J247" s="23"/>
      <c r="K247" s="23"/>
      <c r="L247" s="23"/>
      <c r="M247" s="23"/>
      <c r="N247" s="23"/>
      <c r="O247" s="24"/>
      <c r="P247" s="16" t="b">
        <v>0</v>
      </c>
      <c r="Q247" s="24"/>
      <c r="R247" s="25"/>
      <c r="S247" s="26"/>
      <c r="T247" s="27"/>
      <c r="U247" s="24"/>
      <c r="V247" s="38" t="s">
        <v>29</v>
      </c>
      <c r="W247" s="29" t="s">
        <v>22</v>
      </c>
      <c r="X247" s="37" t="s">
        <v>252</v>
      </c>
      <c r="Y247" s="31"/>
      <c r="Z247" s="26" t="str">
        <f t="shared" si="5"/>
        <v/>
      </c>
      <c r="AA247" s="26" t="str">
        <f t="shared" si="6"/>
        <v/>
      </c>
      <c r="AB247" s="32" t="str">
        <f t="shared" si="7"/>
        <v/>
      </c>
      <c r="AC247" s="32" t="str">
        <f t="shared" ref="AC247:AG247" si="251">IF(J247&lt;&gt;"", IF(AND($P247=FALSE, $A247=FALSE), -J247, IF(AND($P247=FALSE, $A247=TRUE), 0, IF($P247=TRUE, (J247 / $R247) * 100 * ($S247 / 100)-J247, ))), )</f>
        <v/>
      </c>
      <c r="AD247" s="32" t="str">
        <f t="shared" si="251"/>
        <v/>
      </c>
      <c r="AE247" s="32" t="str">
        <f t="shared" si="251"/>
        <v/>
      </c>
      <c r="AF247" s="32" t="str">
        <f t="shared" si="251"/>
        <v/>
      </c>
      <c r="AG247" s="32" t="str">
        <f t="shared" si="251"/>
        <v/>
      </c>
      <c r="AH247" s="33"/>
    </row>
    <row r="248" hidden="1" outlineLevel="3">
      <c r="A248" s="16" t="b">
        <v>0</v>
      </c>
      <c r="B248" s="17"/>
      <c r="C248" s="18"/>
      <c r="D248" s="41"/>
      <c r="E248" s="20"/>
      <c r="F248" s="21"/>
      <c r="G248" s="23"/>
      <c r="H248" s="23"/>
      <c r="I248" s="23"/>
      <c r="J248" s="23"/>
      <c r="K248" s="23"/>
      <c r="L248" s="23"/>
      <c r="M248" s="23"/>
      <c r="N248" s="23"/>
      <c r="O248" s="24"/>
      <c r="P248" s="16" t="b">
        <v>0</v>
      </c>
      <c r="Q248" s="24"/>
      <c r="R248" s="25"/>
      <c r="S248" s="26"/>
      <c r="T248" s="27"/>
      <c r="U248" s="24"/>
      <c r="V248" s="28" t="s">
        <v>32</v>
      </c>
      <c r="W248" s="29" t="s">
        <v>22</v>
      </c>
      <c r="X248" s="37" t="s">
        <v>253</v>
      </c>
      <c r="Y248" s="31"/>
      <c r="Z248" s="26" t="str">
        <f t="shared" si="5"/>
        <v/>
      </c>
      <c r="AA248" s="26" t="str">
        <f t="shared" si="6"/>
        <v/>
      </c>
      <c r="AB248" s="32" t="str">
        <f t="shared" si="7"/>
        <v/>
      </c>
      <c r="AC248" s="32" t="str">
        <f t="shared" ref="AC248:AG248" si="252">IF(J248&lt;&gt;"", IF(AND($P248=FALSE, $A248=FALSE), -J248, IF(AND($P248=FALSE, $A248=TRUE), 0, IF($P248=TRUE, (J248 / $R248) * 100 * ($S248 / 100)-J248, ))), )</f>
        <v/>
      </c>
      <c r="AD248" s="32" t="str">
        <f t="shared" si="252"/>
        <v/>
      </c>
      <c r="AE248" s="32" t="str">
        <f t="shared" si="252"/>
        <v/>
      </c>
      <c r="AF248" s="32" t="str">
        <f t="shared" si="252"/>
        <v/>
      </c>
      <c r="AG248" s="32" t="str">
        <f t="shared" si="252"/>
        <v/>
      </c>
      <c r="AH248" s="33"/>
    </row>
    <row r="249" hidden="1" outlineLevel="2" collapsed="1">
      <c r="A249" s="16" t="b">
        <v>0</v>
      </c>
      <c r="B249" s="17"/>
      <c r="C249" s="18"/>
      <c r="D249" s="41">
        <v>45239.0</v>
      </c>
      <c r="E249" s="20" t="s">
        <v>24</v>
      </c>
      <c r="F249" s="21" t="s">
        <v>52</v>
      </c>
      <c r="G249" s="23">
        <v>0.6</v>
      </c>
      <c r="H249" s="23">
        <v>0.4</v>
      </c>
      <c r="I249" s="23">
        <v>2.0</v>
      </c>
      <c r="J249" s="23"/>
      <c r="K249" s="23"/>
      <c r="L249" s="23"/>
      <c r="M249" s="23"/>
      <c r="N249" s="23"/>
      <c r="O249" s="24"/>
      <c r="P249" s="16" t="b">
        <v>0</v>
      </c>
      <c r="Q249" s="24"/>
      <c r="R249" s="25">
        <v>3.0</v>
      </c>
      <c r="S249" s="26">
        <v>108.8</v>
      </c>
      <c r="T249" s="27" t="s">
        <v>254</v>
      </c>
      <c r="U249" s="24"/>
      <c r="V249" s="28"/>
      <c r="W249" s="29"/>
      <c r="X249" s="30"/>
      <c r="Y249" s="31"/>
      <c r="Z249" s="26">
        <f t="shared" si="5"/>
        <v>-0.6</v>
      </c>
      <c r="AA249" s="26">
        <f t="shared" si="6"/>
        <v>-2</v>
      </c>
      <c r="AB249" s="32">
        <f t="shared" si="7"/>
        <v>-0.4</v>
      </c>
      <c r="AC249" s="32" t="str">
        <f t="shared" ref="AC249:AG249" si="253">IF(J249&lt;&gt;"", IF(AND($P249=FALSE, $A249=FALSE), -J249, IF(AND($P249=FALSE, $A249=TRUE), 0, IF($P249=TRUE, (J249 / $R249) * 100 * ($S249 / 100)-J249, ))), )</f>
        <v/>
      </c>
      <c r="AD249" s="32" t="str">
        <f t="shared" si="253"/>
        <v/>
      </c>
      <c r="AE249" s="32" t="str">
        <f t="shared" si="253"/>
        <v/>
      </c>
      <c r="AF249" s="32" t="str">
        <f t="shared" si="253"/>
        <v/>
      </c>
      <c r="AG249" s="32" t="str">
        <f t="shared" si="253"/>
        <v/>
      </c>
      <c r="AH249" s="33"/>
    </row>
    <row r="250" hidden="1" outlineLevel="3">
      <c r="A250" s="16" t="b">
        <v>0</v>
      </c>
      <c r="B250" s="17"/>
      <c r="C250" s="18"/>
      <c r="D250" s="41"/>
      <c r="E250" s="20"/>
      <c r="F250" s="21"/>
      <c r="G250" s="23"/>
      <c r="H250" s="23"/>
      <c r="I250" s="23"/>
      <c r="J250" s="23"/>
      <c r="K250" s="23"/>
      <c r="L250" s="23"/>
      <c r="M250" s="23"/>
      <c r="N250" s="23"/>
      <c r="O250" s="24"/>
      <c r="P250" s="16" t="b">
        <v>0</v>
      </c>
      <c r="Q250" s="24"/>
      <c r="R250" s="25"/>
      <c r="S250" s="26"/>
      <c r="T250" s="27"/>
      <c r="U250" s="24"/>
      <c r="V250" s="38" t="s">
        <v>29</v>
      </c>
      <c r="W250" s="29" t="s">
        <v>22</v>
      </c>
      <c r="X250" s="37" t="s">
        <v>255</v>
      </c>
      <c r="Y250" s="31"/>
      <c r="Z250" s="26" t="str">
        <f t="shared" si="5"/>
        <v/>
      </c>
      <c r="AA250" s="26" t="str">
        <f t="shared" si="6"/>
        <v/>
      </c>
      <c r="AB250" s="32" t="str">
        <f t="shared" si="7"/>
        <v/>
      </c>
      <c r="AC250" s="32" t="str">
        <f t="shared" ref="AC250:AG250" si="254">IF(J250&lt;&gt;"", IF(AND($P250=FALSE, $A250=FALSE), -J250, IF(AND($P250=FALSE, $A250=TRUE), 0, IF($P250=TRUE, (J250 / $R250) * 100 * ($S250 / 100)-J250, ))), )</f>
        <v/>
      </c>
      <c r="AD250" s="32" t="str">
        <f t="shared" si="254"/>
        <v/>
      </c>
      <c r="AE250" s="32" t="str">
        <f t="shared" si="254"/>
        <v/>
      </c>
      <c r="AF250" s="32" t="str">
        <f t="shared" si="254"/>
        <v/>
      </c>
      <c r="AG250" s="32" t="str">
        <f t="shared" si="254"/>
        <v/>
      </c>
      <c r="AH250" s="33"/>
    </row>
    <row r="251" hidden="1" outlineLevel="3">
      <c r="A251" s="16" t="b">
        <v>0</v>
      </c>
      <c r="B251" s="17"/>
      <c r="C251" s="18"/>
      <c r="D251" s="41"/>
      <c r="E251" s="20"/>
      <c r="F251" s="21"/>
      <c r="G251" s="23"/>
      <c r="H251" s="23"/>
      <c r="I251" s="23"/>
      <c r="J251" s="23"/>
      <c r="K251" s="23"/>
      <c r="L251" s="23"/>
      <c r="M251" s="23"/>
      <c r="N251" s="23"/>
      <c r="O251" s="24"/>
      <c r="P251" s="16" t="b">
        <v>0</v>
      </c>
      <c r="Q251" s="24"/>
      <c r="R251" s="25"/>
      <c r="S251" s="26"/>
      <c r="T251" s="27"/>
      <c r="U251" s="24"/>
      <c r="V251" s="38" t="s">
        <v>29</v>
      </c>
      <c r="W251" s="29" t="s">
        <v>22</v>
      </c>
      <c r="X251" s="37" t="s">
        <v>256</v>
      </c>
      <c r="Y251" s="31"/>
      <c r="Z251" s="26" t="str">
        <f t="shared" si="5"/>
        <v/>
      </c>
      <c r="AA251" s="26" t="str">
        <f t="shared" si="6"/>
        <v/>
      </c>
      <c r="AB251" s="32" t="str">
        <f t="shared" si="7"/>
        <v/>
      </c>
      <c r="AC251" s="32" t="str">
        <f t="shared" ref="AC251:AG251" si="255">IF(J251&lt;&gt;"", IF(AND($P251=FALSE, $A251=FALSE), -J251, IF(AND($P251=FALSE, $A251=TRUE), 0, IF($P251=TRUE, (J251 / $R251) * 100 * ($S251 / 100)-J251, ))), )</f>
        <v/>
      </c>
      <c r="AD251" s="32" t="str">
        <f t="shared" si="255"/>
        <v/>
      </c>
      <c r="AE251" s="32" t="str">
        <f t="shared" si="255"/>
        <v/>
      </c>
      <c r="AF251" s="32" t="str">
        <f t="shared" si="255"/>
        <v/>
      </c>
      <c r="AG251" s="32" t="str">
        <f t="shared" si="255"/>
        <v/>
      </c>
      <c r="AH251" s="33"/>
    </row>
    <row r="252" hidden="1" outlineLevel="3">
      <c r="A252" s="16" t="b">
        <v>0</v>
      </c>
      <c r="B252" s="17"/>
      <c r="C252" s="18"/>
      <c r="D252" s="41"/>
      <c r="E252" s="20"/>
      <c r="F252" s="21"/>
      <c r="G252" s="23"/>
      <c r="H252" s="23"/>
      <c r="I252" s="23"/>
      <c r="J252" s="23"/>
      <c r="K252" s="23"/>
      <c r="L252" s="23"/>
      <c r="M252" s="23"/>
      <c r="N252" s="23"/>
      <c r="O252" s="24"/>
      <c r="P252" s="16" t="b">
        <v>0</v>
      </c>
      <c r="Q252" s="24"/>
      <c r="R252" s="25"/>
      <c r="S252" s="26"/>
      <c r="T252" s="27"/>
      <c r="U252" s="24"/>
      <c r="V252" s="28" t="s">
        <v>32</v>
      </c>
      <c r="W252" s="29" t="s">
        <v>22</v>
      </c>
      <c r="X252" s="37" t="s">
        <v>257</v>
      </c>
      <c r="Y252" s="31"/>
      <c r="Z252" s="26" t="str">
        <f t="shared" si="5"/>
        <v/>
      </c>
      <c r="AA252" s="26" t="str">
        <f t="shared" si="6"/>
        <v/>
      </c>
      <c r="AB252" s="32" t="str">
        <f t="shared" si="7"/>
        <v/>
      </c>
      <c r="AC252" s="32" t="str">
        <f t="shared" ref="AC252:AG252" si="256">IF(J252&lt;&gt;"", IF(AND($P252=FALSE, $A252=FALSE), -J252, IF(AND($P252=FALSE, $A252=TRUE), 0, IF($P252=TRUE, (J252 / $R252) * 100 * ($S252 / 100)-J252, ))), )</f>
        <v/>
      </c>
      <c r="AD252" s="32" t="str">
        <f t="shared" si="256"/>
        <v/>
      </c>
      <c r="AE252" s="32" t="str">
        <f t="shared" si="256"/>
        <v/>
      </c>
      <c r="AF252" s="32" t="str">
        <f t="shared" si="256"/>
        <v/>
      </c>
      <c r="AG252" s="32" t="str">
        <f t="shared" si="256"/>
        <v/>
      </c>
      <c r="AH252" s="33"/>
    </row>
    <row r="253" hidden="1" outlineLevel="3">
      <c r="A253" s="16" t="b">
        <v>0</v>
      </c>
      <c r="B253" s="17"/>
      <c r="C253" s="18"/>
      <c r="D253" s="41"/>
      <c r="E253" s="20"/>
      <c r="F253" s="21"/>
      <c r="G253" s="23"/>
      <c r="H253" s="23"/>
      <c r="I253" s="23"/>
      <c r="J253" s="23"/>
      <c r="K253" s="23"/>
      <c r="L253" s="23"/>
      <c r="M253" s="23"/>
      <c r="N253" s="23"/>
      <c r="O253" s="24"/>
      <c r="P253" s="16" t="b">
        <v>0</v>
      </c>
      <c r="Q253" s="24"/>
      <c r="R253" s="25"/>
      <c r="S253" s="26"/>
      <c r="T253" s="27"/>
      <c r="U253" s="24"/>
      <c r="V253" s="38" t="s">
        <v>29</v>
      </c>
      <c r="W253" s="29" t="s">
        <v>22</v>
      </c>
      <c r="X253" s="37" t="s">
        <v>258</v>
      </c>
      <c r="Y253" s="31"/>
      <c r="Z253" s="26" t="str">
        <f t="shared" si="5"/>
        <v/>
      </c>
      <c r="AA253" s="26" t="str">
        <f t="shared" si="6"/>
        <v/>
      </c>
      <c r="AB253" s="32" t="str">
        <f t="shared" si="7"/>
        <v/>
      </c>
      <c r="AC253" s="32" t="str">
        <f t="shared" ref="AC253:AG253" si="257">IF(J253&lt;&gt;"", IF(AND($P253=FALSE, $A253=FALSE), -J253, IF(AND($P253=FALSE, $A253=TRUE), 0, IF($P253=TRUE, (J253 / $R253) * 100 * ($S253 / 100)-J253, ))), )</f>
        <v/>
      </c>
      <c r="AD253" s="32" t="str">
        <f t="shared" si="257"/>
        <v/>
      </c>
      <c r="AE253" s="32" t="str">
        <f t="shared" si="257"/>
        <v/>
      </c>
      <c r="AF253" s="32" t="str">
        <f t="shared" si="257"/>
        <v/>
      </c>
      <c r="AG253" s="32" t="str">
        <f t="shared" si="257"/>
        <v/>
      </c>
      <c r="AH253" s="33"/>
    </row>
    <row r="254" hidden="1" outlineLevel="3">
      <c r="A254" s="16" t="b">
        <v>0</v>
      </c>
      <c r="B254" s="17"/>
      <c r="C254" s="18"/>
      <c r="D254" s="41"/>
      <c r="E254" s="20"/>
      <c r="F254" s="21"/>
      <c r="G254" s="23"/>
      <c r="H254" s="23"/>
      <c r="I254" s="23"/>
      <c r="J254" s="23"/>
      <c r="K254" s="23"/>
      <c r="L254" s="23"/>
      <c r="M254" s="23"/>
      <c r="N254" s="23"/>
      <c r="O254" s="24"/>
      <c r="P254" s="16" t="b">
        <v>0</v>
      </c>
      <c r="Q254" s="24"/>
      <c r="R254" s="25"/>
      <c r="S254" s="26"/>
      <c r="T254" s="27"/>
      <c r="U254" s="24"/>
      <c r="V254" s="38" t="s">
        <v>29</v>
      </c>
      <c r="W254" s="29" t="s">
        <v>22</v>
      </c>
      <c r="X254" s="37" t="s">
        <v>259</v>
      </c>
      <c r="Y254" s="31"/>
      <c r="Z254" s="26" t="str">
        <f t="shared" si="5"/>
        <v/>
      </c>
      <c r="AA254" s="26" t="str">
        <f t="shared" si="6"/>
        <v/>
      </c>
      <c r="AB254" s="32" t="str">
        <f t="shared" si="7"/>
        <v/>
      </c>
      <c r="AC254" s="32" t="str">
        <f t="shared" ref="AC254:AG254" si="258">IF(J254&lt;&gt;"", IF(AND($P254=FALSE, $A254=FALSE), -J254, IF(AND($P254=FALSE, $A254=TRUE), 0, IF($P254=TRUE, (J254 / $R254) * 100 * ($S254 / 100)-J254, ))), )</f>
        <v/>
      </c>
      <c r="AD254" s="32" t="str">
        <f t="shared" si="258"/>
        <v/>
      </c>
      <c r="AE254" s="32" t="str">
        <f t="shared" si="258"/>
        <v/>
      </c>
      <c r="AF254" s="32" t="str">
        <f t="shared" si="258"/>
        <v/>
      </c>
      <c r="AG254" s="32" t="str">
        <f t="shared" si="258"/>
        <v/>
      </c>
      <c r="AH254" s="33"/>
    </row>
    <row r="255" hidden="1" outlineLevel="3">
      <c r="A255" s="16" t="b">
        <v>0</v>
      </c>
      <c r="B255" s="17"/>
      <c r="C255" s="18"/>
      <c r="D255" s="41"/>
      <c r="E255" s="20"/>
      <c r="F255" s="21"/>
      <c r="G255" s="23"/>
      <c r="H255" s="23"/>
      <c r="I255" s="23"/>
      <c r="J255" s="23"/>
      <c r="K255" s="23"/>
      <c r="L255" s="23"/>
      <c r="M255" s="23"/>
      <c r="N255" s="23"/>
      <c r="O255" s="24"/>
      <c r="P255" s="16" t="b">
        <v>0</v>
      </c>
      <c r="Q255" s="24"/>
      <c r="R255" s="25"/>
      <c r="S255" s="26"/>
      <c r="T255" s="27"/>
      <c r="U255" s="24"/>
      <c r="V255" s="28" t="s">
        <v>32</v>
      </c>
      <c r="W255" s="29" t="s">
        <v>22</v>
      </c>
      <c r="X255" s="37" t="s">
        <v>260</v>
      </c>
      <c r="Y255" s="31"/>
      <c r="Z255" s="26" t="str">
        <f t="shared" si="5"/>
        <v/>
      </c>
      <c r="AA255" s="26" t="str">
        <f t="shared" si="6"/>
        <v/>
      </c>
      <c r="AB255" s="32" t="str">
        <f t="shared" si="7"/>
        <v/>
      </c>
      <c r="AC255" s="32" t="str">
        <f t="shared" ref="AC255:AG255" si="259">IF(J255&lt;&gt;"", IF(AND($P255=FALSE, $A255=FALSE), -J255, IF(AND($P255=FALSE, $A255=TRUE), 0, IF($P255=TRUE, (J255 / $R255) * 100 * ($S255 / 100)-J255, ))), )</f>
        <v/>
      </c>
      <c r="AD255" s="32" t="str">
        <f t="shared" si="259"/>
        <v/>
      </c>
      <c r="AE255" s="32" t="str">
        <f t="shared" si="259"/>
        <v/>
      </c>
      <c r="AF255" s="32" t="str">
        <f t="shared" si="259"/>
        <v/>
      </c>
      <c r="AG255" s="32" t="str">
        <f t="shared" si="259"/>
        <v/>
      </c>
      <c r="AH255" s="33"/>
    </row>
    <row r="256" hidden="1" outlineLevel="3">
      <c r="A256" s="16" t="b">
        <v>0</v>
      </c>
      <c r="B256" s="17"/>
      <c r="C256" s="18"/>
      <c r="D256" s="41"/>
      <c r="E256" s="20"/>
      <c r="F256" s="21"/>
      <c r="G256" s="23"/>
      <c r="H256" s="23"/>
      <c r="I256" s="23"/>
      <c r="J256" s="23"/>
      <c r="K256" s="23"/>
      <c r="L256" s="23"/>
      <c r="M256" s="23"/>
      <c r="N256" s="23"/>
      <c r="O256" s="24"/>
      <c r="P256" s="16" t="b">
        <v>0</v>
      </c>
      <c r="Q256" s="24"/>
      <c r="R256" s="25"/>
      <c r="S256" s="26"/>
      <c r="T256" s="27"/>
      <c r="U256" s="24"/>
      <c r="V256" s="38" t="s">
        <v>29</v>
      </c>
      <c r="W256" s="29" t="s">
        <v>22</v>
      </c>
      <c r="X256" s="37" t="s">
        <v>261</v>
      </c>
      <c r="Y256" s="31"/>
      <c r="Z256" s="26" t="str">
        <f t="shared" si="5"/>
        <v/>
      </c>
      <c r="AA256" s="26" t="str">
        <f t="shared" si="6"/>
        <v/>
      </c>
      <c r="AB256" s="32" t="str">
        <f t="shared" si="7"/>
        <v/>
      </c>
      <c r="AC256" s="32" t="str">
        <f t="shared" ref="AC256:AG256" si="260">IF(J256&lt;&gt;"", IF(AND($P256=FALSE, $A256=FALSE), -J256, IF(AND($P256=FALSE, $A256=TRUE), 0, IF($P256=TRUE, (J256 / $R256) * 100 * ($S256 / 100)-J256, ))), )</f>
        <v/>
      </c>
      <c r="AD256" s="32" t="str">
        <f t="shared" si="260"/>
        <v/>
      </c>
      <c r="AE256" s="32" t="str">
        <f t="shared" si="260"/>
        <v/>
      </c>
      <c r="AF256" s="32" t="str">
        <f t="shared" si="260"/>
        <v/>
      </c>
      <c r="AG256" s="32" t="str">
        <f t="shared" si="260"/>
        <v/>
      </c>
      <c r="AH256" s="33"/>
    </row>
    <row r="257" hidden="1" outlineLevel="3">
      <c r="A257" s="16" t="b">
        <v>0</v>
      </c>
      <c r="B257" s="17"/>
      <c r="C257" s="18"/>
      <c r="D257" s="41"/>
      <c r="E257" s="20"/>
      <c r="F257" s="21"/>
      <c r="G257" s="23"/>
      <c r="H257" s="23"/>
      <c r="I257" s="23"/>
      <c r="J257" s="23"/>
      <c r="K257" s="23"/>
      <c r="L257" s="23"/>
      <c r="M257" s="23"/>
      <c r="N257" s="23"/>
      <c r="O257" s="24"/>
      <c r="P257" s="16" t="b">
        <v>0</v>
      </c>
      <c r="Q257" s="24"/>
      <c r="R257" s="25"/>
      <c r="S257" s="26"/>
      <c r="T257" s="27"/>
      <c r="U257" s="24"/>
      <c r="V257" s="28" t="s">
        <v>32</v>
      </c>
      <c r="W257" s="29" t="s">
        <v>22</v>
      </c>
      <c r="X257" s="37" t="s">
        <v>262</v>
      </c>
      <c r="Y257" s="31"/>
      <c r="Z257" s="26" t="str">
        <f t="shared" si="5"/>
        <v/>
      </c>
      <c r="AA257" s="26" t="str">
        <f t="shared" si="6"/>
        <v/>
      </c>
      <c r="AB257" s="32" t="str">
        <f t="shared" si="7"/>
        <v/>
      </c>
      <c r="AC257" s="32" t="str">
        <f t="shared" ref="AC257:AG257" si="261">IF(J257&lt;&gt;"", IF(AND($P257=FALSE, $A257=FALSE), -J257, IF(AND($P257=FALSE, $A257=TRUE), 0, IF($P257=TRUE, (J257 / $R257) * 100 * ($S257 / 100)-J257, ))), )</f>
        <v/>
      </c>
      <c r="AD257" s="32" t="str">
        <f t="shared" si="261"/>
        <v/>
      </c>
      <c r="AE257" s="32" t="str">
        <f t="shared" si="261"/>
        <v/>
      </c>
      <c r="AF257" s="32" t="str">
        <f t="shared" si="261"/>
        <v/>
      </c>
      <c r="AG257" s="32" t="str">
        <f t="shared" si="261"/>
        <v/>
      </c>
      <c r="AH257" s="33"/>
    </row>
    <row r="258" hidden="1" outlineLevel="2" collapsed="1">
      <c r="A258" s="16" t="b">
        <v>0</v>
      </c>
      <c r="B258" s="17"/>
      <c r="C258" s="18"/>
      <c r="D258" s="41">
        <v>45239.0</v>
      </c>
      <c r="E258" s="20" t="s">
        <v>24</v>
      </c>
      <c r="F258" s="21" t="s">
        <v>52</v>
      </c>
      <c r="G258" s="23">
        <v>2.0</v>
      </c>
      <c r="H258" s="23">
        <v>1.0</v>
      </c>
      <c r="I258" s="23">
        <v>12.0</v>
      </c>
      <c r="J258" s="23"/>
      <c r="K258" s="23"/>
      <c r="L258" s="23"/>
      <c r="M258" s="23"/>
      <c r="N258" s="23"/>
      <c r="O258" s="24"/>
      <c r="P258" s="16" t="b">
        <v>1</v>
      </c>
      <c r="Q258" s="24"/>
      <c r="R258" s="25">
        <v>15.0</v>
      </c>
      <c r="S258" s="26">
        <v>31.35</v>
      </c>
      <c r="T258" s="27" t="s">
        <v>263</v>
      </c>
      <c r="U258" s="24"/>
      <c r="V258" s="28"/>
      <c r="W258" s="29"/>
      <c r="X258" s="30"/>
      <c r="Y258" s="31"/>
      <c r="Z258" s="26">
        <f t="shared" si="5"/>
        <v>2.18</v>
      </c>
      <c r="AA258" s="26">
        <f t="shared" si="6"/>
        <v>13.08</v>
      </c>
      <c r="AB258" s="32">
        <f t="shared" si="7"/>
        <v>1.09</v>
      </c>
      <c r="AC258" s="32" t="str">
        <f t="shared" ref="AC258:AG258" si="262">IF(J258&lt;&gt;"", IF(AND($P258=FALSE, $A258=FALSE), -J258, IF(AND($P258=FALSE, $A258=TRUE), 0, IF($P258=TRUE, (J258 / $R258) * 100 * ($S258 / 100)-J258, ))), )</f>
        <v/>
      </c>
      <c r="AD258" s="32" t="str">
        <f t="shared" si="262"/>
        <v/>
      </c>
      <c r="AE258" s="32" t="str">
        <f t="shared" si="262"/>
        <v/>
      </c>
      <c r="AF258" s="32" t="str">
        <f t="shared" si="262"/>
        <v/>
      </c>
      <c r="AG258" s="32" t="str">
        <f t="shared" si="262"/>
        <v/>
      </c>
      <c r="AH258" s="33"/>
    </row>
    <row r="259" hidden="1" outlineLevel="3">
      <c r="A259" s="16" t="b">
        <v>0</v>
      </c>
      <c r="B259" s="17"/>
      <c r="C259" s="18"/>
      <c r="D259" s="41"/>
      <c r="E259" s="20"/>
      <c r="F259" s="21"/>
      <c r="G259" s="23"/>
      <c r="H259" s="23"/>
      <c r="I259" s="23"/>
      <c r="J259" s="23"/>
      <c r="K259" s="23"/>
      <c r="L259" s="23"/>
      <c r="M259" s="23"/>
      <c r="N259" s="23"/>
      <c r="O259" s="24"/>
      <c r="P259" s="16" t="b">
        <v>0</v>
      </c>
      <c r="Q259" s="24"/>
      <c r="R259" s="25"/>
      <c r="S259" s="26"/>
      <c r="T259" s="27"/>
      <c r="U259" s="24"/>
      <c r="V259" s="38" t="s">
        <v>29</v>
      </c>
      <c r="W259" s="29" t="s">
        <v>22</v>
      </c>
      <c r="X259" s="37" t="s">
        <v>264</v>
      </c>
      <c r="Y259" s="31"/>
      <c r="Z259" s="26" t="str">
        <f t="shared" si="5"/>
        <v/>
      </c>
      <c r="AA259" s="26" t="str">
        <f t="shared" si="6"/>
        <v/>
      </c>
      <c r="AB259" s="32" t="str">
        <f t="shared" si="7"/>
        <v/>
      </c>
      <c r="AC259" s="32" t="str">
        <f t="shared" ref="AC259:AG259" si="263">IF(J259&lt;&gt;"", IF(AND($P259=FALSE, $A259=FALSE), -J259, IF(AND($P259=FALSE, $A259=TRUE), 0, IF($P259=TRUE, (J259 / $R259) * 100 * ($S259 / 100)-J259, ))), )</f>
        <v/>
      </c>
      <c r="AD259" s="32" t="str">
        <f t="shared" si="263"/>
        <v/>
      </c>
      <c r="AE259" s="32" t="str">
        <f t="shared" si="263"/>
        <v/>
      </c>
      <c r="AF259" s="32" t="str">
        <f t="shared" si="263"/>
        <v/>
      </c>
      <c r="AG259" s="32" t="str">
        <f t="shared" si="263"/>
        <v/>
      </c>
      <c r="AH259" s="33"/>
    </row>
    <row r="260" hidden="1" outlineLevel="2" collapsed="1">
      <c r="A260" s="16" t="b">
        <v>0</v>
      </c>
      <c r="B260" s="17"/>
      <c r="C260" s="18"/>
      <c r="D260" s="41">
        <v>45239.0</v>
      </c>
      <c r="E260" s="20" t="s">
        <v>60</v>
      </c>
      <c r="F260" s="21" t="s">
        <v>61</v>
      </c>
      <c r="G260" s="23">
        <v>2.0</v>
      </c>
      <c r="H260" s="23">
        <v>1.0</v>
      </c>
      <c r="I260" s="23">
        <v>2.0</v>
      </c>
      <c r="J260" s="23"/>
      <c r="K260" s="23"/>
      <c r="L260" s="23"/>
      <c r="M260" s="23"/>
      <c r="N260" s="23"/>
      <c r="O260" s="24"/>
      <c r="P260" s="16" t="b">
        <v>1</v>
      </c>
      <c r="Q260" s="24"/>
      <c r="R260" s="25">
        <v>5.0</v>
      </c>
      <c r="S260" s="26">
        <v>10.09</v>
      </c>
      <c r="T260" s="27" t="s">
        <v>161</v>
      </c>
      <c r="U260" s="24"/>
      <c r="V260" s="28"/>
      <c r="W260" s="29"/>
      <c r="X260" s="30"/>
      <c r="Y260" s="31"/>
      <c r="Z260" s="26">
        <f t="shared" si="5"/>
        <v>2.036</v>
      </c>
      <c r="AA260" s="26">
        <f t="shared" si="6"/>
        <v>2.036</v>
      </c>
      <c r="AB260" s="32">
        <f t="shared" si="7"/>
        <v>1.018</v>
      </c>
      <c r="AC260" s="32" t="str">
        <f t="shared" ref="AC260:AG260" si="264">IF(J260&lt;&gt;"", IF(AND($P260=FALSE, $A260=FALSE), -J260, IF(AND($P260=FALSE, $A260=TRUE), 0, IF($P260=TRUE, (J260 / $R260) * 100 * ($S260 / 100)-J260, ))), )</f>
        <v/>
      </c>
      <c r="AD260" s="32" t="str">
        <f t="shared" si="264"/>
        <v/>
      </c>
      <c r="AE260" s="32" t="str">
        <f t="shared" si="264"/>
        <v/>
      </c>
      <c r="AF260" s="32" t="str">
        <f t="shared" si="264"/>
        <v/>
      </c>
      <c r="AG260" s="32" t="str">
        <f t="shared" si="264"/>
        <v/>
      </c>
      <c r="AH260" s="33"/>
    </row>
    <row r="261" hidden="1" outlineLevel="3">
      <c r="A261" s="16" t="b">
        <v>0</v>
      </c>
      <c r="B261" s="17"/>
      <c r="C261" s="18"/>
      <c r="D261" s="41"/>
      <c r="E261" s="20"/>
      <c r="F261" s="21"/>
      <c r="G261" s="23"/>
      <c r="H261" s="23"/>
      <c r="I261" s="23"/>
      <c r="J261" s="23"/>
      <c r="K261" s="23"/>
      <c r="L261" s="23"/>
      <c r="M261" s="23"/>
      <c r="N261" s="23"/>
      <c r="O261" s="24"/>
      <c r="P261" s="16" t="b">
        <v>0</v>
      </c>
      <c r="Q261" s="24"/>
      <c r="R261" s="25"/>
      <c r="S261" s="26"/>
      <c r="T261" s="27"/>
      <c r="U261" s="24"/>
      <c r="V261" s="38" t="s">
        <v>29</v>
      </c>
      <c r="W261" s="29" t="s">
        <v>22</v>
      </c>
      <c r="X261" s="37" t="s">
        <v>230</v>
      </c>
      <c r="Y261" s="31"/>
      <c r="Z261" s="26" t="str">
        <f t="shared" si="5"/>
        <v/>
      </c>
      <c r="AA261" s="26" t="str">
        <f t="shared" si="6"/>
        <v/>
      </c>
      <c r="AB261" s="32" t="str">
        <f t="shared" si="7"/>
        <v/>
      </c>
      <c r="AC261" s="32" t="str">
        <f t="shared" ref="AC261:AG261" si="265">IF(J261&lt;&gt;"", IF(AND($P261=FALSE, $A261=FALSE), -J261, IF(AND($P261=FALSE, $A261=TRUE), 0, IF($P261=TRUE, (J261 / $R261) * 100 * ($S261 / 100)-J261, ))), )</f>
        <v/>
      </c>
      <c r="AD261" s="32" t="str">
        <f t="shared" si="265"/>
        <v/>
      </c>
      <c r="AE261" s="32" t="str">
        <f t="shared" si="265"/>
        <v/>
      </c>
      <c r="AF261" s="32" t="str">
        <f t="shared" si="265"/>
        <v/>
      </c>
      <c r="AG261" s="32" t="str">
        <f t="shared" si="265"/>
        <v/>
      </c>
      <c r="AH261" s="33"/>
    </row>
    <row r="262" hidden="1" outlineLevel="3">
      <c r="A262" s="16" t="b">
        <v>0</v>
      </c>
      <c r="B262" s="17"/>
      <c r="C262" s="18"/>
      <c r="D262" s="41"/>
      <c r="E262" s="20"/>
      <c r="F262" s="21"/>
      <c r="G262" s="23"/>
      <c r="H262" s="23"/>
      <c r="I262" s="23"/>
      <c r="J262" s="23"/>
      <c r="K262" s="23"/>
      <c r="L262" s="23"/>
      <c r="M262" s="23"/>
      <c r="N262" s="23"/>
      <c r="O262" s="24"/>
      <c r="P262" s="16" t="b">
        <v>0</v>
      </c>
      <c r="Q262" s="24"/>
      <c r="R262" s="25"/>
      <c r="S262" s="26"/>
      <c r="T262" s="27"/>
      <c r="U262" s="24"/>
      <c r="V262" s="38" t="s">
        <v>29</v>
      </c>
      <c r="W262" s="29" t="s">
        <v>22</v>
      </c>
      <c r="X262" s="37" t="s">
        <v>265</v>
      </c>
      <c r="Y262" s="31"/>
      <c r="Z262" s="26" t="str">
        <f t="shared" si="5"/>
        <v/>
      </c>
      <c r="AA262" s="26" t="str">
        <f t="shared" si="6"/>
        <v/>
      </c>
      <c r="AB262" s="32" t="str">
        <f t="shared" si="7"/>
        <v/>
      </c>
      <c r="AC262" s="32" t="str">
        <f t="shared" ref="AC262:AG262" si="266">IF(J262&lt;&gt;"", IF(AND($P262=FALSE, $A262=FALSE), -J262, IF(AND($P262=FALSE, $A262=TRUE), 0, IF($P262=TRUE, (J262 / $R262) * 100 * ($S262 / 100)-J262, ))), )</f>
        <v/>
      </c>
      <c r="AD262" s="32" t="str">
        <f t="shared" si="266"/>
        <v/>
      </c>
      <c r="AE262" s="32" t="str">
        <f t="shared" si="266"/>
        <v/>
      </c>
      <c r="AF262" s="32" t="str">
        <f t="shared" si="266"/>
        <v/>
      </c>
      <c r="AG262" s="32" t="str">
        <f t="shared" si="266"/>
        <v/>
      </c>
      <c r="AH262" s="33"/>
    </row>
    <row r="263" hidden="1" outlineLevel="3">
      <c r="A263" s="16" t="b">
        <v>0</v>
      </c>
      <c r="B263" s="17"/>
      <c r="C263" s="18"/>
      <c r="D263" s="41"/>
      <c r="E263" s="20"/>
      <c r="F263" s="21"/>
      <c r="G263" s="23"/>
      <c r="H263" s="23"/>
      <c r="I263" s="23"/>
      <c r="J263" s="23"/>
      <c r="K263" s="23"/>
      <c r="L263" s="23"/>
      <c r="M263" s="23"/>
      <c r="N263" s="23"/>
      <c r="O263" s="24"/>
      <c r="P263" s="16" t="b">
        <v>0</v>
      </c>
      <c r="Q263" s="24"/>
      <c r="R263" s="25"/>
      <c r="S263" s="26"/>
      <c r="T263" s="27"/>
      <c r="U263" s="24"/>
      <c r="V263" s="38" t="s">
        <v>29</v>
      </c>
      <c r="W263" s="29" t="s">
        <v>22</v>
      </c>
      <c r="X263" s="37" t="s">
        <v>185</v>
      </c>
      <c r="Y263" s="31"/>
      <c r="Z263" s="26" t="str">
        <f t="shared" si="5"/>
        <v/>
      </c>
      <c r="AA263" s="26" t="str">
        <f t="shared" si="6"/>
        <v/>
      </c>
      <c r="AB263" s="32" t="str">
        <f t="shared" si="7"/>
        <v/>
      </c>
      <c r="AC263" s="32" t="str">
        <f t="shared" ref="AC263:AG263" si="267">IF(J263&lt;&gt;"", IF(AND($P263=FALSE, $A263=FALSE), -J263, IF(AND($P263=FALSE, $A263=TRUE), 0, IF($P263=TRUE, (J263 / $R263) * 100 * ($S263 / 100)-J263, ))), )</f>
        <v/>
      </c>
      <c r="AD263" s="32" t="str">
        <f t="shared" si="267"/>
        <v/>
      </c>
      <c r="AE263" s="32" t="str">
        <f t="shared" si="267"/>
        <v/>
      </c>
      <c r="AF263" s="32" t="str">
        <f t="shared" si="267"/>
        <v/>
      </c>
      <c r="AG263" s="32" t="str">
        <f t="shared" si="267"/>
        <v/>
      </c>
      <c r="AH263" s="33"/>
    </row>
    <row r="264" hidden="1" outlineLevel="2">
      <c r="A264" s="16" t="b">
        <v>0</v>
      </c>
      <c r="B264" s="17"/>
      <c r="C264" s="18"/>
      <c r="D264" s="41">
        <v>45239.0</v>
      </c>
      <c r="E264" s="20" t="s">
        <v>60</v>
      </c>
      <c r="F264" s="21" t="s">
        <v>61</v>
      </c>
      <c r="G264" s="23">
        <v>2.0</v>
      </c>
      <c r="H264" s="23">
        <v>1.0</v>
      </c>
      <c r="I264" s="23">
        <v>2.0</v>
      </c>
      <c r="J264" s="23"/>
      <c r="K264" s="23"/>
      <c r="L264" s="23"/>
      <c r="M264" s="23"/>
      <c r="N264" s="23"/>
      <c r="O264" s="24"/>
      <c r="P264" s="16" t="b">
        <v>0</v>
      </c>
      <c r="Q264" s="24"/>
      <c r="R264" s="25">
        <v>5.0</v>
      </c>
      <c r="S264" s="26">
        <v>11.02</v>
      </c>
      <c r="T264" s="27" t="s">
        <v>221</v>
      </c>
      <c r="U264" s="24"/>
      <c r="V264" s="28"/>
      <c r="W264" s="29"/>
      <c r="X264" s="30"/>
      <c r="Y264" s="31"/>
      <c r="Z264" s="26">
        <f t="shared" si="5"/>
        <v>-2</v>
      </c>
      <c r="AA264" s="26">
        <f t="shared" si="6"/>
        <v>-2</v>
      </c>
      <c r="AB264" s="32">
        <f t="shared" si="7"/>
        <v>-1</v>
      </c>
      <c r="AC264" s="32" t="str">
        <f t="shared" ref="AC264:AG264" si="268">IF(J264&lt;&gt;"", IF(AND($P264=FALSE, $A264=FALSE), -J264, IF(AND($P264=FALSE, $A264=TRUE), 0, IF($P264=TRUE, (J264 / $R264) * 100 * ($S264 / 100)-J264, ))), )</f>
        <v/>
      </c>
      <c r="AD264" s="32" t="str">
        <f t="shared" si="268"/>
        <v/>
      </c>
      <c r="AE264" s="32" t="str">
        <f t="shared" si="268"/>
        <v/>
      </c>
      <c r="AF264" s="32" t="str">
        <f t="shared" si="268"/>
        <v/>
      </c>
      <c r="AG264" s="32" t="str">
        <f t="shared" si="268"/>
        <v/>
      </c>
      <c r="AH264" s="33"/>
    </row>
    <row r="265" hidden="1" outlineLevel="3">
      <c r="A265" s="16" t="b">
        <v>0</v>
      </c>
      <c r="B265" s="17"/>
      <c r="C265" s="18"/>
      <c r="D265" s="41"/>
      <c r="E265" s="20"/>
      <c r="F265" s="21"/>
      <c r="G265" s="23"/>
      <c r="H265" s="23"/>
      <c r="I265" s="23"/>
      <c r="J265" s="23"/>
      <c r="K265" s="23"/>
      <c r="L265" s="23"/>
      <c r="M265" s="23"/>
      <c r="N265" s="23"/>
      <c r="O265" s="24"/>
      <c r="P265" s="16" t="b">
        <v>0</v>
      </c>
      <c r="Q265" s="24"/>
      <c r="R265" s="25"/>
      <c r="S265" s="26"/>
      <c r="T265" s="27"/>
      <c r="U265" s="24"/>
      <c r="V265" s="38" t="s">
        <v>29</v>
      </c>
      <c r="W265" s="29" t="s">
        <v>22</v>
      </c>
      <c r="X265" s="37" t="s">
        <v>266</v>
      </c>
      <c r="Y265" s="31"/>
      <c r="Z265" s="26" t="str">
        <f t="shared" si="5"/>
        <v/>
      </c>
      <c r="AA265" s="26" t="str">
        <f t="shared" si="6"/>
        <v/>
      </c>
      <c r="AB265" s="32" t="str">
        <f t="shared" si="7"/>
        <v/>
      </c>
      <c r="AC265" s="32" t="str">
        <f t="shared" ref="AC265:AG265" si="269">IF(J265&lt;&gt;"", IF(AND($P265=FALSE, $A265=FALSE), -J265, IF(AND($P265=FALSE, $A265=TRUE), 0, IF($P265=TRUE, (J265 / $R265) * 100 * ($S265 / 100)-J265, ))), )</f>
        <v/>
      </c>
      <c r="AD265" s="32" t="str">
        <f t="shared" si="269"/>
        <v/>
      </c>
      <c r="AE265" s="32" t="str">
        <f t="shared" si="269"/>
        <v/>
      </c>
      <c r="AF265" s="32" t="str">
        <f t="shared" si="269"/>
        <v/>
      </c>
      <c r="AG265" s="32" t="str">
        <f t="shared" si="269"/>
        <v/>
      </c>
      <c r="AH265" s="33"/>
    </row>
    <row r="266" hidden="1" outlineLevel="3">
      <c r="A266" s="16" t="b">
        <v>0</v>
      </c>
      <c r="B266" s="17"/>
      <c r="C266" s="18"/>
      <c r="D266" s="41"/>
      <c r="E266" s="20"/>
      <c r="F266" s="21"/>
      <c r="G266" s="23"/>
      <c r="H266" s="23"/>
      <c r="I266" s="23"/>
      <c r="J266" s="23"/>
      <c r="K266" s="23"/>
      <c r="L266" s="23"/>
      <c r="M266" s="23"/>
      <c r="N266" s="23"/>
      <c r="O266" s="24"/>
      <c r="P266" s="16" t="b">
        <v>0</v>
      </c>
      <c r="Q266" s="24"/>
      <c r="R266" s="25"/>
      <c r="S266" s="26"/>
      <c r="T266" s="27"/>
      <c r="U266" s="24"/>
      <c r="V266" s="28" t="s">
        <v>32</v>
      </c>
      <c r="W266" s="29" t="s">
        <v>22</v>
      </c>
      <c r="X266" s="37" t="s">
        <v>267</v>
      </c>
      <c r="Y266" s="31"/>
      <c r="Z266" s="26" t="str">
        <f t="shared" si="5"/>
        <v/>
      </c>
      <c r="AA266" s="26" t="str">
        <f t="shared" si="6"/>
        <v/>
      </c>
      <c r="AB266" s="32" t="str">
        <f t="shared" si="7"/>
        <v/>
      </c>
      <c r="AC266" s="32" t="str">
        <f t="shared" ref="AC266:AG266" si="270">IF(J266&lt;&gt;"", IF(AND($P266=FALSE, $A266=FALSE), -J266, IF(AND($P266=FALSE, $A266=TRUE), 0, IF($P266=TRUE, (J266 / $R266) * 100 * ($S266 / 100)-J266, ))), )</f>
        <v/>
      </c>
      <c r="AD266" s="32" t="str">
        <f t="shared" si="270"/>
        <v/>
      </c>
      <c r="AE266" s="32" t="str">
        <f t="shared" si="270"/>
        <v/>
      </c>
      <c r="AF266" s="32" t="str">
        <f t="shared" si="270"/>
        <v/>
      </c>
      <c r="AG266" s="32" t="str">
        <f t="shared" si="270"/>
        <v/>
      </c>
      <c r="AH266" s="33"/>
    </row>
    <row r="267" hidden="1" outlineLevel="3">
      <c r="A267" s="16" t="b">
        <v>0</v>
      </c>
      <c r="B267" s="17"/>
      <c r="C267" s="18"/>
      <c r="D267" s="41"/>
      <c r="E267" s="20"/>
      <c r="F267" s="21"/>
      <c r="G267" s="23"/>
      <c r="H267" s="23"/>
      <c r="I267" s="23"/>
      <c r="J267" s="23"/>
      <c r="K267" s="23"/>
      <c r="L267" s="23"/>
      <c r="M267" s="23"/>
      <c r="N267" s="23"/>
      <c r="O267" s="24"/>
      <c r="P267" s="16" t="b">
        <v>0</v>
      </c>
      <c r="Q267" s="24"/>
      <c r="R267" s="25"/>
      <c r="S267" s="26"/>
      <c r="T267" s="27"/>
      <c r="U267" s="24"/>
      <c r="V267" s="38" t="s">
        <v>29</v>
      </c>
      <c r="W267" s="29" t="s">
        <v>22</v>
      </c>
      <c r="X267" s="37" t="s">
        <v>268</v>
      </c>
      <c r="Y267" s="31"/>
      <c r="Z267" s="26" t="str">
        <f t="shared" si="5"/>
        <v/>
      </c>
      <c r="AA267" s="26" t="str">
        <f t="shared" si="6"/>
        <v/>
      </c>
      <c r="AB267" s="32" t="str">
        <f t="shared" si="7"/>
        <v/>
      </c>
      <c r="AC267" s="32" t="str">
        <f t="shared" ref="AC267:AG267" si="271">IF(J267&lt;&gt;"", IF(AND($P267=FALSE, $A267=FALSE), -J267, IF(AND($P267=FALSE, $A267=TRUE), 0, IF($P267=TRUE, (J267 / $R267) * 100 * ($S267 / 100)-J267, ))), )</f>
        <v/>
      </c>
      <c r="AD267" s="32" t="str">
        <f t="shared" si="271"/>
        <v/>
      </c>
      <c r="AE267" s="32" t="str">
        <f t="shared" si="271"/>
        <v/>
      </c>
      <c r="AF267" s="32" t="str">
        <f t="shared" si="271"/>
        <v/>
      </c>
      <c r="AG267" s="32" t="str">
        <f t="shared" si="271"/>
        <v/>
      </c>
      <c r="AH267" s="33"/>
    </row>
    <row r="268" hidden="1" outlineLevel="1" collapsed="1">
      <c r="A268" s="16" t="b">
        <v>0</v>
      </c>
      <c r="B268" s="17"/>
      <c r="C268" s="18"/>
      <c r="D268" s="41">
        <v>45240.0</v>
      </c>
      <c r="E268" s="20" t="s">
        <v>60</v>
      </c>
      <c r="F268" s="21" t="s">
        <v>61</v>
      </c>
      <c r="G268" s="23">
        <v>2.0</v>
      </c>
      <c r="H268" s="23">
        <v>1.0</v>
      </c>
      <c r="I268" s="23">
        <v>2.0</v>
      </c>
      <c r="J268" s="23"/>
      <c r="K268" s="23"/>
      <c r="L268" s="23"/>
      <c r="M268" s="23"/>
      <c r="N268" s="23"/>
      <c r="O268" s="24"/>
      <c r="P268" s="16" t="b">
        <v>1</v>
      </c>
      <c r="Q268" s="24"/>
      <c r="R268" s="25">
        <v>5.0</v>
      </c>
      <c r="S268" s="26">
        <v>11.3</v>
      </c>
      <c r="T268" s="27" t="s">
        <v>269</v>
      </c>
      <c r="U268" s="24"/>
      <c r="V268" s="28"/>
      <c r="W268" s="29"/>
      <c r="X268" s="30"/>
      <c r="Y268" s="31"/>
      <c r="Z268" s="26">
        <f t="shared" si="5"/>
        <v>2.52</v>
      </c>
      <c r="AA268" s="26">
        <f t="shared" si="6"/>
        <v>2.52</v>
      </c>
      <c r="AB268" s="32">
        <f t="shared" si="7"/>
        <v>1.26</v>
      </c>
      <c r="AC268" s="32" t="str">
        <f t="shared" ref="AC268:AG268" si="272">IF(J268&lt;&gt;"", IF(AND($P268=FALSE, $A268=FALSE), -J268, IF(AND($P268=FALSE, $A268=TRUE), 0, IF($P268=TRUE, (J268 / $R268) * 100 * ($S268 / 100)-J268, ))), )</f>
        <v/>
      </c>
      <c r="AD268" s="32" t="str">
        <f t="shared" si="272"/>
        <v/>
      </c>
      <c r="AE268" s="32" t="str">
        <f t="shared" si="272"/>
        <v/>
      </c>
      <c r="AF268" s="32" t="str">
        <f t="shared" si="272"/>
        <v/>
      </c>
      <c r="AG268" s="32" t="str">
        <f t="shared" si="272"/>
        <v/>
      </c>
      <c r="AH268" s="33"/>
    </row>
    <row r="269" hidden="1" outlineLevel="3">
      <c r="A269" s="16" t="b">
        <v>0</v>
      </c>
      <c r="B269" s="17"/>
      <c r="C269" s="18"/>
      <c r="D269" s="41"/>
      <c r="E269" s="20"/>
      <c r="F269" s="21"/>
      <c r="G269" s="23"/>
      <c r="H269" s="23"/>
      <c r="I269" s="23"/>
      <c r="J269" s="23"/>
      <c r="K269" s="23"/>
      <c r="L269" s="23"/>
      <c r="M269" s="23"/>
      <c r="N269" s="23"/>
      <c r="O269" s="24"/>
      <c r="P269" s="16" t="b">
        <v>0</v>
      </c>
      <c r="Q269" s="24"/>
      <c r="R269" s="25"/>
      <c r="S269" s="26"/>
      <c r="T269" s="27"/>
      <c r="U269" s="24"/>
      <c r="V269" s="38" t="s">
        <v>29</v>
      </c>
      <c r="W269" s="29" t="s">
        <v>22</v>
      </c>
      <c r="X269" s="37" t="s">
        <v>180</v>
      </c>
      <c r="Y269" s="31"/>
      <c r="Z269" s="26" t="str">
        <f t="shared" si="5"/>
        <v/>
      </c>
      <c r="AA269" s="26" t="str">
        <f t="shared" si="6"/>
        <v/>
      </c>
      <c r="AB269" s="32" t="str">
        <f t="shared" si="7"/>
        <v/>
      </c>
      <c r="AC269" s="32" t="str">
        <f t="shared" ref="AC269:AG269" si="273">IF(J269&lt;&gt;"", IF(AND($P269=FALSE, $A269=FALSE), -J269, IF(AND($P269=FALSE, $A269=TRUE), 0, IF($P269=TRUE, (J269 / $R269) * 100 * ($S269 / 100)-J269, ))), )</f>
        <v/>
      </c>
      <c r="AD269" s="32" t="str">
        <f t="shared" si="273"/>
        <v/>
      </c>
      <c r="AE269" s="32" t="str">
        <f t="shared" si="273"/>
        <v/>
      </c>
      <c r="AF269" s="32" t="str">
        <f t="shared" si="273"/>
        <v/>
      </c>
      <c r="AG269" s="32" t="str">
        <f t="shared" si="273"/>
        <v/>
      </c>
      <c r="AH269" s="33"/>
    </row>
    <row r="270" hidden="1" outlineLevel="3">
      <c r="A270" s="16" t="b">
        <v>0</v>
      </c>
      <c r="B270" s="17"/>
      <c r="C270" s="18"/>
      <c r="D270" s="41"/>
      <c r="E270" s="20"/>
      <c r="F270" s="21"/>
      <c r="G270" s="23"/>
      <c r="H270" s="23"/>
      <c r="I270" s="23"/>
      <c r="J270" s="23"/>
      <c r="K270" s="23"/>
      <c r="L270" s="23"/>
      <c r="M270" s="23"/>
      <c r="N270" s="23"/>
      <c r="O270" s="24"/>
      <c r="P270" s="16" t="b">
        <v>0</v>
      </c>
      <c r="Q270" s="24"/>
      <c r="R270" s="25"/>
      <c r="S270" s="26"/>
      <c r="T270" s="27"/>
      <c r="U270" s="24"/>
      <c r="V270" s="38" t="s">
        <v>29</v>
      </c>
      <c r="W270" s="29" t="s">
        <v>22</v>
      </c>
      <c r="X270" s="37" t="s">
        <v>270</v>
      </c>
      <c r="Y270" s="31"/>
      <c r="Z270" s="26" t="str">
        <f t="shared" si="5"/>
        <v/>
      </c>
      <c r="AA270" s="26" t="str">
        <f t="shared" si="6"/>
        <v/>
      </c>
      <c r="AB270" s="32" t="str">
        <f t="shared" si="7"/>
        <v/>
      </c>
      <c r="AC270" s="32" t="str">
        <f t="shared" ref="AC270:AG270" si="274">IF(J270&lt;&gt;"", IF(AND($P270=FALSE, $A270=FALSE), -J270, IF(AND($P270=FALSE, $A270=TRUE), 0, IF($P270=TRUE, (J270 / $R270) * 100 * ($S270 / 100)-J270, ))), )</f>
        <v/>
      </c>
      <c r="AD270" s="32" t="str">
        <f t="shared" si="274"/>
        <v/>
      </c>
      <c r="AE270" s="32" t="str">
        <f t="shared" si="274"/>
        <v/>
      </c>
      <c r="AF270" s="32" t="str">
        <f t="shared" si="274"/>
        <v/>
      </c>
      <c r="AG270" s="32" t="str">
        <f t="shared" si="274"/>
        <v/>
      </c>
      <c r="AH270" s="33"/>
    </row>
    <row r="271" hidden="1" outlineLevel="3">
      <c r="A271" s="16" t="b">
        <v>0</v>
      </c>
      <c r="B271" s="17"/>
      <c r="C271" s="18"/>
      <c r="D271" s="41"/>
      <c r="E271" s="20"/>
      <c r="F271" s="21"/>
      <c r="G271" s="23"/>
      <c r="H271" s="23"/>
      <c r="I271" s="23"/>
      <c r="J271" s="23"/>
      <c r="K271" s="23"/>
      <c r="L271" s="23"/>
      <c r="M271" s="23"/>
      <c r="N271" s="23"/>
      <c r="O271" s="24"/>
      <c r="P271" s="16" t="b">
        <v>0</v>
      </c>
      <c r="Q271" s="24"/>
      <c r="R271" s="25"/>
      <c r="S271" s="26"/>
      <c r="T271" s="27"/>
      <c r="U271" s="24"/>
      <c r="V271" s="38" t="s">
        <v>29</v>
      </c>
      <c r="W271" s="29" t="s">
        <v>22</v>
      </c>
      <c r="X271" s="37" t="s">
        <v>271</v>
      </c>
      <c r="Y271" s="31"/>
      <c r="Z271" s="26" t="str">
        <f t="shared" si="5"/>
        <v/>
      </c>
      <c r="AA271" s="26" t="str">
        <f t="shared" si="6"/>
        <v/>
      </c>
      <c r="AB271" s="32" t="str">
        <f t="shared" si="7"/>
        <v/>
      </c>
      <c r="AC271" s="32" t="str">
        <f t="shared" ref="AC271:AG271" si="275">IF(J271&lt;&gt;"", IF(AND($P271=FALSE, $A271=FALSE), -J271, IF(AND($P271=FALSE, $A271=TRUE), 0, IF($P271=TRUE, (J271 / $R271) * 100 * ($S271 / 100)-J271, ))), )</f>
        <v/>
      </c>
      <c r="AD271" s="32" t="str">
        <f t="shared" si="275"/>
        <v/>
      </c>
      <c r="AE271" s="32" t="str">
        <f t="shared" si="275"/>
        <v/>
      </c>
      <c r="AF271" s="32" t="str">
        <f t="shared" si="275"/>
        <v/>
      </c>
      <c r="AG271" s="32" t="str">
        <f t="shared" si="275"/>
        <v/>
      </c>
      <c r="AH271" s="33"/>
    </row>
    <row r="272" hidden="1" outlineLevel="2" collapsed="1">
      <c r="A272" s="16" t="b">
        <v>0</v>
      </c>
      <c r="B272" s="17"/>
      <c r="C272" s="18"/>
      <c r="D272" s="41">
        <v>45240.0</v>
      </c>
      <c r="E272" s="20" t="s">
        <v>60</v>
      </c>
      <c r="F272" s="21" t="s">
        <v>61</v>
      </c>
      <c r="G272" s="23">
        <v>2.0</v>
      </c>
      <c r="H272" s="23">
        <v>1.0</v>
      </c>
      <c r="I272" s="23">
        <v>2.0</v>
      </c>
      <c r="J272" s="23"/>
      <c r="K272" s="23"/>
      <c r="L272" s="23"/>
      <c r="M272" s="23"/>
      <c r="N272" s="23"/>
      <c r="O272" s="24"/>
      <c r="P272" s="16" t="b">
        <v>1</v>
      </c>
      <c r="Q272" s="24"/>
      <c r="R272" s="25">
        <v>5.0</v>
      </c>
      <c r="S272" s="26">
        <v>13.74</v>
      </c>
      <c r="T272" s="27" t="s">
        <v>110</v>
      </c>
      <c r="U272" s="24"/>
      <c r="V272" s="28"/>
      <c r="W272" s="29"/>
      <c r="X272" s="30"/>
      <c r="Y272" s="31"/>
      <c r="Z272" s="26">
        <f t="shared" si="5"/>
        <v>3.496</v>
      </c>
      <c r="AA272" s="26">
        <f t="shared" si="6"/>
        <v>3.496</v>
      </c>
      <c r="AB272" s="32">
        <f t="shared" si="7"/>
        <v>1.748</v>
      </c>
      <c r="AC272" s="32" t="str">
        <f t="shared" ref="AC272:AG272" si="276">IF(J272&lt;&gt;"", IF(AND($P272=FALSE, $A272=FALSE), -J272, IF(AND($P272=FALSE, $A272=TRUE), 0, IF($P272=TRUE, (J272 / $R272) * 100 * ($S272 / 100)-J272, ))), )</f>
        <v/>
      </c>
      <c r="AD272" s="32" t="str">
        <f t="shared" si="276"/>
        <v/>
      </c>
      <c r="AE272" s="32" t="str">
        <f t="shared" si="276"/>
        <v/>
      </c>
      <c r="AF272" s="32" t="str">
        <f t="shared" si="276"/>
        <v/>
      </c>
      <c r="AG272" s="32" t="str">
        <f t="shared" si="276"/>
        <v/>
      </c>
      <c r="AH272" s="33"/>
    </row>
    <row r="273" hidden="1" outlineLevel="3">
      <c r="A273" s="16" t="b">
        <v>0</v>
      </c>
      <c r="B273" s="17"/>
      <c r="C273" s="18"/>
      <c r="D273" s="41"/>
      <c r="E273" s="20"/>
      <c r="F273" s="21"/>
      <c r="G273" s="23"/>
      <c r="H273" s="23"/>
      <c r="I273" s="23"/>
      <c r="J273" s="23"/>
      <c r="K273" s="23"/>
      <c r="L273" s="23"/>
      <c r="M273" s="23"/>
      <c r="N273" s="23"/>
      <c r="O273" s="24"/>
      <c r="P273" s="16" t="b">
        <v>0</v>
      </c>
      <c r="Q273" s="24"/>
      <c r="R273" s="25"/>
      <c r="S273" s="26"/>
      <c r="T273" s="27"/>
      <c r="U273" s="24"/>
      <c r="V273" s="38" t="s">
        <v>29</v>
      </c>
      <c r="W273" s="29" t="s">
        <v>22</v>
      </c>
      <c r="X273" s="37" t="s">
        <v>272</v>
      </c>
      <c r="Y273" s="31"/>
      <c r="Z273" s="26" t="str">
        <f t="shared" si="5"/>
        <v/>
      </c>
      <c r="AA273" s="26" t="str">
        <f t="shared" si="6"/>
        <v/>
      </c>
      <c r="AB273" s="32" t="str">
        <f t="shared" si="7"/>
        <v/>
      </c>
      <c r="AC273" s="32" t="str">
        <f t="shared" ref="AC273:AG273" si="277">IF(J273&lt;&gt;"", IF(AND($P273=FALSE, $A273=FALSE), -J273, IF(AND($P273=FALSE, $A273=TRUE), 0, IF($P273=TRUE, (J273 / $R273) * 100 * ($S273 / 100)-J273, ))), )</f>
        <v/>
      </c>
      <c r="AD273" s="32" t="str">
        <f t="shared" si="277"/>
        <v/>
      </c>
      <c r="AE273" s="32" t="str">
        <f t="shared" si="277"/>
        <v/>
      </c>
      <c r="AF273" s="32" t="str">
        <f t="shared" si="277"/>
        <v/>
      </c>
      <c r="AG273" s="32" t="str">
        <f t="shared" si="277"/>
        <v/>
      </c>
      <c r="AH273" s="33"/>
    </row>
    <row r="274" hidden="1" outlineLevel="3">
      <c r="A274" s="16" t="b">
        <v>0</v>
      </c>
      <c r="B274" s="17"/>
      <c r="C274" s="18"/>
      <c r="D274" s="41"/>
      <c r="E274" s="20"/>
      <c r="F274" s="21"/>
      <c r="G274" s="23"/>
      <c r="H274" s="23"/>
      <c r="I274" s="23"/>
      <c r="J274" s="23"/>
      <c r="K274" s="23"/>
      <c r="L274" s="23"/>
      <c r="M274" s="23"/>
      <c r="N274" s="23"/>
      <c r="O274" s="24"/>
      <c r="P274" s="16" t="b">
        <v>0</v>
      </c>
      <c r="Q274" s="24"/>
      <c r="R274" s="25"/>
      <c r="S274" s="26"/>
      <c r="T274" s="27"/>
      <c r="U274" s="24"/>
      <c r="V274" s="38" t="s">
        <v>29</v>
      </c>
      <c r="W274" s="29" t="s">
        <v>22</v>
      </c>
      <c r="X274" s="37" t="s">
        <v>273</v>
      </c>
      <c r="Y274" s="31"/>
      <c r="Z274" s="26" t="str">
        <f t="shared" si="5"/>
        <v/>
      </c>
      <c r="AA274" s="26" t="str">
        <f t="shared" si="6"/>
        <v/>
      </c>
      <c r="AB274" s="32" t="str">
        <f t="shared" si="7"/>
        <v/>
      </c>
      <c r="AC274" s="32" t="str">
        <f t="shared" ref="AC274:AG274" si="278">IF(J274&lt;&gt;"", IF(AND($P274=FALSE, $A274=FALSE), -J274, IF(AND($P274=FALSE, $A274=TRUE), 0, IF($P274=TRUE, (J274 / $R274) * 100 * ($S274 / 100)-J274, ))), )</f>
        <v/>
      </c>
      <c r="AD274" s="32" t="str">
        <f t="shared" si="278"/>
        <v/>
      </c>
      <c r="AE274" s="32" t="str">
        <f t="shared" si="278"/>
        <v/>
      </c>
      <c r="AF274" s="32" t="str">
        <f t="shared" si="278"/>
        <v/>
      </c>
      <c r="AG274" s="32" t="str">
        <f t="shared" si="278"/>
        <v/>
      </c>
      <c r="AH274" s="33"/>
    </row>
    <row r="275" hidden="1" outlineLevel="3">
      <c r="A275" s="16" t="b">
        <v>0</v>
      </c>
      <c r="B275" s="17"/>
      <c r="C275" s="18"/>
      <c r="D275" s="41"/>
      <c r="E275" s="20"/>
      <c r="F275" s="21"/>
      <c r="G275" s="23"/>
      <c r="H275" s="23"/>
      <c r="I275" s="23"/>
      <c r="J275" s="23"/>
      <c r="K275" s="23"/>
      <c r="L275" s="23"/>
      <c r="M275" s="23"/>
      <c r="N275" s="23"/>
      <c r="O275" s="24"/>
      <c r="P275" s="16" t="b">
        <v>0</v>
      </c>
      <c r="Q275" s="24"/>
      <c r="R275" s="25"/>
      <c r="S275" s="26"/>
      <c r="T275" s="27"/>
      <c r="U275" s="24"/>
      <c r="V275" s="38" t="s">
        <v>29</v>
      </c>
      <c r="W275" s="29" t="s">
        <v>22</v>
      </c>
      <c r="X275" s="37" t="s">
        <v>274</v>
      </c>
      <c r="Y275" s="31"/>
      <c r="Z275" s="26" t="str">
        <f t="shared" si="5"/>
        <v/>
      </c>
      <c r="AA275" s="26" t="str">
        <f t="shared" si="6"/>
        <v/>
      </c>
      <c r="AB275" s="32" t="str">
        <f t="shared" si="7"/>
        <v/>
      </c>
      <c r="AC275" s="32" t="str">
        <f t="shared" ref="AC275:AG275" si="279">IF(J275&lt;&gt;"", IF(AND($P275=FALSE, $A275=FALSE), -J275, IF(AND($P275=FALSE, $A275=TRUE), 0, IF($P275=TRUE, (J275 / $R275) * 100 * ($S275 / 100)-J275, ))), )</f>
        <v/>
      </c>
      <c r="AD275" s="32" t="str">
        <f t="shared" si="279"/>
        <v/>
      </c>
      <c r="AE275" s="32" t="str">
        <f t="shared" si="279"/>
        <v/>
      </c>
      <c r="AF275" s="32" t="str">
        <f t="shared" si="279"/>
        <v/>
      </c>
      <c r="AG275" s="32" t="str">
        <f t="shared" si="279"/>
        <v/>
      </c>
      <c r="AH275" s="33"/>
    </row>
    <row r="276" hidden="1" outlineLevel="2" collapsed="1">
      <c r="A276" s="16" t="b">
        <v>0</v>
      </c>
      <c r="B276" s="17"/>
      <c r="C276" s="18"/>
      <c r="D276" s="41">
        <v>45240.0</v>
      </c>
      <c r="E276" s="20" t="s">
        <v>60</v>
      </c>
      <c r="F276" s="21" t="s">
        <v>61</v>
      </c>
      <c r="G276" s="23">
        <v>2.0</v>
      </c>
      <c r="H276" s="23">
        <v>1.0</v>
      </c>
      <c r="I276" s="23">
        <v>2.0</v>
      </c>
      <c r="J276" s="23"/>
      <c r="K276" s="23"/>
      <c r="L276" s="23"/>
      <c r="M276" s="23"/>
      <c r="N276" s="23"/>
      <c r="O276" s="24"/>
      <c r="P276" s="16" t="b">
        <v>0</v>
      </c>
      <c r="Q276" s="24"/>
      <c r="R276" s="25">
        <v>5.0</v>
      </c>
      <c r="S276" s="26">
        <v>11.35</v>
      </c>
      <c r="T276" s="27" t="s">
        <v>275</v>
      </c>
      <c r="U276" s="24"/>
      <c r="V276" s="28"/>
      <c r="W276" s="29"/>
      <c r="X276" s="30"/>
      <c r="Y276" s="31"/>
      <c r="Z276" s="26">
        <f t="shared" si="5"/>
        <v>-2</v>
      </c>
      <c r="AA276" s="26">
        <f t="shared" si="6"/>
        <v>-2</v>
      </c>
      <c r="AB276" s="32">
        <f t="shared" si="7"/>
        <v>-1</v>
      </c>
      <c r="AC276" s="32" t="str">
        <f t="shared" ref="AC276:AG276" si="280">IF(J276&lt;&gt;"", IF(AND($P276=FALSE, $A276=FALSE), -J276, IF(AND($P276=FALSE, $A276=TRUE), 0, IF($P276=TRUE, (J276 / $R276) * 100 * ($S276 / 100)-J276, ))), )</f>
        <v/>
      </c>
      <c r="AD276" s="32" t="str">
        <f t="shared" si="280"/>
        <v/>
      </c>
      <c r="AE276" s="32" t="str">
        <f t="shared" si="280"/>
        <v/>
      </c>
      <c r="AF276" s="32" t="str">
        <f t="shared" si="280"/>
        <v/>
      </c>
      <c r="AG276" s="32" t="str">
        <f t="shared" si="280"/>
        <v/>
      </c>
      <c r="AH276" s="33"/>
    </row>
    <row r="277" hidden="1" outlineLevel="3">
      <c r="A277" s="16" t="b">
        <v>0</v>
      </c>
      <c r="B277" s="17"/>
      <c r="C277" s="18"/>
      <c r="D277" s="41"/>
      <c r="E277" s="20"/>
      <c r="F277" s="21"/>
      <c r="G277" s="23"/>
      <c r="H277" s="23"/>
      <c r="I277" s="23"/>
      <c r="J277" s="23"/>
      <c r="K277" s="23"/>
      <c r="L277" s="23"/>
      <c r="M277" s="23"/>
      <c r="N277" s="23"/>
      <c r="O277" s="24"/>
      <c r="P277" s="16" t="b">
        <v>0</v>
      </c>
      <c r="Q277" s="24"/>
      <c r="R277" s="25"/>
      <c r="S277" s="26"/>
      <c r="T277" s="27"/>
      <c r="U277" s="24"/>
      <c r="V277" s="38" t="s">
        <v>29</v>
      </c>
      <c r="W277" s="29" t="s">
        <v>22</v>
      </c>
      <c r="X277" s="37" t="s">
        <v>212</v>
      </c>
      <c r="Y277" s="31"/>
      <c r="Z277" s="26" t="str">
        <f t="shared" si="5"/>
        <v/>
      </c>
      <c r="AA277" s="26" t="str">
        <f t="shared" si="6"/>
        <v/>
      </c>
      <c r="AB277" s="32" t="str">
        <f t="shared" si="7"/>
        <v/>
      </c>
      <c r="AC277" s="32" t="str">
        <f t="shared" ref="AC277:AG277" si="281">IF(J277&lt;&gt;"", IF(AND($P277=FALSE, $A277=FALSE), -J277, IF(AND($P277=FALSE, $A277=TRUE), 0, IF($P277=TRUE, (J277 / $R277) * 100 * ($S277 / 100)-J277, ))), )</f>
        <v/>
      </c>
      <c r="AD277" s="32" t="str">
        <f t="shared" si="281"/>
        <v/>
      </c>
      <c r="AE277" s="32" t="str">
        <f t="shared" si="281"/>
        <v/>
      </c>
      <c r="AF277" s="32" t="str">
        <f t="shared" si="281"/>
        <v/>
      </c>
      <c r="AG277" s="32" t="str">
        <f t="shared" si="281"/>
        <v/>
      </c>
      <c r="AH277" s="33"/>
    </row>
    <row r="278" hidden="1" outlineLevel="3">
      <c r="A278" s="16" t="b">
        <v>0</v>
      </c>
      <c r="B278" s="17"/>
      <c r="C278" s="18"/>
      <c r="D278" s="41"/>
      <c r="E278" s="20"/>
      <c r="F278" s="21"/>
      <c r="G278" s="23"/>
      <c r="H278" s="23"/>
      <c r="I278" s="23"/>
      <c r="J278" s="23"/>
      <c r="K278" s="23"/>
      <c r="L278" s="23"/>
      <c r="M278" s="23"/>
      <c r="N278" s="23"/>
      <c r="O278" s="24"/>
      <c r="P278" s="16" t="b">
        <v>0</v>
      </c>
      <c r="Q278" s="24"/>
      <c r="R278" s="25"/>
      <c r="S278" s="26"/>
      <c r="T278" s="27"/>
      <c r="U278" s="24"/>
      <c r="V278" s="38" t="s">
        <v>29</v>
      </c>
      <c r="W278" s="29" t="s">
        <v>22</v>
      </c>
      <c r="X278" s="37" t="s">
        <v>276</v>
      </c>
      <c r="Y278" s="31"/>
      <c r="Z278" s="26" t="str">
        <f t="shared" si="5"/>
        <v/>
      </c>
      <c r="AA278" s="26" t="str">
        <f t="shared" si="6"/>
        <v/>
      </c>
      <c r="AB278" s="32" t="str">
        <f t="shared" si="7"/>
        <v/>
      </c>
      <c r="AC278" s="32" t="str">
        <f t="shared" ref="AC278:AG278" si="282">IF(J278&lt;&gt;"", IF(AND($P278=FALSE, $A278=FALSE), -J278, IF(AND($P278=FALSE, $A278=TRUE), 0, IF($P278=TRUE, (J278 / $R278) * 100 * ($S278 / 100)-J278, ))), )</f>
        <v/>
      </c>
      <c r="AD278" s="32" t="str">
        <f t="shared" si="282"/>
        <v/>
      </c>
      <c r="AE278" s="32" t="str">
        <f t="shared" si="282"/>
        <v/>
      </c>
      <c r="AF278" s="32" t="str">
        <f t="shared" si="282"/>
        <v/>
      </c>
      <c r="AG278" s="32" t="str">
        <f t="shared" si="282"/>
        <v/>
      </c>
      <c r="AH278" s="33"/>
    </row>
    <row r="279" hidden="1" outlineLevel="3">
      <c r="A279" s="16" t="b">
        <v>0</v>
      </c>
      <c r="B279" s="17"/>
      <c r="C279" s="18"/>
      <c r="D279" s="41"/>
      <c r="E279" s="20"/>
      <c r="F279" s="21"/>
      <c r="G279" s="23"/>
      <c r="H279" s="23"/>
      <c r="I279" s="23"/>
      <c r="J279" s="23"/>
      <c r="K279" s="23"/>
      <c r="L279" s="23"/>
      <c r="M279" s="23"/>
      <c r="N279" s="23"/>
      <c r="O279" s="24"/>
      <c r="P279" s="16" t="b">
        <v>0</v>
      </c>
      <c r="Q279" s="24"/>
      <c r="R279" s="25"/>
      <c r="S279" s="26"/>
      <c r="T279" s="27"/>
      <c r="U279" s="24"/>
      <c r="V279" s="28" t="s">
        <v>32</v>
      </c>
      <c r="W279" s="29" t="s">
        <v>22</v>
      </c>
      <c r="X279" s="37" t="s">
        <v>277</v>
      </c>
      <c r="Y279" s="31"/>
      <c r="Z279" s="26" t="str">
        <f t="shared" si="5"/>
        <v/>
      </c>
      <c r="AA279" s="26" t="str">
        <f t="shared" si="6"/>
        <v/>
      </c>
      <c r="AB279" s="32" t="str">
        <f t="shared" si="7"/>
        <v/>
      </c>
      <c r="AC279" s="32" t="str">
        <f t="shared" ref="AC279:AG279" si="283">IF(J279&lt;&gt;"", IF(AND($P279=FALSE, $A279=FALSE), -J279, IF(AND($P279=FALSE, $A279=TRUE), 0, IF($P279=TRUE, (J279 / $R279) * 100 * ($S279 / 100)-J279, ))), )</f>
        <v/>
      </c>
      <c r="AD279" s="32" t="str">
        <f t="shared" si="283"/>
        <v/>
      </c>
      <c r="AE279" s="32" t="str">
        <f t="shared" si="283"/>
        <v/>
      </c>
      <c r="AF279" s="32" t="str">
        <f t="shared" si="283"/>
        <v/>
      </c>
      <c r="AG279" s="32" t="str">
        <f t="shared" si="283"/>
        <v/>
      </c>
      <c r="AH279" s="33"/>
    </row>
    <row r="280" hidden="1" outlineLevel="2" collapsed="1">
      <c r="A280" s="16" t="b">
        <v>0</v>
      </c>
      <c r="B280" s="17"/>
      <c r="C280" s="18"/>
      <c r="D280" s="41">
        <v>45240.0</v>
      </c>
      <c r="E280" s="20" t="s">
        <v>60</v>
      </c>
      <c r="F280" s="21" t="s">
        <v>61</v>
      </c>
      <c r="G280" s="23">
        <v>2.0</v>
      </c>
      <c r="H280" s="23">
        <v>1.0</v>
      </c>
      <c r="I280" s="23">
        <v>2.0</v>
      </c>
      <c r="J280" s="23"/>
      <c r="K280" s="23"/>
      <c r="L280" s="23"/>
      <c r="M280" s="23"/>
      <c r="N280" s="23"/>
      <c r="O280" s="24"/>
      <c r="P280" s="16" t="b">
        <v>0</v>
      </c>
      <c r="Q280" s="24"/>
      <c r="R280" s="25">
        <v>5.0</v>
      </c>
      <c r="S280" s="26">
        <v>10.14</v>
      </c>
      <c r="T280" s="27" t="s">
        <v>278</v>
      </c>
      <c r="U280" s="24"/>
      <c r="V280" s="28"/>
      <c r="W280" s="29"/>
      <c r="X280" s="30"/>
      <c r="Y280" s="31"/>
      <c r="Z280" s="26">
        <f t="shared" si="5"/>
        <v>-2</v>
      </c>
      <c r="AA280" s="26">
        <f t="shared" si="6"/>
        <v>-2</v>
      </c>
      <c r="AB280" s="32">
        <f t="shared" si="7"/>
        <v>-1</v>
      </c>
      <c r="AC280" s="32" t="str">
        <f t="shared" ref="AC280:AG280" si="284">IF(J280&lt;&gt;"", IF(AND($P280=FALSE, $A280=FALSE), -J280, IF(AND($P280=FALSE, $A280=TRUE), 0, IF($P280=TRUE, (J280 / $R280) * 100 * ($S280 / 100)-J280, ))), )</f>
        <v/>
      </c>
      <c r="AD280" s="32" t="str">
        <f t="shared" si="284"/>
        <v/>
      </c>
      <c r="AE280" s="32" t="str">
        <f t="shared" si="284"/>
        <v/>
      </c>
      <c r="AF280" s="32" t="str">
        <f t="shared" si="284"/>
        <v/>
      </c>
      <c r="AG280" s="32" t="str">
        <f t="shared" si="284"/>
        <v/>
      </c>
      <c r="AH280" s="33"/>
    </row>
    <row r="281" hidden="1" outlineLevel="3">
      <c r="A281" s="16" t="b">
        <v>0</v>
      </c>
      <c r="B281" s="17"/>
      <c r="C281" s="18"/>
      <c r="D281" s="41"/>
      <c r="E281" s="20"/>
      <c r="F281" s="21"/>
      <c r="G281" s="23"/>
      <c r="H281" s="23"/>
      <c r="I281" s="23"/>
      <c r="J281" s="23"/>
      <c r="K281" s="23"/>
      <c r="L281" s="23"/>
      <c r="M281" s="23"/>
      <c r="N281" s="23"/>
      <c r="O281" s="24"/>
      <c r="P281" s="16" t="b">
        <v>0</v>
      </c>
      <c r="Q281" s="24"/>
      <c r="R281" s="25"/>
      <c r="S281" s="26"/>
      <c r="T281" s="27"/>
      <c r="U281" s="24"/>
      <c r="V281" s="38" t="s">
        <v>29</v>
      </c>
      <c r="W281" s="29" t="s">
        <v>22</v>
      </c>
      <c r="X281" s="37" t="s">
        <v>279</v>
      </c>
      <c r="Y281" s="31"/>
      <c r="Z281" s="26" t="str">
        <f t="shared" si="5"/>
        <v/>
      </c>
      <c r="AA281" s="26" t="str">
        <f t="shared" si="6"/>
        <v/>
      </c>
      <c r="AB281" s="32" t="str">
        <f t="shared" si="7"/>
        <v/>
      </c>
      <c r="AC281" s="32" t="str">
        <f t="shared" ref="AC281:AG281" si="285">IF(J281&lt;&gt;"", IF(AND($P281=FALSE, $A281=FALSE), -J281, IF(AND($P281=FALSE, $A281=TRUE), 0, IF($P281=TRUE, (J281 / $R281) * 100 * ($S281 / 100)-J281, ))), )</f>
        <v/>
      </c>
      <c r="AD281" s="32" t="str">
        <f t="shared" si="285"/>
        <v/>
      </c>
      <c r="AE281" s="32" t="str">
        <f t="shared" si="285"/>
        <v/>
      </c>
      <c r="AF281" s="32" t="str">
        <f t="shared" si="285"/>
        <v/>
      </c>
      <c r="AG281" s="32" t="str">
        <f t="shared" si="285"/>
        <v/>
      </c>
      <c r="AH281" s="33"/>
    </row>
    <row r="282" hidden="1" outlineLevel="3">
      <c r="A282" s="16" t="b">
        <v>0</v>
      </c>
      <c r="B282" s="17"/>
      <c r="C282" s="18"/>
      <c r="D282" s="41"/>
      <c r="E282" s="20"/>
      <c r="F282" s="21"/>
      <c r="G282" s="23"/>
      <c r="H282" s="23"/>
      <c r="I282" s="23"/>
      <c r="J282" s="23"/>
      <c r="K282" s="23"/>
      <c r="L282" s="23"/>
      <c r="M282" s="23"/>
      <c r="N282" s="23"/>
      <c r="O282" s="24"/>
      <c r="P282" s="16" t="b">
        <v>0</v>
      </c>
      <c r="Q282" s="24"/>
      <c r="R282" s="25"/>
      <c r="S282" s="26"/>
      <c r="T282" s="27"/>
      <c r="U282" s="24"/>
      <c r="V282" s="28" t="s">
        <v>32</v>
      </c>
      <c r="W282" s="29" t="s">
        <v>22</v>
      </c>
      <c r="X282" s="37" t="s">
        <v>280</v>
      </c>
      <c r="Y282" s="31"/>
      <c r="Z282" s="26" t="str">
        <f t="shared" si="5"/>
        <v/>
      </c>
      <c r="AA282" s="26" t="str">
        <f t="shared" si="6"/>
        <v/>
      </c>
      <c r="AB282" s="32" t="str">
        <f t="shared" si="7"/>
        <v/>
      </c>
      <c r="AC282" s="32" t="str">
        <f t="shared" ref="AC282:AG282" si="286">IF(J282&lt;&gt;"", IF(AND($P282=FALSE, $A282=FALSE), -J282, IF(AND($P282=FALSE, $A282=TRUE), 0, IF($P282=TRUE, (J282 / $R282) * 100 * ($S282 / 100)-J282, ))), )</f>
        <v/>
      </c>
      <c r="AD282" s="32" t="str">
        <f t="shared" si="286"/>
        <v/>
      </c>
      <c r="AE282" s="32" t="str">
        <f t="shared" si="286"/>
        <v/>
      </c>
      <c r="AF282" s="32" t="str">
        <f t="shared" si="286"/>
        <v/>
      </c>
      <c r="AG282" s="32" t="str">
        <f t="shared" si="286"/>
        <v/>
      </c>
      <c r="AH282" s="33"/>
    </row>
    <row r="283" hidden="1" outlineLevel="3">
      <c r="A283" s="16" t="b">
        <v>0</v>
      </c>
      <c r="B283" s="17"/>
      <c r="C283" s="18"/>
      <c r="D283" s="41"/>
      <c r="E283" s="20"/>
      <c r="F283" s="21"/>
      <c r="G283" s="23"/>
      <c r="H283" s="23"/>
      <c r="I283" s="23"/>
      <c r="J283" s="23"/>
      <c r="K283" s="23"/>
      <c r="L283" s="23"/>
      <c r="M283" s="23"/>
      <c r="N283" s="23"/>
      <c r="O283" s="24"/>
      <c r="P283" s="16" t="b">
        <v>0</v>
      </c>
      <c r="Q283" s="24"/>
      <c r="R283" s="25"/>
      <c r="S283" s="26"/>
      <c r="T283" s="27"/>
      <c r="U283" s="24"/>
      <c r="V283" s="38" t="s">
        <v>29</v>
      </c>
      <c r="W283" s="29" t="s">
        <v>22</v>
      </c>
      <c r="X283" s="37" t="s">
        <v>281</v>
      </c>
      <c r="Y283" s="31"/>
      <c r="Z283" s="26" t="str">
        <f t="shared" si="5"/>
        <v/>
      </c>
      <c r="AA283" s="26" t="str">
        <f t="shared" si="6"/>
        <v/>
      </c>
      <c r="AB283" s="32" t="str">
        <f t="shared" si="7"/>
        <v/>
      </c>
      <c r="AC283" s="32" t="str">
        <f t="shared" ref="AC283:AG283" si="287">IF(J283&lt;&gt;"", IF(AND($P283=FALSE, $A283=FALSE), -J283, IF(AND($P283=FALSE, $A283=TRUE), 0, IF($P283=TRUE, (J283 / $R283) * 100 * ($S283 / 100)-J283, ))), )</f>
        <v/>
      </c>
      <c r="AD283" s="32" t="str">
        <f t="shared" si="287"/>
        <v/>
      </c>
      <c r="AE283" s="32" t="str">
        <f t="shared" si="287"/>
        <v/>
      </c>
      <c r="AF283" s="32" t="str">
        <f t="shared" si="287"/>
        <v/>
      </c>
      <c r="AG283" s="32" t="str">
        <f t="shared" si="287"/>
        <v/>
      </c>
      <c r="AH283" s="33"/>
    </row>
    <row r="284" hidden="1" outlineLevel="2">
      <c r="A284" s="16" t="b">
        <v>0</v>
      </c>
      <c r="B284" s="17"/>
      <c r="C284" s="18"/>
      <c r="D284" s="41">
        <v>45240.0</v>
      </c>
      <c r="E284" s="20" t="s">
        <v>60</v>
      </c>
      <c r="F284" s="21" t="s">
        <v>61</v>
      </c>
      <c r="G284" s="23">
        <v>1.0</v>
      </c>
      <c r="H284" s="23">
        <v>0.5</v>
      </c>
      <c r="I284" s="23">
        <v>1.5</v>
      </c>
      <c r="J284" s="23"/>
      <c r="K284" s="23"/>
      <c r="L284" s="23"/>
      <c r="M284" s="23"/>
      <c r="N284" s="23"/>
      <c r="O284" s="24"/>
      <c r="P284" s="16" t="b">
        <v>0</v>
      </c>
      <c r="Q284" s="24"/>
      <c r="R284" s="25">
        <v>3.0</v>
      </c>
      <c r="S284" s="26">
        <v>21.16</v>
      </c>
      <c r="T284" s="27" t="s">
        <v>282</v>
      </c>
      <c r="U284" s="24"/>
      <c r="V284" s="28"/>
      <c r="W284" s="29"/>
      <c r="X284" s="30"/>
      <c r="Y284" s="31"/>
      <c r="Z284" s="26">
        <f t="shared" si="5"/>
        <v>-1</v>
      </c>
      <c r="AA284" s="26">
        <f t="shared" si="6"/>
        <v>-1.5</v>
      </c>
      <c r="AB284" s="32">
        <f t="shared" si="7"/>
        <v>-0.5</v>
      </c>
      <c r="AC284" s="32" t="str">
        <f t="shared" ref="AC284:AG284" si="288">IF(J284&lt;&gt;"", IF(AND($P284=FALSE, $A284=FALSE), -J284, IF(AND($P284=FALSE, $A284=TRUE), 0, IF($P284=TRUE, (J284 / $R284) * 100 * ($S284 / 100)-J284, ))), )</f>
        <v/>
      </c>
      <c r="AD284" s="32" t="str">
        <f t="shared" si="288"/>
        <v/>
      </c>
      <c r="AE284" s="32" t="str">
        <f t="shared" si="288"/>
        <v/>
      </c>
      <c r="AF284" s="32" t="str">
        <f t="shared" si="288"/>
        <v/>
      </c>
      <c r="AG284" s="32" t="str">
        <f t="shared" si="288"/>
        <v/>
      </c>
      <c r="AH284" s="33"/>
    </row>
    <row r="285" hidden="1" outlineLevel="3">
      <c r="A285" s="16" t="b">
        <v>0</v>
      </c>
      <c r="B285" s="17"/>
      <c r="C285" s="18"/>
      <c r="D285" s="41"/>
      <c r="E285" s="20"/>
      <c r="F285" s="21"/>
      <c r="G285" s="23"/>
      <c r="H285" s="23"/>
      <c r="I285" s="23"/>
      <c r="J285" s="23"/>
      <c r="K285" s="23"/>
      <c r="L285" s="23"/>
      <c r="M285" s="23"/>
      <c r="N285" s="23"/>
      <c r="O285" s="24"/>
      <c r="P285" s="16" t="b">
        <v>0</v>
      </c>
      <c r="Q285" s="24"/>
      <c r="R285" s="25"/>
      <c r="S285" s="26"/>
      <c r="T285" s="27"/>
      <c r="U285" s="24"/>
      <c r="V285" s="28" t="s">
        <v>32</v>
      </c>
      <c r="W285" s="29" t="s">
        <v>22</v>
      </c>
      <c r="X285" s="37" t="s">
        <v>283</v>
      </c>
      <c r="Y285" s="31"/>
      <c r="Z285" s="26" t="str">
        <f t="shared" si="5"/>
        <v/>
      </c>
      <c r="AA285" s="26" t="str">
        <f t="shared" si="6"/>
        <v/>
      </c>
      <c r="AB285" s="32" t="str">
        <f t="shared" si="7"/>
        <v/>
      </c>
      <c r="AC285" s="32" t="str">
        <f t="shared" ref="AC285:AG285" si="289">IF(J285&lt;&gt;"", IF(AND($P285=FALSE, $A285=FALSE), -J285, IF(AND($P285=FALSE, $A285=TRUE), 0, IF($P285=TRUE, (J285 / $R285) * 100 * ($S285 / 100)-J285, ))), )</f>
        <v/>
      </c>
      <c r="AD285" s="32" t="str">
        <f t="shared" si="289"/>
        <v/>
      </c>
      <c r="AE285" s="32" t="str">
        <f t="shared" si="289"/>
        <v/>
      </c>
      <c r="AF285" s="32" t="str">
        <f t="shared" si="289"/>
        <v/>
      </c>
      <c r="AG285" s="32" t="str">
        <f t="shared" si="289"/>
        <v/>
      </c>
      <c r="AH285" s="33"/>
    </row>
    <row r="286" hidden="1" outlineLevel="3">
      <c r="A286" s="16" t="b">
        <v>0</v>
      </c>
      <c r="B286" s="17"/>
      <c r="C286" s="18"/>
      <c r="D286" s="41"/>
      <c r="E286" s="20"/>
      <c r="F286" s="21"/>
      <c r="G286" s="23"/>
      <c r="H286" s="23"/>
      <c r="I286" s="23"/>
      <c r="J286" s="23"/>
      <c r="K286" s="23"/>
      <c r="L286" s="23"/>
      <c r="M286" s="23"/>
      <c r="N286" s="23"/>
      <c r="O286" s="24"/>
      <c r="P286" s="16" t="b">
        <v>0</v>
      </c>
      <c r="Q286" s="24"/>
      <c r="R286" s="25"/>
      <c r="S286" s="26"/>
      <c r="T286" s="27"/>
      <c r="U286" s="24"/>
      <c r="V286" s="38" t="s">
        <v>29</v>
      </c>
      <c r="W286" s="29" t="s">
        <v>22</v>
      </c>
      <c r="X286" s="37" t="s">
        <v>284</v>
      </c>
      <c r="Y286" s="31"/>
      <c r="Z286" s="26" t="str">
        <f t="shared" si="5"/>
        <v/>
      </c>
      <c r="AA286" s="26" t="str">
        <f t="shared" si="6"/>
        <v/>
      </c>
      <c r="AB286" s="32" t="str">
        <f t="shared" si="7"/>
        <v/>
      </c>
      <c r="AC286" s="32" t="str">
        <f t="shared" ref="AC286:AG286" si="290">IF(J286&lt;&gt;"", IF(AND($P286=FALSE, $A286=FALSE), -J286, IF(AND($P286=FALSE, $A286=TRUE), 0, IF($P286=TRUE, (J286 / $R286) * 100 * ($S286 / 100)-J286, ))), )</f>
        <v/>
      </c>
      <c r="AD286" s="32" t="str">
        <f t="shared" si="290"/>
        <v/>
      </c>
      <c r="AE286" s="32" t="str">
        <f t="shared" si="290"/>
        <v/>
      </c>
      <c r="AF286" s="32" t="str">
        <f t="shared" si="290"/>
        <v/>
      </c>
      <c r="AG286" s="32" t="str">
        <f t="shared" si="290"/>
        <v/>
      </c>
      <c r="AH286" s="33"/>
    </row>
    <row r="287" hidden="1" outlineLevel="3">
      <c r="A287" s="16" t="b">
        <v>0</v>
      </c>
      <c r="B287" s="17"/>
      <c r="C287" s="18"/>
      <c r="D287" s="41"/>
      <c r="E287" s="20"/>
      <c r="F287" s="21"/>
      <c r="G287" s="23"/>
      <c r="H287" s="23"/>
      <c r="I287" s="23"/>
      <c r="J287" s="23"/>
      <c r="K287" s="23"/>
      <c r="L287" s="23"/>
      <c r="M287" s="23"/>
      <c r="N287" s="23"/>
      <c r="O287" s="24"/>
      <c r="P287" s="16" t="b">
        <v>0</v>
      </c>
      <c r="Q287" s="24"/>
      <c r="R287" s="25"/>
      <c r="S287" s="26"/>
      <c r="T287" s="27"/>
      <c r="U287" s="24"/>
      <c r="V287" s="38" t="s">
        <v>29</v>
      </c>
      <c r="W287" s="29" t="s">
        <v>22</v>
      </c>
      <c r="X287" s="37" t="s">
        <v>63</v>
      </c>
      <c r="Y287" s="31"/>
      <c r="Z287" s="26" t="str">
        <f t="shared" si="5"/>
        <v/>
      </c>
      <c r="AA287" s="26" t="str">
        <f t="shared" si="6"/>
        <v/>
      </c>
      <c r="AB287" s="32" t="str">
        <f t="shared" si="7"/>
        <v/>
      </c>
      <c r="AC287" s="32" t="str">
        <f t="shared" ref="AC287:AG287" si="291">IF(J287&lt;&gt;"", IF(AND($P287=FALSE, $A287=FALSE), -J287, IF(AND($P287=FALSE, $A287=TRUE), 0, IF($P287=TRUE, (J287 / $R287) * 100 * ($S287 / 100)-J287, ))), )</f>
        <v/>
      </c>
      <c r="AD287" s="32" t="str">
        <f t="shared" si="291"/>
        <v/>
      </c>
      <c r="AE287" s="32" t="str">
        <f t="shared" si="291"/>
        <v/>
      </c>
      <c r="AF287" s="32" t="str">
        <f t="shared" si="291"/>
        <v/>
      </c>
      <c r="AG287" s="32" t="str">
        <f t="shared" si="291"/>
        <v/>
      </c>
      <c r="AH287" s="33"/>
    </row>
    <row r="288" hidden="1" outlineLevel="3">
      <c r="A288" s="16" t="b">
        <v>0</v>
      </c>
      <c r="B288" s="17"/>
      <c r="C288" s="18"/>
      <c r="D288" s="41"/>
      <c r="E288" s="20"/>
      <c r="F288" s="21"/>
      <c r="G288" s="23"/>
      <c r="H288" s="23"/>
      <c r="I288" s="23"/>
      <c r="J288" s="23"/>
      <c r="K288" s="23"/>
      <c r="L288" s="23"/>
      <c r="M288" s="23"/>
      <c r="N288" s="23"/>
      <c r="O288" s="24"/>
      <c r="P288" s="16" t="b">
        <v>0</v>
      </c>
      <c r="Q288" s="24"/>
      <c r="R288" s="25"/>
      <c r="S288" s="26"/>
      <c r="T288" s="27"/>
      <c r="U288" s="24"/>
      <c r="V288" s="28" t="s">
        <v>32</v>
      </c>
      <c r="W288" s="29" t="s">
        <v>22</v>
      </c>
      <c r="X288" s="37" t="s">
        <v>65</v>
      </c>
      <c r="Y288" s="31"/>
      <c r="Z288" s="26" t="str">
        <f t="shared" si="5"/>
        <v/>
      </c>
      <c r="AA288" s="26" t="str">
        <f t="shared" si="6"/>
        <v/>
      </c>
      <c r="AB288" s="32" t="str">
        <f t="shared" si="7"/>
        <v/>
      </c>
      <c r="AC288" s="32" t="str">
        <f t="shared" ref="AC288:AG288" si="292">IF(J288&lt;&gt;"", IF(AND($P288=FALSE, $A288=FALSE), -J288, IF(AND($P288=FALSE, $A288=TRUE), 0, IF($P288=TRUE, (J288 / $R288) * 100 * ($S288 / 100)-J288, ))), )</f>
        <v/>
      </c>
      <c r="AD288" s="32" t="str">
        <f t="shared" si="292"/>
        <v/>
      </c>
      <c r="AE288" s="32" t="str">
        <f t="shared" si="292"/>
        <v/>
      </c>
      <c r="AF288" s="32" t="str">
        <f t="shared" si="292"/>
        <v/>
      </c>
      <c r="AG288" s="32" t="str">
        <f t="shared" si="292"/>
        <v/>
      </c>
      <c r="AH288" s="33"/>
    </row>
    <row r="289" hidden="1" outlineLevel="3">
      <c r="A289" s="16" t="b">
        <v>0</v>
      </c>
      <c r="B289" s="17"/>
      <c r="C289" s="18"/>
      <c r="D289" s="41"/>
      <c r="E289" s="20"/>
      <c r="F289" s="21"/>
      <c r="G289" s="23"/>
      <c r="H289" s="23"/>
      <c r="I289" s="23"/>
      <c r="J289" s="23"/>
      <c r="K289" s="23"/>
      <c r="L289" s="23"/>
      <c r="M289" s="23"/>
      <c r="N289" s="23"/>
      <c r="O289" s="24"/>
      <c r="P289" s="16" t="b">
        <v>0</v>
      </c>
      <c r="Q289" s="24"/>
      <c r="R289" s="25"/>
      <c r="S289" s="26"/>
      <c r="T289" s="27"/>
      <c r="U289" s="24"/>
      <c r="V289" s="38" t="s">
        <v>29</v>
      </c>
      <c r="W289" s="29" t="s">
        <v>22</v>
      </c>
      <c r="X289" s="37" t="s">
        <v>236</v>
      </c>
      <c r="Y289" s="31"/>
      <c r="Z289" s="26" t="str">
        <f t="shared" si="5"/>
        <v/>
      </c>
      <c r="AA289" s="26" t="str">
        <f t="shared" si="6"/>
        <v/>
      </c>
      <c r="AB289" s="32" t="str">
        <f t="shared" si="7"/>
        <v/>
      </c>
      <c r="AC289" s="32" t="str">
        <f t="shared" ref="AC289:AG289" si="293">IF(J289&lt;&gt;"", IF(AND($P289=FALSE, $A289=FALSE), -J289, IF(AND($P289=FALSE, $A289=TRUE), 0, IF($P289=TRUE, (J289 / $R289) * 100 * ($S289 / 100)-J289, ))), )</f>
        <v/>
      </c>
      <c r="AD289" s="32" t="str">
        <f t="shared" si="293"/>
        <v/>
      </c>
      <c r="AE289" s="32" t="str">
        <f t="shared" si="293"/>
        <v/>
      </c>
      <c r="AF289" s="32" t="str">
        <f t="shared" si="293"/>
        <v/>
      </c>
      <c r="AG289" s="32" t="str">
        <f t="shared" si="293"/>
        <v/>
      </c>
      <c r="AH289" s="33"/>
    </row>
    <row r="290" hidden="1" outlineLevel="1" collapsed="1">
      <c r="A290" s="16" t="b">
        <v>0</v>
      </c>
      <c r="B290" s="17"/>
      <c r="C290" s="18"/>
      <c r="D290" s="41">
        <v>45241.0</v>
      </c>
      <c r="E290" s="20" t="s">
        <v>60</v>
      </c>
      <c r="F290" s="21" t="s">
        <v>61</v>
      </c>
      <c r="G290" s="23">
        <v>2.0</v>
      </c>
      <c r="H290" s="23">
        <v>1.0</v>
      </c>
      <c r="I290" s="23">
        <v>2.0</v>
      </c>
      <c r="J290" s="23"/>
      <c r="K290" s="23"/>
      <c r="L290" s="23"/>
      <c r="M290" s="23"/>
      <c r="N290" s="23"/>
      <c r="O290" s="24"/>
      <c r="P290" s="16" t="b">
        <v>1</v>
      </c>
      <c r="Q290" s="24"/>
      <c r="R290" s="25">
        <v>5.0</v>
      </c>
      <c r="S290" s="26">
        <v>18.55</v>
      </c>
      <c r="T290" s="27" t="s">
        <v>285</v>
      </c>
      <c r="U290" s="24"/>
      <c r="V290" s="28"/>
      <c r="W290" s="29"/>
      <c r="X290" s="30"/>
      <c r="Y290" s="31"/>
      <c r="Z290" s="26">
        <f t="shared" si="5"/>
        <v>5.42</v>
      </c>
      <c r="AA290" s="26">
        <f t="shared" si="6"/>
        <v>5.42</v>
      </c>
      <c r="AB290" s="32">
        <f t="shared" si="7"/>
        <v>2.71</v>
      </c>
      <c r="AC290" s="32" t="str">
        <f t="shared" ref="AC290:AG290" si="294">IF(J290&lt;&gt;"", IF(AND($P290=FALSE, $A290=FALSE), -J290, IF(AND($P290=FALSE, $A290=TRUE), 0, IF($P290=TRUE, (J290 / $R290) * 100 * ($S290 / 100)-J290, ))), )</f>
        <v/>
      </c>
      <c r="AD290" s="32" t="str">
        <f t="shared" si="294"/>
        <v/>
      </c>
      <c r="AE290" s="32" t="str">
        <f t="shared" si="294"/>
        <v/>
      </c>
      <c r="AF290" s="32" t="str">
        <f t="shared" si="294"/>
        <v/>
      </c>
      <c r="AG290" s="32" t="str">
        <f t="shared" si="294"/>
        <v/>
      </c>
      <c r="AH290" s="33"/>
    </row>
    <row r="291" hidden="1" outlineLevel="3">
      <c r="A291" s="16" t="b">
        <v>0</v>
      </c>
      <c r="B291" s="17"/>
      <c r="C291" s="18"/>
      <c r="D291" s="41"/>
      <c r="E291" s="20"/>
      <c r="F291" s="21"/>
      <c r="G291" s="23"/>
      <c r="H291" s="23"/>
      <c r="I291" s="23"/>
      <c r="J291" s="23"/>
      <c r="K291" s="23"/>
      <c r="L291" s="23"/>
      <c r="M291" s="23"/>
      <c r="N291" s="23"/>
      <c r="O291" s="24"/>
      <c r="P291" s="16" t="b">
        <v>0</v>
      </c>
      <c r="Q291" s="24"/>
      <c r="R291" s="25"/>
      <c r="S291" s="26"/>
      <c r="T291" s="27"/>
      <c r="U291" s="24"/>
      <c r="V291" s="38" t="s">
        <v>29</v>
      </c>
      <c r="W291" s="29" t="s">
        <v>22</v>
      </c>
      <c r="X291" s="37" t="s">
        <v>230</v>
      </c>
      <c r="Y291" s="31"/>
      <c r="Z291" s="26" t="str">
        <f t="shared" si="5"/>
        <v/>
      </c>
      <c r="AA291" s="26" t="str">
        <f t="shared" si="6"/>
        <v/>
      </c>
      <c r="AB291" s="32" t="str">
        <f t="shared" si="7"/>
        <v/>
      </c>
      <c r="AC291" s="32" t="str">
        <f t="shared" ref="AC291:AG291" si="295">IF(J291&lt;&gt;"", IF(AND($P291=FALSE, $A291=FALSE), -J291, IF(AND($P291=FALSE, $A291=TRUE), 0, IF($P291=TRUE, (J291 / $R291) * 100 * ($S291 / 100)-J291, ))), )</f>
        <v/>
      </c>
      <c r="AD291" s="32" t="str">
        <f t="shared" si="295"/>
        <v/>
      </c>
      <c r="AE291" s="32" t="str">
        <f t="shared" si="295"/>
        <v/>
      </c>
      <c r="AF291" s="32" t="str">
        <f t="shared" si="295"/>
        <v/>
      </c>
      <c r="AG291" s="32" t="str">
        <f t="shared" si="295"/>
        <v/>
      </c>
      <c r="AH291" s="33"/>
    </row>
    <row r="292" hidden="1" outlineLevel="3">
      <c r="A292" s="16" t="b">
        <v>0</v>
      </c>
      <c r="B292" s="17"/>
      <c r="C292" s="18"/>
      <c r="D292" s="41"/>
      <c r="E292" s="20"/>
      <c r="F292" s="21"/>
      <c r="G292" s="23"/>
      <c r="H292" s="23"/>
      <c r="I292" s="23"/>
      <c r="J292" s="23"/>
      <c r="K292" s="23"/>
      <c r="L292" s="23"/>
      <c r="M292" s="23"/>
      <c r="N292" s="23"/>
      <c r="O292" s="24"/>
      <c r="P292" s="16" t="b">
        <v>0</v>
      </c>
      <c r="Q292" s="24"/>
      <c r="R292" s="25"/>
      <c r="S292" s="26"/>
      <c r="T292" s="27"/>
      <c r="U292" s="24"/>
      <c r="V292" s="38" t="s">
        <v>29</v>
      </c>
      <c r="W292" s="29" t="s">
        <v>22</v>
      </c>
      <c r="X292" s="37" t="s">
        <v>286</v>
      </c>
      <c r="Y292" s="31"/>
      <c r="Z292" s="26" t="str">
        <f t="shared" si="5"/>
        <v/>
      </c>
      <c r="AA292" s="26" t="str">
        <f t="shared" si="6"/>
        <v/>
      </c>
      <c r="AB292" s="32" t="str">
        <f t="shared" si="7"/>
        <v/>
      </c>
      <c r="AC292" s="32" t="str">
        <f t="shared" ref="AC292:AG292" si="296">IF(J292&lt;&gt;"", IF(AND($P292=FALSE, $A292=FALSE), -J292, IF(AND($P292=FALSE, $A292=TRUE), 0, IF($P292=TRUE, (J292 / $R292) * 100 * ($S292 / 100)-J292, ))), )</f>
        <v/>
      </c>
      <c r="AD292" s="32" t="str">
        <f t="shared" si="296"/>
        <v/>
      </c>
      <c r="AE292" s="32" t="str">
        <f t="shared" si="296"/>
        <v/>
      </c>
      <c r="AF292" s="32" t="str">
        <f t="shared" si="296"/>
        <v/>
      </c>
      <c r="AG292" s="32" t="str">
        <f t="shared" si="296"/>
        <v/>
      </c>
      <c r="AH292" s="33"/>
    </row>
    <row r="293" hidden="1" outlineLevel="3">
      <c r="A293" s="16" t="b">
        <v>0</v>
      </c>
      <c r="B293" s="17"/>
      <c r="C293" s="18"/>
      <c r="D293" s="41"/>
      <c r="E293" s="20"/>
      <c r="F293" s="21"/>
      <c r="G293" s="23"/>
      <c r="H293" s="23"/>
      <c r="I293" s="23"/>
      <c r="J293" s="23"/>
      <c r="K293" s="23"/>
      <c r="L293" s="23"/>
      <c r="M293" s="23"/>
      <c r="N293" s="23"/>
      <c r="O293" s="24"/>
      <c r="P293" s="16" t="b">
        <v>0</v>
      </c>
      <c r="Q293" s="24"/>
      <c r="R293" s="25"/>
      <c r="S293" s="26"/>
      <c r="T293" s="27"/>
      <c r="U293" s="24"/>
      <c r="V293" s="38" t="s">
        <v>29</v>
      </c>
      <c r="W293" s="29" t="s">
        <v>22</v>
      </c>
      <c r="X293" s="37" t="s">
        <v>287</v>
      </c>
      <c r="Y293" s="31"/>
      <c r="Z293" s="26" t="str">
        <f t="shared" si="5"/>
        <v/>
      </c>
      <c r="AA293" s="26" t="str">
        <f t="shared" si="6"/>
        <v/>
      </c>
      <c r="AB293" s="32" t="str">
        <f t="shared" si="7"/>
        <v/>
      </c>
      <c r="AC293" s="32" t="str">
        <f t="shared" ref="AC293:AG293" si="297">IF(J293&lt;&gt;"", IF(AND($P293=FALSE, $A293=FALSE), -J293, IF(AND($P293=FALSE, $A293=TRUE), 0, IF($P293=TRUE, (J293 / $R293) * 100 * ($S293 / 100)-J293, ))), )</f>
        <v/>
      </c>
      <c r="AD293" s="32" t="str">
        <f t="shared" si="297"/>
        <v/>
      </c>
      <c r="AE293" s="32" t="str">
        <f t="shared" si="297"/>
        <v/>
      </c>
      <c r="AF293" s="32" t="str">
        <f t="shared" si="297"/>
        <v/>
      </c>
      <c r="AG293" s="32" t="str">
        <f t="shared" si="297"/>
        <v/>
      </c>
      <c r="AH293" s="33"/>
    </row>
    <row r="294" hidden="1" outlineLevel="3">
      <c r="A294" s="16" t="b">
        <v>0</v>
      </c>
      <c r="B294" s="17"/>
      <c r="C294" s="18"/>
      <c r="D294" s="41"/>
      <c r="E294" s="20"/>
      <c r="F294" s="21"/>
      <c r="G294" s="23"/>
      <c r="H294" s="23"/>
      <c r="I294" s="23"/>
      <c r="J294" s="23"/>
      <c r="K294" s="23"/>
      <c r="L294" s="23"/>
      <c r="M294" s="23"/>
      <c r="N294" s="23"/>
      <c r="O294" s="24"/>
      <c r="P294" s="16" t="b">
        <v>0</v>
      </c>
      <c r="Q294" s="24"/>
      <c r="R294" s="25"/>
      <c r="S294" s="26"/>
      <c r="T294" s="27"/>
      <c r="U294" s="24"/>
      <c r="V294" s="38" t="s">
        <v>29</v>
      </c>
      <c r="W294" s="29" t="s">
        <v>22</v>
      </c>
      <c r="X294" s="37" t="s">
        <v>268</v>
      </c>
      <c r="Y294" s="31"/>
      <c r="Z294" s="26" t="str">
        <f t="shared" si="5"/>
        <v/>
      </c>
      <c r="AA294" s="26" t="str">
        <f t="shared" si="6"/>
        <v/>
      </c>
      <c r="AB294" s="32" t="str">
        <f t="shared" si="7"/>
        <v/>
      </c>
      <c r="AC294" s="32" t="str">
        <f t="shared" ref="AC294:AG294" si="298">IF(J294&lt;&gt;"", IF(AND($P294=FALSE, $A294=FALSE), -J294, IF(AND($P294=FALSE, $A294=TRUE), 0, IF($P294=TRUE, (J294 / $R294) * 100 * ($S294 / 100)-J294, ))), )</f>
        <v/>
      </c>
      <c r="AD294" s="32" t="str">
        <f t="shared" si="298"/>
        <v/>
      </c>
      <c r="AE294" s="32" t="str">
        <f t="shared" si="298"/>
        <v/>
      </c>
      <c r="AF294" s="32" t="str">
        <f t="shared" si="298"/>
        <v/>
      </c>
      <c r="AG294" s="32" t="str">
        <f t="shared" si="298"/>
        <v/>
      </c>
      <c r="AH294" s="33"/>
    </row>
    <row r="295" hidden="1" outlineLevel="2" collapsed="1">
      <c r="A295" s="16" t="b">
        <v>0</v>
      </c>
      <c r="B295" s="17"/>
      <c r="C295" s="18"/>
      <c r="D295" s="41">
        <v>45241.0</v>
      </c>
      <c r="E295" s="20" t="s">
        <v>60</v>
      </c>
      <c r="F295" s="21" t="s">
        <v>61</v>
      </c>
      <c r="G295" s="23">
        <v>2.0</v>
      </c>
      <c r="H295" s="23">
        <v>1.0</v>
      </c>
      <c r="I295" s="23">
        <v>2.0</v>
      </c>
      <c r="J295" s="23"/>
      <c r="K295" s="23"/>
      <c r="L295" s="23"/>
      <c r="M295" s="23"/>
      <c r="N295" s="23"/>
      <c r="O295" s="24"/>
      <c r="P295" s="16" t="b">
        <v>0</v>
      </c>
      <c r="Q295" s="24"/>
      <c r="R295" s="25">
        <v>5.0</v>
      </c>
      <c r="S295" s="26">
        <v>17.15</v>
      </c>
      <c r="T295" s="27" t="s">
        <v>288</v>
      </c>
      <c r="U295" s="24"/>
      <c r="V295" s="28"/>
      <c r="W295" s="29"/>
      <c r="X295" s="30"/>
      <c r="Y295" s="31"/>
      <c r="Z295" s="26">
        <f t="shared" si="5"/>
        <v>-2</v>
      </c>
      <c r="AA295" s="26">
        <f t="shared" si="6"/>
        <v>-2</v>
      </c>
      <c r="AB295" s="32">
        <f t="shared" si="7"/>
        <v>-1</v>
      </c>
      <c r="AC295" s="32" t="str">
        <f t="shared" ref="AC295:AG295" si="299">IF(J295&lt;&gt;"", IF(AND($P295=FALSE, $A295=FALSE), -J295, IF(AND($P295=FALSE, $A295=TRUE), 0, IF($P295=TRUE, (J295 / $R295) * 100 * ($S295 / 100)-J295, ))), )</f>
        <v/>
      </c>
      <c r="AD295" s="32" t="str">
        <f t="shared" si="299"/>
        <v/>
      </c>
      <c r="AE295" s="32" t="str">
        <f t="shared" si="299"/>
        <v/>
      </c>
      <c r="AF295" s="32" t="str">
        <f t="shared" si="299"/>
        <v/>
      </c>
      <c r="AG295" s="32" t="str">
        <f t="shared" si="299"/>
        <v/>
      </c>
      <c r="AH295" s="33"/>
    </row>
    <row r="296" hidden="1" outlineLevel="3">
      <c r="A296" s="16" t="b">
        <v>0</v>
      </c>
      <c r="B296" s="17"/>
      <c r="C296" s="18"/>
      <c r="D296" s="41"/>
      <c r="E296" s="20"/>
      <c r="F296" s="21"/>
      <c r="G296" s="23"/>
      <c r="H296" s="23"/>
      <c r="I296" s="23"/>
      <c r="J296" s="23"/>
      <c r="K296" s="23"/>
      <c r="L296" s="23"/>
      <c r="M296" s="23"/>
      <c r="N296" s="23"/>
      <c r="O296" s="24"/>
      <c r="P296" s="16" t="b">
        <v>0</v>
      </c>
      <c r="Q296" s="24"/>
      <c r="R296" s="25"/>
      <c r="S296" s="26"/>
      <c r="T296" s="27"/>
      <c r="U296" s="24"/>
      <c r="V296" s="38" t="s">
        <v>29</v>
      </c>
      <c r="W296" s="29" t="s">
        <v>22</v>
      </c>
      <c r="X296" s="37" t="s">
        <v>289</v>
      </c>
      <c r="Y296" s="31"/>
      <c r="Z296" s="26" t="str">
        <f t="shared" si="5"/>
        <v/>
      </c>
      <c r="AA296" s="26" t="str">
        <f t="shared" si="6"/>
        <v/>
      </c>
      <c r="AB296" s="32" t="str">
        <f t="shared" si="7"/>
        <v/>
      </c>
      <c r="AC296" s="32" t="str">
        <f t="shared" ref="AC296:AG296" si="300">IF(J296&lt;&gt;"", IF(AND($P296=FALSE, $A296=FALSE), -J296, IF(AND($P296=FALSE, $A296=TRUE), 0, IF($P296=TRUE, (J296 / $R296) * 100 * ($S296 / 100)-J296, ))), )</f>
        <v/>
      </c>
      <c r="AD296" s="32" t="str">
        <f t="shared" si="300"/>
        <v/>
      </c>
      <c r="AE296" s="32" t="str">
        <f t="shared" si="300"/>
        <v/>
      </c>
      <c r="AF296" s="32" t="str">
        <f t="shared" si="300"/>
        <v/>
      </c>
      <c r="AG296" s="32" t="str">
        <f t="shared" si="300"/>
        <v/>
      </c>
      <c r="AH296" s="33"/>
    </row>
    <row r="297" hidden="1" outlineLevel="3">
      <c r="A297" s="16" t="b">
        <v>0</v>
      </c>
      <c r="B297" s="17"/>
      <c r="C297" s="18"/>
      <c r="D297" s="41"/>
      <c r="E297" s="20"/>
      <c r="F297" s="21"/>
      <c r="G297" s="23"/>
      <c r="H297" s="23"/>
      <c r="I297" s="23"/>
      <c r="J297" s="23"/>
      <c r="K297" s="23"/>
      <c r="L297" s="23"/>
      <c r="M297" s="23"/>
      <c r="N297" s="23"/>
      <c r="O297" s="24"/>
      <c r="P297" s="16" t="b">
        <v>0</v>
      </c>
      <c r="Q297" s="24"/>
      <c r="R297" s="25"/>
      <c r="S297" s="26"/>
      <c r="T297" s="27"/>
      <c r="U297" s="24"/>
      <c r="V297" s="28" t="s">
        <v>32</v>
      </c>
      <c r="W297" s="29" t="s">
        <v>22</v>
      </c>
      <c r="X297" s="37" t="s">
        <v>205</v>
      </c>
      <c r="Y297" s="31"/>
      <c r="Z297" s="26" t="str">
        <f t="shared" si="5"/>
        <v/>
      </c>
      <c r="AA297" s="26" t="str">
        <f t="shared" si="6"/>
        <v/>
      </c>
      <c r="AB297" s="32" t="str">
        <f t="shared" si="7"/>
        <v/>
      </c>
      <c r="AC297" s="32" t="str">
        <f t="shared" ref="AC297:AG297" si="301">IF(J297&lt;&gt;"", IF(AND($P297=FALSE, $A297=FALSE), -J297, IF(AND($P297=FALSE, $A297=TRUE), 0, IF($P297=TRUE, (J297 / $R297) * 100 * ($S297 / 100)-J297, ))), )</f>
        <v/>
      </c>
      <c r="AD297" s="32" t="str">
        <f t="shared" si="301"/>
        <v/>
      </c>
      <c r="AE297" s="32" t="str">
        <f t="shared" si="301"/>
        <v/>
      </c>
      <c r="AF297" s="32" t="str">
        <f t="shared" si="301"/>
        <v/>
      </c>
      <c r="AG297" s="32" t="str">
        <f t="shared" si="301"/>
        <v/>
      </c>
      <c r="AH297" s="33"/>
    </row>
    <row r="298" hidden="1" outlineLevel="3">
      <c r="A298" s="16" t="b">
        <v>0</v>
      </c>
      <c r="B298" s="17"/>
      <c r="C298" s="18"/>
      <c r="D298" s="41"/>
      <c r="E298" s="20"/>
      <c r="F298" s="21"/>
      <c r="G298" s="23"/>
      <c r="H298" s="23"/>
      <c r="I298" s="23"/>
      <c r="J298" s="23"/>
      <c r="K298" s="23"/>
      <c r="L298" s="23"/>
      <c r="M298" s="23"/>
      <c r="N298" s="23"/>
      <c r="O298" s="24"/>
      <c r="P298" s="16" t="b">
        <v>0</v>
      </c>
      <c r="Q298" s="24"/>
      <c r="R298" s="25"/>
      <c r="S298" s="26"/>
      <c r="T298" s="27"/>
      <c r="U298" s="24"/>
      <c r="V298" s="38" t="s">
        <v>29</v>
      </c>
      <c r="W298" s="29" t="s">
        <v>22</v>
      </c>
      <c r="X298" s="37" t="s">
        <v>290</v>
      </c>
      <c r="Y298" s="31"/>
      <c r="Z298" s="26" t="str">
        <f t="shared" si="5"/>
        <v/>
      </c>
      <c r="AA298" s="26" t="str">
        <f t="shared" si="6"/>
        <v/>
      </c>
      <c r="AB298" s="32" t="str">
        <f t="shared" si="7"/>
        <v/>
      </c>
      <c r="AC298" s="32" t="str">
        <f t="shared" ref="AC298:AG298" si="302">IF(J298&lt;&gt;"", IF(AND($P298=FALSE, $A298=FALSE), -J298, IF(AND($P298=FALSE, $A298=TRUE), 0, IF($P298=TRUE, (J298 / $R298) * 100 * ($S298 / 100)-J298, ))), )</f>
        <v/>
      </c>
      <c r="AD298" s="32" t="str">
        <f t="shared" si="302"/>
        <v/>
      </c>
      <c r="AE298" s="32" t="str">
        <f t="shared" si="302"/>
        <v/>
      </c>
      <c r="AF298" s="32" t="str">
        <f t="shared" si="302"/>
        <v/>
      </c>
      <c r="AG298" s="32" t="str">
        <f t="shared" si="302"/>
        <v/>
      </c>
      <c r="AH298" s="33"/>
    </row>
    <row r="299" hidden="1" outlineLevel="3">
      <c r="A299" s="16" t="b">
        <v>0</v>
      </c>
      <c r="B299" s="17"/>
      <c r="C299" s="18"/>
      <c r="D299" s="41"/>
      <c r="E299" s="20"/>
      <c r="F299" s="21"/>
      <c r="G299" s="23"/>
      <c r="H299" s="23"/>
      <c r="I299" s="23"/>
      <c r="J299" s="23"/>
      <c r="K299" s="23"/>
      <c r="L299" s="23"/>
      <c r="M299" s="23"/>
      <c r="N299" s="23"/>
      <c r="O299" s="24"/>
      <c r="P299" s="16" t="b">
        <v>0</v>
      </c>
      <c r="Q299" s="24"/>
      <c r="R299" s="25"/>
      <c r="S299" s="26"/>
      <c r="T299" s="27"/>
      <c r="U299" s="24"/>
      <c r="V299" s="28" t="s">
        <v>32</v>
      </c>
      <c r="W299" s="29" t="s">
        <v>22</v>
      </c>
      <c r="X299" s="37" t="s">
        <v>291</v>
      </c>
      <c r="Y299" s="31"/>
      <c r="Z299" s="26" t="str">
        <f t="shared" si="5"/>
        <v/>
      </c>
      <c r="AA299" s="26" t="str">
        <f t="shared" si="6"/>
        <v/>
      </c>
      <c r="AB299" s="32" t="str">
        <f t="shared" si="7"/>
        <v/>
      </c>
      <c r="AC299" s="32" t="str">
        <f t="shared" ref="AC299:AG299" si="303">IF(J299&lt;&gt;"", IF(AND($P299=FALSE, $A299=FALSE), -J299, IF(AND($P299=FALSE, $A299=TRUE), 0, IF($P299=TRUE, (J299 / $R299) * 100 * ($S299 / 100)-J299, ))), )</f>
        <v/>
      </c>
      <c r="AD299" s="32" t="str">
        <f t="shared" si="303"/>
        <v/>
      </c>
      <c r="AE299" s="32" t="str">
        <f t="shared" si="303"/>
        <v/>
      </c>
      <c r="AF299" s="32" t="str">
        <f t="shared" si="303"/>
        <v/>
      </c>
      <c r="AG299" s="32" t="str">
        <f t="shared" si="303"/>
        <v/>
      </c>
      <c r="AH299" s="33"/>
    </row>
    <row r="300" hidden="1" outlineLevel="2" collapsed="1">
      <c r="A300" s="16" t="b">
        <v>0</v>
      </c>
      <c r="B300" s="17"/>
      <c r="C300" s="18"/>
      <c r="D300" s="41">
        <v>45241.0</v>
      </c>
      <c r="E300" s="20" t="s">
        <v>60</v>
      </c>
      <c r="F300" s="21" t="s">
        <v>61</v>
      </c>
      <c r="G300" s="23">
        <v>2.0</v>
      </c>
      <c r="H300" s="23">
        <v>1.0</v>
      </c>
      <c r="I300" s="23">
        <v>2.0</v>
      </c>
      <c r="J300" s="23"/>
      <c r="K300" s="23"/>
      <c r="L300" s="23"/>
      <c r="M300" s="23"/>
      <c r="N300" s="23"/>
      <c r="O300" s="24"/>
      <c r="P300" s="16" t="b">
        <v>1</v>
      </c>
      <c r="Q300" s="24"/>
      <c r="R300" s="25">
        <v>5.0</v>
      </c>
      <c r="S300" s="26">
        <v>10.99</v>
      </c>
      <c r="T300" s="27" t="s">
        <v>221</v>
      </c>
      <c r="U300" s="24"/>
      <c r="V300" s="28"/>
      <c r="W300" s="29"/>
      <c r="X300" s="30"/>
      <c r="Y300" s="31"/>
      <c r="Z300" s="26">
        <f t="shared" si="5"/>
        <v>2.396</v>
      </c>
      <c r="AA300" s="26">
        <f t="shared" si="6"/>
        <v>2.396</v>
      </c>
      <c r="AB300" s="32">
        <f t="shared" si="7"/>
        <v>1.198</v>
      </c>
      <c r="AC300" s="32" t="str">
        <f t="shared" ref="AC300:AG300" si="304">IF(J300&lt;&gt;"", IF(AND($P300=FALSE, $A300=FALSE), -J300, IF(AND($P300=FALSE, $A300=TRUE), 0, IF($P300=TRUE, (J300 / $R300) * 100 * ($S300 / 100)-J300, ))), )</f>
        <v/>
      </c>
      <c r="AD300" s="32" t="str">
        <f t="shared" si="304"/>
        <v/>
      </c>
      <c r="AE300" s="32" t="str">
        <f t="shared" si="304"/>
        <v/>
      </c>
      <c r="AF300" s="32" t="str">
        <f t="shared" si="304"/>
        <v/>
      </c>
      <c r="AG300" s="32" t="str">
        <f t="shared" si="304"/>
        <v/>
      </c>
      <c r="AH300" s="33"/>
    </row>
    <row r="301" hidden="1" outlineLevel="3">
      <c r="A301" s="16" t="b">
        <v>0</v>
      </c>
      <c r="B301" s="17"/>
      <c r="C301" s="18"/>
      <c r="D301" s="41"/>
      <c r="E301" s="20"/>
      <c r="F301" s="21"/>
      <c r="G301" s="23"/>
      <c r="H301" s="23"/>
      <c r="I301" s="23"/>
      <c r="J301" s="23"/>
      <c r="K301" s="23"/>
      <c r="L301" s="23"/>
      <c r="M301" s="23"/>
      <c r="N301" s="23"/>
      <c r="O301" s="24"/>
      <c r="P301" s="16" t="b">
        <v>0</v>
      </c>
      <c r="Q301" s="24"/>
      <c r="R301" s="25"/>
      <c r="S301" s="26"/>
      <c r="T301" s="27"/>
      <c r="U301" s="24"/>
      <c r="V301" s="38" t="s">
        <v>29</v>
      </c>
      <c r="W301" s="29" t="s">
        <v>22</v>
      </c>
      <c r="X301" s="37" t="s">
        <v>292</v>
      </c>
      <c r="Y301" s="31"/>
      <c r="Z301" s="26" t="str">
        <f t="shared" si="5"/>
        <v/>
      </c>
      <c r="AA301" s="26" t="str">
        <f t="shared" si="6"/>
        <v/>
      </c>
      <c r="AB301" s="32" t="str">
        <f t="shared" si="7"/>
        <v/>
      </c>
      <c r="AC301" s="32" t="str">
        <f t="shared" ref="AC301:AG301" si="305">IF(J301&lt;&gt;"", IF(AND($P301=FALSE, $A301=FALSE), -J301, IF(AND($P301=FALSE, $A301=TRUE), 0, IF($P301=TRUE, (J301 / $R301) * 100 * ($S301 / 100)-J301, ))), )</f>
        <v/>
      </c>
      <c r="AD301" s="32" t="str">
        <f t="shared" si="305"/>
        <v/>
      </c>
      <c r="AE301" s="32" t="str">
        <f t="shared" si="305"/>
        <v/>
      </c>
      <c r="AF301" s="32" t="str">
        <f t="shared" si="305"/>
        <v/>
      </c>
      <c r="AG301" s="32" t="str">
        <f t="shared" si="305"/>
        <v/>
      </c>
      <c r="AH301" s="33"/>
    </row>
    <row r="302" hidden="1" outlineLevel="3">
      <c r="A302" s="16" t="b">
        <v>0</v>
      </c>
      <c r="B302" s="17"/>
      <c r="C302" s="18"/>
      <c r="D302" s="41"/>
      <c r="E302" s="20"/>
      <c r="F302" s="21"/>
      <c r="G302" s="23"/>
      <c r="H302" s="23"/>
      <c r="I302" s="23"/>
      <c r="J302" s="23"/>
      <c r="K302" s="23"/>
      <c r="L302" s="23"/>
      <c r="M302" s="23"/>
      <c r="N302" s="23"/>
      <c r="O302" s="24"/>
      <c r="P302" s="16" t="b">
        <v>0</v>
      </c>
      <c r="Q302" s="24"/>
      <c r="R302" s="25"/>
      <c r="S302" s="26"/>
      <c r="T302" s="27"/>
      <c r="U302" s="24"/>
      <c r="V302" s="38" t="s">
        <v>29</v>
      </c>
      <c r="W302" s="29" t="s">
        <v>22</v>
      </c>
      <c r="X302" s="37" t="s">
        <v>293</v>
      </c>
      <c r="Y302" s="31"/>
      <c r="Z302" s="26" t="str">
        <f t="shared" si="5"/>
        <v/>
      </c>
      <c r="AA302" s="26" t="str">
        <f t="shared" si="6"/>
        <v/>
      </c>
      <c r="AB302" s="32" t="str">
        <f t="shared" si="7"/>
        <v/>
      </c>
      <c r="AC302" s="32" t="str">
        <f t="shared" ref="AC302:AG302" si="306">IF(J302&lt;&gt;"", IF(AND($P302=FALSE, $A302=FALSE), -J302, IF(AND($P302=FALSE, $A302=TRUE), 0, IF($P302=TRUE, (J302 / $R302) * 100 * ($S302 / 100)-J302, ))), )</f>
        <v/>
      </c>
      <c r="AD302" s="32" t="str">
        <f t="shared" si="306"/>
        <v/>
      </c>
      <c r="AE302" s="32" t="str">
        <f t="shared" si="306"/>
        <v/>
      </c>
      <c r="AF302" s="32" t="str">
        <f t="shared" si="306"/>
        <v/>
      </c>
      <c r="AG302" s="32" t="str">
        <f t="shared" si="306"/>
        <v/>
      </c>
      <c r="AH302" s="33"/>
    </row>
    <row r="303" hidden="1" outlineLevel="3">
      <c r="A303" s="16" t="b">
        <v>0</v>
      </c>
      <c r="B303" s="17"/>
      <c r="C303" s="18"/>
      <c r="D303" s="41"/>
      <c r="E303" s="20"/>
      <c r="F303" s="21"/>
      <c r="G303" s="23"/>
      <c r="H303" s="23"/>
      <c r="I303" s="23"/>
      <c r="J303" s="23"/>
      <c r="K303" s="23"/>
      <c r="L303" s="23"/>
      <c r="M303" s="23"/>
      <c r="N303" s="23"/>
      <c r="O303" s="24"/>
      <c r="P303" s="16" t="b">
        <v>0</v>
      </c>
      <c r="Q303" s="24"/>
      <c r="R303" s="25"/>
      <c r="S303" s="26"/>
      <c r="T303" s="27"/>
      <c r="U303" s="24"/>
      <c r="V303" s="38" t="s">
        <v>29</v>
      </c>
      <c r="W303" s="29" t="s">
        <v>22</v>
      </c>
      <c r="X303" s="37" t="s">
        <v>294</v>
      </c>
      <c r="Y303" s="31"/>
      <c r="Z303" s="26" t="str">
        <f t="shared" si="5"/>
        <v/>
      </c>
      <c r="AA303" s="26" t="str">
        <f t="shared" si="6"/>
        <v/>
      </c>
      <c r="AB303" s="32" t="str">
        <f t="shared" si="7"/>
        <v/>
      </c>
      <c r="AC303" s="32" t="str">
        <f t="shared" ref="AC303:AG303" si="307">IF(J303&lt;&gt;"", IF(AND($P303=FALSE, $A303=FALSE), -J303, IF(AND($P303=FALSE, $A303=TRUE), 0, IF($P303=TRUE, (J303 / $R303) * 100 * ($S303 / 100)-J303, ))), )</f>
        <v/>
      </c>
      <c r="AD303" s="32" t="str">
        <f t="shared" si="307"/>
        <v/>
      </c>
      <c r="AE303" s="32" t="str">
        <f t="shared" si="307"/>
        <v/>
      </c>
      <c r="AF303" s="32" t="str">
        <f t="shared" si="307"/>
        <v/>
      </c>
      <c r="AG303" s="32" t="str">
        <f t="shared" si="307"/>
        <v/>
      </c>
      <c r="AH303" s="33"/>
    </row>
    <row r="304" hidden="1" outlineLevel="2">
      <c r="A304" s="16" t="b">
        <v>0</v>
      </c>
      <c r="B304" s="17"/>
      <c r="C304" s="18"/>
      <c r="D304" s="41">
        <v>45241.0</v>
      </c>
      <c r="E304" s="20" t="s">
        <v>60</v>
      </c>
      <c r="F304" s="21" t="s">
        <v>61</v>
      </c>
      <c r="G304" s="23">
        <v>2.0</v>
      </c>
      <c r="H304" s="23">
        <v>1.0</v>
      </c>
      <c r="I304" s="23">
        <v>5.0</v>
      </c>
      <c r="J304" s="23"/>
      <c r="K304" s="23"/>
      <c r="L304" s="23"/>
      <c r="M304" s="23"/>
      <c r="N304" s="23"/>
      <c r="O304" s="24"/>
      <c r="P304" s="16" t="b">
        <v>0</v>
      </c>
      <c r="Q304" s="24"/>
      <c r="R304" s="25">
        <v>8.0</v>
      </c>
      <c r="S304" s="26">
        <v>20.0</v>
      </c>
      <c r="T304" s="27" t="s">
        <v>44</v>
      </c>
      <c r="U304" s="24"/>
      <c r="V304" s="28"/>
      <c r="W304" s="29"/>
      <c r="X304" s="30"/>
      <c r="Y304" s="31"/>
      <c r="Z304" s="26">
        <f t="shared" si="5"/>
        <v>-2</v>
      </c>
      <c r="AA304" s="26">
        <f t="shared" si="6"/>
        <v>-5</v>
      </c>
      <c r="AB304" s="32">
        <f t="shared" si="7"/>
        <v>-1</v>
      </c>
      <c r="AC304" s="32" t="str">
        <f t="shared" ref="AC304:AG304" si="308">IF(J304&lt;&gt;"", IF(AND($P304=FALSE, $A304=FALSE), -J304, IF(AND($P304=FALSE, $A304=TRUE), 0, IF($P304=TRUE, (J304 / $R304) * 100 * ($S304 / 100)-J304, ))), )</f>
        <v/>
      </c>
      <c r="AD304" s="32" t="str">
        <f t="shared" si="308"/>
        <v/>
      </c>
      <c r="AE304" s="32" t="str">
        <f t="shared" si="308"/>
        <v/>
      </c>
      <c r="AF304" s="32" t="str">
        <f t="shared" si="308"/>
        <v/>
      </c>
      <c r="AG304" s="32" t="str">
        <f t="shared" si="308"/>
        <v/>
      </c>
      <c r="AH304" s="33"/>
    </row>
    <row r="305" hidden="1" outlineLevel="3">
      <c r="A305" s="16" t="b">
        <v>0</v>
      </c>
      <c r="B305" s="17"/>
      <c r="C305" s="18"/>
      <c r="D305" s="34"/>
      <c r="E305" s="20"/>
      <c r="F305" s="34"/>
      <c r="G305" s="23"/>
      <c r="H305" s="23"/>
      <c r="I305" s="23"/>
      <c r="J305" s="23"/>
      <c r="K305" s="23"/>
      <c r="L305" s="23"/>
      <c r="M305" s="23"/>
      <c r="N305" s="23"/>
      <c r="O305" s="24"/>
      <c r="P305" s="16" t="b">
        <v>0</v>
      </c>
      <c r="Q305" s="24"/>
      <c r="R305" s="50"/>
      <c r="S305" s="34"/>
      <c r="T305" s="35"/>
      <c r="U305" s="24"/>
      <c r="V305" s="28" t="s">
        <v>32</v>
      </c>
      <c r="W305" s="29" t="s">
        <v>22</v>
      </c>
      <c r="X305" s="37" t="s">
        <v>295</v>
      </c>
      <c r="Y305" s="31"/>
      <c r="Z305" s="26" t="str">
        <f t="shared" si="5"/>
        <v/>
      </c>
      <c r="AA305" s="26" t="str">
        <f t="shared" si="6"/>
        <v/>
      </c>
      <c r="AB305" s="32" t="str">
        <f t="shared" si="7"/>
        <v/>
      </c>
      <c r="AC305" s="32" t="str">
        <f t="shared" ref="AC305:AG305" si="309">IF(J305&lt;&gt;"", IF(AND($P305=FALSE, $A305=FALSE), -J305, IF(AND($P305=FALSE, $A305=TRUE), 0, IF($P305=TRUE, (J305 / $R305) * 100 * ($S305 / 100)-J305, ))), )</f>
        <v/>
      </c>
      <c r="AD305" s="32" t="str">
        <f t="shared" si="309"/>
        <v/>
      </c>
      <c r="AE305" s="32" t="str">
        <f t="shared" si="309"/>
        <v/>
      </c>
      <c r="AF305" s="32" t="str">
        <f t="shared" si="309"/>
        <v/>
      </c>
      <c r="AG305" s="32" t="str">
        <f t="shared" si="309"/>
        <v/>
      </c>
      <c r="AH305" s="33"/>
    </row>
    <row r="306" hidden="1" outlineLevel="3">
      <c r="A306" s="16" t="b">
        <v>0</v>
      </c>
      <c r="B306" s="17"/>
      <c r="C306" s="18"/>
      <c r="D306" s="34"/>
      <c r="E306" s="20"/>
      <c r="F306" s="34"/>
      <c r="G306" s="23"/>
      <c r="H306" s="23"/>
      <c r="I306" s="23"/>
      <c r="J306" s="23"/>
      <c r="K306" s="23"/>
      <c r="L306" s="23"/>
      <c r="M306" s="23"/>
      <c r="N306" s="23"/>
      <c r="O306" s="24"/>
      <c r="P306" s="16" t="b">
        <v>0</v>
      </c>
      <c r="Q306" s="24"/>
      <c r="R306" s="50"/>
      <c r="S306" s="34"/>
      <c r="T306" s="35"/>
      <c r="U306" s="24"/>
      <c r="V306" s="38" t="s">
        <v>29</v>
      </c>
      <c r="W306" s="29" t="s">
        <v>22</v>
      </c>
      <c r="X306" s="37" t="s">
        <v>189</v>
      </c>
      <c r="Y306" s="31"/>
      <c r="Z306" s="26" t="str">
        <f t="shared" si="5"/>
        <v/>
      </c>
      <c r="AA306" s="26" t="str">
        <f t="shared" si="6"/>
        <v/>
      </c>
      <c r="AB306" s="32" t="str">
        <f t="shared" si="7"/>
        <v/>
      </c>
      <c r="AC306" s="32" t="str">
        <f t="shared" ref="AC306:AG306" si="310">IF(J306&lt;&gt;"", IF(AND($P306=FALSE, $A306=FALSE), -J306, IF(AND($P306=FALSE, $A306=TRUE), 0, IF($P306=TRUE, (J306 / $R306) * 100 * ($S306 / 100)-J306, ))), )</f>
        <v/>
      </c>
      <c r="AD306" s="32" t="str">
        <f t="shared" si="310"/>
        <v/>
      </c>
      <c r="AE306" s="32" t="str">
        <f t="shared" si="310"/>
        <v/>
      </c>
      <c r="AF306" s="32" t="str">
        <f t="shared" si="310"/>
        <v/>
      </c>
      <c r="AG306" s="32" t="str">
        <f t="shared" si="310"/>
        <v/>
      </c>
      <c r="AH306" s="33"/>
    </row>
    <row r="307" ht="15.0" hidden="1" customHeight="1" outlineLevel="1" collapsed="1">
      <c r="A307" s="16" t="b">
        <v>0</v>
      </c>
      <c r="B307" s="17"/>
      <c r="C307" s="18"/>
      <c r="D307" s="41">
        <v>45242.0</v>
      </c>
      <c r="E307" s="20" t="s">
        <v>24</v>
      </c>
      <c r="F307" s="21" t="s">
        <v>52</v>
      </c>
      <c r="G307" s="23">
        <v>0.0</v>
      </c>
      <c r="H307" s="23"/>
      <c r="I307" s="23">
        <v>100.0</v>
      </c>
      <c r="J307" s="23">
        <v>10.0</v>
      </c>
      <c r="K307" s="23"/>
      <c r="L307" s="23"/>
      <c r="M307" s="23"/>
      <c r="N307" s="23"/>
      <c r="O307" s="24"/>
      <c r="P307" s="16" t="b">
        <v>0</v>
      </c>
      <c r="Q307" s="24"/>
      <c r="R307" s="25">
        <v>110.0</v>
      </c>
      <c r="S307" s="26">
        <v>211.85</v>
      </c>
      <c r="T307" s="27">
        <v>-108.0</v>
      </c>
      <c r="U307" s="24"/>
      <c r="V307" s="28"/>
      <c r="W307" s="29"/>
      <c r="X307" s="30"/>
      <c r="Y307" s="31"/>
      <c r="Z307" s="26">
        <f t="shared" si="5"/>
        <v>0</v>
      </c>
      <c r="AA307" s="26">
        <f t="shared" si="6"/>
        <v>-100</v>
      </c>
      <c r="AB307" s="32" t="str">
        <f t="shared" si="7"/>
        <v/>
      </c>
      <c r="AC307" s="32">
        <f t="shared" ref="AC307:AG307" si="311">IF(J307&lt;&gt;"", IF(AND($P307=FALSE, $A307=FALSE), -J307, IF(AND($P307=FALSE, $A307=TRUE), 0, IF($P307=TRUE, (J307 / $R307) * 100 * ($S307 / 100)-J307, ))), )</f>
        <v>-10</v>
      </c>
      <c r="AD307" s="32" t="str">
        <f t="shared" si="311"/>
        <v/>
      </c>
      <c r="AE307" s="32" t="str">
        <f t="shared" si="311"/>
        <v/>
      </c>
      <c r="AF307" s="32" t="str">
        <f t="shared" si="311"/>
        <v/>
      </c>
      <c r="AG307" s="32" t="str">
        <f t="shared" si="311"/>
        <v/>
      </c>
      <c r="AH307" s="33"/>
    </row>
    <row r="308" hidden="1" outlineLevel="3">
      <c r="A308" s="16" t="b">
        <v>0</v>
      </c>
      <c r="B308" s="17"/>
      <c r="C308" s="18"/>
      <c r="D308" s="41"/>
      <c r="E308" s="20"/>
      <c r="F308" s="21"/>
      <c r="G308" s="23"/>
      <c r="H308" s="23"/>
      <c r="I308" s="23"/>
      <c r="J308" s="23"/>
      <c r="K308" s="23"/>
      <c r="L308" s="23"/>
      <c r="M308" s="23"/>
      <c r="N308" s="23"/>
      <c r="O308" s="24"/>
      <c r="P308" s="16" t="b">
        <v>0</v>
      </c>
      <c r="Q308" s="24"/>
      <c r="R308" s="25"/>
      <c r="S308" s="26"/>
      <c r="T308" s="27"/>
      <c r="U308" s="24"/>
      <c r="V308" s="28" t="s">
        <v>32</v>
      </c>
      <c r="W308" s="29" t="s">
        <v>22</v>
      </c>
      <c r="X308" s="37" t="s">
        <v>296</v>
      </c>
      <c r="Y308" s="31"/>
      <c r="Z308" s="26" t="str">
        <f t="shared" si="5"/>
        <v/>
      </c>
      <c r="AA308" s="26" t="str">
        <f t="shared" si="6"/>
        <v/>
      </c>
      <c r="AB308" s="32" t="str">
        <f t="shared" si="7"/>
        <v/>
      </c>
      <c r="AC308" s="32" t="str">
        <f t="shared" ref="AC308:AG308" si="312">IF(J308&lt;&gt;"", IF(AND($P308=FALSE, $A308=FALSE), -J308, IF(AND($P308=FALSE, $A308=TRUE), 0, IF($P308=TRUE, (J308 / $R308) * 100 * ($S308 / 100)-J308, ))), )</f>
        <v/>
      </c>
      <c r="AD308" s="32" t="str">
        <f t="shared" si="312"/>
        <v/>
      </c>
      <c r="AE308" s="32" t="str">
        <f t="shared" si="312"/>
        <v/>
      </c>
      <c r="AF308" s="32" t="str">
        <f t="shared" si="312"/>
        <v/>
      </c>
      <c r="AG308" s="32" t="str">
        <f t="shared" si="312"/>
        <v/>
      </c>
      <c r="AH308" s="33"/>
    </row>
    <row r="309" hidden="1" outlineLevel="2" collapsed="1">
      <c r="A309" s="16" t="b">
        <v>0</v>
      </c>
      <c r="B309" s="17"/>
      <c r="C309" s="18"/>
      <c r="D309" s="41">
        <v>45242.0</v>
      </c>
      <c r="E309" s="20" t="s">
        <v>24</v>
      </c>
      <c r="F309" s="21" t="s">
        <v>52</v>
      </c>
      <c r="G309" s="23">
        <v>1.0</v>
      </c>
      <c r="H309" s="23"/>
      <c r="I309" s="23"/>
      <c r="J309" s="23"/>
      <c r="K309" s="23"/>
      <c r="L309" s="23"/>
      <c r="M309" s="23"/>
      <c r="N309" s="23"/>
      <c r="O309" s="24"/>
      <c r="P309" s="16" t="b">
        <v>0</v>
      </c>
      <c r="Q309" s="24"/>
      <c r="R309" s="25">
        <v>1.0</v>
      </c>
      <c r="S309" s="26">
        <v>201.0</v>
      </c>
      <c r="T309" s="27" t="s">
        <v>297</v>
      </c>
      <c r="U309" s="24"/>
      <c r="V309" s="28"/>
      <c r="W309" s="29"/>
      <c r="X309" s="30"/>
      <c r="Y309" s="31"/>
      <c r="Z309" s="26">
        <f t="shared" si="5"/>
        <v>-1</v>
      </c>
      <c r="AA309" s="26" t="str">
        <f t="shared" si="6"/>
        <v/>
      </c>
      <c r="AB309" s="32" t="str">
        <f t="shared" si="7"/>
        <v/>
      </c>
      <c r="AC309" s="32" t="str">
        <f t="shared" ref="AC309:AG309" si="313">IF(J309&lt;&gt;"", IF(AND($P309=FALSE, $A309=FALSE), -J309, IF(AND($P309=FALSE, $A309=TRUE), 0, IF($P309=TRUE, (J309 / $R309) * 100 * ($S309 / 100)-J309, ))), )</f>
        <v/>
      </c>
      <c r="AD309" s="32" t="str">
        <f t="shared" si="313"/>
        <v/>
      </c>
      <c r="AE309" s="32" t="str">
        <f t="shared" si="313"/>
        <v/>
      </c>
      <c r="AF309" s="32" t="str">
        <f t="shared" si="313"/>
        <v/>
      </c>
      <c r="AG309" s="32" t="str">
        <f t="shared" si="313"/>
        <v/>
      </c>
      <c r="AH309" s="33"/>
    </row>
    <row r="310" hidden="1" outlineLevel="3">
      <c r="A310" s="16" t="b">
        <v>0</v>
      </c>
      <c r="B310" s="17"/>
      <c r="C310" s="18"/>
      <c r="D310" s="41"/>
      <c r="E310" s="20"/>
      <c r="F310" s="21"/>
      <c r="G310" s="23"/>
      <c r="H310" s="23"/>
      <c r="I310" s="23"/>
      <c r="J310" s="23"/>
      <c r="K310" s="23"/>
      <c r="L310" s="23"/>
      <c r="M310" s="23"/>
      <c r="N310" s="23"/>
      <c r="O310" s="24"/>
      <c r="P310" s="16" t="b">
        <v>0</v>
      </c>
      <c r="Q310" s="24"/>
      <c r="R310" s="25"/>
      <c r="S310" s="26"/>
      <c r="T310" s="27"/>
      <c r="U310" s="24"/>
      <c r="V310" s="28" t="s">
        <v>32</v>
      </c>
      <c r="W310" s="29" t="s">
        <v>22</v>
      </c>
      <c r="X310" s="37" t="s">
        <v>298</v>
      </c>
      <c r="Y310" s="31"/>
      <c r="Z310" s="26" t="str">
        <f t="shared" si="5"/>
        <v/>
      </c>
      <c r="AA310" s="26" t="str">
        <f t="shared" si="6"/>
        <v/>
      </c>
      <c r="AB310" s="32" t="str">
        <f t="shared" si="7"/>
        <v/>
      </c>
      <c r="AC310" s="32" t="str">
        <f t="shared" ref="AC310:AG310" si="314">IF(J310&lt;&gt;"", IF(AND($P310=FALSE, $A310=FALSE), -J310, IF(AND($P310=FALSE, $A310=TRUE), 0, IF($P310=TRUE, (J310 / $R310) * 100 * ($S310 / 100)-J310, ))), )</f>
        <v/>
      </c>
      <c r="AD310" s="32" t="str">
        <f t="shared" si="314"/>
        <v/>
      </c>
      <c r="AE310" s="32" t="str">
        <f t="shared" si="314"/>
        <v/>
      </c>
      <c r="AF310" s="32" t="str">
        <f t="shared" si="314"/>
        <v/>
      </c>
      <c r="AG310" s="32" t="str">
        <f t="shared" si="314"/>
        <v/>
      </c>
      <c r="AH310" s="33"/>
    </row>
    <row r="311" hidden="1" outlineLevel="2" collapsed="1">
      <c r="A311" s="16" t="b">
        <v>0</v>
      </c>
      <c r="B311" s="17"/>
      <c r="C311" s="18"/>
      <c r="D311" s="41">
        <v>45242.0</v>
      </c>
      <c r="E311" s="20" t="s">
        <v>24</v>
      </c>
      <c r="F311" s="21" t="s">
        <v>52</v>
      </c>
      <c r="G311" s="23">
        <v>1.0</v>
      </c>
      <c r="H311" s="23"/>
      <c r="I311" s="23"/>
      <c r="J311" s="23"/>
      <c r="K311" s="23"/>
      <c r="L311" s="23"/>
      <c r="M311" s="23"/>
      <c r="N311" s="23"/>
      <c r="O311" s="24"/>
      <c r="P311" s="16" t="b">
        <v>1</v>
      </c>
      <c r="Q311" s="24"/>
      <c r="R311" s="25">
        <v>1.0</v>
      </c>
      <c r="S311" s="26">
        <v>2.32</v>
      </c>
      <c r="T311" s="27" t="s">
        <v>299</v>
      </c>
      <c r="U311" s="24"/>
      <c r="V311" s="28"/>
      <c r="W311" s="29"/>
      <c r="X311" s="30"/>
      <c r="Y311" s="31"/>
      <c r="Z311" s="26">
        <f t="shared" si="5"/>
        <v>1.32</v>
      </c>
      <c r="AA311" s="26" t="str">
        <f t="shared" si="6"/>
        <v/>
      </c>
      <c r="AB311" s="32" t="str">
        <f t="shared" si="7"/>
        <v/>
      </c>
      <c r="AC311" s="32" t="str">
        <f t="shared" ref="AC311:AG311" si="315">IF(J311&lt;&gt;"", IF(AND($P311=FALSE, $A311=FALSE), -J311, IF(AND($P311=FALSE, $A311=TRUE), 0, IF($P311=TRUE, (J311 / $R311) * 100 * ($S311 / 100)-J311, ))), )</f>
        <v/>
      </c>
      <c r="AD311" s="32" t="str">
        <f t="shared" si="315"/>
        <v/>
      </c>
      <c r="AE311" s="32" t="str">
        <f t="shared" si="315"/>
        <v/>
      </c>
      <c r="AF311" s="32" t="str">
        <f t="shared" si="315"/>
        <v/>
      </c>
      <c r="AG311" s="32" t="str">
        <f t="shared" si="315"/>
        <v/>
      </c>
      <c r="AH311" s="33"/>
    </row>
    <row r="312" hidden="1" outlineLevel="3">
      <c r="A312" s="16" t="b">
        <v>0</v>
      </c>
      <c r="B312" s="17"/>
      <c r="C312" s="18"/>
      <c r="D312" s="41"/>
      <c r="E312" s="20"/>
      <c r="F312" s="21"/>
      <c r="G312" s="23"/>
      <c r="H312" s="23"/>
      <c r="I312" s="23"/>
      <c r="J312" s="23"/>
      <c r="K312" s="23"/>
      <c r="L312" s="23"/>
      <c r="M312" s="23"/>
      <c r="N312" s="23"/>
      <c r="O312" s="24"/>
      <c r="P312" s="16" t="b">
        <v>0</v>
      </c>
      <c r="Q312" s="24"/>
      <c r="R312" s="25"/>
      <c r="S312" s="26"/>
      <c r="T312" s="27"/>
      <c r="U312" s="24"/>
      <c r="V312" s="38" t="s">
        <v>29</v>
      </c>
      <c r="W312" s="29" t="s">
        <v>22</v>
      </c>
      <c r="X312" s="37" t="s">
        <v>300</v>
      </c>
      <c r="Y312" s="31"/>
      <c r="Z312" s="26" t="str">
        <f t="shared" si="5"/>
        <v/>
      </c>
      <c r="AA312" s="26" t="str">
        <f t="shared" si="6"/>
        <v/>
      </c>
      <c r="AB312" s="32" t="str">
        <f t="shared" si="7"/>
        <v/>
      </c>
      <c r="AC312" s="32" t="str">
        <f t="shared" ref="AC312:AG312" si="316">IF(J312&lt;&gt;"", IF(AND($P312=FALSE, $A312=FALSE), -J312, IF(AND($P312=FALSE, $A312=TRUE), 0, IF($P312=TRUE, (J312 / $R312) * 100 * ($S312 / 100)-J312, ))), )</f>
        <v/>
      </c>
      <c r="AD312" s="32" t="str">
        <f t="shared" si="316"/>
        <v/>
      </c>
      <c r="AE312" s="32" t="str">
        <f t="shared" si="316"/>
        <v/>
      </c>
      <c r="AF312" s="32" t="str">
        <f t="shared" si="316"/>
        <v/>
      </c>
      <c r="AG312" s="32" t="str">
        <f t="shared" si="316"/>
        <v/>
      </c>
      <c r="AH312" s="33"/>
    </row>
    <row r="313" hidden="1" outlineLevel="2" collapsed="1">
      <c r="A313" s="16" t="b">
        <v>0</v>
      </c>
      <c r="B313" s="17"/>
      <c r="C313" s="18"/>
      <c r="D313" s="41">
        <v>45242.0</v>
      </c>
      <c r="E313" s="20" t="s">
        <v>24</v>
      </c>
      <c r="F313" s="21" t="s">
        <v>52</v>
      </c>
      <c r="G313" s="23">
        <v>0.5</v>
      </c>
      <c r="H313" s="23"/>
      <c r="I313" s="23"/>
      <c r="J313" s="23"/>
      <c r="K313" s="23"/>
      <c r="L313" s="23"/>
      <c r="M313" s="23"/>
      <c r="N313" s="23"/>
      <c r="O313" s="24"/>
      <c r="P313" s="16" t="b">
        <v>1</v>
      </c>
      <c r="Q313" s="24"/>
      <c r="R313" s="25">
        <v>0.5</v>
      </c>
      <c r="S313" s="26">
        <v>1.62</v>
      </c>
      <c r="T313" s="27" t="s">
        <v>301</v>
      </c>
      <c r="U313" s="24"/>
      <c r="V313" s="28"/>
      <c r="W313" s="29"/>
      <c r="X313" s="30"/>
      <c r="Y313" s="31"/>
      <c r="Z313" s="26">
        <f t="shared" si="5"/>
        <v>1.12</v>
      </c>
      <c r="AA313" s="26" t="str">
        <f t="shared" si="6"/>
        <v/>
      </c>
      <c r="AB313" s="32" t="str">
        <f t="shared" si="7"/>
        <v/>
      </c>
      <c r="AC313" s="32" t="str">
        <f t="shared" ref="AC313:AG313" si="317">IF(J313&lt;&gt;"", IF(AND($P313=FALSE, $A313=FALSE), -J313, IF(AND($P313=FALSE, $A313=TRUE), 0, IF($P313=TRUE, (J313 / $R313) * 100 * ($S313 / 100)-J313, ))), )</f>
        <v/>
      </c>
      <c r="AD313" s="32" t="str">
        <f t="shared" si="317"/>
        <v/>
      </c>
      <c r="AE313" s="32" t="str">
        <f t="shared" si="317"/>
        <v/>
      </c>
      <c r="AF313" s="32" t="str">
        <f t="shared" si="317"/>
        <v/>
      </c>
      <c r="AG313" s="32" t="str">
        <f t="shared" si="317"/>
        <v/>
      </c>
      <c r="AH313" s="33"/>
    </row>
    <row r="314" hidden="1" outlineLevel="3">
      <c r="A314" s="16" t="b">
        <v>0</v>
      </c>
      <c r="B314" s="17"/>
      <c r="C314" s="18"/>
      <c r="D314" s="41"/>
      <c r="E314" s="20"/>
      <c r="F314" s="21"/>
      <c r="G314" s="23"/>
      <c r="H314" s="23"/>
      <c r="I314" s="23"/>
      <c r="J314" s="23"/>
      <c r="K314" s="23"/>
      <c r="L314" s="23"/>
      <c r="M314" s="23"/>
      <c r="N314" s="23"/>
      <c r="O314" s="24"/>
      <c r="P314" s="16" t="b">
        <v>0</v>
      </c>
      <c r="Q314" s="24"/>
      <c r="R314" s="25"/>
      <c r="S314" s="26"/>
      <c r="T314" s="27"/>
      <c r="U314" s="24"/>
      <c r="V314" s="38" t="s">
        <v>29</v>
      </c>
      <c r="W314" s="29" t="s">
        <v>22</v>
      </c>
      <c r="X314" s="37" t="s">
        <v>302</v>
      </c>
      <c r="Y314" s="31"/>
      <c r="Z314" s="26" t="str">
        <f t="shared" si="5"/>
        <v/>
      </c>
      <c r="AA314" s="26" t="str">
        <f t="shared" si="6"/>
        <v/>
      </c>
      <c r="AB314" s="32" t="str">
        <f t="shared" si="7"/>
        <v/>
      </c>
      <c r="AC314" s="32" t="str">
        <f t="shared" ref="AC314:AG314" si="318">IF(J314&lt;&gt;"", IF(AND($P314=FALSE, $A314=FALSE), -J314, IF(AND($P314=FALSE, $A314=TRUE), 0, IF($P314=TRUE, (J314 / $R314) * 100 * ($S314 / 100)-J314, ))), )</f>
        <v/>
      </c>
      <c r="AD314" s="32" t="str">
        <f t="shared" si="318"/>
        <v/>
      </c>
      <c r="AE314" s="32" t="str">
        <f t="shared" si="318"/>
        <v/>
      </c>
      <c r="AF314" s="32" t="str">
        <f t="shared" si="318"/>
        <v/>
      </c>
      <c r="AG314" s="32" t="str">
        <f t="shared" si="318"/>
        <v/>
      </c>
      <c r="AH314" s="33"/>
    </row>
    <row r="315" hidden="1" outlineLevel="2" collapsed="1">
      <c r="A315" s="16" t="b">
        <v>0</v>
      </c>
      <c r="B315" s="17"/>
      <c r="C315" s="18"/>
      <c r="D315" s="41">
        <v>45242.0</v>
      </c>
      <c r="E315" s="20" t="s">
        <v>24</v>
      </c>
      <c r="F315" s="21" t="s">
        <v>52</v>
      </c>
      <c r="G315" s="23">
        <v>0.5</v>
      </c>
      <c r="H315" s="23"/>
      <c r="I315" s="23"/>
      <c r="J315" s="23"/>
      <c r="K315" s="23"/>
      <c r="L315" s="23"/>
      <c r="M315" s="23"/>
      <c r="N315" s="23"/>
      <c r="O315" s="24"/>
      <c r="P315" s="16" t="b">
        <v>0</v>
      </c>
      <c r="Q315" s="24"/>
      <c r="R315" s="25">
        <v>0.5</v>
      </c>
      <c r="S315" s="26">
        <v>2.9</v>
      </c>
      <c r="T315" s="27" t="s">
        <v>303</v>
      </c>
      <c r="U315" s="24"/>
      <c r="V315" s="28"/>
      <c r="W315" s="29"/>
      <c r="X315" s="30"/>
      <c r="Y315" s="31"/>
      <c r="Z315" s="26">
        <f t="shared" si="5"/>
        <v>-0.5</v>
      </c>
      <c r="AA315" s="26" t="str">
        <f t="shared" si="6"/>
        <v/>
      </c>
      <c r="AB315" s="32" t="str">
        <f t="shared" si="7"/>
        <v/>
      </c>
      <c r="AC315" s="32" t="str">
        <f t="shared" ref="AC315:AG315" si="319">IF(J315&lt;&gt;"", IF(AND($P315=FALSE, $A315=FALSE), -J315, IF(AND($P315=FALSE, $A315=TRUE), 0, IF($P315=TRUE, (J315 / $R315) * 100 * ($S315 / 100)-J315, ))), )</f>
        <v/>
      </c>
      <c r="AD315" s="32" t="str">
        <f t="shared" si="319"/>
        <v/>
      </c>
      <c r="AE315" s="32" t="str">
        <f t="shared" si="319"/>
        <v/>
      </c>
      <c r="AF315" s="32" t="str">
        <f t="shared" si="319"/>
        <v/>
      </c>
      <c r="AG315" s="32" t="str">
        <f t="shared" si="319"/>
        <v/>
      </c>
      <c r="AH315" s="33"/>
    </row>
    <row r="316" hidden="1" outlineLevel="3">
      <c r="A316" s="16" t="b">
        <v>0</v>
      </c>
      <c r="B316" s="17"/>
      <c r="C316" s="18"/>
      <c r="D316" s="41"/>
      <c r="E316" s="20"/>
      <c r="F316" s="21"/>
      <c r="G316" s="23"/>
      <c r="H316" s="23"/>
      <c r="I316" s="23"/>
      <c r="J316" s="23"/>
      <c r="K316" s="23"/>
      <c r="L316" s="23"/>
      <c r="M316" s="23"/>
      <c r="N316" s="23"/>
      <c r="O316" s="24"/>
      <c r="P316" s="16" t="b">
        <v>0</v>
      </c>
      <c r="Q316" s="24"/>
      <c r="R316" s="25"/>
      <c r="S316" s="26"/>
      <c r="T316" s="27"/>
      <c r="U316" s="24"/>
      <c r="V316" s="28" t="s">
        <v>32</v>
      </c>
      <c r="W316" s="29" t="s">
        <v>22</v>
      </c>
      <c r="X316" s="37" t="s">
        <v>304</v>
      </c>
      <c r="Y316" s="31"/>
      <c r="Z316" s="26" t="str">
        <f t="shared" si="5"/>
        <v/>
      </c>
      <c r="AA316" s="26" t="str">
        <f t="shared" si="6"/>
        <v/>
      </c>
      <c r="AB316" s="32" t="str">
        <f t="shared" si="7"/>
        <v/>
      </c>
      <c r="AC316" s="32" t="str">
        <f t="shared" ref="AC316:AG316" si="320">IF(J316&lt;&gt;"", IF(AND($P316=FALSE, $A316=FALSE), -J316, IF(AND($P316=FALSE, $A316=TRUE), 0, IF($P316=TRUE, (J316 / $R316) * 100 * ($S316 / 100)-J316, ))), )</f>
        <v/>
      </c>
      <c r="AD316" s="32" t="str">
        <f t="shared" si="320"/>
        <v/>
      </c>
      <c r="AE316" s="32" t="str">
        <f t="shared" si="320"/>
        <v/>
      </c>
      <c r="AF316" s="32" t="str">
        <f t="shared" si="320"/>
        <v/>
      </c>
      <c r="AG316" s="32" t="str">
        <f t="shared" si="320"/>
        <v/>
      </c>
      <c r="AH316" s="33"/>
    </row>
    <row r="317" hidden="1" outlineLevel="2" collapsed="1">
      <c r="A317" s="16" t="b">
        <v>0</v>
      </c>
      <c r="B317" s="17"/>
      <c r="C317" s="18"/>
      <c r="D317" s="41">
        <v>45242.0</v>
      </c>
      <c r="E317" s="20" t="s">
        <v>24</v>
      </c>
      <c r="F317" s="21" t="s">
        <v>52</v>
      </c>
      <c r="G317" s="23">
        <v>1.0</v>
      </c>
      <c r="H317" s="23"/>
      <c r="I317" s="23"/>
      <c r="J317" s="23"/>
      <c r="K317" s="23"/>
      <c r="L317" s="23"/>
      <c r="M317" s="23"/>
      <c r="N317" s="23"/>
      <c r="O317" s="24"/>
      <c r="P317" s="16" t="b">
        <v>0</v>
      </c>
      <c r="Q317" s="24"/>
      <c r="R317" s="25">
        <v>1.0</v>
      </c>
      <c r="S317" s="26">
        <v>3.6</v>
      </c>
      <c r="T317" s="27" t="s">
        <v>305</v>
      </c>
      <c r="U317" s="24"/>
      <c r="V317" s="28"/>
      <c r="W317" s="29"/>
      <c r="X317" s="30"/>
      <c r="Y317" s="31"/>
      <c r="Z317" s="26">
        <f t="shared" si="5"/>
        <v>-1</v>
      </c>
      <c r="AA317" s="26" t="str">
        <f t="shared" si="6"/>
        <v/>
      </c>
      <c r="AB317" s="32" t="str">
        <f t="shared" si="7"/>
        <v/>
      </c>
      <c r="AC317" s="32" t="str">
        <f t="shared" ref="AC317:AG317" si="321">IF(J317&lt;&gt;"", IF(AND($P317=FALSE, $A317=FALSE), -J317, IF(AND($P317=FALSE, $A317=TRUE), 0, IF($P317=TRUE, (J317 / $R317) * 100 * ($S317 / 100)-J317, ))), )</f>
        <v/>
      </c>
      <c r="AD317" s="32" t="str">
        <f t="shared" si="321"/>
        <v/>
      </c>
      <c r="AE317" s="32" t="str">
        <f t="shared" si="321"/>
        <v/>
      </c>
      <c r="AF317" s="32" t="str">
        <f t="shared" si="321"/>
        <v/>
      </c>
      <c r="AG317" s="32" t="str">
        <f t="shared" si="321"/>
        <v/>
      </c>
      <c r="AH317" s="33"/>
    </row>
    <row r="318" hidden="1" outlineLevel="3">
      <c r="A318" s="16" t="b">
        <v>0</v>
      </c>
      <c r="B318" s="17"/>
      <c r="C318" s="18"/>
      <c r="D318" s="41"/>
      <c r="E318" s="20"/>
      <c r="F318" s="21"/>
      <c r="G318" s="23"/>
      <c r="H318" s="23"/>
      <c r="I318" s="23"/>
      <c r="J318" s="23"/>
      <c r="K318" s="23"/>
      <c r="L318" s="23"/>
      <c r="M318" s="23"/>
      <c r="N318" s="23"/>
      <c r="O318" s="24"/>
      <c r="P318" s="16" t="b">
        <v>0</v>
      </c>
      <c r="Q318" s="24"/>
      <c r="R318" s="25"/>
      <c r="S318" s="26"/>
      <c r="T318" s="27"/>
      <c r="U318" s="24"/>
      <c r="V318" s="28" t="s">
        <v>32</v>
      </c>
      <c r="W318" s="29" t="s">
        <v>22</v>
      </c>
      <c r="X318" s="37" t="s">
        <v>306</v>
      </c>
      <c r="Y318" s="31"/>
      <c r="Z318" s="26" t="str">
        <f t="shared" si="5"/>
        <v/>
      </c>
      <c r="AA318" s="26" t="str">
        <f t="shared" si="6"/>
        <v/>
      </c>
      <c r="AB318" s="32" t="str">
        <f t="shared" si="7"/>
        <v/>
      </c>
      <c r="AC318" s="32" t="str">
        <f t="shared" ref="AC318:AG318" si="322">IF(J318&lt;&gt;"", IF(AND($P318=FALSE, $A318=FALSE), -J318, IF(AND($P318=FALSE, $A318=TRUE), 0, IF($P318=TRUE, (J318 / $R318) * 100 * ($S318 / 100)-J318, ))), )</f>
        <v/>
      </c>
      <c r="AD318" s="32" t="str">
        <f t="shared" si="322"/>
        <v/>
      </c>
      <c r="AE318" s="32" t="str">
        <f t="shared" si="322"/>
        <v/>
      </c>
      <c r="AF318" s="32" t="str">
        <f t="shared" si="322"/>
        <v/>
      </c>
      <c r="AG318" s="32" t="str">
        <f t="shared" si="322"/>
        <v/>
      </c>
      <c r="AH318" s="33"/>
    </row>
    <row r="319" hidden="1" outlineLevel="2" collapsed="1">
      <c r="A319" s="16" t="b">
        <v>0</v>
      </c>
      <c r="B319" s="17"/>
      <c r="C319" s="18"/>
      <c r="D319" s="41">
        <v>45242.0</v>
      </c>
      <c r="E319" s="20" t="s">
        <v>24</v>
      </c>
      <c r="F319" s="21" t="s">
        <v>52</v>
      </c>
      <c r="G319" s="23">
        <v>0.5</v>
      </c>
      <c r="H319" s="23"/>
      <c r="I319" s="23"/>
      <c r="J319" s="23"/>
      <c r="K319" s="23"/>
      <c r="L319" s="23"/>
      <c r="M319" s="23"/>
      <c r="N319" s="23"/>
      <c r="O319" s="24"/>
      <c r="P319" s="16" t="b">
        <v>1</v>
      </c>
      <c r="Q319" s="24"/>
      <c r="R319" s="25">
        <v>0.5</v>
      </c>
      <c r="S319" s="26">
        <v>3.75</v>
      </c>
      <c r="T319" s="27" t="s">
        <v>46</v>
      </c>
      <c r="U319" s="24"/>
      <c r="V319" s="28"/>
      <c r="W319" s="29"/>
      <c r="X319" s="30"/>
      <c r="Y319" s="31"/>
      <c r="Z319" s="26">
        <f t="shared" si="5"/>
        <v>3.25</v>
      </c>
      <c r="AA319" s="26" t="str">
        <f t="shared" si="6"/>
        <v/>
      </c>
      <c r="AB319" s="32" t="str">
        <f t="shared" si="7"/>
        <v/>
      </c>
      <c r="AC319" s="32" t="str">
        <f t="shared" ref="AC319:AG319" si="323">IF(J319&lt;&gt;"", IF(AND($P319=FALSE, $A319=FALSE), -J319, IF(AND($P319=FALSE, $A319=TRUE), 0, IF($P319=TRUE, (J319 / $R319) * 100 * ($S319 / 100)-J319, ))), )</f>
        <v/>
      </c>
      <c r="AD319" s="32" t="str">
        <f t="shared" si="323"/>
        <v/>
      </c>
      <c r="AE319" s="32" t="str">
        <f t="shared" si="323"/>
        <v/>
      </c>
      <c r="AF319" s="32" t="str">
        <f t="shared" si="323"/>
        <v/>
      </c>
      <c r="AG319" s="32" t="str">
        <f t="shared" si="323"/>
        <v/>
      </c>
      <c r="AH319" s="33"/>
    </row>
    <row r="320" hidden="1" outlineLevel="3">
      <c r="A320" s="16" t="b">
        <v>0</v>
      </c>
      <c r="B320" s="17"/>
      <c r="C320" s="18"/>
      <c r="D320" s="41"/>
      <c r="E320" s="20"/>
      <c r="F320" s="21"/>
      <c r="G320" s="23"/>
      <c r="H320" s="23"/>
      <c r="I320" s="23"/>
      <c r="J320" s="23"/>
      <c r="K320" s="23"/>
      <c r="L320" s="23"/>
      <c r="M320" s="23"/>
      <c r="N320" s="23"/>
      <c r="O320" s="24"/>
      <c r="P320" s="16" t="b">
        <v>0</v>
      </c>
      <c r="Q320" s="24"/>
      <c r="R320" s="25"/>
      <c r="S320" s="26"/>
      <c r="T320" s="27"/>
      <c r="U320" s="24"/>
      <c r="V320" s="38" t="s">
        <v>29</v>
      </c>
      <c r="W320" s="29" t="s">
        <v>22</v>
      </c>
      <c r="X320" s="37" t="s">
        <v>307</v>
      </c>
      <c r="Y320" s="31"/>
      <c r="Z320" s="26" t="str">
        <f t="shared" si="5"/>
        <v/>
      </c>
      <c r="AA320" s="26" t="str">
        <f t="shared" si="6"/>
        <v/>
      </c>
      <c r="AB320" s="32" t="str">
        <f t="shared" si="7"/>
        <v/>
      </c>
      <c r="AC320" s="32" t="str">
        <f t="shared" ref="AC320:AG320" si="324">IF(J320&lt;&gt;"", IF(AND($P320=FALSE, $A320=FALSE), -J320, IF(AND($P320=FALSE, $A320=TRUE), 0, IF($P320=TRUE, (J320 / $R320) * 100 * ($S320 / 100)-J320, ))), )</f>
        <v/>
      </c>
      <c r="AD320" s="32" t="str">
        <f t="shared" si="324"/>
        <v/>
      </c>
      <c r="AE320" s="32" t="str">
        <f t="shared" si="324"/>
        <v/>
      </c>
      <c r="AF320" s="32" t="str">
        <f t="shared" si="324"/>
        <v/>
      </c>
      <c r="AG320" s="32" t="str">
        <f t="shared" si="324"/>
        <v/>
      </c>
      <c r="AH320" s="33"/>
    </row>
    <row r="321" hidden="1" outlineLevel="3">
      <c r="A321" s="16" t="b">
        <v>0</v>
      </c>
      <c r="B321" s="17"/>
      <c r="C321" s="18"/>
      <c r="D321" s="41"/>
      <c r="E321" s="20"/>
      <c r="F321" s="21"/>
      <c r="G321" s="23"/>
      <c r="H321" s="23"/>
      <c r="I321" s="23"/>
      <c r="J321" s="23"/>
      <c r="K321" s="23"/>
      <c r="L321" s="23"/>
      <c r="M321" s="23"/>
      <c r="N321" s="23"/>
      <c r="O321" s="24"/>
      <c r="P321" s="16" t="b">
        <v>0</v>
      </c>
      <c r="Q321" s="24"/>
      <c r="R321" s="25"/>
      <c r="S321" s="26"/>
      <c r="T321" s="27"/>
      <c r="U321" s="24"/>
      <c r="V321" s="38" t="s">
        <v>29</v>
      </c>
      <c r="W321" s="29" t="s">
        <v>22</v>
      </c>
      <c r="X321" s="37" t="s">
        <v>308</v>
      </c>
      <c r="Y321" s="31"/>
      <c r="Z321" s="26" t="str">
        <f t="shared" si="5"/>
        <v/>
      </c>
      <c r="AA321" s="26" t="str">
        <f t="shared" si="6"/>
        <v/>
      </c>
      <c r="AB321" s="32" t="str">
        <f t="shared" si="7"/>
        <v/>
      </c>
      <c r="AC321" s="32" t="str">
        <f t="shared" ref="AC321:AG321" si="325">IF(J321&lt;&gt;"", IF(AND($P321=FALSE, $A321=FALSE), -J321, IF(AND($P321=FALSE, $A321=TRUE), 0, IF($P321=TRUE, (J321 / $R321) * 100 * ($S321 / 100)-J321, ))), )</f>
        <v/>
      </c>
      <c r="AD321" s="32" t="str">
        <f t="shared" si="325"/>
        <v/>
      </c>
      <c r="AE321" s="32" t="str">
        <f t="shared" si="325"/>
        <v/>
      </c>
      <c r="AF321" s="32" t="str">
        <f t="shared" si="325"/>
        <v/>
      </c>
      <c r="AG321" s="32" t="str">
        <f t="shared" si="325"/>
        <v/>
      </c>
      <c r="AH321" s="33"/>
    </row>
    <row r="322" hidden="1" outlineLevel="2" collapsed="1">
      <c r="A322" s="16" t="b">
        <v>0</v>
      </c>
      <c r="B322" s="17"/>
      <c r="C322" s="18"/>
      <c r="D322" s="41">
        <v>45242.0</v>
      </c>
      <c r="E322" s="20" t="s">
        <v>24</v>
      </c>
      <c r="F322" s="21" t="s">
        <v>52</v>
      </c>
      <c r="G322" s="23">
        <v>2.0</v>
      </c>
      <c r="H322" s="23">
        <v>1.0</v>
      </c>
      <c r="I322" s="23"/>
      <c r="J322" s="23"/>
      <c r="K322" s="23"/>
      <c r="L322" s="23"/>
      <c r="M322" s="23"/>
      <c r="N322" s="23"/>
      <c r="O322" s="24"/>
      <c r="P322" s="16" t="b">
        <v>0</v>
      </c>
      <c r="Q322" s="24"/>
      <c r="R322" s="25">
        <v>3.0</v>
      </c>
      <c r="S322" s="26">
        <v>19.83</v>
      </c>
      <c r="T322" s="27" t="s">
        <v>309</v>
      </c>
      <c r="U322" s="24"/>
      <c r="V322" s="28"/>
      <c r="W322" s="29"/>
      <c r="X322" s="30"/>
      <c r="Y322" s="31"/>
      <c r="Z322" s="26">
        <f t="shared" si="5"/>
        <v>-2</v>
      </c>
      <c r="AA322" s="26" t="str">
        <f t="shared" si="6"/>
        <v/>
      </c>
      <c r="AB322" s="32">
        <f t="shared" si="7"/>
        <v>-1</v>
      </c>
      <c r="AC322" s="32" t="str">
        <f t="shared" ref="AC322:AG322" si="326">IF(J322&lt;&gt;"", IF(AND($P322=FALSE, $A322=FALSE), -J322, IF(AND($P322=FALSE, $A322=TRUE), 0, IF($P322=TRUE, (J322 / $R322) * 100 * ($S322 / 100)-J322, ))), )</f>
        <v/>
      </c>
      <c r="AD322" s="32" t="str">
        <f t="shared" si="326"/>
        <v/>
      </c>
      <c r="AE322" s="32" t="str">
        <f t="shared" si="326"/>
        <v/>
      </c>
      <c r="AF322" s="32" t="str">
        <f t="shared" si="326"/>
        <v/>
      </c>
      <c r="AG322" s="32" t="str">
        <f t="shared" si="326"/>
        <v/>
      </c>
      <c r="AH322" s="33"/>
    </row>
    <row r="323" hidden="1" outlineLevel="3">
      <c r="A323" s="16" t="b">
        <v>0</v>
      </c>
      <c r="B323" s="17"/>
      <c r="C323" s="18"/>
      <c r="D323" s="41"/>
      <c r="E323" s="20"/>
      <c r="F323" s="21"/>
      <c r="G323" s="23"/>
      <c r="H323" s="23"/>
      <c r="I323" s="23"/>
      <c r="J323" s="23"/>
      <c r="K323" s="23"/>
      <c r="L323" s="23"/>
      <c r="M323" s="23"/>
      <c r="N323" s="23"/>
      <c r="O323" s="24"/>
      <c r="P323" s="16" t="b">
        <v>0</v>
      </c>
      <c r="Q323" s="24"/>
      <c r="R323" s="25"/>
      <c r="S323" s="26"/>
      <c r="T323" s="27"/>
      <c r="U323" s="24"/>
      <c r="V323" s="38" t="s">
        <v>29</v>
      </c>
      <c r="W323" s="29" t="s">
        <v>22</v>
      </c>
      <c r="X323" s="37" t="s">
        <v>310</v>
      </c>
      <c r="Y323" s="31"/>
      <c r="Z323" s="26" t="str">
        <f t="shared" si="5"/>
        <v/>
      </c>
      <c r="AA323" s="26" t="str">
        <f t="shared" si="6"/>
        <v/>
      </c>
      <c r="AB323" s="32" t="str">
        <f t="shared" si="7"/>
        <v/>
      </c>
      <c r="AC323" s="32" t="str">
        <f t="shared" ref="AC323:AG323" si="327">IF(J323&lt;&gt;"", IF(AND($P323=FALSE, $A323=FALSE), -J323, IF(AND($P323=FALSE, $A323=TRUE), 0, IF($P323=TRUE, (J323 / $R323) * 100 * ($S323 / 100)-J323, ))), )</f>
        <v/>
      </c>
      <c r="AD323" s="32" t="str">
        <f t="shared" si="327"/>
        <v/>
      </c>
      <c r="AE323" s="32" t="str">
        <f t="shared" si="327"/>
        <v/>
      </c>
      <c r="AF323" s="32" t="str">
        <f t="shared" si="327"/>
        <v/>
      </c>
      <c r="AG323" s="32" t="str">
        <f t="shared" si="327"/>
        <v/>
      </c>
      <c r="AH323" s="33"/>
    </row>
    <row r="324" hidden="1" outlineLevel="3">
      <c r="A324" s="16" t="b">
        <v>0</v>
      </c>
      <c r="B324" s="17"/>
      <c r="C324" s="18"/>
      <c r="D324" s="41"/>
      <c r="E324" s="20"/>
      <c r="F324" s="21"/>
      <c r="G324" s="23"/>
      <c r="H324" s="23"/>
      <c r="I324" s="23"/>
      <c r="J324" s="23"/>
      <c r="K324" s="23"/>
      <c r="L324" s="23"/>
      <c r="M324" s="23"/>
      <c r="N324" s="23"/>
      <c r="O324" s="24"/>
      <c r="P324" s="16" t="b">
        <v>0</v>
      </c>
      <c r="Q324" s="24"/>
      <c r="R324" s="25"/>
      <c r="S324" s="26"/>
      <c r="T324" s="27"/>
      <c r="U324" s="24"/>
      <c r="V324" s="28" t="s">
        <v>32</v>
      </c>
      <c r="W324" s="29" t="s">
        <v>22</v>
      </c>
      <c r="X324" s="37" t="s">
        <v>311</v>
      </c>
      <c r="Y324" s="31"/>
      <c r="Z324" s="26" t="str">
        <f t="shared" si="5"/>
        <v/>
      </c>
      <c r="AA324" s="26" t="str">
        <f t="shared" si="6"/>
        <v/>
      </c>
      <c r="AB324" s="32" t="str">
        <f t="shared" si="7"/>
        <v/>
      </c>
      <c r="AC324" s="32" t="str">
        <f t="shared" ref="AC324:AG324" si="328">IF(J324&lt;&gt;"", IF(AND($P324=FALSE, $A324=FALSE), -J324, IF(AND($P324=FALSE, $A324=TRUE), 0, IF($P324=TRUE, (J324 / $R324) * 100 * ($S324 / 100)-J324, ))), )</f>
        <v/>
      </c>
      <c r="AD324" s="32" t="str">
        <f t="shared" si="328"/>
        <v/>
      </c>
      <c r="AE324" s="32" t="str">
        <f t="shared" si="328"/>
        <v/>
      </c>
      <c r="AF324" s="32" t="str">
        <f t="shared" si="328"/>
        <v/>
      </c>
      <c r="AG324" s="32" t="str">
        <f t="shared" si="328"/>
        <v/>
      </c>
      <c r="AH324" s="33"/>
    </row>
    <row r="325" hidden="1" outlineLevel="3">
      <c r="A325" s="16" t="b">
        <v>0</v>
      </c>
      <c r="B325" s="17"/>
      <c r="C325" s="18"/>
      <c r="D325" s="41"/>
      <c r="E325" s="20"/>
      <c r="F325" s="21"/>
      <c r="G325" s="23"/>
      <c r="H325" s="23"/>
      <c r="I325" s="23"/>
      <c r="J325" s="23"/>
      <c r="K325" s="23"/>
      <c r="L325" s="23"/>
      <c r="M325" s="23"/>
      <c r="N325" s="23"/>
      <c r="O325" s="24"/>
      <c r="P325" s="16" t="b">
        <v>0</v>
      </c>
      <c r="Q325" s="24"/>
      <c r="R325" s="25"/>
      <c r="S325" s="26"/>
      <c r="T325" s="27"/>
      <c r="U325" s="24"/>
      <c r="V325" s="38" t="s">
        <v>29</v>
      </c>
      <c r="W325" s="29" t="s">
        <v>22</v>
      </c>
      <c r="X325" s="37" t="s">
        <v>312</v>
      </c>
      <c r="Y325" s="31"/>
      <c r="Z325" s="26" t="str">
        <f t="shared" si="5"/>
        <v/>
      </c>
      <c r="AA325" s="26" t="str">
        <f t="shared" si="6"/>
        <v/>
      </c>
      <c r="AB325" s="32" t="str">
        <f t="shared" si="7"/>
        <v/>
      </c>
      <c r="AC325" s="32" t="str">
        <f t="shared" ref="AC325:AG325" si="329">IF(J325&lt;&gt;"", IF(AND($P325=FALSE, $A325=FALSE), -J325, IF(AND($P325=FALSE, $A325=TRUE), 0, IF($P325=TRUE, (J325 / $R325) * 100 * ($S325 / 100)-J325, ))), )</f>
        <v/>
      </c>
      <c r="AD325" s="32" t="str">
        <f t="shared" si="329"/>
        <v/>
      </c>
      <c r="AE325" s="32" t="str">
        <f t="shared" si="329"/>
        <v/>
      </c>
      <c r="AF325" s="32" t="str">
        <f t="shared" si="329"/>
        <v/>
      </c>
      <c r="AG325" s="32" t="str">
        <f t="shared" si="329"/>
        <v/>
      </c>
      <c r="AH325" s="33"/>
    </row>
    <row r="326" hidden="1" outlineLevel="3">
      <c r="A326" s="16" t="b">
        <v>0</v>
      </c>
      <c r="B326" s="17"/>
      <c r="C326" s="18"/>
      <c r="D326" s="41"/>
      <c r="E326" s="20"/>
      <c r="F326" s="21"/>
      <c r="G326" s="23"/>
      <c r="H326" s="23"/>
      <c r="I326" s="23"/>
      <c r="J326" s="23"/>
      <c r="K326" s="23"/>
      <c r="L326" s="23"/>
      <c r="M326" s="23"/>
      <c r="N326" s="23"/>
      <c r="O326" s="24"/>
      <c r="P326" s="16" t="b">
        <v>0</v>
      </c>
      <c r="Q326" s="24"/>
      <c r="R326" s="25"/>
      <c r="S326" s="26"/>
      <c r="T326" s="27"/>
      <c r="U326" s="24"/>
      <c r="V326" s="38" t="s">
        <v>29</v>
      </c>
      <c r="W326" s="29" t="s">
        <v>22</v>
      </c>
      <c r="X326" s="37" t="s">
        <v>313</v>
      </c>
      <c r="Y326" s="31"/>
      <c r="Z326" s="26" t="str">
        <f t="shared" si="5"/>
        <v/>
      </c>
      <c r="AA326" s="26" t="str">
        <f t="shared" si="6"/>
        <v/>
      </c>
      <c r="AB326" s="32" t="str">
        <f t="shared" si="7"/>
        <v/>
      </c>
      <c r="AC326" s="32" t="str">
        <f t="shared" ref="AC326:AG326" si="330">IF(J326&lt;&gt;"", IF(AND($P326=FALSE, $A326=FALSE), -J326, IF(AND($P326=FALSE, $A326=TRUE), 0, IF($P326=TRUE, (J326 / $R326) * 100 * ($S326 / 100)-J326, ))), )</f>
        <v/>
      </c>
      <c r="AD326" s="32" t="str">
        <f t="shared" si="330"/>
        <v/>
      </c>
      <c r="AE326" s="32" t="str">
        <f t="shared" si="330"/>
        <v/>
      </c>
      <c r="AF326" s="32" t="str">
        <f t="shared" si="330"/>
        <v/>
      </c>
      <c r="AG326" s="32" t="str">
        <f t="shared" si="330"/>
        <v/>
      </c>
      <c r="AH326" s="33"/>
    </row>
    <row r="327" hidden="1" outlineLevel="3">
      <c r="A327" s="16" t="b">
        <v>0</v>
      </c>
      <c r="B327" s="17"/>
      <c r="C327" s="18"/>
      <c r="D327" s="41"/>
      <c r="E327" s="20"/>
      <c r="F327" s="21"/>
      <c r="G327" s="23"/>
      <c r="H327" s="23"/>
      <c r="I327" s="23"/>
      <c r="J327" s="23"/>
      <c r="K327" s="23"/>
      <c r="L327" s="23"/>
      <c r="M327" s="23"/>
      <c r="N327" s="23"/>
      <c r="O327" s="24"/>
      <c r="P327" s="16" t="b">
        <v>0</v>
      </c>
      <c r="Q327" s="24"/>
      <c r="R327" s="25"/>
      <c r="S327" s="26"/>
      <c r="T327" s="27"/>
      <c r="U327" s="24"/>
      <c r="V327" s="38" t="s">
        <v>29</v>
      </c>
      <c r="W327" s="29" t="s">
        <v>22</v>
      </c>
      <c r="X327" s="37" t="s">
        <v>314</v>
      </c>
      <c r="Y327" s="31"/>
      <c r="Z327" s="26" t="str">
        <f t="shared" si="5"/>
        <v/>
      </c>
      <c r="AA327" s="26" t="str">
        <f t="shared" si="6"/>
        <v/>
      </c>
      <c r="AB327" s="32" t="str">
        <f t="shared" si="7"/>
        <v/>
      </c>
      <c r="AC327" s="32" t="str">
        <f t="shared" ref="AC327:AG327" si="331">IF(J327&lt;&gt;"", IF(AND($P327=FALSE, $A327=FALSE), -J327, IF(AND($P327=FALSE, $A327=TRUE), 0, IF($P327=TRUE, (J327 / $R327) * 100 * ($S327 / 100)-J327, ))), )</f>
        <v/>
      </c>
      <c r="AD327" s="32" t="str">
        <f t="shared" si="331"/>
        <v/>
      </c>
      <c r="AE327" s="32" t="str">
        <f t="shared" si="331"/>
        <v/>
      </c>
      <c r="AF327" s="32" t="str">
        <f t="shared" si="331"/>
        <v/>
      </c>
      <c r="AG327" s="32" t="str">
        <f t="shared" si="331"/>
        <v/>
      </c>
      <c r="AH327" s="33"/>
    </row>
    <row r="328" hidden="1" outlineLevel="3">
      <c r="A328" s="16" t="b">
        <v>0</v>
      </c>
      <c r="B328" s="17"/>
      <c r="C328" s="18"/>
      <c r="D328" s="41"/>
      <c r="E328" s="20"/>
      <c r="F328" s="21"/>
      <c r="G328" s="23"/>
      <c r="H328" s="23"/>
      <c r="I328" s="23"/>
      <c r="J328" s="23"/>
      <c r="K328" s="23"/>
      <c r="L328" s="23"/>
      <c r="M328" s="23"/>
      <c r="N328" s="23"/>
      <c r="O328" s="24"/>
      <c r="P328" s="16" t="b">
        <v>0</v>
      </c>
      <c r="Q328" s="24"/>
      <c r="R328" s="25"/>
      <c r="S328" s="26"/>
      <c r="T328" s="27"/>
      <c r="U328" s="24"/>
      <c r="V328" s="38" t="s">
        <v>29</v>
      </c>
      <c r="W328" s="29" t="s">
        <v>22</v>
      </c>
      <c r="X328" s="37" t="s">
        <v>315</v>
      </c>
      <c r="Y328" s="31"/>
      <c r="Z328" s="26" t="str">
        <f t="shared" si="5"/>
        <v/>
      </c>
      <c r="AA328" s="26" t="str">
        <f t="shared" si="6"/>
        <v/>
      </c>
      <c r="AB328" s="32" t="str">
        <f t="shared" si="7"/>
        <v/>
      </c>
      <c r="AC328" s="32" t="str">
        <f t="shared" ref="AC328:AG328" si="332">IF(J328&lt;&gt;"", IF(AND($P328=FALSE, $A328=FALSE), -J328, IF(AND($P328=FALSE, $A328=TRUE), 0, IF($P328=TRUE, (J328 / $R328) * 100 * ($S328 / 100)-J328, ))), )</f>
        <v/>
      </c>
      <c r="AD328" s="32" t="str">
        <f t="shared" si="332"/>
        <v/>
      </c>
      <c r="AE328" s="32" t="str">
        <f t="shared" si="332"/>
        <v/>
      </c>
      <c r="AF328" s="32" t="str">
        <f t="shared" si="332"/>
        <v/>
      </c>
      <c r="AG328" s="32" t="str">
        <f t="shared" si="332"/>
        <v/>
      </c>
      <c r="AH328" s="33"/>
    </row>
    <row r="329" hidden="1" outlineLevel="2" collapsed="1">
      <c r="A329" s="16" t="b">
        <v>0</v>
      </c>
      <c r="B329" s="17"/>
      <c r="C329" s="18"/>
      <c r="D329" s="41">
        <v>45242.0</v>
      </c>
      <c r="E329" s="20" t="s">
        <v>24</v>
      </c>
      <c r="F329" s="21" t="s">
        <v>52</v>
      </c>
      <c r="G329" s="23">
        <v>2.0</v>
      </c>
      <c r="H329" s="23">
        <v>1.0</v>
      </c>
      <c r="I329" s="23">
        <v>2.0</v>
      </c>
      <c r="J329" s="23"/>
      <c r="K329" s="23"/>
      <c r="L329" s="23"/>
      <c r="M329" s="23"/>
      <c r="N329" s="23"/>
      <c r="O329" s="24"/>
      <c r="P329" s="16" t="b">
        <v>1</v>
      </c>
      <c r="Q329" s="24"/>
      <c r="R329" s="25">
        <v>5.0</v>
      </c>
      <c r="S329" s="26">
        <v>12.72</v>
      </c>
      <c r="T329" s="27" t="s">
        <v>316</v>
      </c>
      <c r="U329" s="24"/>
      <c r="V329" s="28"/>
      <c r="W329" s="29"/>
      <c r="X329" s="30"/>
      <c r="Y329" s="31"/>
      <c r="Z329" s="26">
        <f t="shared" si="5"/>
        <v>3.088</v>
      </c>
      <c r="AA329" s="26">
        <f t="shared" si="6"/>
        <v>3.088</v>
      </c>
      <c r="AB329" s="32">
        <f t="shared" si="7"/>
        <v>1.544</v>
      </c>
      <c r="AC329" s="32" t="str">
        <f t="shared" ref="AC329:AG329" si="333">IF(J329&lt;&gt;"", IF(AND($P329=FALSE, $A329=FALSE), -J329, IF(AND($P329=FALSE, $A329=TRUE), 0, IF($P329=TRUE, (J329 / $R329) * 100 * ($S329 / 100)-J329, ))), )</f>
        <v/>
      </c>
      <c r="AD329" s="32" t="str">
        <f t="shared" si="333"/>
        <v/>
      </c>
      <c r="AE329" s="32" t="str">
        <f t="shared" si="333"/>
        <v/>
      </c>
      <c r="AF329" s="32" t="str">
        <f t="shared" si="333"/>
        <v/>
      </c>
      <c r="AG329" s="32" t="str">
        <f t="shared" si="333"/>
        <v/>
      </c>
      <c r="AH329" s="33"/>
    </row>
    <row r="330" hidden="1" outlineLevel="3">
      <c r="A330" s="16" t="b">
        <v>0</v>
      </c>
      <c r="B330" s="17"/>
      <c r="C330" s="18"/>
      <c r="D330" s="41"/>
      <c r="E330" s="20"/>
      <c r="F330" s="21"/>
      <c r="G330" s="23"/>
      <c r="H330" s="23"/>
      <c r="I330" s="23"/>
      <c r="J330" s="23"/>
      <c r="K330" s="23"/>
      <c r="L330" s="23"/>
      <c r="M330" s="23"/>
      <c r="N330" s="23"/>
      <c r="O330" s="24"/>
      <c r="P330" s="16" t="b">
        <v>0</v>
      </c>
      <c r="Q330" s="24"/>
      <c r="R330" s="25"/>
      <c r="S330" s="26"/>
      <c r="T330" s="27"/>
      <c r="U330" s="24"/>
      <c r="V330" s="38" t="s">
        <v>29</v>
      </c>
      <c r="W330" s="29" t="s">
        <v>22</v>
      </c>
      <c r="X330" s="37" t="s">
        <v>317</v>
      </c>
      <c r="Y330" s="31"/>
      <c r="Z330" s="26" t="str">
        <f t="shared" si="5"/>
        <v/>
      </c>
      <c r="AA330" s="26" t="str">
        <f t="shared" si="6"/>
        <v/>
      </c>
      <c r="AB330" s="32" t="str">
        <f t="shared" si="7"/>
        <v/>
      </c>
      <c r="AC330" s="32" t="str">
        <f t="shared" ref="AC330:AG330" si="334">IF(J330&lt;&gt;"", IF(AND($P330=FALSE, $A330=FALSE), -J330, IF(AND($P330=FALSE, $A330=TRUE), 0, IF($P330=TRUE, (J330 / $R330) * 100 * ($S330 / 100)-J330, ))), )</f>
        <v/>
      </c>
      <c r="AD330" s="32" t="str">
        <f t="shared" si="334"/>
        <v/>
      </c>
      <c r="AE330" s="32" t="str">
        <f t="shared" si="334"/>
        <v/>
      </c>
      <c r="AF330" s="32" t="str">
        <f t="shared" si="334"/>
        <v/>
      </c>
      <c r="AG330" s="32" t="str">
        <f t="shared" si="334"/>
        <v/>
      </c>
      <c r="AH330" s="33"/>
    </row>
    <row r="331" hidden="1" outlineLevel="3">
      <c r="A331" s="16" t="b">
        <v>0</v>
      </c>
      <c r="B331" s="17"/>
      <c r="C331" s="18"/>
      <c r="D331" s="41"/>
      <c r="E331" s="20"/>
      <c r="F331" s="21"/>
      <c r="G331" s="23"/>
      <c r="H331" s="23"/>
      <c r="I331" s="23"/>
      <c r="J331" s="23"/>
      <c r="K331" s="23"/>
      <c r="L331" s="23"/>
      <c r="M331" s="23"/>
      <c r="N331" s="23"/>
      <c r="O331" s="24"/>
      <c r="P331" s="16" t="b">
        <v>0</v>
      </c>
      <c r="Q331" s="24"/>
      <c r="R331" s="25"/>
      <c r="S331" s="26"/>
      <c r="T331" s="27"/>
      <c r="U331" s="24"/>
      <c r="V331" s="38" t="s">
        <v>29</v>
      </c>
      <c r="W331" s="29" t="s">
        <v>22</v>
      </c>
      <c r="X331" s="37" t="s">
        <v>318</v>
      </c>
      <c r="Y331" s="31"/>
      <c r="Z331" s="26" t="str">
        <f t="shared" si="5"/>
        <v/>
      </c>
      <c r="AA331" s="26" t="str">
        <f t="shared" si="6"/>
        <v/>
      </c>
      <c r="AB331" s="32" t="str">
        <f t="shared" si="7"/>
        <v/>
      </c>
      <c r="AC331" s="32" t="str">
        <f t="shared" ref="AC331:AG331" si="335">IF(J331&lt;&gt;"", IF(AND($P331=FALSE, $A331=FALSE), -J331, IF(AND($P331=FALSE, $A331=TRUE), 0, IF($P331=TRUE, (J331 / $R331) * 100 * ($S331 / 100)-J331, ))), )</f>
        <v/>
      </c>
      <c r="AD331" s="32" t="str">
        <f t="shared" si="335"/>
        <v/>
      </c>
      <c r="AE331" s="32" t="str">
        <f t="shared" si="335"/>
        <v/>
      </c>
      <c r="AF331" s="32" t="str">
        <f t="shared" si="335"/>
        <v/>
      </c>
      <c r="AG331" s="32" t="str">
        <f t="shared" si="335"/>
        <v/>
      </c>
      <c r="AH331" s="33"/>
    </row>
    <row r="332" hidden="1" outlineLevel="3">
      <c r="A332" s="16" t="b">
        <v>0</v>
      </c>
      <c r="B332" s="17"/>
      <c r="C332" s="18"/>
      <c r="D332" s="41"/>
      <c r="E332" s="20"/>
      <c r="F332" s="21"/>
      <c r="G332" s="23"/>
      <c r="H332" s="23"/>
      <c r="I332" s="23"/>
      <c r="J332" s="23"/>
      <c r="K332" s="23"/>
      <c r="L332" s="23"/>
      <c r="M332" s="23"/>
      <c r="N332" s="23"/>
      <c r="O332" s="24"/>
      <c r="P332" s="16" t="b">
        <v>0</v>
      </c>
      <c r="Q332" s="24"/>
      <c r="R332" s="25"/>
      <c r="S332" s="26"/>
      <c r="T332" s="27"/>
      <c r="U332" s="24"/>
      <c r="V332" s="38" t="s">
        <v>29</v>
      </c>
      <c r="W332" s="29" t="s">
        <v>22</v>
      </c>
      <c r="X332" s="37" t="s">
        <v>319</v>
      </c>
      <c r="Y332" s="31"/>
      <c r="Z332" s="26" t="str">
        <f t="shared" si="5"/>
        <v/>
      </c>
      <c r="AA332" s="26" t="str">
        <f t="shared" si="6"/>
        <v/>
      </c>
      <c r="AB332" s="32" t="str">
        <f t="shared" si="7"/>
        <v/>
      </c>
      <c r="AC332" s="32" t="str">
        <f t="shared" ref="AC332:AG332" si="336">IF(J332&lt;&gt;"", IF(AND($P332=FALSE, $A332=FALSE), -J332, IF(AND($P332=FALSE, $A332=TRUE), 0, IF($P332=TRUE, (J332 / $R332) * 100 * ($S332 / 100)-J332, ))), )</f>
        <v/>
      </c>
      <c r="AD332" s="32" t="str">
        <f t="shared" si="336"/>
        <v/>
      </c>
      <c r="AE332" s="32" t="str">
        <f t="shared" si="336"/>
        <v/>
      </c>
      <c r="AF332" s="32" t="str">
        <f t="shared" si="336"/>
        <v/>
      </c>
      <c r="AG332" s="32" t="str">
        <f t="shared" si="336"/>
        <v/>
      </c>
      <c r="AH332" s="33"/>
    </row>
    <row r="333" hidden="1" outlineLevel="2" collapsed="1">
      <c r="A333" s="16" t="b">
        <v>0</v>
      </c>
      <c r="B333" s="17"/>
      <c r="C333" s="18"/>
      <c r="D333" s="41">
        <v>45242.0</v>
      </c>
      <c r="E333" s="20" t="s">
        <v>24</v>
      </c>
      <c r="F333" s="21" t="s">
        <v>52</v>
      </c>
      <c r="G333" s="23">
        <v>2.0</v>
      </c>
      <c r="H333" s="23">
        <v>1.0</v>
      </c>
      <c r="I333" s="23">
        <v>2.0</v>
      </c>
      <c r="J333" s="23"/>
      <c r="K333" s="23"/>
      <c r="L333" s="23"/>
      <c r="M333" s="23"/>
      <c r="N333" s="23"/>
      <c r="O333" s="24"/>
      <c r="P333" s="16" t="b">
        <v>0</v>
      </c>
      <c r="Q333" s="24"/>
      <c r="R333" s="25">
        <v>5.0</v>
      </c>
      <c r="S333" s="26">
        <v>8.73</v>
      </c>
      <c r="T333" s="27">
        <v>-134.0</v>
      </c>
      <c r="U333" s="24"/>
      <c r="V333" s="28"/>
      <c r="W333" s="29"/>
      <c r="X333" s="30"/>
      <c r="Y333" s="31"/>
      <c r="Z333" s="26">
        <f t="shared" si="5"/>
        <v>-2</v>
      </c>
      <c r="AA333" s="26">
        <f t="shared" si="6"/>
        <v>-2</v>
      </c>
      <c r="AB333" s="32">
        <f t="shared" si="7"/>
        <v>-1</v>
      </c>
      <c r="AC333" s="32" t="str">
        <f t="shared" ref="AC333:AG333" si="337">IF(J333&lt;&gt;"", IF(AND($P333=FALSE, $A333=FALSE), -J333, IF(AND($P333=FALSE, $A333=TRUE), 0, IF($P333=TRUE, (J333 / $R333) * 100 * ($S333 / 100)-J333, ))), )</f>
        <v/>
      </c>
      <c r="AD333" s="32" t="str">
        <f t="shared" si="337"/>
        <v/>
      </c>
      <c r="AE333" s="32" t="str">
        <f t="shared" si="337"/>
        <v/>
      </c>
      <c r="AF333" s="32" t="str">
        <f t="shared" si="337"/>
        <v/>
      </c>
      <c r="AG333" s="32" t="str">
        <f t="shared" si="337"/>
        <v/>
      </c>
      <c r="AH333" s="33"/>
    </row>
    <row r="334" hidden="1" outlineLevel="3">
      <c r="A334" s="16" t="b">
        <v>0</v>
      </c>
      <c r="B334" s="17"/>
      <c r="C334" s="18"/>
      <c r="D334" s="41"/>
      <c r="E334" s="20"/>
      <c r="F334" s="21"/>
      <c r="G334" s="23"/>
      <c r="H334" s="23"/>
      <c r="I334" s="23"/>
      <c r="J334" s="23"/>
      <c r="K334" s="23"/>
      <c r="L334" s="23"/>
      <c r="M334" s="23"/>
      <c r="N334" s="23"/>
      <c r="O334" s="24"/>
      <c r="P334" s="16" t="b">
        <v>0</v>
      </c>
      <c r="Q334" s="24"/>
      <c r="R334" s="25"/>
      <c r="S334" s="26"/>
      <c r="T334" s="27"/>
      <c r="U334" s="24"/>
      <c r="V334" s="38" t="s">
        <v>29</v>
      </c>
      <c r="W334" s="29" t="s">
        <v>22</v>
      </c>
      <c r="X334" s="37" t="s">
        <v>320</v>
      </c>
      <c r="Y334" s="31"/>
      <c r="Z334" s="26" t="str">
        <f t="shared" si="5"/>
        <v/>
      </c>
      <c r="AA334" s="26" t="str">
        <f t="shared" si="6"/>
        <v/>
      </c>
      <c r="AB334" s="32" t="str">
        <f t="shared" si="7"/>
        <v/>
      </c>
      <c r="AC334" s="32" t="str">
        <f t="shared" ref="AC334:AG334" si="338">IF(J334&lt;&gt;"", IF(AND($P334=FALSE, $A334=FALSE), -J334, IF(AND($P334=FALSE, $A334=TRUE), 0, IF($P334=TRUE, (J334 / $R334) * 100 * ($S334 / 100)-J334, ))), )</f>
        <v/>
      </c>
      <c r="AD334" s="32" t="str">
        <f t="shared" si="338"/>
        <v/>
      </c>
      <c r="AE334" s="32" t="str">
        <f t="shared" si="338"/>
        <v/>
      </c>
      <c r="AF334" s="32" t="str">
        <f t="shared" si="338"/>
        <v/>
      </c>
      <c r="AG334" s="32" t="str">
        <f t="shared" si="338"/>
        <v/>
      </c>
      <c r="AH334" s="33"/>
    </row>
    <row r="335" hidden="1" outlineLevel="3">
      <c r="A335" s="16" t="b">
        <v>0</v>
      </c>
      <c r="B335" s="17"/>
      <c r="C335" s="18"/>
      <c r="D335" s="41"/>
      <c r="E335" s="20"/>
      <c r="F335" s="21"/>
      <c r="G335" s="23"/>
      <c r="H335" s="23"/>
      <c r="I335" s="23"/>
      <c r="J335" s="23"/>
      <c r="K335" s="23"/>
      <c r="L335" s="23"/>
      <c r="M335" s="23"/>
      <c r="N335" s="23"/>
      <c r="O335" s="24"/>
      <c r="P335" s="16" t="b">
        <v>0</v>
      </c>
      <c r="Q335" s="24"/>
      <c r="R335" s="25"/>
      <c r="S335" s="26"/>
      <c r="T335" s="27"/>
      <c r="U335" s="24"/>
      <c r="V335" s="28" t="s">
        <v>32</v>
      </c>
      <c r="W335" s="29" t="s">
        <v>22</v>
      </c>
      <c r="X335" s="37" t="s">
        <v>321</v>
      </c>
      <c r="Y335" s="31"/>
      <c r="Z335" s="26" t="str">
        <f t="shared" si="5"/>
        <v/>
      </c>
      <c r="AA335" s="26" t="str">
        <f t="shared" si="6"/>
        <v/>
      </c>
      <c r="AB335" s="32" t="str">
        <f t="shared" si="7"/>
        <v/>
      </c>
      <c r="AC335" s="32" t="str">
        <f t="shared" ref="AC335:AG335" si="339">IF(J335&lt;&gt;"", IF(AND($P335=FALSE, $A335=FALSE), -J335, IF(AND($P335=FALSE, $A335=TRUE), 0, IF($P335=TRUE, (J335 / $R335) * 100 * ($S335 / 100)-J335, ))), )</f>
        <v/>
      </c>
      <c r="AD335" s="32" t="str">
        <f t="shared" si="339"/>
        <v/>
      </c>
      <c r="AE335" s="32" t="str">
        <f t="shared" si="339"/>
        <v/>
      </c>
      <c r="AF335" s="32" t="str">
        <f t="shared" si="339"/>
        <v/>
      </c>
      <c r="AG335" s="32" t="str">
        <f t="shared" si="339"/>
        <v/>
      </c>
      <c r="AH335" s="33"/>
    </row>
    <row r="336" hidden="1" outlineLevel="3">
      <c r="A336" s="16" t="b">
        <v>0</v>
      </c>
      <c r="B336" s="17"/>
      <c r="C336" s="18"/>
      <c r="D336" s="41"/>
      <c r="E336" s="20"/>
      <c r="F336" s="21"/>
      <c r="G336" s="23"/>
      <c r="H336" s="23"/>
      <c r="I336" s="23"/>
      <c r="J336" s="23"/>
      <c r="K336" s="23"/>
      <c r="L336" s="23"/>
      <c r="M336" s="23"/>
      <c r="N336" s="23"/>
      <c r="O336" s="24"/>
      <c r="P336" s="16" t="b">
        <v>0</v>
      </c>
      <c r="Q336" s="24"/>
      <c r="R336" s="25"/>
      <c r="S336" s="26"/>
      <c r="T336" s="27"/>
      <c r="U336" s="24"/>
      <c r="V336" s="28" t="s">
        <v>32</v>
      </c>
      <c r="W336" s="29" t="s">
        <v>22</v>
      </c>
      <c r="X336" s="37" t="s">
        <v>322</v>
      </c>
      <c r="Y336" s="31"/>
      <c r="Z336" s="26" t="str">
        <f t="shared" si="5"/>
        <v/>
      </c>
      <c r="AA336" s="26" t="str">
        <f t="shared" si="6"/>
        <v/>
      </c>
      <c r="AB336" s="32" t="str">
        <f t="shared" si="7"/>
        <v/>
      </c>
      <c r="AC336" s="32" t="str">
        <f t="shared" ref="AC336:AG336" si="340">IF(J336&lt;&gt;"", IF(AND($P336=FALSE, $A336=FALSE), -J336, IF(AND($P336=FALSE, $A336=TRUE), 0, IF($P336=TRUE, (J336 / $R336) * 100 * ($S336 / 100)-J336, ))), )</f>
        <v/>
      </c>
      <c r="AD336" s="32" t="str">
        <f t="shared" si="340"/>
        <v/>
      </c>
      <c r="AE336" s="32" t="str">
        <f t="shared" si="340"/>
        <v/>
      </c>
      <c r="AF336" s="32" t="str">
        <f t="shared" si="340"/>
        <v/>
      </c>
      <c r="AG336" s="32" t="str">
        <f t="shared" si="340"/>
        <v/>
      </c>
      <c r="AH336" s="33"/>
    </row>
    <row r="337" hidden="1" outlineLevel="3">
      <c r="A337" s="16" t="b">
        <v>0</v>
      </c>
      <c r="B337" s="17"/>
      <c r="C337" s="18"/>
      <c r="D337" s="41"/>
      <c r="E337" s="20"/>
      <c r="F337" s="21"/>
      <c r="G337" s="23"/>
      <c r="H337" s="23"/>
      <c r="I337" s="23"/>
      <c r="J337" s="23"/>
      <c r="K337" s="23"/>
      <c r="L337" s="23"/>
      <c r="M337" s="23"/>
      <c r="N337" s="23"/>
      <c r="O337" s="24"/>
      <c r="P337" s="16" t="b">
        <v>0</v>
      </c>
      <c r="Q337" s="24"/>
      <c r="R337" s="25"/>
      <c r="S337" s="26"/>
      <c r="T337" s="27"/>
      <c r="U337" s="24"/>
      <c r="V337" s="38" t="s">
        <v>29</v>
      </c>
      <c r="W337" s="29" t="s">
        <v>22</v>
      </c>
      <c r="X337" s="37" t="s">
        <v>323</v>
      </c>
      <c r="Y337" s="31"/>
      <c r="Z337" s="26" t="str">
        <f t="shared" si="5"/>
        <v/>
      </c>
      <c r="AA337" s="26" t="str">
        <f t="shared" si="6"/>
        <v/>
      </c>
      <c r="AB337" s="32" t="str">
        <f t="shared" si="7"/>
        <v/>
      </c>
      <c r="AC337" s="32" t="str">
        <f t="shared" ref="AC337:AG337" si="341">IF(J337&lt;&gt;"", IF(AND($P337=FALSE, $A337=FALSE), -J337, IF(AND($P337=FALSE, $A337=TRUE), 0, IF($P337=TRUE, (J337 / $R337) * 100 * ($S337 / 100)-J337, ))), )</f>
        <v/>
      </c>
      <c r="AD337" s="32" t="str">
        <f t="shared" si="341"/>
        <v/>
      </c>
      <c r="AE337" s="32" t="str">
        <f t="shared" si="341"/>
        <v/>
      </c>
      <c r="AF337" s="32" t="str">
        <f t="shared" si="341"/>
        <v/>
      </c>
      <c r="AG337" s="32" t="str">
        <f t="shared" si="341"/>
        <v/>
      </c>
      <c r="AH337" s="33"/>
    </row>
    <row r="338" hidden="1" outlineLevel="2" collapsed="1">
      <c r="A338" s="16" t="b">
        <v>0</v>
      </c>
      <c r="B338" s="17"/>
      <c r="C338" s="18"/>
      <c r="D338" s="41">
        <v>45242.0</v>
      </c>
      <c r="E338" s="20" t="s">
        <v>24</v>
      </c>
      <c r="F338" s="21" t="s">
        <v>52</v>
      </c>
      <c r="G338" s="23">
        <v>2.0</v>
      </c>
      <c r="H338" s="23">
        <v>1.0</v>
      </c>
      <c r="I338" s="23">
        <v>3.0</v>
      </c>
      <c r="J338" s="23"/>
      <c r="K338" s="23"/>
      <c r="L338" s="23"/>
      <c r="M338" s="23"/>
      <c r="N338" s="23"/>
      <c r="O338" s="24"/>
      <c r="P338" s="16" t="b">
        <v>0</v>
      </c>
      <c r="Q338" s="24"/>
      <c r="R338" s="25">
        <v>6.0</v>
      </c>
      <c r="S338" s="26">
        <v>12.17</v>
      </c>
      <c r="T338" s="27" t="s">
        <v>278</v>
      </c>
      <c r="U338" s="24"/>
      <c r="V338" s="28"/>
      <c r="W338" s="29"/>
      <c r="X338" s="30"/>
      <c r="Y338" s="31"/>
      <c r="Z338" s="26">
        <f t="shared" si="5"/>
        <v>-2</v>
      </c>
      <c r="AA338" s="26">
        <f t="shared" si="6"/>
        <v>-3</v>
      </c>
      <c r="AB338" s="32">
        <f t="shared" si="7"/>
        <v>-1</v>
      </c>
      <c r="AC338" s="32" t="str">
        <f t="shared" ref="AC338:AG338" si="342">IF(J338&lt;&gt;"", IF(AND($P338=FALSE, $A338=FALSE), -J338, IF(AND($P338=FALSE, $A338=TRUE), 0, IF($P338=TRUE, (J338 / $R338) * 100 * ($S338 / 100)-J338, ))), )</f>
        <v/>
      </c>
      <c r="AD338" s="32" t="str">
        <f t="shared" si="342"/>
        <v/>
      </c>
      <c r="AE338" s="32" t="str">
        <f t="shared" si="342"/>
        <v/>
      </c>
      <c r="AF338" s="32" t="str">
        <f t="shared" si="342"/>
        <v/>
      </c>
      <c r="AG338" s="32" t="str">
        <f t="shared" si="342"/>
        <v/>
      </c>
      <c r="AH338" s="33"/>
    </row>
    <row r="339" hidden="1" outlineLevel="3">
      <c r="A339" s="16" t="b">
        <v>0</v>
      </c>
      <c r="B339" s="17"/>
      <c r="C339" s="18"/>
      <c r="D339" s="41"/>
      <c r="E339" s="20"/>
      <c r="F339" s="21"/>
      <c r="G339" s="23"/>
      <c r="H339" s="23"/>
      <c r="I339" s="23"/>
      <c r="J339" s="23"/>
      <c r="K339" s="23"/>
      <c r="L339" s="23"/>
      <c r="M339" s="23"/>
      <c r="N339" s="23"/>
      <c r="O339" s="24"/>
      <c r="P339" s="16" t="b">
        <v>0</v>
      </c>
      <c r="Q339" s="24"/>
      <c r="R339" s="25"/>
      <c r="S339" s="26"/>
      <c r="T339" s="27"/>
      <c r="U339" s="24"/>
      <c r="V339" s="38" t="s">
        <v>29</v>
      </c>
      <c r="W339" s="29" t="s">
        <v>22</v>
      </c>
      <c r="X339" s="37" t="s">
        <v>324</v>
      </c>
      <c r="Y339" s="31"/>
      <c r="Z339" s="26" t="str">
        <f t="shared" si="5"/>
        <v/>
      </c>
      <c r="AA339" s="26" t="str">
        <f t="shared" si="6"/>
        <v/>
      </c>
      <c r="AB339" s="32" t="str">
        <f t="shared" si="7"/>
        <v/>
      </c>
      <c r="AC339" s="32" t="str">
        <f t="shared" ref="AC339:AG339" si="343">IF(J339&lt;&gt;"", IF(AND($P339=FALSE, $A339=FALSE), -J339, IF(AND($P339=FALSE, $A339=TRUE), 0, IF($P339=TRUE, (J339 / $R339) * 100 * ($S339 / 100)-J339, ))), )</f>
        <v/>
      </c>
      <c r="AD339" s="32" t="str">
        <f t="shared" si="343"/>
        <v/>
      </c>
      <c r="AE339" s="32" t="str">
        <f t="shared" si="343"/>
        <v/>
      </c>
      <c r="AF339" s="32" t="str">
        <f t="shared" si="343"/>
        <v/>
      </c>
      <c r="AG339" s="32" t="str">
        <f t="shared" si="343"/>
        <v/>
      </c>
      <c r="AH339" s="33"/>
    </row>
    <row r="340" hidden="1" outlineLevel="3">
      <c r="A340" s="16" t="b">
        <v>0</v>
      </c>
      <c r="B340" s="17"/>
      <c r="C340" s="18"/>
      <c r="D340" s="41"/>
      <c r="E340" s="20"/>
      <c r="F340" s="21"/>
      <c r="G340" s="23"/>
      <c r="H340" s="23"/>
      <c r="I340" s="23"/>
      <c r="J340" s="23"/>
      <c r="K340" s="23"/>
      <c r="L340" s="23"/>
      <c r="M340" s="23"/>
      <c r="N340" s="23"/>
      <c r="O340" s="24"/>
      <c r="P340" s="16" t="b">
        <v>0</v>
      </c>
      <c r="Q340" s="24"/>
      <c r="R340" s="25"/>
      <c r="S340" s="26"/>
      <c r="T340" s="27"/>
      <c r="U340" s="24"/>
      <c r="V340" s="28" t="s">
        <v>32</v>
      </c>
      <c r="W340" s="29" t="s">
        <v>22</v>
      </c>
      <c r="X340" s="37" t="s">
        <v>325</v>
      </c>
      <c r="Y340" s="31"/>
      <c r="Z340" s="26" t="str">
        <f t="shared" si="5"/>
        <v/>
      </c>
      <c r="AA340" s="26" t="str">
        <f t="shared" si="6"/>
        <v/>
      </c>
      <c r="AB340" s="32" t="str">
        <f t="shared" si="7"/>
        <v/>
      </c>
      <c r="AC340" s="32" t="str">
        <f t="shared" ref="AC340:AG340" si="344">IF(J340&lt;&gt;"", IF(AND($P340=FALSE, $A340=FALSE), -J340, IF(AND($P340=FALSE, $A340=TRUE), 0, IF($P340=TRUE, (J340 / $R340) * 100 * ($S340 / 100)-J340, ))), )</f>
        <v/>
      </c>
      <c r="AD340" s="32" t="str">
        <f t="shared" si="344"/>
        <v/>
      </c>
      <c r="AE340" s="32" t="str">
        <f t="shared" si="344"/>
        <v/>
      </c>
      <c r="AF340" s="32" t="str">
        <f t="shared" si="344"/>
        <v/>
      </c>
      <c r="AG340" s="32" t="str">
        <f t="shared" si="344"/>
        <v/>
      </c>
      <c r="AH340" s="33"/>
    </row>
    <row r="341" hidden="1" outlineLevel="3">
      <c r="A341" s="16" t="b">
        <v>0</v>
      </c>
      <c r="B341" s="17"/>
      <c r="C341" s="18"/>
      <c r="D341" s="41"/>
      <c r="E341" s="20"/>
      <c r="F341" s="21"/>
      <c r="G341" s="23"/>
      <c r="H341" s="23"/>
      <c r="I341" s="23"/>
      <c r="J341" s="23"/>
      <c r="K341" s="23"/>
      <c r="L341" s="23"/>
      <c r="M341" s="23"/>
      <c r="N341" s="23"/>
      <c r="O341" s="24"/>
      <c r="P341" s="16" t="b">
        <v>0</v>
      </c>
      <c r="Q341" s="24"/>
      <c r="R341" s="25"/>
      <c r="S341" s="26"/>
      <c r="T341" s="27"/>
      <c r="U341" s="24"/>
      <c r="V341" s="38" t="s">
        <v>29</v>
      </c>
      <c r="W341" s="29" t="s">
        <v>22</v>
      </c>
      <c r="X341" s="37" t="s">
        <v>326</v>
      </c>
      <c r="Y341" s="31"/>
      <c r="Z341" s="26" t="str">
        <f t="shared" si="5"/>
        <v/>
      </c>
      <c r="AA341" s="26" t="str">
        <f t="shared" si="6"/>
        <v/>
      </c>
      <c r="AB341" s="32" t="str">
        <f t="shared" si="7"/>
        <v/>
      </c>
      <c r="AC341" s="32" t="str">
        <f t="shared" ref="AC341:AG341" si="345">IF(J341&lt;&gt;"", IF(AND($P341=FALSE, $A341=FALSE), -J341, IF(AND($P341=FALSE, $A341=TRUE), 0, IF($P341=TRUE, (J341 / $R341) * 100 * ($S341 / 100)-J341, ))), )</f>
        <v/>
      </c>
      <c r="AD341" s="32" t="str">
        <f t="shared" si="345"/>
        <v/>
      </c>
      <c r="AE341" s="32" t="str">
        <f t="shared" si="345"/>
        <v/>
      </c>
      <c r="AF341" s="32" t="str">
        <f t="shared" si="345"/>
        <v/>
      </c>
      <c r="AG341" s="32" t="str">
        <f t="shared" si="345"/>
        <v/>
      </c>
      <c r="AH341" s="33"/>
    </row>
    <row r="342" hidden="1" outlineLevel="2" collapsed="1">
      <c r="A342" s="16" t="b">
        <v>0</v>
      </c>
      <c r="B342" s="17"/>
      <c r="C342" s="18"/>
      <c r="D342" s="41">
        <v>45242.0</v>
      </c>
      <c r="E342" s="20" t="s">
        <v>24</v>
      </c>
      <c r="F342" s="21" t="s">
        <v>52</v>
      </c>
      <c r="G342" s="23">
        <v>2.0</v>
      </c>
      <c r="H342" s="23">
        <v>1.0</v>
      </c>
      <c r="I342" s="23">
        <v>5.0</v>
      </c>
      <c r="J342" s="23"/>
      <c r="K342" s="23"/>
      <c r="L342" s="23"/>
      <c r="M342" s="23"/>
      <c r="N342" s="23"/>
      <c r="O342" s="24"/>
      <c r="P342" s="16" t="b">
        <v>1</v>
      </c>
      <c r="Q342" s="24"/>
      <c r="R342" s="25">
        <v>8.0</v>
      </c>
      <c r="S342" s="26">
        <v>17.11</v>
      </c>
      <c r="T342" s="27" t="s">
        <v>327</v>
      </c>
      <c r="U342" s="24"/>
      <c r="V342" s="28"/>
      <c r="W342" s="29"/>
      <c r="X342" s="30"/>
      <c r="Y342" s="31"/>
      <c r="Z342" s="26">
        <f t="shared" si="5"/>
        <v>2.2775</v>
      </c>
      <c r="AA342" s="26">
        <f t="shared" si="6"/>
        <v>5.69375</v>
      </c>
      <c r="AB342" s="32">
        <f t="shared" si="7"/>
        <v>1.13875</v>
      </c>
      <c r="AC342" s="32" t="str">
        <f t="shared" ref="AC342:AG342" si="346">IF(J342&lt;&gt;"", IF(AND($P342=FALSE, $A342=FALSE), -J342, IF(AND($P342=FALSE, $A342=TRUE), 0, IF($P342=TRUE, (J342 / $R342) * 100 * ($S342 / 100)-J342, ))), )</f>
        <v/>
      </c>
      <c r="AD342" s="32" t="str">
        <f t="shared" si="346"/>
        <v/>
      </c>
      <c r="AE342" s="32" t="str">
        <f t="shared" si="346"/>
        <v/>
      </c>
      <c r="AF342" s="32" t="str">
        <f t="shared" si="346"/>
        <v/>
      </c>
      <c r="AG342" s="32" t="str">
        <f t="shared" si="346"/>
        <v/>
      </c>
      <c r="AH342" s="33"/>
    </row>
    <row r="343" hidden="1" outlineLevel="3">
      <c r="A343" s="16" t="b">
        <v>0</v>
      </c>
      <c r="B343" s="17"/>
      <c r="C343" s="18"/>
      <c r="D343" s="41"/>
      <c r="E343" s="20"/>
      <c r="F343" s="21"/>
      <c r="G343" s="23"/>
      <c r="H343" s="23"/>
      <c r="I343" s="23"/>
      <c r="J343" s="23"/>
      <c r="K343" s="23"/>
      <c r="L343" s="23"/>
      <c r="M343" s="23"/>
      <c r="N343" s="23"/>
      <c r="O343" s="24"/>
      <c r="P343" s="16" t="b">
        <v>0</v>
      </c>
      <c r="Q343" s="24"/>
      <c r="R343" s="25"/>
      <c r="S343" s="26"/>
      <c r="T343" s="27"/>
      <c r="U343" s="24"/>
      <c r="V343" s="38" t="s">
        <v>29</v>
      </c>
      <c r="W343" s="29" t="s">
        <v>22</v>
      </c>
      <c r="X343" s="37" t="s">
        <v>328</v>
      </c>
      <c r="Y343" s="31"/>
      <c r="Z343" s="26" t="str">
        <f t="shared" si="5"/>
        <v/>
      </c>
      <c r="AA343" s="26" t="str">
        <f t="shared" si="6"/>
        <v/>
      </c>
      <c r="AB343" s="32" t="str">
        <f t="shared" si="7"/>
        <v/>
      </c>
      <c r="AC343" s="32" t="str">
        <f t="shared" ref="AC343:AG343" si="347">IF(J343&lt;&gt;"", IF(AND($P343=FALSE, $A343=FALSE), -J343, IF(AND($P343=FALSE, $A343=TRUE), 0, IF($P343=TRUE, (J343 / $R343) * 100 * ($S343 / 100)-J343, ))), )</f>
        <v/>
      </c>
      <c r="AD343" s="32" t="str">
        <f t="shared" si="347"/>
        <v/>
      </c>
      <c r="AE343" s="32" t="str">
        <f t="shared" si="347"/>
        <v/>
      </c>
      <c r="AF343" s="32" t="str">
        <f t="shared" si="347"/>
        <v/>
      </c>
      <c r="AG343" s="32" t="str">
        <f t="shared" si="347"/>
        <v/>
      </c>
      <c r="AH343" s="33"/>
    </row>
    <row r="344" hidden="1" outlineLevel="3">
      <c r="A344" s="16" t="b">
        <v>0</v>
      </c>
      <c r="B344" s="17"/>
      <c r="C344" s="18"/>
      <c r="D344" s="41"/>
      <c r="E344" s="20"/>
      <c r="F344" s="21"/>
      <c r="G344" s="23"/>
      <c r="H344" s="23"/>
      <c r="I344" s="23"/>
      <c r="J344" s="23"/>
      <c r="K344" s="23"/>
      <c r="L344" s="23"/>
      <c r="M344" s="23"/>
      <c r="N344" s="23"/>
      <c r="O344" s="24"/>
      <c r="P344" s="16" t="b">
        <v>0</v>
      </c>
      <c r="Q344" s="24"/>
      <c r="R344" s="25"/>
      <c r="S344" s="26"/>
      <c r="T344" s="27"/>
      <c r="U344" s="24"/>
      <c r="V344" s="38" t="s">
        <v>29</v>
      </c>
      <c r="W344" s="29" t="s">
        <v>22</v>
      </c>
      <c r="X344" s="37" t="s">
        <v>329</v>
      </c>
      <c r="Y344" s="31"/>
      <c r="Z344" s="26" t="str">
        <f t="shared" si="5"/>
        <v/>
      </c>
      <c r="AA344" s="26" t="str">
        <f t="shared" si="6"/>
        <v/>
      </c>
      <c r="AB344" s="32" t="str">
        <f t="shared" si="7"/>
        <v/>
      </c>
      <c r="AC344" s="32" t="str">
        <f t="shared" ref="AC344:AG344" si="348">IF(J344&lt;&gt;"", IF(AND($P344=FALSE, $A344=FALSE), -J344, IF(AND($P344=FALSE, $A344=TRUE), 0, IF($P344=TRUE, (J344 / $R344) * 100 * ($S344 / 100)-J344, ))), )</f>
        <v/>
      </c>
      <c r="AD344" s="32" t="str">
        <f t="shared" si="348"/>
        <v/>
      </c>
      <c r="AE344" s="32" t="str">
        <f t="shared" si="348"/>
        <v/>
      </c>
      <c r="AF344" s="32" t="str">
        <f t="shared" si="348"/>
        <v/>
      </c>
      <c r="AG344" s="32" t="str">
        <f t="shared" si="348"/>
        <v/>
      </c>
      <c r="AH344" s="33"/>
    </row>
    <row r="345" hidden="1" outlineLevel="2" collapsed="1">
      <c r="A345" s="16" t="b">
        <v>0</v>
      </c>
      <c r="B345" s="17"/>
      <c r="C345" s="18"/>
      <c r="D345" s="41">
        <v>45242.0</v>
      </c>
      <c r="E345" s="20" t="s">
        <v>24</v>
      </c>
      <c r="F345" s="21" t="s">
        <v>52</v>
      </c>
      <c r="G345" s="23">
        <v>2.0</v>
      </c>
      <c r="H345" s="23">
        <v>1.0</v>
      </c>
      <c r="I345" s="23">
        <v>2.0</v>
      </c>
      <c r="J345" s="23"/>
      <c r="K345" s="23"/>
      <c r="L345" s="23"/>
      <c r="M345" s="23"/>
      <c r="N345" s="23"/>
      <c r="O345" s="24"/>
      <c r="P345" s="16" t="b">
        <v>1</v>
      </c>
      <c r="Q345" s="24"/>
      <c r="R345" s="25">
        <v>5.0</v>
      </c>
      <c r="S345" s="26">
        <v>15.75</v>
      </c>
      <c r="T345" s="27" t="s">
        <v>330</v>
      </c>
      <c r="U345" s="24"/>
      <c r="V345" s="28"/>
      <c r="W345" s="29"/>
      <c r="X345" s="30"/>
      <c r="Y345" s="31"/>
      <c r="Z345" s="26">
        <f t="shared" si="5"/>
        <v>4.3</v>
      </c>
      <c r="AA345" s="26">
        <f t="shared" si="6"/>
        <v>4.3</v>
      </c>
      <c r="AB345" s="32">
        <f t="shared" si="7"/>
        <v>2.15</v>
      </c>
      <c r="AC345" s="32" t="str">
        <f t="shared" ref="AC345:AG345" si="349">IF(J345&lt;&gt;"", IF(AND($P345=FALSE, $A345=FALSE), -J345, IF(AND($P345=FALSE, $A345=TRUE), 0, IF($P345=TRUE, (J345 / $R345) * 100 * ($S345 / 100)-J345, ))), )</f>
        <v/>
      </c>
      <c r="AD345" s="32" t="str">
        <f t="shared" si="349"/>
        <v/>
      </c>
      <c r="AE345" s="32" t="str">
        <f t="shared" si="349"/>
        <v/>
      </c>
      <c r="AF345" s="32" t="str">
        <f t="shared" si="349"/>
        <v/>
      </c>
      <c r="AG345" s="32" t="str">
        <f t="shared" si="349"/>
        <v/>
      </c>
      <c r="AH345" s="33"/>
    </row>
    <row r="346" hidden="1" outlineLevel="3">
      <c r="A346" s="16" t="b">
        <v>0</v>
      </c>
      <c r="B346" s="17"/>
      <c r="C346" s="18"/>
      <c r="D346" s="41"/>
      <c r="E346" s="20"/>
      <c r="F346" s="21"/>
      <c r="G346" s="23"/>
      <c r="H346" s="23"/>
      <c r="I346" s="23"/>
      <c r="J346" s="23"/>
      <c r="K346" s="23"/>
      <c r="L346" s="23"/>
      <c r="M346" s="23"/>
      <c r="N346" s="23"/>
      <c r="O346" s="24"/>
      <c r="P346" s="16" t="b">
        <v>0</v>
      </c>
      <c r="Q346" s="24"/>
      <c r="R346" s="25"/>
      <c r="S346" s="26"/>
      <c r="T346" s="27"/>
      <c r="U346" s="24"/>
      <c r="V346" s="38" t="s">
        <v>29</v>
      </c>
      <c r="W346" s="29" t="s">
        <v>22</v>
      </c>
      <c r="X346" s="37" t="s">
        <v>167</v>
      </c>
      <c r="Y346" s="31"/>
      <c r="Z346" s="26" t="str">
        <f t="shared" si="5"/>
        <v/>
      </c>
      <c r="AA346" s="26" t="str">
        <f t="shared" si="6"/>
        <v/>
      </c>
      <c r="AB346" s="32" t="str">
        <f t="shared" si="7"/>
        <v/>
      </c>
      <c r="AC346" s="32" t="str">
        <f t="shared" ref="AC346:AG346" si="350">IF(J346&lt;&gt;"", IF(AND($P346=FALSE, $A346=FALSE), -J346, IF(AND($P346=FALSE, $A346=TRUE), 0, IF($P346=TRUE, (J346 / $R346) * 100 * ($S346 / 100)-J346, ))), )</f>
        <v/>
      </c>
      <c r="AD346" s="32" t="str">
        <f t="shared" si="350"/>
        <v/>
      </c>
      <c r="AE346" s="32" t="str">
        <f t="shared" si="350"/>
        <v/>
      </c>
      <c r="AF346" s="32" t="str">
        <f t="shared" si="350"/>
        <v/>
      </c>
      <c r="AG346" s="32" t="str">
        <f t="shared" si="350"/>
        <v/>
      </c>
      <c r="AH346" s="33"/>
    </row>
    <row r="347" hidden="1" outlineLevel="3">
      <c r="A347" s="16" t="b">
        <v>0</v>
      </c>
      <c r="B347" s="17"/>
      <c r="C347" s="18"/>
      <c r="D347" s="41"/>
      <c r="E347" s="20"/>
      <c r="F347" s="21"/>
      <c r="G347" s="23"/>
      <c r="H347" s="23"/>
      <c r="I347" s="23"/>
      <c r="J347" s="23"/>
      <c r="K347" s="23"/>
      <c r="L347" s="23"/>
      <c r="M347" s="23"/>
      <c r="N347" s="23"/>
      <c r="O347" s="24"/>
      <c r="P347" s="16" t="b">
        <v>0</v>
      </c>
      <c r="Q347" s="24"/>
      <c r="R347" s="25"/>
      <c r="S347" s="26"/>
      <c r="T347" s="27"/>
      <c r="U347" s="24"/>
      <c r="V347" s="38" t="s">
        <v>29</v>
      </c>
      <c r="W347" s="29" t="s">
        <v>22</v>
      </c>
      <c r="X347" s="37" t="s">
        <v>331</v>
      </c>
      <c r="Y347" s="31"/>
      <c r="Z347" s="26" t="str">
        <f t="shared" si="5"/>
        <v/>
      </c>
      <c r="AA347" s="26" t="str">
        <f t="shared" si="6"/>
        <v/>
      </c>
      <c r="AB347" s="32" t="str">
        <f t="shared" si="7"/>
        <v/>
      </c>
      <c r="AC347" s="32" t="str">
        <f t="shared" ref="AC347:AG347" si="351">IF(J347&lt;&gt;"", IF(AND($P347=FALSE, $A347=FALSE), -J347, IF(AND($P347=FALSE, $A347=TRUE), 0, IF($P347=TRUE, (J347 / $R347) * 100 * ($S347 / 100)-J347, ))), )</f>
        <v/>
      </c>
      <c r="AD347" s="32" t="str">
        <f t="shared" si="351"/>
        <v/>
      </c>
      <c r="AE347" s="32" t="str">
        <f t="shared" si="351"/>
        <v/>
      </c>
      <c r="AF347" s="32" t="str">
        <f t="shared" si="351"/>
        <v/>
      </c>
      <c r="AG347" s="32" t="str">
        <f t="shared" si="351"/>
        <v/>
      </c>
      <c r="AH347" s="33"/>
    </row>
    <row r="348" hidden="1" outlineLevel="3">
      <c r="A348" s="16" t="b">
        <v>0</v>
      </c>
      <c r="B348" s="17"/>
      <c r="C348" s="18"/>
      <c r="D348" s="41"/>
      <c r="E348" s="20"/>
      <c r="F348" s="21"/>
      <c r="G348" s="23"/>
      <c r="H348" s="23"/>
      <c r="I348" s="23"/>
      <c r="J348" s="23"/>
      <c r="K348" s="23"/>
      <c r="L348" s="23"/>
      <c r="M348" s="23"/>
      <c r="N348" s="23"/>
      <c r="O348" s="24"/>
      <c r="P348" s="16" t="b">
        <v>0</v>
      </c>
      <c r="Q348" s="24"/>
      <c r="R348" s="25"/>
      <c r="S348" s="26"/>
      <c r="T348" s="27"/>
      <c r="U348" s="24"/>
      <c r="V348" s="38" t="s">
        <v>29</v>
      </c>
      <c r="W348" s="29" t="s">
        <v>22</v>
      </c>
      <c r="X348" s="37" t="s">
        <v>169</v>
      </c>
      <c r="Y348" s="31"/>
      <c r="Z348" s="26" t="str">
        <f t="shared" si="5"/>
        <v/>
      </c>
      <c r="AA348" s="26" t="str">
        <f t="shared" si="6"/>
        <v/>
      </c>
      <c r="AB348" s="32" t="str">
        <f t="shared" si="7"/>
        <v/>
      </c>
      <c r="AC348" s="32" t="str">
        <f t="shared" ref="AC348:AG348" si="352">IF(J348&lt;&gt;"", IF(AND($P348=FALSE, $A348=FALSE), -J348, IF(AND($P348=FALSE, $A348=TRUE), 0, IF($P348=TRUE, (J348 / $R348) * 100 * ($S348 / 100)-J348, ))), )</f>
        <v/>
      </c>
      <c r="AD348" s="32" t="str">
        <f t="shared" si="352"/>
        <v/>
      </c>
      <c r="AE348" s="32" t="str">
        <f t="shared" si="352"/>
        <v/>
      </c>
      <c r="AF348" s="32" t="str">
        <f t="shared" si="352"/>
        <v/>
      </c>
      <c r="AG348" s="32" t="str">
        <f t="shared" si="352"/>
        <v/>
      </c>
      <c r="AH348" s="33"/>
    </row>
    <row r="349" hidden="1" outlineLevel="3">
      <c r="A349" s="16" t="b">
        <v>0</v>
      </c>
      <c r="B349" s="17"/>
      <c r="C349" s="18"/>
      <c r="D349" s="41"/>
      <c r="E349" s="20"/>
      <c r="F349" s="21"/>
      <c r="G349" s="23"/>
      <c r="H349" s="23"/>
      <c r="I349" s="23"/>
      <c r="J349" s="23"/>
      <c r="K349" s="23"/>
      <c r="L349" s="23"/>
      <c r="M349" s="23"/>
      <c r="N349" s="23"/>
      <c r="O349" s="24"/>
      <c r="P349" s="16" t="b">
        <v>0</v>
      </c>
      <c r="Q349" s="24"/>
      <c r="R349" s="25"/>
      <c r="S349" s="26"/>
      <c r="T349" s="27"/>
      <c r="U349" s="24"/>
      <c r="V349" s="38" t="s">
        <v>29</v>
      </c>
      <c r="W349" s="29" t="s">
        <v>22</v>
      </c>
      <c r="X349" s="37" t="s">
        <v>332</v>
      </c>
      <c r="Y349" s="31"/>
      <c r="Z349" s="26" t="str">
        <f t="shared" si="5"/>
        <v/>
      </c>
      <c r="AA349" s="26" t="str">
        <f t="shared" si="6"/>
        <v/>
      </c>
      <c r="AB349" s="32" t="str">
        <f t="shared" si="7"/>
        <v/>
      </c>
      <c r="AC349" s="32" t="str">
        <f t="shared" ref="AC349:AG349" si="353">IF(J349&lt;&gt;"", IF(AND($P349=FALSE, $A349=FALSE), -J349, IF(AND($P349=FALSE, $A349=TRUE), 0, IF($P349=TRUE, (J349 / $R349) * 100 * ($S349 / 100)-J349, ))), )</f>
        <v/>
      </c>
      <c r="AD349" s="32" t="str">
        <f t="shared" si="353"/>
        <v/>
      </c>
      <c r="AE349" s="32" t="str">
        <f t="shared" si="353"/>
        <v/>
      </c>
      <c r="AF349" s="32" t="str">
        <f t="shared" si="353"/>
        <v/>
      </c>
      <c r="AG349" s="32" t="str">
        <f t="shared" si="353"/>
        <v/>
      </c>
      <c r="AH349" s="33"/>
    </row>
    <row r="350" hidden="1" outlineLevel="3">
      <c r="A350" s="16" t="b">
        <v>0</v>
      </c>
      <c r="B350" s="17"/>
      <c r="C350" s="18"/>
      <c r="D350" s="41"/>
      <c r="E350" s="20"/>
      <c r="F350" s="21"/>
      <c r="G350" s="23"/>
      <c r="H350" s="23"/>
      <c r="I350" s="23"/>
      <c r="J350" s="23"/>
      <c r="K350" s="23"/>
      <c r="L350" s="23"/>
      <c r="M350" s="23"/>
      <c r="N350" s="23"/>
      <c r="O350" s="24"/>
      <c r="P350" s="16" t="b">
        <v>0</v>
      </c>
      <c r="Q350" s="24"/>
      <c r="R350" s="25"/>
      <c r="S350" s="26"/>
      <c r="T350" s="27"/>
      <c r="U350" s="24"/>
      <c r="V350" s="38" t="s">
        <v>29</v>
      </c>
      <c r="W350" s="29" t="s">
        <v>22</v>
      </c>
      <c r="X350" s="37" t="s">
        <v>333</v>
      </c>
      <c r="Y350" s="31"/>
      <c r="Z350" s="26" t="str">
        <f t="shared" si="5"/>
        <v/>
      </c>
      <c r="AA350" s="26" t="str">
        <f t="shared" si="6"/>
        <v/>
      </c>
      <c r="AB350" s="32" t="str">
        <f t="shared" si="7"/>
        <v/>
      </c>
      <c r="AC350" s="32" t="str">
        <f t="shared" ref="AC350:AG350" si="354">IF(J350&lt;&gt;"", IF(AND($P350=FALSE, $A350=FALSE), -J350, IF(AND($P350=FALSE, $A350=TRUE), 0, IF($P350=TRUE, (J350 / $R350) * 100 * ($S350 / 100)-J350, ))), )</f>
        <v/>
      </c>
      <c r="AD350" s="32" t="str">
        <f t="shared" si="354"/>
        <v/>
      </c>
      <c r="AE350" s="32" t="str">
        <f t="shared" si="354"/>
        <v/>
      </c>
      <c r="AF350" s="32" t="str">
        <f t="shared" si="354"/>
        <v/>
      </c>
      <c r="AG350" s="32" t="str">
        <f t="shared" si="354"/>
        <v/>
      </c>
      <c r="AH350" s="33"/>
    </row>
    <row r="351" hidden="1" outlineLevel="2" collapsed="1">
      <c r="A351" s="16" t="b">
        <v>0</v>
      </c>
      <c r="B351" s="17"/>
      <c r="C351" s="18"/>
      <c r="D351" s="41">
        <v>45242.0</v>
      </c>
      <c r="E351" s="20" t="s">
        <v>24</v>
      </c>
      <c r="F351" s="21" t="s">
        <v>52</v>
      </c>
      <c r="G351" s="23">
        <v>1.0</v>
      </c>
      <c r="H351" s="23">
        <v>0.5</v>
      </c>
      <c r="I351" s="23"/>
      <c r="J351" s="23"/>
      <c r="K351" s="23"/>
      <c r="L351" s="23"/>
      <c r="M351" s="23"/>
      <c r="N351" s="23"/>
      <c r="O351" s="24"/>
      <c r="P351" s="16" t="b">
        <v>0</v>
      </c>
      <c r="Q351" s="24"/>
      <c r="R351" s="25">
        <v>1.5</v>
      </c>
      <c r="S351" s="26">
        <v>16.5</v>
      </c>
      <c r="T351" s="27" t="s">
        <v>172</v>
      </c>
      <c r="U351" s="24"/>
      <c r="V351" s="28"/>
      <c r="W351" s="29"/>
      <c r="X351" s="30"/>
      <c r="Y351" s="31"/>
      <c r="Z351" s="26">
        <f t="shared" si="5"/>
        <v>-1</v>
      </c>
      <c r="AA351" s="26" t="str">
        <f t="shared" si="6"/>
        <v/>
      </c>
      <c r="AB351" s="32">
        <f t="shared" si="7"/>
        <v>-0.5</v>
      </c>
      <c r="AC351" s="32" t="str">
        <f t="shared" ref="AC351:AG351" si="355">IF(J351&lt;&gt;"", IF(AND($P351=FALSE, $A351=FALSE), -J351, IF(AND($P351=FALSE, $A351=TRUE), 0, IF($P351=TRUE, (J351 / $R351) * 100 * ($S351 / 100)-J351, ))), )</f>
        <v/>
      </c>
      <c r="AD351" s="32" t="str">
        <f t="shared" si="355"/>
        <v/>
      </c>
      <c r="AE351" s="32" t="str">
        <f t="shared" si="355"/>
        <v/>
      </c>
      <c r="AF351" s="32" t="str">
        <f t="shared" si="355"/>
        <v/>
      </c>
      <c r="AG351" s="32" t="str">
        <f t="shared" si="355"/>
        <v/>
      </c>
      <c r="AH351" s="33"/>
    </row>
    <row r="352" hidden="1" outlineLevel="3">
      <c r="A352" s="16" t="b">
        <v>0</v>
      </c>
      <c r="B352" s="17"/>
      <c r="C352" s="18"/>
      <c r="D352" s="41"/>
      <c r="E352" s="20"/>
      <c r="F352" s="21"/>
      <c r="G352" s="23"/>
      <c r="H352" s="23"/>
      <c r="I352" s="23"/>
      <c r="J352" s="23"/>
      <c r="K352" s="23"/>
      <c r="L352" s="23"/>
      <c r="M352" s="23"/>
      <c r="N352" s="23"/>
      <c r="O352" s="24"/>
      <c r="P352" s="16" t="b">
        <v>0</v>
      </c>
      <c r="Q352" s="24"/>
      <c r="R352" s="25"/>
      <c r="S352" s="26"/>
      <c r="T352" s="27"/>
      <c r="U352" s="24"/>
      <c r="V352" s="28" t="s">
        <v>32</v>
      </c>
      <c r="W352" s="29" t="s">
        <v>22</v>
      </c>
      <c r="X352" s="37" t="s">
        <v>334</v>
      </c>
      <c r="Y352" s="31"/>
      <c r="Z352" s="26" t="str">
        <f t="shared" si="5"/>
        <v/>
      </c>
      <c r="AA352" s="26" t="str">
        <f t="shared" si="6"/>
        <v/>
      </c>
      <c r="AB352" s="32" t="str">
        <f t="shared" si="7"/>
        <v/>
      </c>
      <c r="AC352" s="32" t="str">
        <f t="shared" ref="AC352:AG352" si="356">IF(J352&lt;&gt;"", IF(AND($P352=FALSE, $A352=FALSE), -J352, IF(AND($P352=FALSE, $A352=TRUE), 0, IF($P352=TRUE, (J352 / $R352) * 100 * ($S352 / 100)-J352, ))), )</f>
        <v/>
      </c>
      <c r="AD352" s="32" t="str">
        <f t="shared" si="356"/>
        <v/>
      </c>
      <c r="AE352" s="32" t="str">
        <f t="shared" si="356"/>
        <v/>
      </c>
      <c r="AF352" s="32" t="str">
        <f t="shared" si="356"/>
        <v/>
      </c>
      <c r="AG352" s="32" t="str">
        <f t="shared" si="356"/>
        <v/>
      </c>
      <c r="AH352" s="33"/>
    </row>
    <row r="353" hidden="1" outlineLevel="2" collapsed="1">
      <c r="A353" s="16" t="b">
        <v>0</v>
      </c>
      <c r="B353" s="17"/>
      <c r="C353" s="18"/>
      <c r="D353" s="41">
        <v>45242.0</v>
      </c>
      <c r="E353" s="20" t="s">
        <v>24</v>
      </c>
      <c r="F353" s="21" t="s">
        <v>52</v>
      </c>
      <c r="G353" s="23">
        <v>2.0</v>
      </c>
      <c r="H353" s="23">
        <v>1.0</v>
      </c>
      <c r="I353" s="23">
        <v>3.0</v>
      </c>
      <c r="J353" s="23"/>
      <c r="K353" s="23"/>
      <c r="L353" s="23"/>
      <c r="M353" s="23"/>
      <c r="N353" s="23"/>
      <c r="O353" s="24"/>
      <c r="P353" s="16" t="b">
        <v>1</v>
      </c>
      <c r="Q353" s="24"/>
      <c r="R353" s="25">
        <v>6.0</v>
      </c>
      <c r="S353" s="26">
        <v>21.6</v>
      </c>
      <c r="T353" s="27" t="s">
        <v>305</v>
      </c>
      <c r="U353" s="24"/>
      <c r="V353" s="28"/>
      <c r="W353" s="29"/>
      <c r="X353" s="30"/>
      <c r="Y353" s="31"/>
      <c r="Z353" s="26">
        <f t="shared" si="5"/>
        <v>5.2</v>
      </c>
      <c r="AA353" s="26">
        <f t="shared" si="6"/>
        <v>7.8</v>
      </c>
      <c r="AB353" s="32">
        <f t="shared" si="7"/>
        <v>2.6</v>
      </c>
      <c r="AC353" s="32" t="str">
        <f t="shared" ref="AC353:AG353" si="357">IF(J353&lt;&gt;"", IF(AND($P353=FALSE, $A353=FALSE), -J353, IF(AND($P353=FALSE, $A353=TRUE), 0, IF($P353=TRUE, (J353 / $R353) * 100 * ($S353 / 100)-J353, ))), )</f>
        <v/>
      </c>
      <c r="AD353" s="32" t="str">
        <f t="shared" si="357"/>
        <v/>
      </c>
      <c r="AE353" s="32" t="str">
        <f t="shared" si="357"/>
        <v/>
      </c>
      <c r="AF353" s="32" t="str">
        <f t="shared" si="357"/>
        <v/>
      </c>
      <c r="AG353" s="32" t="str">
        <f t="shared" si="357"/>
        <v/>
      </c>
      <c r="AH353" s="33"/>
    </row>
    <row r="354" hidden="1" outlineLevel="3">
      <c r="A354" s="16" t="b">
        <v>0</v>
      </c>
      <c r="B354" s="17"/>
      <c r="C354" s="18"/>
      <c r="D354" s="41"/>
      <c r="E354" s="20"/>
      <c r="F354" s="21"/>
      <c r="G354" s="23"/>
      <c r="H354" s="23"/>
      <c r="I354" s="23"/>
      <c r="J354" s="23"/>
      <c r="K354" s="23"/>
      <c r="L354" s="23"/>
      <c r="M354" s="23"/>
      <c r="N354" s="23"/>
      <c r="O354" s="24"/>
      <c r="P354" s="16" t="b">
        <v>0</v>
      </c>
      <c r="Q354" s="24"/>
      <c r="R354" s="25"/>
      <c r="S354" s="26"/>
      <c r="T354" s="27"/>
      <c r="U354" s="24"/>
      <c r="V354" s="38" t="s">
        <v>29</v>
      </c>
      <c r="W354" s="29" t="s">
        <v>22</v>
      </c>
      <c r="X354" s="37" t="s">
        <v>335</v>
      </c>
      <c r="Y354" s="31"/>
      <c r="Z354" s="26" t="str">
        <f t="shared" si="5"/>
        <v/>
      </c>
      <c r="AA354" s="26" t="str">
        <f t="shared" si="6"/>
        <v/>
      </c>
      <c r="AB354" s="32" t="str">
        <f t="shared" si="7"/>
        <v/>
      </c>
      <c r="AC354" s="32" t="str">
        <f t="shared" ref="AC354:AG354" si="358">IF(J354&lt;&gt;"", IF(AND($P354=FALSE, $A354=FALSE), -J354, IF(AND($P354=FALSE, $A354=TRUE), 0, IF($P354=TRUE, (J354 / $R354) * 100 * ($S354 / 100)-J354, ))), )</f>
        <v/>
      </c>
      <c r="AD354" s="32" t="str">
        <f t="shared" si="358"/>
        <v/>
      </c>
      <c r="AE354" s="32" t="str">
        <f t="shared" si="358"/>
        <v/>
      </c>
      <c r="AF354" s="32" t="str">
        <f t="shared" si="358"/>
        <v/>
      </c>
      <c r="AG354" s="32" t="str">
        <f t="shared" si="358"/>
        <v/>
      </c>
      <c r="AH354" s="33"/>
    </row>
    <row r="355" hidden="1" outlineLevel="2" collapsed="1">
      <c r="A355" s="16" t="b">
        <v>0</v>
      </c>
      <c r="B355" s="17"/>
      <c r="C355" s="18"/>
      <c r="D355" s="41">
        <v>45242.0</v>
      </c>
      <c r="E355" s="20" t="s">
        <v>24</v>
      </c>
      <c r="F355" s="21" t="s">
        <v>52</v>
      </c>
      <c r="G355" s="23">
        <v>1.0</v>
      </c>
      <c r="H355" s="23">
        <v>0.5</v>
      </c>
      <c r="I355" s="23">
        <v>1.0</v>
      </c>
      <c r="J355" s="23"/>
      <c r="K355" s="23"/>
      <c r="L355" s="23"/>
      <c r="M355" s="23"/>
      <c r="N355" s="23"/>
      <c r="O355" s="24"/>
      <c r="P355" s="16" t="b">
        <v>0</v>
      </c>
      <c r="Q355" s="24"/>
      <c r="R355" s="25">
        <v>2.5</v>
      </c>
      <c r="S355" s="26">
        <v>12.0</v>
      </c>
      <c r="T355" s="27" t="s">
        <v>336</v>
      </c>
      <c r="U355" s="24"/>
      <c r="V355" s="28"/>
      <c r="W355" s="29"/>
      <c r="X355" s="30"/>
      <c r="Y355" s="31"/>
      <c r="Z355" s="26">
        <f t="shared" si="5"/>
        <v>-1</v>
      </c>
      <c r="AA355" s="26">
        <f t="shared" si="6"/>
        <v>-1</v>
      </c>
      <c r="AB355" s="32">
        <f t="shared" si="7"/>
        <v>-0.5</v>
      </c>
      <c r="AC355" s="32" t="str">
        <f t="shared" ref="AC355:AG355" si="359">IF(J355&lt;&gt;"", IF(AND($P355=FALSE, $A355=FALSE), -J355, IF(AND($P355=FALSE, $A355=TRUE), 0, IF($P355=TRUE, (J355 / $R355) * 100 * ($S355 / 100)-J355, ))), )</f>
        <v/>
      </c>
      <c r="AD355" s="32" t="str">
        <f t="shared" si="359"/>
        <v/>
      </c>
      <c r="AE355" s="32" t="str">
        <f t="shared" si="359"/>
        <v/>
      </c>
      <c r="AF355" s="32" t="str">
        <f t="shared" si="359"/>
        <v/>
      </c>
      <c r="AG355" s="32" t="str">
        <f t="shared" si="359"/>
        <v/>
      </c>
      <c r="AH355" s="33"/>
    </row>
    <row r="356" hidden="1" outlineLevel="3">
      <c r="A356" s="16" t="b">
        <v>0</v>
      </c>
      <c r="B356" s="17"/>
      <c r="C356" s="18"/>
      <c r="D356" s="41"/>
      <c r="E356" s="20"/>
      <c r="F356" s="21"/>
      <c r="G356" s="23"/>
      <c r="H356" s="23"/>
      <c r="I356" s="23"/>
      <c r="J356" s="23"/>
      <c r="K356" s="23"/>
      <c r="L356" s="23"/>
      <c r="M356" s="23"/>
      <c r="N356" s="23"/>
      <c r="O356" s="24"/>
      <c r="P356" s="16" t="b">
        <v>0</v>
      </c>
      <c r="Q356" s="24"/>
      <c r="R356" s="25"/>
      <c r="S356" s="26"/>
      <c r="T356" s="27"/>
      <c r="U356" s="24"/>
      <c r="V356" s="28" t="s">
        <v>32</v>
      </c>
      <c r="W356" s="29" t="s">
        <v>22</v>
      </c>
      <c r="X356" s="37" t="s">
        <v>337</v>
      </c>
      <c r="Y356" s="31"/>
      <c r="Z356" s="26" t="str">
        <f t="shared" si="5"/>
        <v/>
      </c>
      <c r="AA356" s="26" t="str">
        <f t="shared" si="6"/>
        <v/>
      </c>
      <c r="AB356" s="32" t="str">
        <f t="shared" si="7"/>
        <v/>
      </c>
      <c r="AC356" s="32" t="str">
        <f t="shared" ref="AC356:AG356" si="360">IF(J356&lt;&gt;"", IF(AND($P356=FALSE, $A356=FALSE), -J356, IF(AND($P356=FALSE, $A356=TRUE), 0, IF($P356=TRUE, (J356 / $R356) * 100 * ($S356 / 100)-J356, ))), )</f>
        <v/>
      </c>
      <c r="AD356" s="32" t="str">
        <f t="shared" si="360"/>
        <v/>
      </c>
      <c r="AE356" s="32" t="str">
        <f t="shared" si="360"/>
        <v/>
      </c>
      <c r="AF356" s="32" t="str">
        <f t="shared" si="360"/>
        <v/>
      </c>
      <c r="AG356" s="32" t="str">
        <f t="shared" si="360"/>
        <v/>
      </c>
      <c r="AH356" s="33"/>
    </row>
    <row r="357" hidden="1" outlineLevel="2" collapsed="1">
      <c r="A357" s="16" t="b">
        <v>0</v>
      </c>
      <c r="B357" s="17"/>
      <c r="C357" s="18"/>
      <c r="D357" s="41">
        <v>45242.0</v>
      </c>
      <c r="E357" s="20" t="s">
        <v>24</v>
      </c>
      <c r="F357" s="21" t="s">
        <v>52</v>
      </c>
      <c r="G357" s="23">
        <v>2.0</v>
      </c>
      <c r="H357" s="23">
        <v>1.0</v>
      </c>
      <c r="I357" s="23">
        <v>2.0</v>
      </c>
      <c r="J357" s="23"/>
      <c r="K357" s="23"/>
      <c r="L357" s="23"/>
      <c r="M357" s="23"/>
      <c r="N357" s="23"/>
      <c r="O357" s="24"/>
      <c r="P357" s="16" t="b">
        <v>0</v>
      </c>
      <c r="Q357" s="24"/>
      <c r="R357" s="25">
        <v>5.0</v>
      </c>
      <c r="S357" s="26">
        <v>9.28</v>
      </c>
      <c r="T357" s="27">
        <v>-117.0</v>
      </c>
      <c r="U357" s="24"/>
      <c r="V357" s="28"/>
      <c r="W357" s="29"/>
      <c r="X357" s="30"/>
      <c r="Y357" s="31"/>
      <c r="Z357" s="26">
        <f t="shared" si="5"/>
        <v>-2</v>
      </c>
      <c r="AA357" s="26">
        <f t="shared" si="6"/>
        <v>-2</v>
      </c>
      <c r="AB357" s="32">
        <f t="shared" si="7"/>
        <v>-1</v>
      </c>
      <c r="AC357" s="32" t="str">
        <f t="shared" ref="AC357:AG357" si="361">IF(J357&lt;&gt;"", IF(AND($P357=FALSE, $A357=FALSE), -J357, IF(AND($P357=FALSE, $A357=TRUE), 0, IF($P357=TRUE, (J357 / $R357) * 100 * ($S357 / 100)-J357, ))), )</f>
        <v/>
      </c>
      <c r="AD357" s="32" t="str">
        <f t="shared" si="361"/>
        <v/>
      </c>
      <c r="AE357" s="32" t="str">
        <f t="shared" si="361"/>
        <v/>
      </c>
      <c r="AF357" s="32" t="str">
        <f t="shared" si="361"/>
        <v/>
      </c>
      <c r="AG357" s="32" t="str">
        <f t="shared" si="361"/>
        <v/>
      </c>
      <c r="AH357" s="33"/>
    </row>
    <row r="358" hidden="1" outlineLevel="3">
      <c r="A358" s="16" t="b">
        <v>0</v>
      </c>
      <c r="B358" s="17"/>
      <c r="C358" s="18"/>
      <c r="D358" s="41"/>
      <c r="E358" s="20"/>
      <c r="F358" s="21"/>
      <c r="G358" s="23"/>
      <c r="H358" s="23"/>
      <c r="I358" s="23"/>
      <c r="J358" s="23"/>
      <c r="K358" s="23"/>
      <c r="L358" s="23"/>
      <c r="M358" s="23"/>
      <c r="N358" s="23"/>
      <c r="O358" s="24"/>
      <c r="P358" s="16" t="b">
        <v>0</v>
      </c>
      <c r="Q358" s="24"/>
      <c r="R358" s="25"/>
      <c r="S358" s="26"/>
      <c r="T358" s="27"/>
      <c r="U358" s="24"/>
      <c r="V358" s="28" t="s">
        <v>32</v>
      </c>
      <c r="W358" s="29" t="s">
        <v>22</v>
      </c>
      <c r="X358" s="37" t="s">
        <v>338</v>
      </c>
      <c r="Y358" s="31"/>
      <c r="Z358" s="26" t="str">
        <f t="shared" si="5"/>
        <v/>
      </c>
      <c r="AA358" s="26" t="str">
        <f t="shared" si="6"/>
        <v/>
      </c>
      <c r="AB358" s="32" t="str">
        <f t="shared" si="7"/>
        <v/>
      </c>
      <c r="AC358" s="32" t="str">
        <f t="shared" ref="AC358:AG358" si="362">IF(J358&lt;&gt;"", IF(AND($P358=FALSE, $A358=FALSE), -J358, IF(AND($P358=FALSE, $A358=TRUE), 0, IF($P358=TRUE, (J358 / $R358) * 100 * ($S358 / 100)-J358, ))), )</f>
        <v/>
      </c>
      <c r="AD358" s="32" t="str">
        <f t="shared" si="362"/>
        <v/>
      </c>
      <c r="AE358" s="32" t="str">
        <f t="shared" si="362"/>
        <v/>
      </c>
      <c r="AF358" s="32" t="str">
        <f t="shared" si="362"/>
        <v/>
      </c>
      <c r="AG358" s="32" t="str">
        <f t="shared" si="362"/>
        <v/>
      </c>
      <c r="AH358" s="33"/>
    </row>
    <row r="359" hidden="1" outlineLevel="3">
      <c r="A359" s="16" t="b">
        <v>0</v>
      </c>
      <c r="B359" s="17"/>
      <c r="C359" s="18"/>
      <c r="D359" s="41"/>
      <c r="E359" s="20"/>
      <c r="F359" s="21"/>
      <c r="G359" s="23"/>
      <c r="H359" s="23"/>
      <c r="I359" s="23"/>
      <c r="J359" s="23"/>
      <c r="K359" s="23"/>
      <c r="L359" s="23"/>
      <c r="M359" s="23"/>
      <c r="N359" s="23"/>
      <c r="O359" s="24"/>
      <c r="P359" s="16" t="b">
        <v>0</v>
      </c>
      <c r="Q359" s="24"/>
      <c r="R359" s="25"/>
      <c r="S359" s="26"/>
      <c r="T359" s="27"/>
      <c r="U359" s="24"/>
      <c r="V359" s="38" t="s">
        <v>29</v>
      </c>
      <c r="W359" s="29" t="s">
        <v>22</v>
      </c>
      <c r="X359" s="37" t="s">
        <v>120</v>
      </c>
      <c r="Y359" s="31"/>
      <c r="Z359" s="26" t="str">
        <f t="shared" si="5"/>
        <v/>
      </c>
      <c r="AA359" s="26" t="str">
        <f t="shared" si="6"/>
        <v/>
      </c>
      <c r="AB359" s="32" t="str">
        <f t="shared" si="7"/>
        <v/>
      </c>
      <c r="AC359" s="32" t="str">
        <f t="shared" ref="AC359:AG359" si="363">IF(J359&lt;&gt;"", IF(AND($P359=FALSE, $A359=FALSE), -J359, IF(AND($P359=FALSE, $A359=TRUE), 0, IF($P359=TRUE, (J359 / $R359) * 100 * ($S359 / 100)-J359, ))), )</f>
        <v/>
      </c>
      <c r="AD359" s="32" t="str">
        <f t="shared" si="363"/>
        <v/>
      </c>
      <c r="AE359" s="32" t="str">
        <f t="shared" si="363"/>
        <v/>
      </c>
      <c r="AF359" s="32" t="str">
        <f t="shared" si="363"/>
        <v/>
      </c>
      <c r="AG359" s="32" t="str">
        <f t="shared" si="363"/>
        <v/>
      </c>
      <c r="AH359" s="33"/>
    </row>
    <row r="360" hidden="1" outlineLevel="2" collapsed="1">
      <c r="A360" s="16" t="b">
        <v>0</v>
      </c>
      <c r="B360" s="17"/>
      <c r="C360" s="18"/>
      <c r="D360" s="41">
        <v>45242.0</v>
      </c>
      <c r="E360" s="20" t="s">
        <v>24</v>
      </c>
      <c r="F360" s="21" t="s">
        <v>52</v>
      </c>
      <c r="G360" s="23">
        <v>2.0</v>
      </c>
      <c r="H360" s="23">
        <v>1.0</v>
      </c>
      <c r="I360" s="23">
        <v>2.0</v>
      </c>
      <c r="J360" s="23"/>
      <c r="K360" s="23"/>
      <c r="L360" s="23"/>
      <c r="M360" s="23"/>
      <c r="N360" s="23"/>
      <c r="O360" s="24"/>
      <c r="P360" s="16" t="b">
        <v>0</v>
      </c>
      <c r="Q360" s="24"/>
      <c r="R360" s="25">
        <v>5.0</v>
      </c>
      <c r="S360" s="26">
        <v>9.94</v>
      </c>
      <c r="T360" s="27">
        <v>-101.0</v>
      </c>
      <c r="U360" s="24"/>
      <c r="V360" s="28"/>
      <c r="W360" s="29"/>
      <c r="X360" s="30"/>
      <c r="Y360" s="31"/>
      <c r="Z360" s="26">
        <f t="shared" si="5"/>
        <v>-2</v>
      </c>
      <c r="AA360" s="26">
        <f t="shared" si="6"/>
        <v>-2</v>
      </c>
      <c r="AB360" s="32">
        <f t="shared" si="7"/>
        <v>-1</v>
      </c>
      <c r="AC360" s="32" t="str">
        <f t="shared" ref="AC360:AG360" si="364">IF(J360&lt;&gt;"", IF(AND($P360=FALSE, $A360=FALSE), -J360, IF(AND($P360=FALSE, $A360=TRUE), 0, IF($P360=TRUE, (J360 / $R360) * 100 * ($S360 / 100)-J360, ))), )</f>
        <v/>
      </c>
      <c r="AD360" s="32" t="str">
        <f t="shared" si="364"/>
        <v/>
      </c>
      <c r="AE360" s="32" t="str">
        <f t="shared" si="364"/>
        <v/>
      </c>
      <c r="AF360" s="32" t="str">
        <f t="shared" si="364"/>
        <v/>
      </c>
      <c r="AG360" s="32" t="str">
        <f t="shared" si="364"/>
        <v/>
      </c>
      <c r="AH360" s="33"/>
    </row>
    <row r="361" hidden="1" outlineLevel="3">
      <c r="A361" s="16" t="b">
        <v>0</v>
      </c>
      <c r="B361" s="17"/>
      <c r="C361" s="18"/>
      <c r="D361" s="41"/>
      <c r="E361" s="20"/>
      <c r="F361" s="21"/>
      <c r="G361" s="23"/>
      <c r="H361" s="23"/>
      <c r="I361" s="23"/>
      <c r="J361" s="23"/>
      <c r="K361" s="23"/>
      <c r="L361" s="23"/>
      <c r="M361" s="23"/>
      <c r="N361" s="23"/>
      <c r="O361" s="24"/>
      <c r="P361" s="16" t="b">
        <v>0</v>
      </c>
      <c r="Q361" s="24"/>
      <c r="R361" s="25"/>
      <c r="S361" s="26"/>
      <c r="T361" s="27"/>
      <c r="U361" s="24"/>
      <c r="V361" s="28" t="s">
        <v>32</v>
      </c>
      <c r="W361" s="29" t="s">
        <v>22</v>
      </c>
      <c r="X361" s="37" t="s">
        <v>339</v>
      </c>
      <c r="Y361" s="31"/>
      <c r="Z361" s="26" t="str">
        <f t="shared" si="5"/>
        <v/>
      </c>
      <c r="AA361" s="26" t="str">
        <f t="shared" si="6"/>
        <v/>
      </c>
      <c r="AB361" s="32" t="str">
        <f t="shared" si="7"/>
        <v/>
      </c>
      <c r="AC361" s="32" t="str">
        <f t="shared" ref="AC361:AG361" si="365">IF(J361&lt;&gt;"", IF(AND($P361=FALSE, $A361=FALSE), -J361, IF(AND($P361=FALSE, $A361=TRUE), 0, IF($P361=TRUE, (J361 / $R361) * 100 * ($S361 / 100)-J361, ))), )</f>
        <v/>
      </c>
      <c r="AD361" s="32" t="str">
        <f t="shared" si="365"/>
        <v/>
      </c>
      <c r="AE361" s="32" t="str">
        <f t="shared" si="365"/>
        <v/>
      </c>
      <c r="AF361" s="32" t="str">
        <f t="shared" si="365"/>
        <v/>
      </c>
      <c r="AG361" s="32" t="str">
        <f t="shared" si="365"/>
        <v/>
      </c>
      <c r="AH361" s="33"/>
    </row>
    <row r="362" hidden="1" outlineLevel="3">
      <c r="A362" s="16" t="b">
        <v>0</v>
      </c>
      <c r="B362" s="17"/>
      <c r="C362" s="18"/>
      <c r="D362" s="41"/>
      <c r="E362" s="20"/>
      <c r="F362" s="21"/>
      <c r="G362" s="23"/>
      <c r="H362" s="23"/>
      <c r="I362" s="23"/>
      <c r="J362" s="23"/>
      <c r="K362" s="23"/>
      <c r="L362" s="23"/>
      <c r="M362" s="23"/>
      <c r="N362" s="23"/>
      <c r="O362" s="24"/>
      <c r="P362" s="16" t="b">
        <v>0</v>
      </c>
      <c r="Q362" s="24"/>
      <c r="R362" s="25"/>
      <c r="S362" s="26"/>
      <c r="T362" s="27"/>
      <c r="U362" s="24"/>
      <c r="V362" s="28" t="s">
        <v>32</v>
      </c>
      <c r="W362" s="29" t="s">
        <v>22</v>
      </c>
      <c r="X362" s="37" t="s">
        <v>158</v>
      </c>
      <c r="Y362" s="31"/>
      <c r="Z362" s="26" t="str">
        <f t="shared" si="5"/>
        <v/>
      </c>
      <c r="AA362" s="26" t="str">
        <f t="shared" si="6"/>
        <v/>
      </c>
      <c r="AB362" s="32" t="str">
        <f t="shared" si="7"/>
        <v/>
      </c>
      <c r="AC362" s="32" t="str">
        <f t="shared" ref="AC362:AG362" si="366">IF(J362&lt;&gt;"", IF(AND($P362=FALSE, $A362=FALSE), -J362, IF(AND($P362=FALSE, $A362=TRUE), 0, IF($P362=TRUE, (J362 / $R362) * 100 * ($S362 / 100)-J362, ))), )</f>
        <v/>
      </c>
      <c r="AD362" s="32" t="str">
        <f t="shared" si="366"/>
        <v/>
      </c>
      <c r="AE362" s="32" t="str">
        <f t="shared" si="366"/>
        <v/>
      </c>
      <c r="AF362" s="32" t="str">
        <f t="shared" si="366"/>
        <v/>
      </c>
      <c r="AG362" s="32" t="str">
        <f t="shared" si="366"/>
        <v/>
      </c>
      <c r="AH362" s="33"/>
    </row>
    <row r="363" hidden="1" outlineLevel="2" collapsed="1">
      <c r="A363" s="16" t="b">
        <v>0</v>
      </c>
      <c r="B363" s="17"/>
      <c r="C363" s="18"/>
      <c r="D363" s="41">
        <v>45242.0</v>
      </c>
      <c r="E363" s="20" t="s">
        <v>24</v>
      </c>
      <c r="F363" s="21" t="s">
        <v>52</v>
      </c>
      <c r="G363" s="23">
        <v>2.0</v>
      </c>
      <c r="H363" s="23">
        <v>1.0</v>
      </c>
      <c r="I363" s="23">
        <v>2.0</v>
      </c>
      <c r="J363" s="23"/>
      <c r="K363" s="23"/>
      <c r="L363" s="23"/>
      <c r="M363" s="23"/>
      <c r="N363" s="23"/>
      <c r="O363" s="24"/>
      <c r="P363" s="16" t="b">
        <v>0</v>
      </c>
      <c r="Q363" s="24"/>
      <c r="R363" s="25">
        <v>5.0</v>
      </c>
      <c r="S363" s="26">
        <v>14.48</v>
      </c>
      <c r="T363" s="27" t="s">
        <v>340</v>
      </c>
      <c r="U363" s="24"/>
      <c r="V363" s="28"/>
      <c r="W363" s="29"/>
      <c r="X363" s="30"/>
      <c r="Y363" s="31"/>
      <c r="Z363" s="26">
        <f t="shared" si="5"/>
        <v>-2</v>
      </c>
      <c r="AA363" s="26">
        <f t="shared" si="6"/>
        <v>-2</v>
      </c>
      <c r="AB363" s="32">
        <f t="shared" si="7"/>
        <v>-1</v>
      </c>
      <c r="AC363" s="32" t="str">
        <f t="shared" ref="AC363:AG363" si="367">IF(J363&lt;&gt;"", IF(AND($P363=FALSE, $A363=FALSE), -J363, IF(AND($P363=FALSE, $A363=TRUE), 0, IF($P363=TRUE, (J363 / $R363) * 100 * ($S363 / 100)-J363, ))), )</f>
        <v/>
      </c>
      <c r="AD363" s="32" t="str">
        <f t="shared" si="367"/>
        <v/>
      </c>
      <c r="AE363" s="32" t="str">
        <f t="shared" si="367"/>
        <v/>
      </c>
      <c r="AF363" s="32" t="str">
        <f t="shared" si="367"/>
        <v/>
      </c>
      <c r="AG363" s="32" t="str">
        <f t="shared" si="367"/>
        <v/>
      </c>
      <c r="AH363" s="33"/>
    </row>
    <row r="364" hidden="1" outlineLevel="3">
      <c r="A364" s="16" t="b">
        <v>0</v>
      </c>
      <c r="B364" s="17"/>
      <c r="C364" s="18"/>
      <c r="D364" s="41"/>
      <c r="E364" s="20"/>
      <c r="F364" s="21"/>
      <c r="G364" s="23"/>
      <c r="H364" s="23"/>
      <c r="I364" s="23"/>
      <c r="J364" s="23"/>
      <c r="K364" s="23"/>
      <c r="L364" s="23"/>
      <c r="M364" s="23"/>
      <c r="N364" s="23"/>
      <c r="O364" s="24"/>
      <c r="P364" s="16" t="b">
        <v>0</v>
      </c>
      <c r="Q364" s="24"/>
      <c r="R364" s="25"/>
      <c r="S364" s="26"/>
      <c r="T364" s="27"/>
      <c r="U364" s="24"/>
      <c r="V364" s="28" t="s">
        <v>32</v>
      </c>
      <c r="W364" s="29" t="s">
        <v>22</v>
      </c>
      <c r="X364" s="37" t="s">
        <v>118</v>
      </c>
      <c r="Y364" s="31"/>
      <c r="Z364" s="26" t="str">
        <f t="shared" si="5"/>
        <v/>
      </c>
      <c r="AA364" s="26" t="str">
        <f t="shared" si="6"/>
        <v/>
      </c>
      <c r="AB364" s="32" t="str">
        <f t="shared" si="7"/>
        <v/>
      </c>
      <c r="AC364" s="32" t="str">
        <f t="shared" ref="AC364:AG364" si="368">IF(J364&lt;&gt;"", IF(AND($P364=FALSE, $A364=FALSE), -J364, IF(AND($P364=FALSE, $A364=TRUE), 0, IF($P364=TRUE, (J364 / $R364) * 100 * ($S364 / 100)-J364, ))), )</f>
        <v/>
      </c>
      <c r="AD364" s="32" t="str">
        <f t="shared" si="368"/>
        <v/>
      </c>
      <c r="AE364" s="32" t="str">
        <f t="shared" si="368"/>
        <v/>
      </c>
      <c r="AF364" s="32" t="str">
        <f t="shared" si="368"/>
        <v/>
      </c>
      <c r="AG364" s="32" t="str">
        <f t="shared" si="368"/>
        <v/>
      </c>
      <c r="AH364" s="33"/>
    </row>
    <row r="365" hidden="1" outlineLevel="3">
      <c r="A365" s="16" t="b">
        <v>0</v>
      </c>
      <c r="B365" s="17"/>
      <c r="C365" s="18"/>
      <c r="D365" s="41"/>
      <c r="E365" s="20"/>
      <c r="F365" s="21"/>
      <c r="G365" s="23"/>
      <c r="H365" s="23"/>
      <c r="I365" s="23"/>
      <c r="J365" s="23"/>
      <c r="K365" s="23"/>
      <c r="L365" s="23"/>
      <c r="M365" s="23"/>
      <c r="N365" s="23"/>
      <c r="O365" s="24"/>
      <c r="P365" s="16" t="b">
        <v>0</v>
      </c>
      <c r="Q365" s="24"/>
      <c r="R365" s="25"/>
      <c r="S365" s="26"/>
      <c r="T365" s="27"/>
      <c r="U365" s="24"/>
      <c r="V365" s="28" t="s">
        <v>32</v>
      </c>
      <c r="W365" s="29" t="s">
        <v>22</v>
      </c>
      <c r="X365" s="37" t="s">
        <v>341</v>
      </c>
      <c r="Y365" s="31"/>
      <c r="Z365" s="26" t="str">
        <f t="shared" si="5"/>
        <v/>
      </c>
      <c r="AA365" s="26" t="str">
        <f t="shared" si="6"/>
        <v/>
      </c>
      <c r="AB365" s="32" t="str">
        <f t="shared" si="7"/>
        <v/>
      </c>
      <c r="AC365" s="32" t="str">
        <f t="shared" ref="AC365:AG365" si="369">IF(J365&lt;&gt;"", IF(AND($P365=FALSE, $A365=FALSE), -J365, IF(AND($P365=FALSE, $A365=TRUE), 0, IF($P365=TRUE, (J365 / $R365) * 100 * ($S365 / 100)-J365, ))), )</f>
        <v/>
      </c>
      <c r="AD365" s="32" t="str">
        <f t="shared" si="369"/>
        <v/>
      </c>
      <c r="AE365" s="32" t="str">
        <f t="shared" si="369"/>
        <v/>
      </c>
      <c r="AF365" s="32" t="str">
        <f t="shared" si="369"/>
        <v/>
      </c>
      <c r="AG365" s="32" t="str">
        <f t="shared" si="369"/>
        <v/>
      </c>
      <c r="AH365" s="33"/>
    </row>
    <row r="366" hidden="1" outlineLevel="2" collapsed="1">
      <c r="A366" s="16" t="b">
        <v>0</v>
      </c>
      <c r="B366" s="17"/>
      <c r="C366" s="18"/>
      <c r="D366" s="41">
        <v>45242.0</v>
      </c>
      <c r="E366" s="20" t="s">
        <v>24</v>
      </c>
      <c r="F366" s="21" t="s">
        <v>52</v>
      </c>
      <c r="G366" s="23">
        <v>2.0</v>
      </c>
      <c r="H366" s="23">
        <v>1.0</v>
      </c>
      <c r="I366" s="23">
        <v>2.0</v>
      </c>
      <c r="J366" s="23"/>
      <c r="K366" s="23"/>
      <c r="L366" s="23"/>
      <c r="M366" s="23"/>
      <c r="N366" s="23"/>
      <c r="O366" s="24"/>
      <c r="P366" s="16" t="b">
        <v>0</v>
      </c>
      <c r="Q366" s="24"/>
      <c r="R366" s="25">
        <v>5.0</v>
      </c>
      <c r="S366" s="26">
        <v>12.56</v>
      </c>
      <c r="T366" s="27" t="s">
        <v>342</v>
      </c>
      <c r="U366" s="24"/>
      <c r="V366" s="28"/>
      <c r="W366" s="29"/>
      <c r="X366" s="30"/>
      <c r="Y366" s="31"/>
      <c r="Z366" s="26">
        <f t="shared" si="5"/>
        <v>-2</v>
      </c>
      <c r="AA366" s="26">
        <f t="shared" si="6"/>
        <v>-2</v>
      </c>
      <c r="AB366" s="32">
        <f t="shared" si="7"/>
        <v>-1</v>
      </c>
      <c r="AC366" s="32" t="str">
        <f t="shared" ref="AC366:AG366" si="370">IF(J366&lt;&gt;"", IF(AND($P366=FALSE, $A366=FALSE), -J366, IF(AND($P366=FALSE, $A366=TRUE), 0, IF($P366=TRUE, (J366 / $R366) * 100 * ($S366 / 100)-J366, ))), )</f>
        <v/>
      </c>
      <c r="AD366" s="32" t="str">
        <f t="shared" si="370"/>
        <v/>
      </c>
      <c r="AE366" s="32" t="str">
        <f t="shared" si="370"/>
        <v/>
      </c>
      <c r="AF366" s="32" t="str">
        <f t="shared" si="370"/>
        <v/>
      </c>
      <c r="AG366" s="32" t="str">
        <f t="shared" si="370"/>
        <v/>
      </c>
      <c r="AH366" s="33"/>
    </row>
    <row r="367" hidden="1" outlineLevel="3">
      <c r="A367" s="16" t="b">
        <v>0</v>
      </c>
      <c r="B367" s="17"/>
      <c r="C367" s="18"/>
      <c r="D367" s="41"/>
      <c r="E367" s="20"/>
      <c r="F367" s="21"/>
      <c r="G367" s="23"/>
      <c r="H367" s="23"/>
      <c r="I367" s="23"/>
      <c r="J367" s="23"/>
      <c r="K367" s="23"/>
      <c r="L367" s="23"/>
      <c r="M367" s="23"/>
      <c r="N367" s="23"/>
      <c r="O367" s="24"/>
      <c r="P367" s="16" t="b">
        <v>0</v>
      </c>
      <c r="Q367" s="24"/>
      <c r="R367" s="26"/>
      <c r="S367" s="26"/>
      <c r="T367" s="27"/>
      <c r="U367" s="24"/>
      <c r="V367" s="38" t="s">
        <v>29</v>
      </c>
      <c r="W367" s="29" t="s">
        <v>22</v>
      </c>
      <c r="X367" s="37" t="s">
        <v>122</v>
      </c>
      <c r="Y367" s="31"/>
      <c r="Z367" s="26" t="str">
        <f t="shared" si="5"/>
        <v/>
      </c>
      <c r="AA367" s="26" t="str">
        <f t="shared" si="6"/>
        <v/>
      </c>
      <c r="AB367" s="32" t="str">
        <f t="shared" si="7"/>
        <v/>
      </c>
      <c r="AC367" s="32" t="str">
        <f t="shared" ref="AC367:AG367" si="371">IF(J367&lt;&gt;"", IF(AND($P367=FALSE, $A367=FALSE), -J367, IF(AND($P367=FALSE, $A367=TRUE), 0, IF($P367=TRUE, (J367 / $R367) * 100 * ($S367 / 100)-J367, ))), )</f>
        <v/>
      </c>
      <c r="AD367" s="32" t="str">
        <f t="shared" si="371"/>
        <v/>
      </c>
      <c r="AE367" s="32" t="str">
        <f t="shared" si="371"/>
        <v/>
      </c>
      <c r="AF367" s="32" t="str">
        <f t="shared" si="371"/>
        <v/>
      </c>
      <c r="AG367" s="32" t="str">
        <f t="shared" si="371"/>
        <v/>
      </c>
      <c r="AH367" s="33"/>
    </row>
    <row r="368" hidden="1" outlineLevel="3">
      <c r="A368" s="16" t="b">
        <v>0</v>
      </c>
      <c r="B368" s="17"/>
      <c r="C368" s="18"/>
      <c r="D368" s="41"/>
      <c r="E368" s="20"/>
      <c r="F368" s="21"/>
      <c r="G368" s="23"/>
      <c r="H368" s="23"/>
      <c r="I368" s="23"/>
      <c r="J368" s="23"/>
      <c r="K368" s="23"/>
      <c r="L368" s="23"/>
      <c r="M368" s="23"/>
      <c r="N368" s="23"/>
      <c r="O368" s="24"/>
      <c r="P368" s="16" t="b">
        <v>0</v>
      </c>
      <c r="Q368" s="24"/>
      <c r="R368" s="26"/>
      <c r="S368" s="26"/>
      <c r="T368" s="27"/>
      <c r="U368" s="24"/>
      <c r="V368" s="28" t="s">
        <v>32</v>
      </c>
      <c r="W368" s="29" t="s">
        <v>22</v>
      </c>
      <c r="X368" s="37" t="s">
        <v>343</v>
      </c>
      <c r="Y368" s="31"/>
      <c r="Z368" s="26" t="str">
        <f t="shared" si="5"/>
        <v/>
      </c>
      <c r="AA368" s="26" t="str">
        <f t="shared" si="6"/>
        <v/>
      </c>
      <c r="AB368" s="32" t="str">
        <f t="shared" si="7"/>
        <v/>
      </c>
      <c r="AC368" s="32" t="str">
        <f t="shared" ref="AC368:AG368" si="372">IF(J368&lt;&gt;"", IF(AND($P368=FALSE, $A368=FALSE), -J368, IF(AND($P368=FALSE, $A368=TRUE), 0, IF($P368=TRUE, (J368 / $R368) * 100 * ($S368 / 100)-J368, ))), )</f>
        <v/>
      </c>
      <c r="AD368" s="32" t="str">
        <f t="shared" si="372"/>
        <v/>
      </c>
      <c r="AE368" s="32" t="str">
        <f t="shared" si="372"/>
        <v/>
      </c>
      <c r="AF368" s="32" t="str">
        <f t="shared" si="372"/>
        <v/>
      </c>
      <c r="AG368" s="32" t="str">
        <f t="shared" si="372"/>
        <v/>
      </c>
      <c r="AH368" s="33"/>
    </row>
    <row r="369" hidden="1" outlineLevel="2">
      <c r="A369" s="16" t="b">
        <v>0</v>
      </c>
      <c r="B369" s="17"/>
      <c r="C369" s="18"/>
      <c r="D369" s="41">
        <v>45242.0</v>
      </c>
      <c r="E369" s="20" t="s">
        <v>24</v>
      </c>
      <c r="F369" s="21" t="s">
        <v>52</v>
      </c>
      <c r="G369" s="23">
        <v>2.0</v>
      </c>
      <c r="H369" s="23">
        <v>1.0</v>
      </c>
      <c r="I369" s="23">
        <v>3.0</v>
      </c>
      <c r="J369" s="23"/>
      <c r="K369" s="23"/>
      <c r="L369" s="23"/>
      <c r="M369" s="23"/>
      <c r="N369" s="23"/>
      <c r="O369" s="24"/>
      <c r="P369" s="16" t="b">
        <v>0</v>
      </c>
      <c r="Q369" s="24"/>
      <c r="R369" s="26">
        <v>6.0</v>
      </c>
      <c r="S369" s="26">
        <v>17.78</v>
      </c>
      <c r="T369" s="27" t="s">
        <v>199</v>
      </c>
      <c r="U369" s="24"/>
      <c r="V369" s="28"/>
      <c r="W369" s="29"/>
      <c r="X369" s="30"/>
      <c r="Y369" s="31"/>
      <c r="Z369" s="26">
        <f t="shared" si="5"/>
        <v>-2</v>
      </c>
      <c r="AA369" s="26">
        <f t="shared" si="6"/>
        <v>-3</v>
      </c>
      <c r="AB369" s="32">
        <f t="shared" si="7"/>
        <v>-1</v>
      </c>
      <c r="AC369" s="32" t="str">
        <f t="shared" ref="AC369:AG369" si="373">IF(J369&lt;&gt;"", IF(AND($P369=FALSE, $A369=FALSE), -J369, IF(AND($P369=FALSE, $A369=TRUE), 0, IF($P369=TRUE, (J369 / $R369) * 100 * ($S369 / 100)-J369, ))), )</f>
        <v/>
      </c>
      <c r="AD369" s="32" t="str">
        <f t="shared" si="373"/>
        <v/>
      </c>
      <c r="AE369" s="32" t="str">
        <f t="shared" si="373"/>
        <v/>
      </c>
      <c r="AF369" s="32" t="str">
        <f t="shared" si="373"/>
        <v/>
      </c>
      <c r="AG369" s="32" t="str">
        <f t="shared" si="373"/>
        <v/>
      </c>
      <c r="AH369" s="33"/>
    </row>
    <row r="370" hidden="1" outlineLevel="3">
      <c r="A370" s="16" t="b">
        <v>0</v>
      </c>
      <c r="B370" s="17"/>
      <c r="C370" s="18"/>
      <c r="D370" s="34"/>
      <c r="E370" s="20"/>
      <c r="F370" s="34"/>
      <c r="G370" s="23"/>
      <c r="H370" s="23"/>
      <c r="I370" s="23"/>
      <c r="J370" s="23"/>
      <c r="K370" s="23"/>
      <c r="L370" s="23"/>
      <c r="M370" s="23"/>
      <c r="N370" s="23"/>
      <c r="O370" s="24"/>
      <c r="P370" s="16" t="b">
        <v>0</v>
      </c>
      <c r="Q370" s="24"/>
      <c r="R370" s="26"/>
      <c r="S370" s="26"/>
      <c r="T370" s="35"/>
      <c r="U370" s="24"/>
      <c r="V370" s="38" t="s">
        <v>29</v>
      </c>
      <c r="W370" s="29" t="s">
        <v>22</v>
      </c>
      <c r="X370" s="37" t="s">
        <v>344</v>
      </c>
      <c r="Y370" s="31"/>
      <c r="Z370" s="26" t="str">
        <f t="shared" si="5"/>
        <v/>
      </c>
      <c r="AA370" s="26" t="str">
        <f t="shared" si="6"/>
        <v/>
      </c>
      <c r="AB370" s="32" t="str">
        <f t="shared" si="7"/>
        <v/>
      </c>
      <c r="AC370" s="32" t="str">
        <f t="shared" ref="AC370:AG370" si="374">IF(J370&lt;&gt;"", IF(AND($P370=FALSE, $A370=FALSE), -J370, IF(AND($P370=FALSE, $A370=TRUE), 0, IF($P370=TRUE, (J370 / $R370) * 100 * ($S370 / 100)-J370, ))), )</f>
        <v/>
      </c>
      <c r="AD370" s="32" t="str">
        <f t="shared" si="374"/>
        <v/>
      </c>
      <c r="AE370" s="32" t="str">
        <f t="shared" si="374"/>
        <v/>
      </c>
      <c r="AF370" s="32" t="str">
        <f t="shared" si="374"/>
        <v/>
      </c>
      <c r="AG370" s="32" t="str">
        <f t="shared" si="374"/>
        <v/>
      </c>
      <c r="AH370" s="33"/>
    </row>
    <row r="371" hidden="1" outlineLevel="3">
      <c r="A371" s="16" t="b">
        <v>0</v>
      </c>
      <c r="B371" s="17"/>
      <c r="C371" s="18"/>
      <c r="D371" s="34"/>
      <c r="E371" s="20"/>
      <c r="F371" s="34"/>
      <c r="G371" s="23"/>
      <c r="H371" s="23"/>
      <c r="I371" s="23"/>
      <c r="J371" s="23"/>
      <c r="K371" s="23"/>
      <c r="L371" s="23"/>
      <c r="M371" s="23"/>
      <c r="N371" s="23"/>
      <c r="O371" s="24"/>
      <c r="P371" s="16" t="b">
        <v>0</v>
      </c>
      <c r="Q371" s="24"/>
      <c r="R371" s="26"/>
      <c r="S371" s="26"/>
      <c r="T371" s="35"/>
      <c r="U371" s="24"/>
      <c r="V371" s="28" t="s">
        <v>32</v>
      </c>
      <c r="W371" s="29" t="s">
        <v>22</v>
      </c>
      <c r="X371" s="37" t="s">
        <v>345</v>
      </c>
      <c r="Y371" s="31"/>
      <c r="Z371" s="26" t="str">
        <f t="shared" si="5"/>
        <v/>
      </c>
      <c r="AA371" s="26" t="str">
        <f t="shared" si="6"/>
        <v/>
      </c>
      <c r="AB371" s="32" t="str">
        <f t="shared" si="7"/>
        <v/>
      </c>
      <c r="AC371" s="32" t="str">
        <f t="shared" ref="AC371:AG371" si="375">IF(J371&lt;&gt;"", IF(AND($P371=FALSE, $A371=FALSE), -J371, IF(AND($P371=FALSE, $A371=TRUE), 0, IF($P371=TRUE, (J371 / $R371) * 100 * ($S371 / 100)-J371, ))), )</f>
        <v/>
      </c>
      <c r="AD371" s="32" t="str">
        <f t="shared" si="375"/>
        <v/>
      </c>
      <c r="AE371" s="32" t="str">
        <f t="shared" si="375"/>
        <v/>
      </c>
      <c r="AF371" s="32" t="str">
        <f t="shared" si="375"/>
        <v/>
      </c>
      <c r="AG371" s="32" t="str">
        <f t="shared" si="375"/>
        <v/>
      </c>
      <c r="AH371" s="33"/>
    </row>
    <row r="372" hidden="1" outlineLevel="3">
      <c r="A372" s="16" t="b">
        <v>0</v>
      </c>
      <c r="B372" s="17"/>
      <c r="C372" s="18"/>
      <c r="D372" s="34"/>
      <c r="E372" s="20"/>
      <c r="F372" s="34"/>
      <c r="G372" s="23"/>
      <c r="H372" s="23"/>
      <c r="I372" s="23"/>
      <c r="J372" s="23"/>
      <c r="K372" s="23"/>
      <c r="L372" s="23"/>
      <c r="M372" s="23"/>
      <c r="N372" s="23"/>
      <c r="O372" s="24"/>
      <c r="P372" s="16" t="b">
        <v>0</v>
      </c>
      <c r="Q372" s="24"/>
      <c r="R372" s="26"/>
      <c r="S372" s="26"/>
      <c r="T372" s="35"/>
      <c r="U372" s="24"/>
      <c r="V372" s="38" t="s">
        <v>29</v>
      </c>
      <c r="W372" s="29" t="s">
        <v>22</v>
      </c>
      <c r="X372" s="37" t="s">
        <v>346</v>
      </c>
      <c r="Y372" s="31"/>
      <c r="Z372" s="26" t="str">
        <f t="shared" si="5"/>
        <v/>
      </c>
      <c r="AA372" s="26" t="str">
        <f t="shared" si="6"/>
        <v/>
      </c>
      <c r="AB372" s="32" t="str">
        <f t="shared" si="7"/>
        <v/>
      </c>
      <c r="AC372" s="32" t="str">
        <f t="shared" ref="AC372:AG372" si="376">IF(J372&lt;&gt;"", IF(AND($P372=FALSE, $A372=FALSE), -J372, IF(AND($P372=FALSE, $A372=TRUE), 0, IF($P372=TRUE, (J372 / $R372) * 100 * ($S372 / 100)-J372, ))), )</f>
        <v/>
      </c>
      <c r="AD372" s="32" t="str">
        <f t="shared" si="376"/>
        <v/>
      </c>
      <c r="AE372" s="32" t="str">
        <f t="shared" si="376"/>
        <v/>
      </c>
      <c r="AF372" s="32" t="str">
        <f t="shared" si="376"/>
        <v/>
      </c>
      <c r="AG372" s="32" t="str">
        <f t="shared" si="376"/>
        <v/>
      </c>
      <c r="AH372" s="33"/>
    </row>
    <row r="373" hidden="1" outlineLevel="3">
      <c r="A373" s="16" t="b">
        <v>0</v>
      </c>
      <c r="B373" s="17"/>
      <c r="C373" s="18"/>
      <c r="D373" s="34"/>
      <c r="E373" s="20"/>
      <c r="F373" s="34"/>
      <c r="G373" s="23"/>
      <c r="H373" s="23"/>
      <c r="I373" s="23"/>
      <c r="J373" s="23"/>
      <c r="K373" s="23"/>
      <c r="L373" s="23"/>
      <c r="M373" s="23"/>
      <c r="N373" s="23"/>
      <c r="O373" s="24"/>
      <c r="P373" s="16" t="b">
        <v>0</v>
      </c>
      <c r="Q373" s="24"/>
      <c r="R373" s="26"/>
      <c r="S373" s="26"/>
      <c r="T373" s="35"/>
      <c r="U373" s="24"/>
      <c r="V373" s="38" t="s">
        <v>29</v>
      </c>
      <c r="W373" s="29" t="s">
        <v>22</v>
      </c>
      <c r="X373" s="37" t="s">
        <v>347</v>
      </c>
      <c r="Y373" s="31"/>
      <c r="Z373" s="26" t="str">
        <f t="shared" si="5"/>
        <v/>
      </c>
      <c r="AA373" s="26" t="str">
        <f t="shared" si="6"/>
        <v/>
      </c>
      <c r="AB373" s="32" t="str">
        <f t="shared" si="7"/>
        <v/>
      </c>
      <c r="AC373" s="32" t="str">
        <f t="shared" ref="AC373:AG373" si="377">IF(J373&lt;&gt;"", IF(AND($P373=FALSE, $A373=FALSE), -J373, IF(AND($P373=FALSE, $A373=TRUE), 0, IF($P373=TRUE, (J373 / $R373) * 100 * ($S373 / 100)-J373, ))), )</f>
        <v/>
      </c>
      <c r="AD373" s="32" t="str">
        <f t="shared" si="377"/>
        <v/>
      </c>
      <c r="AE373" s="32" t="str">
        <f t="shared" si="377"/>
        <v/>
      </c>
      <c r="AF373" s="32" t="str">
        <f t="shared" si="377"/>
        <v/>
      </c>
      <c r="AG373" s="32" t="str">
        <f t="shared" si="377"/>
        <v/>
      </c>
      <c r="AH373" s="33"/>
    </row>
    <row r="374" hidden="1" outlineLevel="1" collapsed="1">
      <c r="A374" s="16" t="b">
        <v>0</v>
      </c>
      <c r="B374" s="17"/>
      <c r="C374" s="18"/>
      <c r="D374" s="41">
        <v>45243.0</v>
      </c>
      <c r="E374" s="20" t="s">
        <v>24</v>
      </c>
      <c r="F374" s="21" t="s">
        <v>52</v>
      </c>
      <c r="G374" s="23">
        <v>2.0</v>
      </c>
      <c r="H374" s="23">
        <v>1.0</v>
      </c>
      <c r="I374" s="23">
        <v>2.0</v>
      </c>
      <c r="J374" s="23"/>
      <c r="K374" s="23"/>
      <c r="L374" s="23"/>
      <c r="M374" s="23"/>
      <c r="N374" s="23"/>
      <c r="O374" s="24"/>
      <c r="P374" s="16" t="b">
        <v>0</v>
      </c>
      <c r="Q374" s="24"/>
      <c r="R374" s="26">
        <v>5.0</v>
      </c>
      <c r="S374" s="26">
        <v>14.54</v>
      </c>
      <c r="T374" s="27" t="s">
        <v>121</v>
      </c>
      <c r="U374" s="24"/>
      <c r="V374" s="28"/>
      <c r="W374" s="29"/>
      <c r="X374" s="30"/>
      <c r="Y374" s="31"/>
      <c r="Z374" s="26">
        <f t="shared" si="5"/>
        <v>-2</v>
      </c>
      <c r="AA374" s="26">
        <f t="shared" si="6"/>
        <v>-2</v>
      </c>
      <c r="AB374" s="32">
        <f t="shared" si="7"/>
        <v>-1</v>
      </c>
      <c r="AC374" s="32" t="str">
        <f t="shared" ref="AC374:AG374" si="378">IF(J374&lt;&gt;"", IF(AND($P374=FALSE, $A374=FALSE), -J374, IF(AND($P374=FALSE, $A374=TRUE), 0, IF($P374=TRUE, (J374 / $R374) * 100 * ($S374 / 100)-J374, ))), )</f>
        <v/>
      </c>
      <c r="AD374" s="32" t="str">
        <f t="shared" si="378"/>
        <v/>
      </c>
      <c r="AE374" s="32" t="str">
        <f t="shared" si="378"/>
        <v/>
      </c>
      <c r="AF374" s="32" t="str">
        <f t="shared" si="378"/>
        <v/>
      </c>
      <c r="AG374" s="32" t="str">
        <f t="shared" si="378"/>
        <v/>
      </c>
      <c r="AH374" s="33"/>
    </row>
    <row r="375" hidden="1" outlineLevel="3">
      <c r="A375" s="16" t="b">
        <v>0</v>
      </c>
      <c r="B375" s="17"/>
      <c r="C375" s="18"/>
      <c r="D375" s="34"/>
      <c r="E375" s="20"/>
      <c r="F375" s="34"/>
      <c r="G375" s="23"/>
      <c r="H375" s="23"/>
      <c r="I375" s="23"/>
      <c r="J375" s="23"/>
      <c r="K375" s="23"/>
      <c r="L375" s="23"/>
      <c r="M375" s="23"/>
      <c r="N375" s="23"/>
      <c r="O375" s="24"/>
      <c r="P375" s="16" t="b">
        <v>0</v>
      </c>
      <c r="Q375" s="24"/>
      <c r="R375" s="26"/>
      <c r="S375" s="26"/>
      <c r="T375" s="35"/>
      <c r="U375" s="24"/>
      <c r="V375" s="28" t="s">
        <v>32</v>
      </c>
      <c r="W375" s="29" t="s">
        <v>22</v>
      </c>
      <c r="X375" s="37" t="s">
        <v>348</v>
      </c>
      <c r="Y375" s="31"/>
      <c r="Z375" s="26" t="str">
        <f t="shared" si="5"/>
        <v/>
      </c>
      <c r="AA375" s="26" t="str">
        <f t="shared" si="6"/>
        <v/>
      </c>
      <c r="AB375" s="32" t="str">
        <f t="shared" si="7"/>
        <v/>
      </c>
      <c r="AC375" s="32" t="str">
        <f t="shared" ref="AC375:AG375" si="379">IF(J375&lt;&gt;"", IF(AND($P375=FALSE, $A375=FALSE), -J375, IF(AND($P375=FALSE, $A375=TRUE), 0, IF($P375=TRUE, (J375 / $R375) * 100 * ($S375 / 100)-J375, ))), )</f>
        <v/>
      </c>
      <c r="AD375" s="32" t="str">
        <f t="shared" si="379"/>
        <v/>
      </c>
      <c r="AE375" s="32" t="str">
        <f t="shared" si="379"/>
        <v/>
      </c>
      <c r="AF375" s="32" t="str">
        <f t="shared" si="379"/>
        <v/>
      </c>
      <c r="AG375" s="32" t="str">
        <f t="shared" si="379"/>
        <v/>
      </c>
      <c r="AH375" s="33"/>
    </row>
    <row r="376" hidden="1" outlineLevel="3">
      <c r="A376" s="16" t="b">
        <v>0</v>
      </c>
      <c r="B376" s="17"/>
      <c r="C376" s="18"/>
      <c r="D376" s="34"/>
      <c r="E376" s="20"/>
      <c r="F376" s="34"/>
      <c r="G376" s="23"/>
      <c r="H376" s="23"/>
      <c r="I376" s="23"/>
      <c r="J376" s="23"/>
      <c r="K376" s="23"/>
      <c r="L376" s="23"/>
      <c r="M376" s="23"/>
      <c r="N376" s="23"/>
      <c r="O376" s="24"/>
      <c r="P376" s="16" t="b">
        <v>0</v>
      </c>
      <c r="Q376" s="24"/>
      <c r="R376" s="26"/>
      <c r="S376" s="26"/>
      <c r="T376" s="35"/>
      <c r="U376" s="24"/>
      <c r="V376" s="28" t="s">
        <v>32</v>
      </c>
      <c r="W376" s="29" t="s">
        <v>22</v>
      </c>
      <c r="X376" s="37" t="s">
        <v>134</v>
      </c>
      <c r="Y376" s="31"/>
      <c r="Z376" s="26" t="str">
        <f t="shared" si="5"/>
        <v/>
      </c>
      <c r="AA376" s="26" t="str">
        <f t="shared" si="6"/>
        <v/>
      </c>
      <c r="AB376" s="32" t="str">
        <f t="shared" si="7"/>
        <v/>
      </c>
      <c r="AC376" s="32" t="str">
        <f t="shared" ref="AC376:AG376" si="380">IF(J376&lt;&gt;"", IF(AND($P376=FALSE, $A376=FALSE), -J376, IF(AND($P376=FALSE, $A376=TRUE), 0, IF($P376=TRUE, (J376 / $R376) * 100 * ($S376 / 100)-J376, ))), )</f>
        <v/>
      </c>
      <c r="AD376" s="32" t="str">
        <f t="shared" si="380"/>
        <v/>
      </c>
      <c r="AE376" s="32" t="str">
        <f t="shared" si="380"/>
        <v/>
      </c>
      <c r="AF376" s="32" t="str">
        <f t="shared" si="380"/>
        <v/>
      </c>
      <c r="AG376" s="32" t="str">
        <f t="shared" si="380"/>
        <v/>
      </c>
      <c r="AH376" s="33"/>
    </row>
    <row r="377" hidden="1" outlineLevel="3">
      <c r="A377" s="16" t="b">
        <v>0</v>
      </c>
      <c r="B377" s="17"/>
      <c r="C377" s="18"/>
      <c r="D377" s="34"/>
      <c r="E377" s="20"/>
      <c r="F377" s="34"/>
      <c r="G377" s="23"/>
      <c r="H377" s="23"/>
      <c r="I377" s="23"/>
      <c r="J377" s="23"/>
      <c r="K377" s="23"/>
      <c r="L377" s="23"/>
      <c r="M377" s="23"/>
      <c r="N377" s="23"/>
      <c r="O377" s="24"/>
      <c r="P377" s="16" t="b">
        <v>0</v>
      </c>
      <c r="Q377" s="24"/>
      <c r="R377" s="26"/>
      <c r="S377" s="26"/>
      <c r="T377" s="35"/>
      <c r="U377" s="24"/>
      <c r="V377" s="38" t="s">
        <v>29</v>
      </c>
      <c r="W377" s="29" t="s">
        <v>22</v>
      </c>
      <c r="X377" s="37" t="s">
        <v>349</v>
      </c>
      <c r="Y377" s="31"/>
      <c r="Z377" s="26" t="str">
        <f t="shared" si="5"/>
        <v/>
      </c>
      <c r="AA377" s="26" t="str">
        <f t="shared" si="6"/>
        <v/>
      </c>
      <c r="AB377" s="32" t="str">
        <f t="shared" si="7"/>
        <v/>
      </c>
      <c r="AC377" s="32" t="str">
        <f t="shared" ref="AC377:AG377" si="381">IF(J377&lt;&gt;"", IF(AND($P377=FALSE, $A377=FALSE), -J377, IF(AND($P377=FALSE, $A377=TRUE), 0, IF($P377=TRUE, (J377 / $R377) * 100 * ($S377 / 100)-J377, ))), )</f>
        <v/>
      </c>
      <c r="AD377" s="32" t="str">
        <f t="shared" si="381"/>
        <v/>
      </c>
      <c r="AE377" s="32" t="str">
        <f t="shared" si="381"/>
        <v/>
      </c>
      <c r="AF377" s="32" t="str">
        <f t="shared" si="381"/>
        <v/>
      </c>
      <c r="AG377" s="32" t="str">
        <f t="shared" si="381"/>
        <v/>
      </c>
      <c r="AH377" s="33"/>
    </row>
    <row r="378" hidden="1" outlineLevel="2" collapsed="1">
      <c r="A378" s="16" t="b">
        <v>0</v>
      </c>
      <c r="B378" s="17"/>
      <c r="C378" s="18"/>
      <c r="D378" s="41">
        <v>45243.0</v>
      </c>
      <c r="E378" s="20" t="s">
        <v>24</v>
      </c>
      <c r="F378" s="21" t="s">
        <v>52</v>
      </c>
      <c r="G378" s="23">
        <v>2.0</v>
      </c>
      <c r="H378" s="23">
        <v>1.0</v>
      </c>
      <c r="I378" s="23">
        <v>2.0</v>
      </c>
      <c r="J378" s="23"/>
      <c r="K378" s="23"/>
      <c r="L378" s="23"/>
      <c r="M378" s="23"/>
      <c r="N378" s="23"/>
      <c r="O378" s="24"/>
      <c r="P378" s="16" t="b">
        <v>0</v>
      </c>
      <c r="Q378" s="24"/>
      <c r="R378" s="26">
        <v>5.0</v>
      </c>
      <c r="S378" s="26">
        <v>27.09</v>
      </c>
      <c r="T378" s="27" t="s">
        <v>350</v>
      </c>
      <c r="U378" s="24"/>
      <c r="V378" s="28"/>
      <c r="W378" s="29"/>
      <c r="X378" s="30"/>
      <c r="Y378" s="31"/>
      <c r="Z378" s="26">
        <f t="shared" si="5"/>
        <v>-2</v>
      </c>
      <c r="AA378" s="26">
        <f t="shared" si="6"/>
        <v>-2</v>
      </c>
      <c r="AB378" s="32">
        <f t="shared" si="7"/>
        <v>-1</v>
      </c>
      <c r="AC378" s="32" t="str">
        <f t="shared" ref="AC378:AG378" si="382">IF(J378&lt;&gt;"", IF(AND($P378=FALSE, $A378=FALSE), -J378, IF(AND($P378=FALSE, $A378=TRUE), 0, IF($P378=TRUE, (J378 / $R378) * 100 * ($S378 / 100)-J378, ))), )</f>
        <v/>
      </c>
      <c r="AD378" s="32" t="str">
        <f t="shared" si="382"/>
        <v/>
      </c>
      <c r="AE378" s="32" t="str">
        <f t="shared" si="382"/>
        <v/>
      </c>
      <c r="AF378" s="32" t="str">
        <f t="shared" si="382"/>
        <v/>
      </c>
      <c r="AG378" s="32" t="str">
        <f t="shared" si="382"/>
        <v/>
      </c>
      <c r="AH378" s="33"/>
    </row>
    <row r="379" hidden="1" outlineLevel="3">
      <c r="A379" s="16" t="b">
        <v>0</v>
      </c>
      <c r="B379" s="17"/>
      <c r="C379" s="18"/>
      <c r="D379" s="34"/>
      <c r="E379" s="20"/>
      <c r="F379" s="34"/>
      <c r="G379" s="23"/>
      <c r="H379" s="23"/>
      <c r="I379" s="23"/>
      <c r="J379" s="23"/>
      <c r="K379" s="23"/>
      <c r="L379" s="23"/>
      <c r="M379" s="23"/>
      <c r="N379" s="23"/>
      <c r="O379" s="24"/>
      <c r="P379" s="16" t="b">
        <v>0</v>
      </c>
      <c r="Q379" s="24"/>
      <c r="R379" s="26"/>
      <c r="S379" s="26"/>
      <c r="T379" s="35"/>
      <c r="U379" s="24"/>
      <c r="V379" s="28" t="s">
        <v>32</v>
      </c>
      <c r="W379" s="29" t="s">
        <v>22</v>
      </c>
      <c r="X379" s="37" t="s">
        <v>351</v>
      </c>
      <c r="Y379" s="31"/>
      <c r="Z379" s="26" t="str">
        <f t="shared" si="5"/>
        <v/>
      </c>
      <c r="AA379" s="26" t="str">
        <f t="shared" si="6"/>
        <v/>
      </c>
      <c r="AB379" s="32" t="str">
        <f t="shared" si="7"/>
        <v/>
      </c>
      <c r="AC379" s="32" t="str">
        <f t="shared" ref="AC379:AG379" si="383">IF(J379&lt;&gt;"", IF(AND($P379=FALSE, $A379=FALSE), -J379, IF(AND($P379=FALSE, $A379=TRUE), 0, IF($P379=TRUE, (J379 / $R379) * 100 * ($S379 / 100)-J379, ))), )</f>
        <v/>
      </c>
      <c r="AD379" s="32" t="str">
        <f t="shared" si="383"/>
        <v/>
      </c>
      <c r="AE379" s="32" t="str">
        <f t="shared" si="383"/>
        <v/>
      </c>
      <c r="AF379" s="32" t="str">
        <f t="shared" si="383"/>
        <v/>
      </c>
      <c r="AG379" s="32" t="str">
        <f t="shared" si="383"/>
        <v/>
      </c>
      <c r="AH379" s="33"/>
    </row>
    <row r="380" hidden="1" outlineLevel="3">
      <c r="A380" s="16" t="b">
        <v>0</v>
      </c>
      <c r="B380" s="17"/>
      <c r="C380" s="18"/>
      <c r="D380" s="34"/>
      <c r="E380" s="20"/>
      <c r="F380" s="34"/>
      <c r="G380" s="23"/>
      <c r="H380" s="23"/>
      <c r="I380" s="23"/>
      <c r="J380" s="23"/>
      <c r="K380" s="23"/>
      <c r="L380" s="23"/>
      <c r="M380" s="23"/>
      <c r="N380" s="23"/>
      <c r="O380" s="24"/>
      <c r="P380" s="16" t="b">
        <v>0</v>
      </c>
      <c r="Q380" s="24"/>
      <c r="R380" s="26"/>
      <c r="S380" s="26"/>
      <c r="T380" s="35"/>
      <c r="U380" s="24"/>
      <c r="V380" s="28" t="s">
        <v>32</v>
      </c>
      <c r="W380" s="29" t="s">
        <v>22</v>
      </c>
      <c r="X380" s="37" t="s">
        <v>136</v>
      </c>
      <c r="Y380" s="31"/>
      <c r="Z380" s="26" t="str">
        <f t="shared" si="5"/>
        <v/>
      </c>
      <c r="AA380" s="26" t="str">
        <f t="shared" si="6"/>
        <v/>
      </c>
      <c r="AB380" s="32" t="str">
        <f t="shared" si="7"/>
        <v/>
      </c>
      <c r="AC380" s="32" t="str">
        <f t="shared" ref="AC380:AG380" si="384">IF(J380&lt;&gt;"", IF(AND($P380=FALSE, $A380=FALSE), -J380, IF(AND($P380=FALSE, $A380=TRUE), 0, IF($P380=TRUE, (J380 / $R380) * 100 * ($S380 / 100)-J380, ))), )</f>
        <v/>
      </c>
      <c r="AD380" s="32" t="str">
        <f t="shared" si="384"/>
        <v/>
      </c>
      <c r="AE380" s="32" t="str">
        <f t="shared" si="384"/>
        <v/>
      </c>
      <c r="AF380" s="32" t="str">
        <f t="shared" si="384"/>
        <v/>
      </c>
      <c r="AG380" s="32" t="str">
        <f t="shared" si="384"/>
        <v/>
      </c>
      <c r="AH380" s="33"/>
    </row>
    <row r="381" hidden="1" outlineLevel="3">
      <c r="A381" s="16" t="b">
        <v>0</v>
      </c>
      <c r="B381" s="17"/>
      <c r="C381" s="18"/>
      <c r="D381" s="34"/>
      <c r="E381" s="20"/>
      <c r="F381" s="34"/>
      <c r="G381" s="23"/>
      <c r="H381" s="23"/>
      <c r="I381" s="23"/>
      <c r="J381" s="23"/>
      <c r="K381" s="23"/>
      <c r="L381" s="23"/>
      <c r="M381" s="23"/>
      <c r="N381" s="23"/>
      <c r="O381" s="24"/>
      <c r="P381" s="16" t="b">
        <v>0</v>
      </c>
      <c r="Q381" s="24"/>
      <c r="R381" s="26"/>
      <c r="S381" s="26"/>
      <c r="T381" s="35"/>
      <c r="U381" s="24"/>
      <c r="V381" s="28" t="s">
        <v>32</v>
      </c>
      <c r="W381" s="29" t="s">
        <v>22</v>
      </c>
      <c r="X381" s="37" t="s">
        <v>135</v>
      </c>
      <c r="Y381" s="31"/>
      <c r="Z381" s="26" t="str">
        <f t="shared" si="5"/>
        <v/>
      </c>
      <c r="AA381" s="26" t="str">
        <f t="shared" si="6"/>
        <v/>
      </c>
      <c r="AB381" s="32" t="str">
        <f t="shared" si="7"/>
        <v/>
      </c>
      <c r="AC381" s="32" t="str">
        <f t="shared" ref="AC381:AG381" si="385">IF(J381&lt;&gt;"", IF(AND($P381=FALSE, $A381=FALSE), -J381, IF(AND($P381=FALSE, $A381=TRUE), 0, IF($P381=TRUE, (J381 / $R381) * 100 * ($S381 / 100)-J381, ))), )</f>
        <v/>
      </c>
      <c r="AD381" s="32" t="str">
        <f t="shared" si="385"/>
        <v/>
      </c>
      <c r="AE381" s="32" t="str">
        <f t="shared" si="385"/>
        <v/>
      </c>
      <c r="AF381" s="32" t="str">
        <f t="shared" si="385"/>
        <v/>
      </c>
      <c r="AG381" s="32" t="str">
        <f t="shared" si="385"/>
        <v/>
      </c>
      <c r="AH381" s="33"/>
    </row>
    <row r="382" hidden="1" outlineLevel="3">
      <c r="A382" s="16" t="b">
        <v>0</v>
      </c>
      <c r="B382" s="17"/>
      <c r="C382" s="18"/>
      <c r="D382" s="34"/>
      <c r="E382" s="20"/>
      <c r="F382" s="34"/>
      <c r="G382" s="23"/>
      <c r="H382" s="23"/>
      <c r="I382" s="23"/>
      <c r="J382" s="23"/>
      <c r="K382" s="23"/>
      <c r="L382" s="23"/>
      <c r="M382" s="23"/>
      <c r="N382" s="23"/>
      <c r="O382" s="24"/>
      <c r="P382" s="16" t="b">
        <v>0</v>
      </c>
      <c r="Q382" s="24"/>
      <c r="R382" s="26"/>
      <c r="S382" s="26"/>
      <c r="T382" s="35"/>
      <c r="U382" s="24"/>
      <c r="V382" s="38" t="s">
        <v>29</v>
      </c>
      <c r="W382" s="29" t="s">
        <v>22</v>
      </c>
      <c r="X382" s="37" t="s">
        <v>352</v>
      </c>
      <c r="Y382" s="31"/>
      <c r="Z382" s="26" t="str">
        <f t="shared" si="5"/>
        <v/>
      </c>
      <c r="AA382" s="26" t="str">
        <f t="shared" si="6"/>
        <v/>
      </c>
      <c r="AB382" s="32" t="str">
        <f t="shared" si="7"/>
        <v/>
      </c>
      <c r="AC382" s="32" t="str">
        <f t="shared" ref="AC382:AG382" si="386">IF(J382&lt;&gt;"", IF(AND($P382=FALSE, $A382=FALSE), -J382, IF(AND($P382=FALSE, $A382=TRUE), 0, IF($P382=TRUE, (J382 / $R382) * 100 * ($S382 / 100)-J382, ))), )</f>
        <v/>
      </c>
      <c r="AD382" s="32" t="str">
        <f t="shared" si="386"/>
        <v/>
      </c>
      <c r="AE382" s="32" t="str">
        <f t="shared" si="386"/>
        <v/>
      </c>
      <c r="AF382" s="32" t="str">
        <f t="shared" si="386"/>
        <v/>
      </c>
      <c r="AG382" s="32" t="str">
        <f t="shared" si="386"/>
        <v/>
      </c>
      <c r="AH382" s="33"/>
    </row>
    <row r="383" hidden="1" outlineLevel="3">
      <c r="A383" s="16" t="b">
        <v>0</v>
      </c>
      <c r="B383" s="17"/>
      <c r="C383" s="18"/>
      <c r="D383" s="34"/>
      <c r="E383" s="20"/>
      <c r="F383" s="34"/>
      <c r="G383" s="23"/>
      <c r="H383" s="23"/>
      <c r="I383" s="23"/>
      <c r="J383" s="23"/>
      <c r="K383" s="23"/>
      <c r="L383" s="23"/>
      <c r="M383" s="23"/>
      <c r="N383" s="23"/>
      <c r="O383" s="24"/>
      <c r="P383" s="16" t="b">
        <v>0</v>
      </c>
      <c r="Q383" s="24"/>
      <c r="R383" s="26"/>
      <c r="S383" s="26"/>
      <c r="T383" s="35"/>
      <c r="U383" s="24"/>
      <c r="V383" s="38" t="s">
        <v>29</v>
      </c>
      <c r="W383" s="29" t="s">
        <v>22</v>
      </c>
      <c r="X383" s="37" t="s">
        <v>353</v>
      </c>
      <c r="Y383" s="31"/>
      <c r="Z383" s="26" t="str">
        <f t="shared" si="5"/>
        <v/>
      </c>
      <c r="AA383" s="26" t="str">
        <f t="shared" si="6"/>
        <v/>
      </c>
      <c r="AB383" s="32" t="str">
        <f t="shared" si="7"/>
        <v/>
      </c>
      <c r="AC383" s="32" t="str">
        <f t="shared" ref="AC383:AG383" si="387">IF(J383&lt;&gt;"", IF(AND($P383=FALSE, $A383=FALSE), -J383, IF(AND($P383=FALSE, $A383=TRUE), 0, IF($P383=TRUE, (J383 / $R383) * 100 * ($S383 / 100)-J383, ))), )</f>
        <v/>
      </c>
      <c r="AD383" s="32" t="str">
        <f t="shared" si="387"/>
        <v/>
      </c>
      <c r="AE383" s="32" t="str">
        <f t="shared" si="387"/>
        <v/>
      </c>
      <c r="AF383" s="32" t="str">
        <f t="shared" si="387"/>
        <v/>
      </c>
      <c r="AG383" s="32" t="str">
        <f t="shared" si="387"/>
        <v/>
      </c>
      <c r="AH383" s="33"/>
    </row>
    <row r="384" hidden="1" outlineLevel="3">
      <c r="A384" s="16" t="b">
        <v>0</v>
      </c>
      <c r="B384" s="17"/>
      <c r="C384" s="18"/>
      <c r="D384" s="34"/>
      <c r="E384" s="20"/>
      <c r="F384" s="34"/>
      <c r="G384" s="23"/>
      <c r="H384" s="23"/>
      <c r="I384" s="23"/>
      <c r="J384" s="23"/>
      <c r="K384" s="23"/>
      <c r="L384" s="23"/>
      <c r="M384" s="23"/>
      <c r="N384" s="23"/>
      <c r="O384" s="24"/>
      <c r="P384" s="16" t="b">
        <v>0</v>
      </c>
      <c r="Q384" s="24"/>
      <c r="R384" s="26"/>
      <c r="S384" s="26"/>
      <c r="T384" s="35"/>
      <c r="U384" s="24"/>
      <c r="V384" s="38" t="s">
        <v>29</v>
      </c>
      <c r="W384" s="29" t="s">
        <v>22</v>
      </c>
      <c r="X384" s="37" t="s">
        <v>354</v>
      </c>
      <c r="Y384" s="31"/>
      <c r="Z384" s="26" t="str">
        <f t="shared" si="5"/>
        <v/>
      </c>
      <c r="AA384" s="26" t="str">
        <f t="shared" si="6"/>
        <v/>
      </c>
      <c r="AB384" s="32" t="str">
        <f t="shared" si="7"/>
        <v/>
      </c>
      <c r="AC384" s="32" t="str">
        <f t="shared" ref="AC384:AG384" si="388">IF(J384&lt;&gt;"", IF(AND($P384=FALSE, $A384=FALSE), -J384, IF(AND($P384=FALSE, $A384=TRUE), 0, IF($P384=TRUE, (J384 / $R384) * 100 * ($S384 / 100)-J384, ))), )</f>
        <v/>
      </c>
      <c r="AD384" s="32" t="str">
        <f t="shared" si="388"/>
        <v/>
      </c>
      <c r="AE384" s="32" t="str">
        <f t="shared" si="388"/>
        <v/>
      </c>
      <c r="AF384" s="32" t="str">
        <f t="shared" si="388"/>
        <v/>
      </c>
      <c r="AG384" s="32" t="str">
        <f t="shared" si="388"/>
        <v/>
      </c>
      <c r="AH384" s="33"/>
    </row>
    <row r="385" hidden="1" outlineLevel="2" collapsed="1">
      <c r="A385" s="16" t="b">
        <v>0</v>
      </c>
      <c r="B385" s="17"/>
      <c r="C385" s="18"/>
      <c r="D385" s="41">
        <v>45243.0</v>
      </c>
      <c r="E385" s="20" t="s">
        <v>24</v>
      </c>
      <c r="F385" s="21" t="s">
        <v>52</v>
      </c>
      <c r="G385" s="23">
        <v>3.0</v>
      </c>
      <c r="H385" s="23">
        <v>1.5</v>
      </c>
      <c r="I385" s="23">
        <v>5.5</v>
      </c>
      <c r="J385" s="23"/>
      <c r="K385" s="23"/>
      <c r="L385" s="23"/>
      <c r="M385" s="23"/>
      <c r="N385" s="23"/>
      <c r="O385" s="24"/>
      <c r="P385" s="16" t="b">
        <v>0</v>
      </c>
      <c r="Q385" s="24"/>
      <c r="R385" s="26">
        <v>10.0</v>
      </c>
      <c r="S385" s="26">
        <v>23.52</v>
      </c>
      <c r="T385" s="27" t="s">
        <v>355</v>
      </c>
      <c r="U385" s="24"/>
      <c r="V385" s="28"/>
      <c r="W385" s="29"/>
      <c r="X385" s="30"/>
      <c r="Y385" s="31"/>
      <c r="Z385" s="26">
        <f t="shared" si="5"/>
        <v>-3</v>
      </c>
      <c r="AA385" s="26">
        <f t="shared" si="6"/>
        <v>-5.5</v>
      </c>
      <c r="AB385" s="32">
        <f t="shared" si="7"/>
        <v>-1.5</v>
      </c>
      <c r="AC385" s="32" t="str">
        <f t="shared" ref="AC385:AG385" si="389">IF(J385&lt;&gt;"", IF(AND($P385=FALSE, $A385=FALSE), -J385, IF(AND($P385=FALSE, $A385=TRUE), 0, IF($P385=TRUE, (J385 / $R385) * 100 * ($S385 / 100)-J385, ))), )</f>
        <v/>
      </c>
      <c r="AD385" s="32" t="str">
        <f t="shared" si="389"/>
        <v/>
      </c>
      <c r="AE385" s="32" t="str">
        <f t="shared" si="389"/>
        <v/>
      </c>
      <c r="AF385" s="32" t="str">
        <f t="shared" si="389"/>
        <v/>
      </c>
      <c r="AG385" s="32" t="str">
        <f t="shared" si="389"/>
        <v/>
      </c>
      <c r="AH385" s="33"/>
    </row>
    <row r="386" hidden="1" outlineLevel="3">
      <c r="A386" s="16" t="b">
        <v>0</v>
      </c>
      <c r="B386" s="17"/>
      <c r="C386" s="18"/>
      <c r="D386" s="34"/>
      <c r="E386" s="20"/>
      <c r="F386" s="34"/>
      <c r="G386" s="23"/>
      <c r="H386" s="23"/>
      <c r="I386" s="23"/>
      <c r="J386" s="23"/>
      <c r="K386" s="23"/>
      <c r="L386" s="23"/>
      <c r="M386" s="23"/>
      <c r="N386" s="23"/>
      <c r="O386" s="24"/>
      <c r="P386" s="16" t="b">
        <v>0</v>
      </c>
      <c r="Q386" s="24"/>
      <c r="R386" s="26"/>
      <c r="S386" s="26"/>
      <c r="T386" s="35"/>
      <c r="U386" s="24"/>
      <c r="V386" s="38" t="s">
        <v>29</v>
      </c>
      <c r="W386" s="29" t="s">
        <v>22</v>
      </c>
      <c r="X386" s="37" t="s">
        <v>356</v>
      </c>
      <c r="Y386" s="31"/>
      <c r="Z386" s="26" t="str">
        <f t="shared" si="5"/>
        <v/>
      </c>
      <c r="AA386" s="26" t="str">
        <f t="shared" si="6"/>
        <v/>
      </c>
      <c r="AB386" s="32" t="str">
        <f t="shared" si="7"/>
        <v/>
      </c>
      <c r="AC386" s="32" t="str">
        <f t="shared" ref="AC386:AG386" si="390">IF(J386&lt;&gt;"", IF(AND($P386=FALSE, $A386=FALSE), -J386, IF(AND($P386=FALSE, $A386=TRUE), 0, IF($P386=TRUE, (J386 / $R386) * 100 * ($S386 / 100)-J386, ))), )</f>
        <v/>
      </c>
      <c r="AD386" s="32" t="str">
        <f t="shared" si="390"/>
        <v/>
      </c>
      <c r="AE386" s="32" t="str">
        <f t="shared" si="390"/>
        <v/>
      </c>
      <c r="AF386" s="32" t="str">
        <f t="shared" si="390"/>
        <v/>
      </c>
      <c r="AG386" s="32" t="str">
        <f t="shared" si="390"/>
        <v/>
      </c>
      <c r="AH386" s="33"/>
    </row>
    <row r="387" hidden="1" outlineLevel="3">
      <c r="A387" s="16" t="b">
        <v>0</v>
      </c>
      <c r="B387" s="17"/>
      <c r="C387" s="18"/>
      <c r="D387" s="34"/>
      <c r="E387" s="20"/>
      <c r="F387" s="34"/>
      <c r="G387" s="23"/>
      <c r="H387" s="23"/>
      <c r="I387" s="23"/>
      <c r="J387" s="23"/>
      <c r="K387" s="23"/>
      <c r="L387" s="23"/>
      <c r="M387" s="23"/>
      <c r="N387" s="23"/>
      <c r="O387" s="24"/>
      <c r="P387" s="16" t="b">
        <v>0</v>
      </c>
      <c r="Q387" s="24"/>
      <c r="R387" s="26"/>
      <c r="S387" s="26"/>
      <c r="T387" s="35"/>
      <c r="U387" s="24"/>
      <c r="V387" s="28" t="s">
        <v>32</v>
      </c>
      <c r="W387" s="29" t="s">
        <v>22</v>
      </c>
      <c r="X387" s="37" t="s">
        <v>348</v>
      </c>
      <c r="Y387" s="31"/>
      <c r="Z387" s="26" t="str">
        <f t="shared" si="5"/>
        <v/>
      </c>
      <c r="AA387" s="26" t="str">
        <f t="shared" si="6"/>
        <v/>
      </c>
      <c r="AB387" s="32" t="str">
        <f t="shared" si="7"/>
        <v/>
      </c>
      <c r="AC387" s="32" t="str">
        <f t="shared" ref="AC387:AG387" si="391">IF(J387&lt;&gt;"", IF(AND($P387=FALSE, $A387=FALSE), -J387, IF(AND($P387=FALSE, $A387=TRUE), 0, IF($P387=TRUE, (J387 / $R387) * 100 * ($S387 / 100)-J387, ))), )</f>
        <v/>
      </c>
      <c r="AD387" s="32" t="str">
        <f t="shared" si="391"/>
        <v/>
      </c>
      <c r="AE387" s="32" t="str">
        <f t="shared" si="391"/>
        <v/>
      </c>
      <c r="AF387" s="32" t="str">
        <f t="shared" si="391"/>
        <v/>
      </c>
      <c r="AG387" s="32" t="str">
        <f t="shared" si="391"/>
        <v/>
      </c>
      <c r="AH387" s="33"/>
    </row>
    <row r="388" hidden="1" outlineLevel="3">
      <c r="A388" s="16" t="b">
        <v>0</v>
      </c>
      <c r="B388" s="17"/>
      <c r="C388" s="18"/>
      <c r="D388" s="34"/>
      <c r="E388" s="20"/>
      <c r="F388" s="34"/>
      <c r="G388" s="23"/>
      <c r="H388" s="23"/>
      <c r="I388" s="23"/>
      <c r="J388" s="23"/>
      <c r="K388" s="23"/>
      <c r="L388" s="23"/>
      <c r="M388" s="23"/>
      <c r="N388" s="23"/>
      <c r="O388" s="24"/>
      <c r="P388" s="16" t="b">
        <v>0</v>
      </c>
      <c r="Q388" s="24"/>
      <c r="R388" s="26"/>
      <c r="S388" s="26"/>
      <c r="T388" s="35"/>
      <c r="U388" s="24"/>
      <c r="V388" s="38" t="s">
        <v>29</v>
      </c>
      <c r="W388" s="29" t="s">
        <v>22</v>
      </c>
      <c r="X388" s="37" t="s">
        <v>148</v>
      </c>
      <c r="Y388" s="31"/>
      <c r="Z388" s="26" t="str">
        <f t="shared" si="5"/>
        <v/>
      </c>
      <c r="AA388" s="26" t="str">
        <f t="shared" si="6"/>
        <v/>
      </c>
      <c r="AB388" s="32" t="str">
        <f t="shared" si="7"/>
        <v/>
      </c>
      <c r="AC388" s="32" t="str">
        <f t="shared" ref="AC388:AG388" si="392">IF(J388&lt;&gt;"", IF(AND($P388=FALSE, $A388=FALSE), -J388, IF(AND($P388=FALSE, $A388=TRUE), 0, IF($P388=TRUE, (J388 / $R388) * 100 * ($S388 / 100)-J388, ))), )</f>
        <v/>
      </c>
      <c r="AD388" s="32" t="str">
        <f t="shared" si="392"/>
        <v/>
      </c>
      <c r="AE388" s="32" t="str">
        <f t="shared" si="392"/>
        <v/>
      </c>
      <c r="AF388" s="32" t="str">
        <f t="shared" si="392"/>
        <v/>
      </c>
      <c r="AG388" s="32" t="str">
        <f t="shared" si="392"/>
        <v/>
      </c>
      <c r="AH388" s="33"/>
    </row>
    <row r="389" hidden="1" outlineLevel="3">
      <c r="A389" s="16" t="b">
        <v>0</v>
      </c>
      <c r="B389" s="17"/>
      <c r="C389" s="18"/>
      <c r="D389" s="34"/>
      <c r="E389" s="20"/>
      <c r="F389" s="34"/>
      <c r="G389" s="23"/>
      <c r="H389" s="23"/>
      <c r="I389" s="23"/>
      <c r="J389" s="23"/>
      <c r="K389" s="23"/>
      <c r="L389" s="23"/>
      <c r="M389" s="23"/>
      <c r="N389" s="23"/>
      <c r="O389" s="24"/>
      <c r="P389" s="16" t="b">
        <v>0</v>
      </c>
      <c r="Q389" s="24"/>
      <c r="R389" s="26"/>
      <c r="S389" s="26"/>
      <c r="T389" s="35"/>
      <c r="U389" s="24"/>
      <c r="V389" s="28" t="s">
        <v>32</v>
      </c>
      <c r="W389" s="29" t="s">
        <v>22</v>
      </c>
      <c r="X389" s="37" t="s">
        <v>357</v>
      </c>
      <c r="Y389" s="31"/>
      <c r="Z389" s="26" t="str">
        <f t="shared" si="5"/>
        <v/>
      </c>
      <c r="AA389" s="26" t="str">
        <f t="shared" si="6"/>
        <v/>
      </c>
      <c r="AB389" s="32" t="str">
        <f t="shared" si="7"/>
        <v/>
      </c>
      <c r="AC389" s="32" t="str">
        <f t="shared" ref="AC389:AG389" si="393">IF(J389&lt;&gt;"", IF(AND($P389=FALSE, $A389=FALSE), -J389, IF(AND($P389=FALSE, $A389=TRUE), 0, IF($P389=TRUE, (J389 / $R389) * 100 * ($S389 / 100)-J389, ))), )</f>
        <v/>
      </c>
      <c r="AD389" s="32" t="str">
        <f t="shared" si="393"/>
        <v/>
      </c>
      <c r="AE389" s="32" t="str">
        <f t="shared" si="393"/>
        <v/>
      </c>
      <c r="AF389" s="32" t="str">
        <f t="shared" si="393"/>
        <v/>
      </c>
      <c r="AG389" s="32" t="str">
        <f t="shared" si="393"/>
        <v/>
      </c>
      <c r="AH389" s="33"/>
    </row>
    <row r="390" hidden="1" outlineLevel="2" collapsed="1">
      <c r="A390" s="16" t="b">
        <v>0</v>
      </c>
      <c r="B390" s="17"/>
      <c r="C390" s="18"/>
      <c r="D390" s="41">
        <v>45243.0</v>
      </c>
      <c r="E390" s="20" t="s">
        <v>60</v>
      </c>
      <c r="F390" s="21" t="s">
        <v>61</v>
      </c>
      <c r="G390" s="23">
        <v>2.0</v>
      </c>
      <c r="H390" s="23">
        <v>1.0</v>
      </c>
      <c r="I390" s="23">
        <v>2.0</v>
      </c>
      <c r="J390" s="23"/>
      <c r="K390" s="23"/>
      <c r="L390" s="23"/>
      <c r="M390" s="23"/>
      <c r="N390" s="23"/>
      <c r="O390" s="24"/>
      <c r="P390" s="16" t="b">
        <v>1</v>
      </c>
      <c r="Q390" s="24"/>
      <c r="R390" s="26">
        <v>5.0</v>
      </c>
      <c r="S390" s="26">
        <v>11.79</v>
      </c>
      <c r="T390" s="27" t="s">
        <v>243</v>
      </c>
      <c r="U390" s="24"/>
      <c r="V390" s="28"/>
      <c r="W390" s="29"/>
      <c r="X390" s="30"/>
      <c r="Y390" s="31"/>
      <c r="Z390" s="26">
        <f t="shared" si="5"/>
        <v>2.716</v>
      </c>
      <c r="AA390" s="26">
        <f t="shared" si="6"/>
        <v>2.716</v>
      </c>
      <c r="AB390" s="32">
        <f t="shared" si="7"/>
        <v>1.358</v>
      </c>
      <c r="AC390" s="32" t="str">
        <f t="shared" ref="AC390:AG390" si="394">IF(J390&lt;&gt;"", IF(AND($P390=FALSE, $A390=FALSE), -J390, IF(AND($P390=FALSE, $A390=TRUE), 0, IF($P390=TRUE, (J390 / $R390) * 100 * ($S390 / 100)-J390, ))), )</f>
        <v/>
      </c>
      <c r="AD390" s="32" t="str">
        <f t="shared" si="394"/>
        <v/>
      </c>
      <c r="AE390" s="32" t="str">
        <f t="shared" si="394"/>
        <v/>
      </c>
      <c r="AF390" s="32" t="str">
        <f t="shared" si="394"/>
        <v/>
      </c>
      <c r="AG390" s="32" t="str">
        <f t="shared" si="394"/>
        <v/>
      </c>
      <c r="AH390" s="33"/>
    </row>
    <row r="391" hidden="1" outlineLevel="3">
      <c r="A391" s="16" t="b">
        <v>0</v>
      </c>
      <c r="B391" s="17"/>
      <c r="C391" s="18"/>
      <c r="D391" s="34"/>
      <c r="E391" s="20"/>
      <c r="F391" s="34"/>
      <c r="G391" s="23"/>
      <c r="H391" s="23"/>
      <c r="I391" s="23"/>
      <c r="J391" s="23"/>
      <c r="K391" s="23"/>
      <c r="L391" s="23"/>
      <c r="M391" s="23"/>
      <c r="N391" s="23"/>
      <c r="O391" s="24"/>
      <c r="P391" s="16" t="b">
        <v>0</v>
      </c>
      <c r="Q391" s="24"/>
      <c r="R391" s="26"/>
      <c r="S391" s="26"/>
      <c r="T391" s="35"/>
      <c r="U391" s="24"/>
      <c r="V391" s="38" t="s">
        <v>29</v>
      </c>
      <c r="W391" s="29" t="s">
        <v>22</v>
      </c>
      <c r="X391" s="37" t="s">
        <v>222</v>
      </c>
      <c r="Y391" s="31"/>
      <c r="Z391" s="26" t="str">
        <f t="shared" si="5"/>
        <v/>
      </c>
      <c r="AA391" s="26" t="str">
        <f t="shared" si="6"/>
        <v/>
      </c>
      <c r="AB391" s="32" t="str">
        <f t="shared" si="7"/>
        <v/>
      </c>
      <c r="AC391" s="32" t="str">
        <f t="shared" ref="AC391:AG391" si="395">IF(J391&lt;&gt;"", IF(AND($P391=FALSE, $A391=FALSE), -J391, IF(AND($P391=FALSE, $A391=TRUE), 0, IF($P391=TRUE, (J391 / $R391) * 100 * ($S391 / 100)-J391, ))), )</f>
        <v/>
      </c>
      <c r="AD391" s="32" t="str">
        <f t="shared" si="395"/>
        <v/>
      </c>
      <c r="AE391" s="32" t="str">
        <f t="shared" si="395"/>
        <v/>
      </c>
      <c r="AF391" s="32" t="str">
        <f t="shared" si="395"/>
        <v/>
      </c>
      <c r="AG391" s="32" t="str">
        <f t="shared" si="395"/>
        <v/>
      </c>
      <c r="AH391" s="33"/>
    </row>
    <row r="392" hidden="1" outlineLevel="3">
      <c r="A392" s="16" t="b">
        <v>0</v>
      </c>
      <c r="B392" s="17"/>
      <c r="C392" s="18"/>
      <c r="D392" s="34"/>
      <c r="E392" s="20"/>
      <c r="F392" s="34"/>
      <c r="G392" s="23"/>
      <c r="H392" s="23"/>
      <c r="I392" s="23"/>
      <c r="J392" s="23"/>
      <c r="K392" s="23"/>
      <c r="L392" s="23"/>
      <c r="M392" s="23"/>
      <c r="N392" s="23"/>
      <c r="O392" s="24"/>
      <c r="P392" s="16" t="b">
        <v>0</v>
      </c>
      <c r="Q392" s="24"/>
      <c r="R392" s="26"/>
      <c r="S392" s="26"/>
      <c r="T392" s="35"/>
      <c r="U392" s="24"/>
      <c r="V392" s="65" t="s">
        <v>358</v>
      </c>
      <c r="W392" s="29" t="s">
        <v>22</v>
      </c>
      <c r="X392" s="37" t="s">
        <v>359</v>
      </c>
      <c r="Y392" s="31"/>
      <c r="Z392" s="26" t="str">
        <f t="shared" si="5"/>
        <v/>
      </c>
      <c r="AA392" s="26" t="str">
        <f t="shared" si="6"/>
        <v/>
      </c>
      <c r="AB392" s="32" t="str">
        <f t="shared" si="7"/>
        <v/>
      </c>
      <c r="AC392" s="32" t="str">
        <f t="shared" ref="AC392:AG392" si="396">IF(J392&lt;&gt;"", IF(AND($P392=FALSE, $A392=FALSE), -J392, IF(AND($P392=FALSE, $A392=TRUE), 0, IF($P392=TRUE, (J392 / $R392) * 100 * ($S392 / 100)-J392, ))), )</f>
        <v/>
      </c>
      <c r="AD392" s="32" t="str">
        <f t="shared" si="396"/>
        <v/>
      </c>
      <c r="AE392" s="32" t="str">
        <f t="shared" si="396"/>
        <v/>
      </c>
      <c r="AF392" s="32" t="str">
        <f t="shared" si="396"/>
        <v/>
      </c>
      <c r="AG392" s="32" t="str">
        <f t="shared" si="396"/>
        <v/>
      </c>
      <c r="AH392" s="33"/>
    </row>
    <row r="393" hidden="1" outlineLevel="3">
      <c r="A393" s="16" t="b">
        <v>0</v>
      </c>
      <c r="B393" s="17"/>
      <c r="C393" s="18"/>
      <c r="D393" s="34"/>
      <c r="E393" s="20"/>
      <c r="F393" s="34"/>
      <c r="G393" s="23"/>
      <c r="H393" s="23"/>
      <c r="I393" s="23"/>
      <c r="J393" s="23"/>
      <c r="K393" s="23"/>
      <c r="L393" s="23"/>
      <c r="M393" s="23"/>
      <c r="N393" s="23"/>
      <c r="O393" s="24"/>
      <c r="P393" s="16" t="b">
        <v>0</v>
      </c>
      <c r="Q393" s="24"/>
      <c r="R393" s="26"/>
      <c r="S393" s="26"/>
      <c r="T393" s="35"/>
      <c r="U393" s="24"/>
      <c r="V393" s="38" t="s">
        <v>29</v>
      </c>
      <c r="W393" s="29" t="s">
        <v>22</v>
      </c>
      <c r="X393" s="37" t="s">
        <v>360</v>
      </c>
      <c r="Y393" s="31"/>
      <c r="Z393" s="26" t="str">
        <f t="shared" si="5"/>
        <v/>
      </c>
      <c r="AA393" s="26" t="str">
        <f t="shared" si="6"/>
        <v/>
      </c>
      <c r="AB393" s="32" t="str">
        <f t="shared" si="7"/>
        <v/>
      </c>
      <c r="AC393" s="32" t="str">
        <f t="shared" ref="AC393:AG393" si="397">IF(J393&lt;&gt;"", IF(AND($P393=FALSE, $A393=FALSE), -J393, IF(AND($P393=FALSE, $A393=TRUE), 0, IF($P393=TRUE, (J393 / $R393) * 100 * ($S393 / 100)-J393, ))), )</f>
        <v/>
      </c>
      <c r="AD393" s="32" t="str">
        <f t="shared" si="397"/>
        <v/>
      </c>
      <c r="AE393" s="32" t="str">
        <f t="shared" si="397"/>
        <v/>
      </c>
      <c r="AF393" s="32" t="str">
        <f t="shared" si="397"/>
        <v/>
      </c>
      <c r="AG393" s="32" t="str">
        <f t="shared" si="397"/>
        <v/>
      </c>
      <c r="AH393" s="33"/>
    </row>
    <row r="394" hidden="1" outlineLevel="2" collapsed="1">
      <c r="A394" s="16" t="b">
        <v>0</v>
      </c>
      <c r="B394" s="17"/>
      <c r="C394" s="18"/>
      <c r="D394" s="41">
        <v>45243.0</v>
      </c>
      <c r="E394" s="20" t="s">
        <v>60</v>
      </c>
      <c r="F394" s="21" t="s">
        <v>61</v>
      </c>
      <c r="G394" s="23">
        <v>2.0</v>
      </c>
      <c r="H394" s="23">
        <v>1.0</v>
      </c>
      <c r="I394" s="23">
        <v>2.0</v>
      </c>
      <c r="J394" s="23"/>
      <c r="K394" s="23"/>
      <c r="L394" s="23"/>
      <c r="M394" s="23"/>
      <c r="N394" s="23"/>
      <c r="O394" s="24"/>
      <c r="P394" s="16" t="b">
        <v>0</v>
      </c>
      <c r="Q394" s="24"/>
      <c r="R394" s="26">
        <v>5.0</v>
      </c>
      <c r="S394" s="26">
        <v>16.03</v>
      </c>
      <c r="T394" s="27" t="s">
        <v>361</v>
      </c>
      <c r="U394" s="24"/>
      <c r="V394" s="28"/>
      <c r="W394" s="29"/>
      <c r="X394" s="30"/>
      <c r="Y394" s="31"/>
      <c r="Z394" s="26">
        <f t="shared" si="5"/>
        <v>-2</v>
      </c>
      <c r="AA394" s="26">
        <f t="shared" si="6"/>
        <v>-2</v>
      </c>
      <c r="AB394" s="32">
        <f t="shared" si="7"/>
        <v>-1</v>
      </c>
      <c r="AC394" s="32" t="str">
        <f t="shared" ref="AC394:AG394" si="398">IF(J394&lt;&gt;"", IF(AND($P394=FALSE, $A394=FALSE), -J394, IF(AND($P394=FALSE, $A394=TRUE), 0, IF($P394=TRUE, (J394 / $R394) * 100 * ($S394 / 100)-J394, ))), )</f>
        <v/>
      </c>
      <c r="AD394" s="32" t="str">
        <f t="shared" si="398"/>
        <v/>
      </c>
      <c r="AE394" s="32" t="str">
        <f t="shared" si="398"/>
        <v/>
      </c>
      <c r="AF394" s="32" t="str">
        <f t="shared" si="398"/>
        <v/>
      </c>
      <c r="AG394" s="32" t="str">
        <f t="shared" si="398"/>
        <v/>
      </c>
      <c r="AH394" s="33"/>
    </row>
    <row r="395" hidden="1" outlineLevel="3">
      <c r="A395" s="16" t="b">
        <v>0</v>
      </c>
      <c r="B395" s="17"/>
      <c r="C395" s="18"/>
      <c r="D395" s="34"/>
      <c r="E395" s="20"/>
      <c r="F395" s="34"/>
      <c r="G395" s="23"/>
      <c r="H395" s="23"/>
      <c r="I395" s="23"/>
      <c r="J395" s="23"/>
      <c r="K395" s="23"/>
      <c r="L395" s="23"/>
      <c r="M395" s="23"/>
      <c r="N395" s="23"/>
      <c r="O395" s="24"/>
      <c r="P395" s="16" t="b">
        <v>0</v>
      </c>
      <c r="Q395" s="24"/>
      <c r="R395" s="26"/>
      <c r="S395" s="26"/>
      <c r="T395" s="35"/>
      <c r="U395" s="24"/>
      <c r="V395" s="38" t="s">
        <v>29</v>
      </c>
      <c r="W395" s="29" t="s">
        <v>22</v>
      </c>
      <c r="X395" s="37" t="s">
        <v>211</v>
      </c>
      <c r="Y395" s="31"/>
      <c r="Z395" s="26" t="str">
        <f t="shared" si="5"/>
        <v/>
      </c>
      <c r="AA395" s="26" t="str">
        <f t="shared" si="6"/>
        <v/>
      </c>
      <c r="AB395" s="32" t="str">
        <f t="shared" si="7"/>
        <v/>
      </c>
      <c r="AC395" s="32" t="str">
        <f t="shared" ref="AC395:AG395" si="399">IF(J395&lt;&gt;"", IF(AND($P395=FALSE, $A395=FALSE), -J395, IF(AND($P395=FALSE, $A395=TRUE), 0, IF($P395=TRUE, (J395 / $R395) * 100 * ($S395 / 100)-J395, ))), )</f>
        <v/>
      </c>
      <c r="AD395" s="32" t="str">
        <f t="shared" si="399"/>
        <v/>
      </c>
      <c r="AE395" s="32" t="str">
        <f t="shared" si="399"/>
        <v/>
      </c>
      <c r="AF395" s="32" t="str">
        <f t="shared" si="399"/>
        <v/>
      </c>
      <c r="AG395" s="32" t="str">
        <f t="shared" si="399"/>
        <v/>
      </c>
      <c r="AH395" s="33"/>
    </row>
    <row r="396" hidden="1" outlineLevel="3">
      <c r="A396" s="16" t="b">
        <v>0</v>
      </c>
      <c r="B396" s="17"/>
      <c r="C396" s="18"/>
      <c r="D396" s="34"/>
      <c r="E396" s="20"/>
      <c r="F396" s="34"/>
      <c r="G396" s="23"/>
      <c r="H396" s="23"/>
      <c r="I396" s="23"/>
      <c r="J396" s="23"/>
      <c r="K396" s="23"/>
      <c r="L396" s="23"/>
      <c r="M396" s="23"/>
      <c r="N396" s="23"/>
      <c r="O396" s="24"/>
      <c r="P396" s="16" t="b">
        <v>0</v>
      </c>
      <c r="Q396" s="24"/>
      <c r="R396" s="26"/>
      <c r="S396" s="26"/>
      <c r="T396" s="35"/>
      <c r="U396" s="24"/>
      <c r="V396" s="38" t="s">
        <v>29</v>
      </c>
      <c r="W396" s="29" t="s">
        <v>22</v>
      </c>
      <c r="X396" s="37" t="s">
        <v>233</v>
      </c>
      <c r="Y396" s="31"/>
      <c r="Z396" s="26" t="str">
        <f t="shared" si="5"/>
        <v/>
      </c>
      <c r="AA396" s="26" t="str">
        <f t="shared" si="6"/>
        <v/>
      </c>
      <c r="AB396" s="32" t="str">
        <f t="shared" si="7"/>
        <v/>
      </c>
      <c r="AC396" s="32" t="str">
        <f t="shared" ref="AC396:AG396" si="400">IF(J396&lt;&gt;"", IF(AND($P396=FALSE, $A396=FALSE), -J396, IF(AND($P396=FALSE, $A396=TRUE), 0, IF($P396=TRUE, (J396 / $R396) * 100 * ($S396 / 100)-J396, ))), )</f>
        <v/>
      </c>
      <c r="AD396" s="32" t="str">
        <f t="shared" si="400"/>
        <v/>
      </c>
      <c r="AE396" s="32" t="str">
        <f t="shared" si="400"/>
        <v/>
      </c>
      <c r="AF396" s="32" t="str">
        <f t="shared" si="400"/>
        <v/>
      </c>
      <c r="AG396" s="32" t="str">
        <f t="shared" si="400"/>
        <v/>
      </c>
      <c r="AH396" s="33"/>
    </row>
    <row r="397" hidden="1" outlineLevel="3">
      <c r="A397" s="16" t="b">
        <v>0</v>
      </c>
      <c r="B397" s="17"/>
      <c r="C397" s="18"/>
      <c r="D397" s="34"/>
      <c r="E397" s="20"/>
      <c r="F397" s="34"/>
      <c r="G397" s="23"/>
      <c r="H397" s="23"/>
      <c r="I397" s="23"/>
      <c r="J397" s="23"/>
      <c r="K397" s="23"/>
      <c r="L397" s="23"/>
      <c r="M397" s="23"/>
      <c r="N397" s="23"/>
      <c r="O397" s="24"/>
      <c r="P397" s="16" t="b">
        <v>0</v>
      </c>
      <c r="Q397" s="24"/>
      <c r="R397" s="26"/>
      <c r="S397" s="26"/>
      <c r="T397" s="35"/>
      <c r="U397" s="24"/>
      <c r="V397" s="38" t="s">
        <v>29</v>
      </c>
      <c r="W397" s="29" t="s">
        <v>22</v>
      </c>
      <c r="X397" s="37" t="s">
        <v>230</v>
      </c>
      <c r="Y397" s="31"/>
      <c r="Z397" s="26" t="str">
        <f t="shared" si="5"/>
        <v/>
      </c>
      <c r="AA397" s="26" t="str">
        <f t="shared" si="6"/>
        <v/>
      </c>
      <c r="AB397" s="32" t="str">
        <f t="shared" si="7"/>
        <v/>
      </c>
      <c r="AC397" s="32" t="str">
        <f t="shared" ref="AC397:AG397" si="401">IF(J397&lt;&gt;"", IF(AND($P397=FALSE, $A397=FALSE), -J397, IF(AND($P397=FALSE, $A397=TRUE), 0, IF($P397=TRUE, (J397 / $R397) * 100 * ($S397 / 100)-J397, ))), )</f>
        <v/>
      </c>
      <c r="AD397" s="32" t="str">
        <f t="shared" si="401"/>
        <v/>
      </c>
      <c r="AE397" s="32" t="str">
        <f t="shared" si="401"/>
        <v/>
      </c>
      <c r="AF397" s="32" t="str">
        <f t="shared" si="401"/>
        <v/>
      </c>
      <c r="AG397" s="32" t="str">
        <f t="shared" si="401"/>
        <v/>
      </c>
      <c r="AH397" s="33"/>
    </row>
    <row r="398" hidden="1" outlineLevel="3">
      <c r="A398" s="16" t="b">
        <v>0</v>
      </c>
      <c r="B398" s="17"/>
      <c r="C398" s="18"/>
      <c r="D398" s="34"/>
      <c r="E398" s="20"/>
      <c r="F398" s="34"/>
      <c r="G398" s="23"/>
      <c r="H398" s="23"/>
      <c r="I398" s="23"/>
      <c r="J398" s="23"/>
      <c r="K398" s="23"/>
      <c r="L398" s="23"/>
      <c r="M398" s="23"/>
      <c r="N398" s="23"/>
      <c r="O398" s="24"/>
      <c r="P398" s="16" t="b">
        <v>0</v>
      </c>
      <c r="Q398" s="24"/>
      <c r="R398" s="26"/>
      <c r="S398" s="26"/>
      <c r="T398" s="35"/>
      <c r="U398" s="24"/>
      <c r="V398" s="28" t="s">
        <v>32</v>
      </c>
      <c r="W398" s="29" t="s">
        <v>22</v>
      </c>
      <c r="X398" s="37" t="s">
        <v>362</v>
      </c>
      <c r="Y398" s="31"/>
      <c r="Z398" s="26" t="str">
        <f t="shared" si="5"/>
        <v/>
      </c>
      <c r="AA398" s="26" t="str">
        <f t="shared" si="6"/>
        <v/>
      </c>
      <c r="AB398" s="32" t="str">
        <f t="shared" si="7"/>
        <v/>
      </c>
      <c r="AC398" s="32" t="str">
        <f t="shared" ref="AC398:AG398" si="402">IF(J398&lt;&gt;"", IF(AND($P398=FALSE, $A398=FALSE), -J398, IF(AND($P398=FALSE, $A398=TRUE), 0, IF($P398=TRUE, (J398 / $R398) * 100 * ($S398 / 100)-J398, ))), )</f>
        <v/>
      </c>
      <c r="AD398" s="32" t="str">
        <f t="shared" si="402"/>
        <v/>
      </c>
      <c r="AE398" s="32" t="str">
        <f t="shared" si="402"/>
        <v/>
      </c>
      <c r="AF398" s="32" t="str">
        <f t="shared" si="402"/>
        <v/>
      </c>
      <c r="AG398" s="32" t="str">
        <f t="shared" si="402"/>
        <v/>
      </c>
      <c r="AH398" s="33"/>
    </row>
    <row r="399" hidden="1" outlineLevel="2">
      <c r="A399" s="16" t="b">
        <v>0</v>
      </c>
      <c r="B399" s="17"/>
      <c r="C399" s="18"/>
      <c r="D399" s="41">
        <v>45243.0</v>
      </c>
      <c r="E399" s="20" t="s">
        <v>60</v>
      </c>
      <c r="F399" s="21" t="s">
        <v>61</v>
      </c>
      <c r="G399" s="23">
        <v>2.0</v>
      </c>
      <c r="H399" s="23">
        <v>1.0</v>
      </c>
      <c r="I399" s="23">
        <v>2.0</v>
      </c>
      <c r="J399" s="23"/>
      <c r="K399" s="23"/>
      <c r="L399" s="23"/>
      <c r="M399" s="23"/>
      <c r="N399" s="23"/>
      <c r="O399" s="24"/>
      <c r="P399" s="16" t="b">
        <v>0</v>
      </c>
      <c r="Q399" s="24"/>
      <c r="R399" s="26">
        <v>5.0</v>
      </c>
      <c r="S399" s="26">
        <v>14.56</v>
      </c>
      <c r="T399" s="27" t="s">
        <v>121</v>
      </c>
      <c r="U399" s="24"/>
      <c r="V399" s="28"/>
      <c r="W399" s="29"/>
      <c r="X399" s="30"/>
      <c r="Y399" s="31"/>
      <c r="Z399" s="26">
        <f t="shared" si="5"/>
        <v>-2</v>
      </c>
      <c r="AA399" s="26">
        <f t="shared" si="6"/>
        <v>-2</v>
      </c>
      <c r="AB399" s="32">
        <f t="shared" si="7"/>
        <v>-1</v>
      </c>
      <c r="AC399" s="32" t="str">
        <f t="shared" ref="AC399:AG399" si="403">IF(J399&lt;&gt;"", IF(AND($P399=FALSE, $A399=FALSE), -J399, IF(AND($P399=FALSE, $A399=TRUE), 0, IF($P399=TRUE, (J399 / $R399) * 100 * ($S399 / 100)-J399, ))), )</f>
        <v/>
      </c>
      <c r="AD399" s="32" t="str">
        <f t="shared" si="403"/>
        <v/>
      </c>
      <c r="AE399" s="32" t="str">
        <f t="shared" si="403"/>
        <v/>
      </c>
      <c r="AF399" s="32" t="str">
        <f t="shared" si="403"/>
        <v/>
      </c>
      <c r="AG399" s="32" t="str">
        <f t="shared" si="403"/>
        <v/>
      </c>
      <c r="AH399" s="33"/>
    </row>
    <row r="400" hidden="1" outlineLevel="3">
      <c r="A400" s="16" t="b">
        <v>0</v>
      </c>
      <c r="B400" s="17"/>
      <c r="C400" s="18"/>
      <c r="D400" s="34"/>
      <c r="E400" s="20"/>
      <c r="F400" s="34"/>
      <c r="G400" s="23"/>
      <c r="H400" s="23"/>
      <c r="I400" s="23"/>
      <c r="J400" s="23"/>
      <c r="K400" s="23"/>
      <c r="L400" s="23"/>
      <c r="M400" s="23"/>
      <c r="N400" s="23"/>
      <c r="O400" s="24"/>
      <c r="P400" s="16" t="b">
        <v>0</v>
      </c>
      <c r="Q400" s="24"/>
      <c r="R400" s="26"/>
      <c r="S400" s="26"/>
      <c r="T400" s="35"/>
      <c r="U400" s="24"/>
      <c r="V400" s="38" t="s">
        <v>29</v>
      </c>
      <c r="W400" s="29" t="s">
        <v>22</v>
      </c>
      <c r="X400" s="37" t="s">
        <v>363</v>
      </c>
      <c r="Y400" s="31"/>
      <c r="Z400" s="26" t="str">
        <f t="shared" si="5"/>
        <v/>
      </c>
      <c r="AA400" s="26" t="str">
        <f t="shared" si="6"/>
        <v/>
      </c>
      <c r="AB400" s="32" t="str">
        <f t="shared" si="7"/>
        <v/>
      </c>
      <c r="AC400" s="32" t="str">
        <f t="shared" ref="AC400:AG400" si="404">IF(J400&lt;&gt;"", IF(AND($P400=FALSE, $A400=FALSE), -J400, IF(AND($P400=FALSE, $A400=TRUE), 0, IF($P400=TRUE, (J400 / $R400) * 100 * ($S400 / 100)-J400, ))), )</f>
        <v/>
      </c>
      <c r="AD400" s="32" t="str">
        <f t="shared" si="404"/>
        <v/>
      </c>
      <c r="AE400" s="32" t="str">
        <f t="shared" si="404"/>
        <v/>
      </c>
      <c r="AF400" s="32" t="str">
        <f t="shared" si="404"/>
        <v/>
      </c>
      <c r="AG400" s="32" t="str">
        <f t="shared" si="404"/>
        <v/>
      </c>
      <c r="AH400" s="33"/>
    </row>
    <row r="401" hidden="1" outlineLevel="3">
      <c r="A401" s="16" t="b">
        <v>0</v>
      </c>
      <c r="B401" s="17"/>
      <c r="C401" s="18"/>
      <c r="D401" s="34"/>
      <c r="E401" s="20"/>
      <c r="F401" s="34"/>
      <c r="G401" s="23"/>
      <c r="H401" s="23"/>
      <c r="I401" s="23"/>
      <c r="J401" s="23"/>
      <c r="K401" s="23"/>
      <c r="L401" s="23"/>
      <c r="M401" s="23"/>
      <c r="N401" s="23"/>
      <c r="O401" s="24"/>
      <c r="P401" s="16" t="b">
        <v>0</v>
      </c>
      <c r="Q401" s="24"/>
      <c r="R401" s="26"/>
      <c r="S401" s="26"/>
      <c r="T401" s="35"/>
      <c r="U401" s="24"/>
      <c r="V401" s="38" t="s">
        <v>29</v>
      </c>
      <c r="W401" s="29" t="s">
        <v>22</v>
      </c>
      <c r="X401" s="37" t="s">
        <v>364</v>
      </c>
      <c r="Y401" s="31"/>
      <c r="Z401" s="26" t="str">
        <f t="shared" si="5"/>
        <v/>
      </c>
      <c r="AA401" s="26" t="str">
        <f t="shared" si="6"/>
        <v/>
      </c>
      <c r="AB401" s="32" t="str">
        <f t="shared" si="7"/>
        <v/>
      </c>
      <c r="AC401" s="32" t="str">
        <f t="shared" ref="AC401:AG401" si="405">IF(J401&lt;&gt;"", IF(AND($P401=FALSE, $A401=FALSE), -J401, IF(AND($P401=FALSE, $A401=TRUE), 0, IF($P401=TRUE, (J401 / $R401) * 100 * ($S401 / 100)-J401, ))), )</f>
        <v/>
      </c>
      <c r="AD401" s="32" t="str">
        <f t="shared" si="405"/>
        <v/>
      </c>
      <c r="AE401" s="32" t="str">
        <f t="shared" si="405"/>
        <v/>
      </c>
      <c r="AF401" s="32" t="str">
        <f t="shared" si="405"/>
        <v/>
      </c>
      <c r="AG401" s="32" t="str">
        <f t="shared" si="405"/>
        <v/>
      </c>
      <c r="AH401" s="33"/>
    </row>
    <row r="402" hidden="1" outlineLevel="3">
      <c r="A402" s="16" t="b">
        <v>0</v>
      </c>
      <c r="B402" s="17"/>
      <c r="C402" s="18"/>
      <c r="D402" s="34"/>
      <c r="E402" s="20"/>
      <c r="F402" s="34"/>
      <c r="G402" s="23"/>
      <c r="H402" s="23"/>
      <c r="I402" s="23"/>
      <c r="J402" s="23"/>
      <c r="K402" s="23"/>
      <c r="L402" s="23"/>
      <c r="M402" s="23"/>
      <c r="N402" s="23"/>
      <c r="O402" s="24"/>
      <c r="P402" s="16" t="b">
        <v>0</v>
      </c>
      <c r="Q402" s="24"/>
      <c r="R402" s="26"/>
      <c r="S402" s="26"/>
      <c r="T402" s="35"/>
      <c r="U402" s="24"/>
      <c r="V402" s="38" t="s">
        <v>29</v>
      </c>
      <c r="W402" s="29" t="s">
        <v>22</v>
      </c>
      <c r="X402" s="37" t="s">
        <v>365</v>
      </c>
      <c r="Y402" s="31"/>
      <c r="Z402" s="26" t="str">
        <f t="shared" si="5"/>
        <v/>
      </c>
      <c r="AA402" s="26" t="str">
        <f t="shared" si="6"/>
        <v/>
      </c>
      <c r="AB402" s="32" t="str">
        <f t="shared" si="7"/>
        <v/>
      </c>
      <c r="AC402" s="32" t="str">
        <f t="shared" ref="AC402:AG402" si="406">IF(J402&lt;&gt;"", IF(AND($P402=FALSE, $A402=FALSE), -J402, IF(AND($P402=FALSE, $A402=TRUE), 0, IF($P402=TRUE, (J402 / $R402) * 100 * ($S402 / 100)-J402, ))), )</f>
        <v/>
      </c>
      <c r="AD402" s="32" t="str">
        <f t="shared" si="406"/>
        <v/>
      </c>
      <c r="AE402" s="32" t="str">
        <f t="shared" si="406"/>
        <v/>
      </c>
      <c r="AF402" s="32" t="str">
        <f t="shared" si="406"/>
        <v/>
      </c>
      <c r="AG402" s="32" t="str">
        <f t="shared" si="406"/>
        <v/>
      </c>
      <c r="AH402" s="33"/>
    </row>
    <row r="403" hidden="1" outlineLevel="3">
      <c r="A403" s="16" t="b">
        <v>0</v>
      </c>
      <c r="B403" s="17"/>
      <c r="C403" s="18"/>
      <c r="D403" s="34"/>
      <c r="E403" s="20"/>
      <c r="F403" s="34"/>
      <c r="G403" s="23"/>
      <c r="H403" s="23"/>
      <c r="I403" s="23"/>
      <c r="J403" s="23"/>
      <c r="K403" s="23"/>
      <c r="L403" s="23"/>
      <c r="M403" s="23"/>
      <c r="N403" s="23"/>
      <c r="O403" s="24"/>
      <c r="P403" s="16" t="b">
        <v>0</v>
      </c>
      <c r="Q403" s="24"/>
      <c r="R403" s="26"/>
      <c r="S403" s="26"/>
      <c r="T403" s="35"/>
      <c r="U403" s="24"/>
      <c r="V403" s="28" t="s">
        <v>32</v>
      </c>
      <c r="W403" s="29" t="s">
        <v>22</v>
      </c>
      <c r="X403" s="37" t="s">
        <v>366</v>
      </c>
      <c r="Y403" s="31"/>
      <c r="Z403" s="26" t="str">
        <f t="shared" si="5"/>
        <v/>
      </c>
      <c r="AA403" s="26" t="str">
        <f t="shared" si="6"/>
        <v/>
      </c>
      <c r="AB403" s="32" t="str">
        <f t="shared" si="7"/>
        <v/>
      </c>
      <c r="AC403" s="32" t="str">
        <f t="shared" ref="AC403:AG403" si="407">IF(J403&lt;&gt;"", IF(AND($P403=FALSE, $A403=FALSE), -J403, IF(AND($P403=FALSE, $A403=TRUE), 0, IF($P403=TRUE, (J403 / $R403) * 100 * ($S403 / 100)-J403, ))), )</f>
        <v/>
      </c>
      <c r="AD403" s="32" t="str">
        <f t="shared" si="407"/>
        <v/>
      </c>
      <c r="AE403" s="32" t="str">
        <f t="shared" si="407"/>
        <v/>
      </c>
      <c r="AF403" s="32" t="str">
        <f t="shared" si="407"/>
        <v/>
      </c>
      <c r="AG403" s="32" t="str">
        <f t="shared" si="407"/>
        <v/>
      </c>
      <c r="AH403" s="33"/>
    </row>
    <row r="404" hidden="1" outlineLevel="1" collapsed="1">
      <c r="A404" s="16" t="b">
        <v>0</v>
      </c>
      <c r="B404" s="17"/>
      <c r="C404" s="18"/>
      <c r="D404" s="41">
        <v>45248.0</v>
      </c>
      <c r="E404" s="20" t="s">
        <v>60</v>
      </c>
      <c r="F404" s="21" t="s">
        <v>61</v>
      </c>
      <c r="G404" s="23">
        <v>2.0</v>
      </c>
      <c r="H404" s="23">
        <v>1.0</v>
      </c>
      <c r="I404" s="23">
        <v>2.0</v>
      </c>
      <c r="J404" s="23"/>
      <c r="K404" s="23"/>
      <c r="L404" s="23"/>
      <c r="M404" s="23"/>
      <c r="N404" s="23"/>
      <c r="O404" s="24"/>
      <c r="P404" s="16" t="b">
        <v>1</v>
      </c>
      <c r="Q404" s="24"/>
      <c r="R404" s="26">
        <v>5.0</v>
      </c>
      <c r="S404" s="26">
        <v>11.41</v>
      </c>
      <c r="T404" s="27" t="s">
        <v>367</v>
      </c>
      <c r="U404" s="24"/>
      <c r="V404" s="28"/>
      <c r="W404" s="29"/>
      <c r="X404" s="30"/>
      <c r="Y404" s="31"/>
      <c r="Z404" s="26">
        <f t="shared" si="5"/>
        <v>2.564</v>
      </c>
      <c r="AA404" s="26">
        <f t="shared" si="6"/>
        <v>2.564</v>
      </c>
      <c r="AB404" s="32">
        <f t="shared" si="7"/>
        <v>1.282</v>
      </c>
      <c r="AC404" s="32" t="str">
        <f t="shared" ref="AC404:AG404" si="408">IF(J404&lt;&gt;"", IF(AND($P404=FALSE, $A404=FALSE), -J404, IF(AND($P404=FALSE, $A404=TRUE), 0, IF($P404=TRUE, (J404 / $R404) * 100 * ($S404 / 100)-J404, ))), )</f>
        <v/>
      </c>
      <c r="AD404" s="32" t="str">
        <f t="shared" si="408"/>
        <v/>
      </c>
      <c r="AE404" s="32" t="str">
        <f t="shared" si="408"/>
        <v/>
      </c>
      <c r="AF404" s="32" t="str">
        <f t="shared" si="408"/>
        <v/>
      </c>
      <c r="AG404" s="32" t="str">
        <f t="shared" si="408"/>
        <v/>
      </c>
      <c r="AH404" s="33"/>
    </row>
    <row r="405" hidden="1" outlineLevel="3">
      <c r="A405" s="16" t="b">
        <v>0</v>
      </c>
      <c r="B405" s="17"/>
      <c r="C405" s="18"/>
      <c r="D405" s="34"/>
      <c r="E405" s="20"/>
      <c r="F405" s="34"/>
      <c r="G405" s="23"/>
      <c r="H405" s="23"/>
      <c r="I405" s="23"/>
      <c r="J405" s="23"/>
      <c r="K405" s="23"/>
      <c r="L405" s="23"/>
      <c r="M405" s="23"/>
      <c r="N405" s="23"/>
      <c r="O405" s="24"/>
      <c r="P405" s="16" t="b">
        <v>0</v>
      </c>
      <c r="Q405" s="24"/>
      <c r="R405" s="26"/>
      <c r="S405" s="26"/>
      <c r="T405" s="35"/>
      <c r="U405" s="24"/>
      <c r="V405" s="38" t="s">
        <v>29</v>
      </c>
      <c r="W405" s="29" t="s">
        <v>22</v>
      </c>
      <c r="X405" s="37" t="s">
        <v>230</v>
      </c>
      <c r="Y405" s="31"/>
      <c r="Z405" s="26" t="str">
        <f t="shared" si="5"/>
        <v/>
      </c>
      <c r="AA405" s="26" t="str">
        <f t="shared" si="6"/>
        <v/>
      </c>
      <c r="AB405" s="32" t="str">
        <f t="shared" si="7"/>
        <v/>
      </c>
      <c r="AC405" s="32" t="str">
        <f t="shared" ref="AC405:AG405" si="409">IF(J405&lt;&gt;"", IF(AND($P405=FALSE, $A405=FALSE), -J405, IF(AND($P405=FALSE, $A405=TRUE), 0, IF($P405=TRUE, (J405 / $R405) * 100 * ($S405 / 100)-J405, ))), )</f>
        <v/>
      </c>
      <c r="AD405" s="32" t="str">
        <f t="shared" si="409"/>
        <v/>
      </c>
      <c r="AE405" s="32" t="str">
        <f t="shared" si="409"/>
        <v/>
      </c>
      <c r="AF405" s="32" t="str">
        <f t="shared" si="409"/>
        <v/>
      </c>
      <c r="AG405" s="32" t="str">
        <f t="shared" si="409"/>
        <v/>
      </c>
      <c r="AH405" s="33"/>
    </row>
    <row r="406" hidden="1" outlineLevel="3">
      <c r="A406" s="16" t="b">
        <v>0</v>
      </c>
      <c r="B406" s="17"/>
      <c r="C406" s="18"/>
      <c r="D406" s="34"/>
      <c r="E406" s="20"/>
      <c r="F406" s="34"/>
      <c r="G406" s="23"/>
      <c r="H406" s="23"/>
      <c r="I406" s="23"/>
      <c r="J406" s="23"/>
      <c r="K406" s="23"/>
      <c r="L406" s="23"/>
      <c r="M406" s="23"/>
      <c r="N406" s="23"/>
      <c r="O406" s="24"/>
      <c r="P406" s="16" t="b">
        <v>0</v>
      </c>
      <c r="Q406" s="24"/>
      <c r="R406" s="26"/>
      <c r="S406" s="26"/>
      <c r="T406" s="35"/>
      <c r="U406" s="24"/>
      <c r="V406" s="38" t="s">
        <v>29</v>
      </c>
      <c r="W406" s="29" t="s">
        <v>22</v>
      </c>
      <c r="X406" s="37" t="s">
        <v>63</v>
      </c>
      <c r="Y406" s="31"/>
      <c r="Z406" s="26" t="str">
        <f t="shared" si="5"/>
        <v/>
      </c>
      <c r="AA406" s="26" t="str">
        <f t="shared" si="6"/>
        <v/>
      </c>
      <c r="AB406" s="32" t="str">
        <f t="shared" si="7"/>
        <v/>
      </c>
      <c r="AC406" s="32" t="str">
        <f t="shared" ref="AC406:AG406" si="410">IF(J406&lt;&gt;"", IF(AND($P406=FALSE, $A406=FALSE), -J406, IF(AND($P406=FALSE, $A406=TRUE), 0, IF($P406=TRUE, (J406 / $R406) * 100 * ($S406 / 100)-J406, ))), )</f>
        <v/>
      </c>
      <c r="AD406" s="32" t="str">
        <f t="shared" si="410"/>
        <v/>
      </c>
      <c r="AE406" s="32" t="str">
        <f t="shared" si="410"/>
        <v/>
      </c>
      <c r="AF406" s="32" t="str">
        <f t="shared" si="410"/>
        <v/>
      </c>
      <c r="AG406" s="32" t="str">
        <f t="shared" si="410"/>
        <v/>
      </c>
      <c r="AH406" s="33"/>
    </row>
    <row r="407" hidden="1" outlineLevel="3">
      <c r="A407" s="16" t="b">
        <v>0</v>
      </c>
      <c r="B407" s="17"/>
      <c r="C407" s="18"/>
      <c r="D407" s="34"/>
      <c r="E407" s="20"/>
      <c r="F407" s="34"/>
      <c r="G407" s="23"/>
      <c r="H407" s="23"/>
      <c r="I407" s="23"/>
      <c r="J407" s="23"/>
      <c r="K407" s="23"/>
      <c r="L407" s="23"/>
      <c r="M407" s="23"/>
      <c r="N407" s="23"/>
      <c r="O407" s="24"/>
      <c r="P407" s="16" t="b">
        <v>0</v>
      </c>
      <c r="Q407" s="24"/>
      <c r="R407" s="26"/>
      <c r="S407" s="26"/>
      <c r="T407" s="35"/>
      <c r="U407" s="24"/>
      <c r="V407" s="38" t="s">
        <v>29</v>
      </c>
      <c r="W407" s="29" t="s">
        <v>22</v>
      </c>
      <c r="X407" s="37" t="s">
        <v>236</v>
      </c>
      <c r="Y407" s="31"/>
      <c r="Z407" s="26" t="str">
        <f t="shared" si="5"/>
        <v/>
      </c>
      <c r="AA407" s="26" t="str">
        <f t="shared" si="6"/>
        <v/>
      </c>
      <c r="AB407" s="32" t="str">
        <f t="shared" si="7"/>
        <v/>
      </c>
      <c r="AC407" s="32" t="str">
        <f t="shared" ref="AC407:AG407" si="411">IF(J407&lt;&gt;"", IF(AND($P407=FALSE, $A407=FALSE), -J407, IF(AND($P407=FALSE, $A407=TRUE), 0, IF($P407=TRUE, (J407 / $R407) * 100 * ($S407 / 100)-J407, ))), )</f>
        <v/>
      </c>
      <c r="AD407" s="32" t="str">
        <f t="shared" si="411"/>
        <v/>
      </c>
      <c r="AE407" s="32" t="str">
        <f t="shared" si="411"/>
        <v/>
      </c>
      <c r="AF407" s="32" t="str">
        <f t="shared" si="411"/>
        <v/>
      </c>
      <c r="AG407" s="32" t="str">
        <f t="shared" si="411"/>
        <v/>
      </c>
      <c r="AH407" s="33"/>
    </row>
    <row r="408" hidden="1" outlineLevel="3">
      <c r="A408" s="16" t="b">
        <v>0</v>
      </c>
      <c r="B408" s="17"/>
      <c r="C408" s="18"/>
      <c r="D408" s="34"/>
      <c r="E408" s="20"/>
      <c r="F408" s="34"/>
      <c r="G408" s="23"/>
      <c r="H408" s="23"/>
      <c r="I408" s="23"/>
      <c r="J408" s="23"/>
      <c r="K408" s="23"/>
      <c r="L408" s="23"/>
      <c r="M408" s="23"/>
      <c r="N408" s="23"/>
      <c r="O408" s="24"/>
      <c r="P408" s="16" t="b">
        <v>0</v>
      </c>
      <c r="Q408" s="24"/>
      <c r="R408" s="26"/>
      <c r="S408" s="26"/>
      <c r="T408" s="35"/>
      <c r="U408" s="24"/>
      <c r="V408" s="38" t="s">
        <v>29</v>
      </c>
      <c r="W408" s="29" t="s">
        <v>22</v>
      </c>
      <c r="X408" s="37" t="s">
        <v>368</v>
      </c>
      <c r="Y408" s="31"/>
      <c r="Z408" s="26" t="str">
        <f t="shared" si="5"/>
        <v/>
      </c>
      <c r="AA408" s="26" t="str">
        <f t="shared" si="6"/>
        <v/>
      </c>
      <c r="AB408" s="32" t="str">
        <f t="shared" si="7"/>
        <v/>
      </c>
      <c r="AC408" s="32" t="str">
        <f t="shared" ref="AC408:AG408" si="412">IF(J408&lt;&gt;"", IF(AND($P408=FALSE, $A408=FALSE), -J408, IF(AND($P408=FALSE, $A408=TRUE), 0, IF($P408=TRUE, (J408 / $R408) * 100 * ($S408 / 100)-J408, ))), )</f>
        <v/>
      </c>
      <c r="AD408" s="32" t="str">
        <f t="shared" si="412"/>
        <v/>
      </c>
      <c r="AE408" s="32" t="str">
        <f t="shared" si="412"/>
        <v/>
      </c>
      <c r="AF408" s="32" t="str">
        <f t="shared" si="412"/>
        <v/>
      </c>
      <c r="AG408" s="32" t="str">
        <f t="shared" si="412"/>
        <v/>
      </c>
      <c r="AH408" s="33"/>
    </row>
    <row r="409" hidden="1" outlineLevel="2">
      <c r="A409" s="16" t="b">
        <v>0</v>
      </c>
      <c r="B409" s="17"/>
      <c r="C409" s="18"/>
      <c r="D409" s="41">
        <v>45248.0</v>
      </c>
      <c r="E409" s="20" t="s">
        <v>60</v>
      </c>
      <c r="F409" s="21" t="s">
        <v>61</v>
      </c>
      <c r="G409" s="23">
        <v>2.0</v>
      </c>
      <c r="H409" s="23">
        <v>1.0</v>
      </c>
      <c r="I409" s="23">
        <v>4.0</v>
      </c>
      <c r="J409" s="23"/>
      <c r="K409" s="23"/>
      <c r="L409" s="23"/>
      <c r="M409" s="23"/>
      <c r="N409" s="23"/>
      <c r="O409" s="24"/>
      <c r="P409" s="16" t="b">
        <v>1</v>
      </c>
      <c r="Q409" s="24"/>
      <c r="R409" s="26">
        <v>7.0</v>
      </c>
      <c r="S409" s="26">
        <v>13.42</v>
      </c>
      <c r="T409" s="27">
        <v>-109.0</v>
      </c>
      <c r="U409" s="24"/>
      <c r="V409" s="28"/>
      <c r="W409" s="29"/>
      <c r="X409" s="30"/>
      <c r="Y409" s="31"/>
      <c r="Z409" s="26">
        <f t="shared" si="5"/>
        <v>1.834285714</v>
      </c>
      <c r="AA409" s="26">
        <f t="shared" si="6"/>
        <v>3.668571429</v>
      </c>
      <c r="AB409" s="32">
        <f t="shared" si="7"/>
        <v>0.9171428571</v>
      </c>
      <c r="AC409" s="32" t="str">
        <f t="shared" ref="AC409:AG409" si="413">IF(J409&lt;&gt;"", IF(AND($P409=FALSE, $A409=FALSE), -J409, IF(AND($P409=FALSE, $A409=TRUE), 0, IF($P409=TRUE, (J409 / $R409) * 100 * ($S409 / 100)-J409, ))), )</f>
        <v/>
      </c>
      <c r="AD409" s="32" t="str">
        <f t="shared" si="413"/>
        <v/>
      </c>
      <c r="AE409" s="32" t="str">
        <f t="shared" si="413"/>
        <v/>
      </c>
      <c r="AF409" s="32" t="str">
        <f t="shared" si="413"/>
        <v/>
      </c>
      <c r="AG409" s="32" t="str">
        <f t="shared" si="413"/>
        <v/>
      </c>
      <c r="AH409" s="33"/>
    </row>
    <row r="410" hidden="1" outlineLevel="3">
      <c r="A410" s="16" t="b">
        <v>0</v>
      </c>
      <c r="B410" s="17"/>
      <c r="C410" s="18"/>
      <c r="D410" s="34"/>
      <c r="E410" s="20"/>
      <c r="F410" s="34"/>
      <c r="G410" s="23"/>
      <c r="H410" s="23"/>
      <c r="I410" s="23"/>
      <c r="J410" s="23"/>
      <c r="K410" s="23"/>
      <c r="L410" s="23"/>
      <c r="M410" s="23"/>
      <c r="N410" s="23"/>
      <c r="O410" s="24"/>
      <c r="P410" s="16" t="b">
        <v>0</v>
      </c>
      <c r="Q410" s="24"/>
      <c r="R410" s="26"/>
      <c r="S410" s="26"/>
      <c r="T410" s="35"/>
      <c r="U410" s="24"/>
      <c r="V410" s="38" t="s">
        <v>29</v>
      </c>
      <c r="W410" s="29" t="s">
        <v>22</v>
      </c>
      <c r="X410" s="37" t="s">
        <v>219</v>
      </c>
      <c r="Y410" s="31"/>
      <c r="Z410" s="26" t="str">
        <f t="shared" si="5"/>
        <v/>
      </c>
      <c r="AA410" s="26" t="str">
        <f t="shared" si="6"/>
        <v/>
      </c>
      <c r="AB410" s="32" t="str">
        <f t="shared" si="7"/>
        <v/>
      </c>
      <c r="AC410" s="32" t="str">
        <f t="shared" ref="AC410:AG410" si="414">IF(J410&lt;&gt;"", IF(AND($P410=FALSE, $A410=FALSE), -J410, IF(AND($P410=FALSE, $A410=TRUE), 0, IF($P410=TRUE, (J410 / $R410) * 100 * ($S410 / 100)-J410, ))), )</f>
        <v/>
      </c>
      <c r="AD410" s="32" t="str">
        <f t="shared" si="414"/>
        <v/>
      </c>
      <c r="AE410" s="32" t="str">
        <f t="shared" si="414"/>
        <v/>
      </c>
      <c r="AF410" s="32" t="str">
        <f t="shared" si="414"/>
        <v/>
      </c>
      <c r="AG410" s="32" t="str">
        <f t="shared" si="414"/>
        <v/>
      </c>
      <c r="AH410" s="33"/>
    </row>
    <row r="411" hidden="1" outlineLevel="3">
      <c r="A411" s="16" t="b">
        <v>0</v>
      </c>
      <c r="B411" s="17"/>
      <c r="C411" s="18"/>
      <c r="D411" s="34"/>
      <c r="E411" s="20"/>
      <c r="F411" s="34"/>
      <c r="G411" s="23"/>
      <c r="H411" s="23"/>
      <c r="I411" s="23"/>
      <c r="J411" s="23"/>
      <c r="K411" s="23"/>
      <c r="L411" s="23"/>
      <c r="M411" s="23"/>
      <c r="N411" s="23"/>
      <c r="O411" s="24"/>
      <c r="P411" s="16" t="b">
        <v>0</v>
      </c>
      <c r="Q411" s="24"/>
      <c r="R411" s="26"/>
      <c r="S411" s="26"/>
      <c r="T411" s="35"/>
      <c r="U411" s="24"/>
      <c r="V411" s="38" t="s">
        <v>29</v>
      </c>
      <c r="W411" s="29" t="s">
        <v>22</v>
      </c>
      <c r="X411" s="37" t="s">
        <v>190</v>
      </c>
      <c r="Y411" s="31"/>
      <c r="Z411" s="26" t="str">
        <f t="shared" si="5"/>
        <v/>
      </c>
      <c r="AA411" s="26" t="str">
        <f t="shared" si="6"/>
        <v/>
      </c>
      <c r="AB411" s="32" t="str">
        <f t="shared" si="7"/>
        <v/>
      </c>
      <c r="AC411" s="32" t="str">
        <f t="shared" ref="AC411:AG411" si="415">IF(J411&lt;&gt;"", IF(AND($P411=FALSE, $A411=FALSE), -J411, IF(AND($P411=FALSE, $A411=TRUE), 0, IF($P411=TRUE, (J411 / $R411) * 100 * ($S411 / 100)-J411, ))), )</f>
        <v/>
      </c>
      <c r="AD411" s="32" t="str">
        <f t="shared" si="415"/>
        <v/>
      </c>
      <c r="AE411" s="32" t="str">
        <f t="shared" si="415"/>
        <v/>
      </c>
      <c r="AF411" s="32" t="str">
        <f t="shared" si="415"/>
        <v/>
      </c>
      <c r="AG411" s="32" t="str">
        <f t="shared" si="415"/>
        <v/>
      </c>
      <c r="AH411" s="33"/>
    </row>
    <row r="412" hidden="1" outlineLevel="3">
      <c r="A412" s="16" t="b">
        <v>0</v>
      </c>
      <c r="B412" s="17"/>
      <c r="C412" s="18"/>
      <c r="D412" s="34"/>
      <c r="E412" s="20"/>
      <c r="F412" s="34"/>
      <c r="G412" s="23"/>
      <c r="H412" s="23"/>
      <c r="I412" s="23"/>
      <c r="J412" s="23"/>
      <c r="K412" s="23"/>
      <c r="L412" s="23"/>
      <c r="M412" s="23"/>
      <c r="N412" s="23"/>
      <c r="O412" s="24"/>
      <c r="P412" s="16" t="b">
        <v>0</v>
      </c>
      <c r="Q412" s="24"/>
      <c r="R412" s="26"/>
      <c r="S412" s="26"/>
      <c r="T412" s="35"/>
      <c r="U412" s="24"/>
      <c r="V412" s="38" t="s">
        <v>29</v>
      </c>
      <c r="W412" s="29" t="s">
        <v>22</v>
      </c>
      <c r="X412" s="37" t="s">
        <v>369</v>
      </c>
      <c r="Y412" s="31"/>
      <c r="Z412" s="26" t="str">
        <f t="shared" si="5"/>
        <v/>
      </c>
      <c r="AA412" s="26" t="str">
        <f t="shared" si="6"/>
        <v/>
      </c>
      <c r="AB412" s="32" t="str">
        <f t="shared" si="7"/>
        <v/>
      </c>
      <c r="AC412" s="32" t="str">
        <f t="shared" ref="AC412:AG412" si="416">IF(J412&lt;&gt;"", IF(AND($P412=FALSE, $A412=FALSE), -J412, IF(AND($P412=FALSE, $A412=TRUE), 0, IF($P412=TRUE, (J412 / $R412) * 100 * ($S412 / 100)-J412, ))), )</f>
        <v/>
      </c>
      <c r="AD412" s="32" t="str">
        <f t="shared" si="416"/>
        <v/>
      </c>
      <c r="AE412" s="32" t="str">
        <f t="shared" si="416"/>
        <v/>
      </c>
      <c r="AF412" s="32" t="str">
        <f t="shared" si="416"/>
        <v/>
      </c>
      <c r="AG412" s="32" t="str">
        <f t="shared" si="416"/>
        <v/>
      </c>
      <c r="AH412" s="33"/>
    </row>
    <row r="413" hidden="1" outlineLevel="3">
      <c r="A413" s="16" t="b">
        <v>0</v>
      </c>
      <c r="B413" s="17"/>
      <c r="C413" s="18"/>
      <c r="D413" s="34"/>
      <c r="E413" s="20"/>
      <c r="F413" s="34"/>
      <c r="G413" s="23"/>
      <c r="H413" s="23"/>
      <c r="I413" s="23"/>
      <c r="J413" s="23"/>
      <c r="K413" s="23"/>
      <c r="L413" s="23"/>
      <c r="M413" s="23"/>
      <c r="N413" s="23"/>
      <c r="O413" s="24"/>
      <c r="P413" s="16" t="b">
        <v>0</v>
      </c>
      <c r="Q413" s="24"/>
      <c r="R413" s="26"/>
      <c r="S413" s="26"/>
      <c r="T413" s="35"/>
      <c r="U413" s="24"/>
      <c r="V413" s="38" t="s">
        <v>29</v>
      </c>
      <c r="W413" s="29" t="s">
        <v>22</v>
      </c>
      <c r="X413" s="37" t="s">
        <v>370</v>
      </c>
      <c r="Y413" s="31"/>
      <c r="Z413" s="26" t="str">
        <f t="shared" si="5"/>
        <v/>
      </c>
      <c r="AA413" s="26" t="str">
        <f t="shared" si="6"/>
        <v/>
      </c>
      <c r="AB413" s="32" t="str">
        <f t="shared" si="7"/>
        <v/>
      </c>
      <c r="AC413" s="32" t="str">
        <f t="shared" ref="AC413:AG413" si="417">IF(J413&lt;&gt;"", IF(AND($P413=FALSE, $A413=FALSE), -J413, IF(AND($P413=FALSE, $A413=TRUE), 0, IF($P413=TRUE, (J413 / $R413) * 100 * ($S413 / 100)-J413, ))), )</f>
        <v/>
      </c>
      <c r="AD413" s="32" t="str">
        <f t="shared" si="417"/>
        <v/>
      </c>
      <c r="AE413" s="32" t="str">
        <f t="shared" si="417"/>
        <v/>
      </c>
      <c r="AF413" s="32" t="str">
        <f t="shared" si="417"/>
        <v/>
      </c>
      <c r="AG413" s="32" t="str">
        <f t="shared" si="417"/>
        <v/>
      </c>
      <c r="AH413" s="33"/>
    </row>
    <row r="414" hidden="1" outlineLevel="1" collapsed="1">
      <c r="A414" s="16" t="b">
        <v>0</v>
      </c>
      <c r="B414" s="17"/>
      <c r="C414" s="18"/>
      <c r="D414" s="41">
        <v>45249.0</v>
      </c>
      <c r="E414" s="20" t="s">
        <v>24</v>
      </c>
      <c r="F414" s="21" t="s">
        <v>371</v>
      </c>
      <c r="G414" s="23">
        <v>2.0</v>
      </c>
      <c r="H414" s="23">
        <v>1.0</v>
      </c>
      <c r="I414" s="23">
        <v>2.0</v>
      </c>
      <c r="J414" s="23"/>
      <c r="K414" s="23"/>
      <c r="L414" s="23"/>
      <c r="M414" s="23"/>
      <c r="N414" s="23"/>
      <c r="O414" s="24"/>
      <c r="P414" s="16" t="b">
        <v>0</v>
      </c>
      <c r="Q414" s="24"/>
      <c r="R414" s="26">
        <v>5.0</v>
      </c>
      <c r="S414" s="26">
        <v>14.29</v>
      </c>
      <c r="T414" s="27" t="s">
        <v>116</v>
      </c>
      <c r="U414" s="24"/>
      <c r="V414" s="28"/>
      <c r="W414" s="29"/>
      <c r="X414" s="30"/>
      <c r="Y414" s="31"/>
      <c r="Z414" s="26">
        <f t="shared" si="5"/>
        <v>-2</v>
      </c>
      <c r="AA414" s="26">
        <f t="shared" si="6"/>
        <v>-2</v>
      </c>
      <c r="AB414" s="32">
        <f t="shared" si="7"/>
        <v>-1</v>
      </c>
      <c r="AC414" s="32" t="str">
        <f t="shared" ref="AC414:AG414" si="418">IF(J414&lt;&gt;"", IF(AND($P414=FALSE, $A414=FALSE), -J414, IF(AND($P414=FALSE, $A414=TRUE), 0, IF($P414=TRUE, (J414 / $R414) * 100 * ($S414 / 100)-J414, ))), )</f>
        <v/>
      </c>
      <c r="AD414" s="32" t="str">
        <f t="shared" si="418"/>
        <v/>
      </c>
      <c r="AE414" s="32" t="str">
        <f t="shared" si="418"/>
        <v/>
      </c>
      <c r="AF414" s="32" t="str">
        <f t="shared" si="418"/>
        <v/>
      </c>
      <c r="AG414" s="32" t="str">
        <f t="shared" si="418"/>
        <v/>
      </c>
      <c r="AH414" s="33"/>
    </row>
    <row r="415" hidden="1" outlineLevel="3">
      <c r="A415" s="16" t="b">
        <v>0</v>
      </c>
      <c r="B415" s="17"/>
      <c r="C415" s="18"/>
      <c r="D415" s="34"/>
      <c r="E415" s="20"/>
      <c r="F415" s="34"/>
      <c r="G415" s="23"/>
      <c r="H415" s="23"/>
      <c r="I415" s="23"/>
      <c r="J415" s="23"/>
      <c r="K415" s="23"/>
      <c r="L415" s="23"/>
      <c r="M415" s="23"/>
      <c r="N415" s="23"/>
      <c r="O415" s="24"/>
      <c r="P415" s="16" t="b">
        <v>0</v>
      </c>
      <c r="Q415" s="24"/>
      <c r="R415" s="26"/>
      <c r="S415" s="26"/>
      <c r="T415" s="35"/>
      <c r="U415" s="24"/>
      <c r="V415" s="38" t="s">
        <v>29</v>
      </c>
      <c r="W415" s="29" t="s">
        <v>22</v>
      </c>
      <c r="X415" s="37" t="s">
        <v>167</v>
      </c>
      <c r="Y415" s="31"/>
      <c r="Z415" s="26" t="str">
        <f t="shared" si="5"/>
        <v/>
      </c>
      <c r="AA415" s="26" t="str">
        <f t="shared" si="6"/>
        <v/>
      </c>
      <c r="AB415" s="32" t="str">
        <f t="shared" si="7"/>
        <v/>
      </c>
      <c r="AC415" s="32" t="str">
        <f t="shared" ref="AC415:AG415" si="419">IF(J415&lt;&gt;"", IF(AND($P415=FALSE, $A415=FALSE), -J415, IF(AND($P415=FALSE, $A415=TRUE), 0, IF($P415=TRUE, (J415 / $R415) * 100 * ($S415 / 100)-J415, ))), )</f>
        <v/>
      </c>
      <c r="AD415" s="32" t="str">
        <f t="shared" si="419"/>
        <v/>
      </c>
      <c r="AE415" s="32" t="str">
        <f t="shared" si="419"/>
        <v/>
      </c>
      <c r="AF415" s="32" t="str">
        <f t="shared" si="419"/>
        <v/>
      </c>
      <c r="AG415" s="32" t="str">
        <f t="shared" si="419"/>
        <v/>
      </c>
      <c r="AH415" s="33"/>
    </row>
    <row r="416" hidden="1" outlineLevel="3">
      <c r="A416" s="16" t="b">
        <v>0</v>
      </c>
      <c r="B416" s="17"/>
      <c r="C416" s="18"/>
      <c r="D416" s="34"/>
      <c r="E416" s="20"/>
      <c r="F416" s="34"/>
      <c r="G416" s="23"/>
      <c r="H416" s="23"/>
      <c r="I416" s="23"/>
      <c r="J416" s="23"/>
      <c r="K416" s="23"/>
      <c r="L416" s="23"/>
      <c r="M416" s="23"/>
      <c r="N416" s="23"/>
      <c r="O416" s="24"/>
      <c r="P416" s="16" t="b">
        <v>0</v>
      </c>
      <c r="Q416" s="24"/>
      <c r="R416" s="26"/>
      <c r="S416" s="26"/>
      <c r="T416" s="35"/>
      <c r="U416" s="24"/>
      <c r="V416" s="38" t="s">
        <v>29</v>
      </c>
      <c r="W416" s="29" t="s">
        <v>22</v>
      </c>
      <c r="X416" s="37" t="s">
        <v>372</v>
      </c>
      <c r="Y416" s="31"/>
      <c r="Z416" s="26" t="str">
        <f t="shared" si="5"/>
        <v/>
      </c>
      <c r="AA416" s="26" t="str">
        <f t="shared" si="6"/>
        <v/>
      </c>
      <c r="AB416" s="32" t="str">
        <f t="shared" si="7"/>
        <v/>
      </c>
      <c r="AC416" s="32" t="str">
        <f t="shared" ref="AC416:AG416" si="420">IF(J416&lt;&gt;"", IF(AND($P416=FALSE, $A416=FALSE), -J416, IF(AND($P416=FALSE, $A416=TRUE), 0, IF($P416=TRUE, (J416 / $R416) * 100 * ($S416 / 100)-J416, ))), )</f>
        <v/>
      </c>
      <c r="AD416" s="32" t="str">
        <f t="shared" si="420"/>
        <v/>
      </c>
      <c r="AE416" s="32" t="str">
        <f t="shared" si="420"/>
        <v/>
      </c>
      <c r="AF416" s="32" t="str">
        <f t="shared" si="420"/>
        <v/>
      </c>
      <c r="AG416" s="32" t="str">
        <f t="shared" si="420"/>
        <v/>
      </c>
      <c r="AH416" s="33"/>
    </row>
    <row r="417" hidden="1" outlineLevel="3">
      <c r="A417" s="16" t="b">
        <v>0</v>
      </c>
      <c r="B417" s="17"/>
      <c r="C417" s="18"/>
      <c r="D417" s="34"/>
      <c r="E417" s="29"/>
      <c r="F417" s="34"/>
      <c r="G417" s="23"/>
      <c r="H417" s="23"/>
      <c r="I417" s="23"/>
      <c r="J417" s="23"/>
      <c r="K417" s="23"/>
      <c r="L417" s="23"/>
      <c r="M417" s="23"/>
      <c r="N417" s="23"/>
      <c r="O417" s="24"/>
      <c r="P417" s="16" t="b">
        <v>0</v>
      </c>
      <c r="Q417" s="24"/>
      <c r="R417" s="26"/>
      <c r="S417" s="26"/>
      <c r="T417" s="35"/>
      <c r="U417" s="24"/>
      <c r="V417" s="66" t="s">
        <v>32</v>
      </c>
      <c r="W417" s="29" t="s">
        <v>22</v>
      </c>
      <c r="X417" s="37" t="s">
        <v>164</v>
      </c>
      <c r="Y417" s="31"/>
      <c r="Z417" s="26" t="str">
        <f t="shared" si="5"/>
        <v/>
      </c>
      <c r="AA417" s="26" t="str">
        <f t="shared" si="6"/>
        <v/>
      </c>
      <c r="AB417" s="32" t="str">
        <f t="shared" si="7"/>
        <v/>
      </c>
      <c r="AC417" s="32" t="str">
        <f t="shared" ref="AC417:AG417" si="421">IF(J417&lt;&gt;"", IF(AND($P417=FALSE, $A417=FALSE), -J417, IF(AND($P417=FALSE, $A417=TRUE), 0, IF($P417=TRUE, (J417 / $R417) * 100 * ($S417 / 100)-J417, ))), )</f>
        <v/>
      </c>
      <c r="AD417" s="32" t="str">
        <f t="shared" si="421"/>
        <v/>
      </c>
      <c r="AE417" s="32" t="str">
        <f t="shared" si="421"/>
        <v/>
      </c>
      <c r="AF417" s="32" t="str">
        <f t="shared" si="421"/>
        <v/>
      </c>
      <c r="AG417" s="32" t="str">
        <f t="shared" si="421"/>
        <v/>
      </c>
      <c r="AH417" s="33"/>
    </row>
    <row r="418" hidden="1" outlineLevel="3">
      <c r="A418" s="16" t="b">
        <v>0</v>
      </c>
      <c r="B418" s="17"/>
      <c r="C418" s="18"/>
      <c r="D418" s="34"/>
      <c r="E418" s="29"/>
      <c r="F418" s="34"/>
      <c r="G418" s="23"/>
      <c r="H418" s="23"/>
      <c r="I418" s="23"/>
      <c r="J418" s="23"/>
      <c r="K418" s="23"/>
      <c r="L418" s="23"/>
      <c r="M418" s="23"/>
      <c r="N418" s="23"/>
      <c r="O418" s="24"/>
      <c r="P418" s="16" t="b">
        <v>0</v>
      </c>
      <c r="Q418" s="24"/>
      <c r="R418" s="26"/>
      <c r="S418" s="26"/>
      <c r="T418" s="35"/>
      <c r="U418" s="24"/>
      <c r="V418" s="38" t="s">
        <v>29</v>
      </c>
      <c r="W418" s="29" t="s">
        <v>22</v>
      </c>
      <c r="X418" s="37" t="s">
        <v>373</v>
      </c>
      <c r="Y418" s="31"/>
      <c r="Z418" s="26" t="str">
        <f t="shared" si="5"/>
        <v/>
      </c>
      <c r="AA418" s="26" t="str">
        <f t="shared" si="6"/>
        <v/>
      </c>
      <c r="AB418" s="32" t="str">
        <f t="shared" si="7"/>
        <v/>
      </c>
      <c r="AC418" s="32" t="str">
        <f t="shared" ref="AC418:AG418" si="422">IF(J418&lt;&gt;"", IF(AND($P418=FALSE, $A418=FALSE), -J418, IF(AND($P418=FALSE, $A418=TRUE), 0, IF($P418=TRUE, (J418 / $R418) * 100 * ($S418 / 100)-J418, ))), )</f>
        <v/>
      </c>
      <c r="AD418" s="32" t="str">
        <f t="shared" si="422"/>
        <v/>
      </c>
      <c r="AE418" s="32" t="str">
        <f t="shared" si="422"/>
        <v/>
      </c>
      <c r="AF418" s="32" t="str">
        <f t="shared" si="422"/>
        <v/>
      </c>
      <c r="AG418" s="32" t="str">
        <f t="shared" si="422"/>
        <v/>
      </c>
      <c r="AH418" s="33"/>
    </row>
    <row r="419" hidden="1" outlineLevel="2" collapsed="1">
      <c r="A419" s="16" t="b">
        <v>0</v>
      </c>
      <c r="B419" s="17"/>
      <c r="C419" s="18"/>
      <c r="D419" s="41">
        <v>45249.0</v>
      </c>
      <c r="E419" s="20" t="s">
        <v>24</v>
      </c>
      <c r="F419" s="21" t="s">
        <v>371</v>
      </c>
      <c r="G419" s="23">
        <v>2.0</v>
      </c>
      <c r="H419" s="23">
        <v>1.0</v>
      </c>
      <c r="I419" s="23">
        <v>2.0</v>
      </c>
      <c r="J419" s="23"/>
      <c r="K419" s="23"/>
      <c r="L419" s="23"/>
      <c r="M419" s="23"/>
      <c r="N419" s="23"/>
      <c r="O419" s="24"/>
      <c r="P419" s="16" t="b">
        <v>0</v>
      </c>
      <c r="Q419" s="24"/>
      <c r="R419" s="26">
        <v>5.0</v>
      </c>
      <c r="S419" s="26">
        <v>15.07</v>
      </c>
      <c r="T419" s="27" t="s">
        <v>374</v>
      </c>
      <c r="U419" s="24"/>
      <c r="V419" s="28"/>
      <c r="W419" s="29"/>
      <c r="X419" s="30"/>
      <c r="Y419" s="31"/>
      <c r="Z419" s="26">
        <f t="shared" si="5"/>
        <v>-2</v>
      </c>
      <c r="AA419" s="26">
        <f t="shared" si="6"/>
        <v>-2</v>
      </c>
      <c r="AB419" s="32">
        <f t="shared" si="7"/>
        <v>-1</v>
      </c>
      <c r="AC419" s="32" t="str">
        <f t="shared" ref="AC419:AG419" si="423">IF(J419&lt;&gt;"", IF(AND($P419=FALSE, $A419=FALSE), -J419, IF(AND($P419=FALSE, $A419=TRUE), 0, IF($P419=TRUE, (J419 / $R419) * 100 * ($S419 / 100)-J419, ))), )</f>
        <v/>
      </c>
      <c r="AD419" s="32" t="str">
        <f t="shared" si="423"/>
        <v/>
      </c>
      <c r="AE419" s="32" t="str">
        <f t="shared" si="423"/>
        <v/>
      </c>
      <c r="AF419" s="32" t="str">
        <f t="shared" si="423"/>
        <v/>
      </c>
      <c r="AG419" s="32" t="str">
        <f t="shared" si="423"/>
        <v/>
      </c>
      <c r="AH419" s="33"/>
    </row>
    <row r="420" hidden="1" outlineLevel="3">
      <c r="A420" s="16" t="b">
        <v>0</v>
      </c>
      <c r="B420" s="17"/>
      <c r="C420" s="18"/>
      <c r="D420" s="34"/>
      <c r="E420" s="29"/>
      <c r="F420" s="34"/>
      <c r="G420" s="23"/>
      <c r="H420" s="23"/>
      <c r="I420" s="23"/>
      <c r="J420" s="23"/>
      <c r="K420" s="23"/>
      <c r="L420" s="23"/>
      <c r="M420" s="23"/>
      <c r="N420" s="23"/>
      <c r="O420" s="24"/>
      <c r="P420" s="16" t="b">
        <v>0</v>
      </c>
      <c r="Q420" s="24"/>
      <c r="R420" s="26"/>
      <c r="S420" s="26"/>
      <c r="T420" s="35"/>
      <c r="U420" s="24"/>
      <c r="V420" s="28" t="s">
        <v>32</v>
      </c>
      <c r="W420" s="29" t="s">
        <v>22</v>
      </c>
      <c r="X420" s="37" t="s">
        <v>375</v>
      </c>
      <c r="Y420" s="31"/>
      <c r="Z420" s="26" t="str">
        <f t="shared" si="5"/>
        <v/>
      </c>
      <c r="AA420" s="26" t="str">
        <f t="shared" si="6"/>
        <v/>
      </c>
      <c r="AB420" s="32" t="str">
        <f t="shared" si="7"/>
        <v/>
      </c>
      <c r="AC420" s="32" t="str">
        <f t="shared" ref="AC420:AG420" si="424">IF(J420&lt;&gt;"", IF(AND($P420=FALSE, $A420=FALSE), -J420, IF(AND($P420=FALSE, $A420=TRUE), 0, IF($P420=TRUE, (J420 / $R420) * 100 * ($S420 / 100)-J420, ))), )</f>
        <v/>
      </c>
      <c r="AD420" s="32" t="str">
        <f t="shared" si="424"/>
        <v/>
      </c>
      <c r="AE420" s="32" t="str">
        <f t="shared" si="424"/>
        <v/>
      </c>
      <c r="AF420" s="32" t="str">
        <f t="shared" si="424"/>
        <v/>
      </c>
      <c r="AG420" s="32" t="str">
        <f t="shared" si="424"/>
        <v/>
      </c>
      <c r="AH420" s="33"/>
    </row>
    <row r="421" hidden="1" outlineLevel="3">
      <c r="A421" s="16" t="b">
        <v>0</v>
      </c>
      <c r="B421" s="17"/>
      <c r="C421" s="18"/>
      <c r="D421" s="34"/>
      <c r="E421" s="29"/>
      <c r="F421" s="34"/>
      <c r="G421" s="23"/>
      <c r="H421" s="23"/>
      <c r="I421" s="23"/>
      <c r="J421" s="23"/>
      <c r="K421" s="23"/>
      <c r="L421" s="23"/>
      <c r="M421" s="23"/>
      <c r="N421" s="23"/>
      <c r="O421" s="24"/>
      <c r="P421" s="16" t="b">
        <v>0</v>
      </c>
      <c r="Q421" s="24"/>
      <c r="R421" s="26"/>
      <c r="S421" s="26"/>
      <c r="T421" s="35"/>
      <c r="U421" s="24"/>
      <c r="V421" s="28" t="s">
        <v>32</v>
      </c>
      <c r="W421" s="29" t="s">
        <v>22</v>
      </c>
      <c r="X421" s="37" t="s">
        <v>376</v>
      </c>
      <c r="Y421" s="31"/>
      <c r="Z421" s="26" t="str">
        <f t="shared" si="5"/>
        <v/>
      </c>
      <c r="AA421" s="26" t="str">
        <f t="shared" si="6"/>
        <v/>
      </c>
      <c r="AB421" s="32" t="str">
        <f t="shared" si="7"/>
        <v/>
      </c>
      <c r="AC421" s="32" t="str">
        <f t="shared" ref="AC421:AG421" si="425">IF(J421&lt;&gt;"", IF(AND($P421=FALSE, $A421=FALSE), -J421, IF(AND($P421=FALSE, $A421=TRUE), 0, IF($P421=TRUE, (J421 / $R421) * 100 * ($S421 / 100)-J421, ))), )</f>
        <v/>
      </c>
      <c r="AD421" s="32" t="str">
        <f t="shared" si="425"/>
        <v/>
      </c>
      <c r="AE421" s="32" t="str">
        <f t="shared" si="425"/>
        <v/>
      </c>
      <c r="AF421" s="32" t="str">
        <f t="shared" si="425"/>
        <v/>
      </c>
      <c r="AG421" s="32" t="str">
        <f t="shared" si="425"/>
        <v/>
      </c>
      <c r="AH421" s="33"/>
    </row>
    <row r="422" hidden="1" outlineLevel="3">
      <c r="A422" s="16" t="b">
        <v>0</v>
      </c>
      <c r="B422" s="17"/>
      <c r="C422" s="18"/>
      <c r="D422" s="34"/>
      <c r="E422" s="29"/>
      <c r="F422" s="34"/>
      <c r="G422" s="23"/>
      <c r="H422" s="23"/>
      <c r="I422" s="23"/>
      <c r="J422" s="23"/>
      <c r="K422" s="23"/>
      <c r="L422" s="23"/>
      <c r="M422" s="23"/>
      <c r="N422" s="23"/>
      <c r="O422" s="24"/>
      <c r="P422" s="16" t="b">
        <v>0</v>
      </c>
      <c r="Q422" s="24"/>
      <c r="R422" s="26"/>
      <c r="S422" s="26"/>
      <c r="T422" s="35"/>
      <c r="U422" s="24"/>
      <c r="V422" s="28" t="s">
        <v>32</v>
      </c>
      <c r="W422" s="29" t="s">
        <v>22</v>
      </c>
      <c r="X422" s="37" t="s">
        <v>377</v>
      </c>
      <c r="Y422" s="31"/>
      <c r="Z422" s="26" t="str">
        <f t="shared" si="5"/>
        <v/>
      </c>
      <c r="AA422" s="26" t="str">
        <f t="shared" si="6"/>
        <v/>
      </c>
      <c r="AB422" s="32" t="str">
        <f t="shared" si="7"/>
        <v/>
      </c>
      <c r="AC422" s="32" t="str">
        <f t="shared" ref="AC422:AG422" si="426">IF(J422&lt;&gt;"", IF(AND($P422=FALSE, $A422=FALSE), -J422, IF(AND($P422=FALSE, $A422=TRUE), 0, IF($P422=TRUE, (J422 / $R422) * 100 * ($S422 / 100)-J422, ))), )</f>
        <v/>
      </c>
      <c r="AD422" s="32" t="str">
        <f t="shared" si="426"/>
        <v/>
      </c>
      <c r="AE422" s="32" t="str">
        <f t="shared" si="426"/>
        <v/>
      </c>
      <c r="AF422" s="32" t="str">
        <f t="shared" si="426"/>
        <v/>
      </c>
      <c r="AG422" s="32" t="str">
        <f t="shared" si="426"/>
        <v/>
      </c>
      <c r="AH422" s="33"/>
    </row>
    <row r="423" hidden="1" outlineLevel="2" collapsed="1">
      <c r="A423" s="16" t="b">
        <v>0</v>
      </c>
      <c r="B423" s="17"/>
      <c r="C423" s="18"/>
      <c r="D423" s="41">
        <v>45249.0</v>
      </c>
      <c r="E423" s="20" t="s">
        <v>24</v>
      </c>
      <c r="F423" s="21" t="s">
        <v>371</v>
      </c>
      <c r="G423" s="23">
        <v>2.0</v>
      </c>
      <c r="H423" s="23">
        <v>1.0</v>
      </c>
      <c r="I423" s="23">
        <v>1.0</v>
      </c>
      <c r="J423" s="23"/>
      <c r="K423" s="23"/>
      <c r="L423" s="23"/>
      <c r="M423" s="23"/>
      <c r="N423" s="23"/>
      <c r="O423" s="24"/>
      <c r="P423" s="16" t="b">
        <v>1</v>
      </c>
      <c r="Q423" s="24"/>
      <c r="R423" s="26">
        <v>4.0</v>
      </c>
      <c r="S423" s="26">
        <v>8.43</v>
      </c>
      <c r="T423" s="27" t="s">
        <v>378</v>
      </c>
      <c r="U423" s="24"/>
      <c r="V423" s="28"/>
      <c r="W423" s="29"/>
      <c r="X423" s="30"/>
      <c r="Y423" s="31"/>
      <c r="Z423" s="26">
        <f t="shared" si="5"/>
        <v>2.215</v>
      </c>
      <c r="AA423" s="26">
        <f t="shared" si="6"/>
        <v>1.1075</v>
      </c>
      <c r="AB423" s="32">
        <f t="shared" si="7"/>
        <v>1.1075</v>
      </c>
      <c r="AC423" s="32" t="str">
        <f t="shared" ref="AC423:AG423" si="427">IF(J423&lt;&gt;"", IF(AND($P423=FALSE, $A423=FALSE), -J423, IF(AND($P423=FALSE, $A423=TRUE), 0, IF($P423=TRUE, (J423 / $R423) * 100 * ($S423 / 100)-J423, ))), )</f>
        <v/>
      </c>
      <c r="AD423" s="32" t="str">
        <f t="shared" si="427"/>
        <v/>
      </c>
      <c r="AE423" s="32" t="str">
        <f t="shared" si="427"/>
        <v/>
      </c>
      <c r="AF423" s="32" t="str">
        <f t="shared" si="427"/>
        <v/>
      </c>
      <c r="AG423" s="32" t="str">
        <f t="shared" si="427"/>
        <v/>
      </c>
      <c r="AH423" s="33"/>
    </row>
    <row r="424" hidden="1" outlineLevel="3">
      <c r="A424" s="16" t="b">
        <v>0</v>
      </c>
      <c r="B424" s="17"/>
      <c r="C424" s="18"/>
      <c r="D424" s="34"/>
      <c r="E424" s="29"/>
      <c r="F424" s="34"/>
      <c r="G424" s="23"/>
      <c r="H424" s="23"/>
      <c r="I424" s="23"/>
      <c r="J424" s="23"/>
      <c r="K424" s="23"/>
      <c r="L424" s="23"/>
      <c r="M424" s="23"/>
      <c r="N424" s="23"/>
      <c r="O424" s="24"/>
      <c r="P424" s="16" t="b">
        <v>0</v>
      </c>
      <c r="Q424" s="24"/>
      <c r="R424" s="26"/>
      <c r="S424" s="26"/>
      <c r="T424" s="35"/>
      <c r="U424" s="24"/>
      <c r="V424" s="38" t="s">
        <v>29</v>
      </c>
      <c r="W424" s="29" t="s">
        <v>22</v>
      </c>
      <c r="X424" s="37" t="s">
        <v>379</v>
      </c>
      <c r="Y424" s="31"/>
      <c r="Z424" s="26" t="str">
        <f t="shared" si="5"/>
        <v/>
      </c>
      <c r="AA424" s="26" t="str">
        <f t="shared" si="6"/>
        <v/>
      </c>
      <c r="AB424" s="32" t="str">
        <f t="shared" si="7"/>
        <v/>
      </c>
      <c r="AC424" s="32" t="str">
        <f t="shared" ref="AC424:AG424" si="428">IF(J424&lt;&gt;"", IF(AND($P424=FALSE, $A424=FALSE), -J424, IF(AND($P424=FALSE, $A424=TRUE), 0, IF($P424=TRUE, (J424 / $R424) * 100 * ($S424 / 100)-J424, ))), )</f>
        <v/>
      </c>
      <c r="AD424" s="32" t="str">
        <f t="shared" si="428"/>
        <v/>
      </c>
      <c r="AE424" s="32" t="str">
        <f t="shared" si="428"/>
        <v/>
      </c>
      <c r="AF424" s="32" t="str">
        <f t="shared" si="428"/>
        <v/>
      </c>
      <c r="AG424" s="32" t="str">
        <f t="shared" si="428"/>
        <v/>
      </c>
      <c r="AH424" s="33"/>
    </row>
    <row r="425" hidden="1" outlineLevel="3">
      <c r="A425" s="16" t="b">
        <v>0</v>
      </c>
      <c r="B425" s="17"/>
      <c r="C425" s="18"/>
      <c r="D425" s="34"/>
      <c r="E425" s="29"/>
      <c r="F425" s="34"/>
      <c r="G425" s="23"/>
      <c r="H425" s="23"/>
      <c r="I425" s="23"/>
      <c r="J425" s="23"/>
      <c r="K425" s="23"/>
      <c r="L425" s="23"/>
      <c r="M425" s="23"/>
      <c r="N425" s="23"/>
      <c r="O425" s="24"/>
      <c r="P425" s="16" t="b">
        <v>0</v>
      </c>
      <c r="Q425" s="24"/>
      <c r="R425" s="26"/>
      <c r="S425" s="26"/>
      <c r="T425" s="35"/>
      <c r="U425" s="24"/>
      <c r="V425" s="38" t="s">
        <v>29</v>
      </c>
      <c r="W425" s="29" t="s">
        <v>22</v>
      </c>
      <c r="X425" s="37" t="s">
        <v>331</v>
      </c>
      <c r="Y425" s="31"/>
      <c r="Z425" s="26" t="str">
        <f t="shared" si="5"/>
        <v/>
      </c>
      <c r="AA425" s="26" t="str">
        <f t="shared" si="6"/>
        <v/>
      </c>
      <c r="AB425" s="32" t="str">
        <f t="shared" si="7"/>
        <v/>
      </c>
      <c r="AC425" s="32" t="str">
        <f t="shared" ref="AC425:AG425" si="429">IF(J425&lt;&gt;"", IF(AND($P425=FALSE, $A425=FALSE), -J425, IF(AND($P425=FALSE, $A425=TRUE), 0, IF($P425=TRUE, (J425 / $R425) * 100 * ($S425 / 100)-J425, ))), )</f>
        <v/>
      </c>
      <c r="AD425" s="32" t="str">
        <f t="shared" si="429"/>
        <v/>
      </c>
      <c r="AE425" s="32" t="str">
        <f t="shared" si="429"/>
        <v/>
      </c>
      <c r="AF425" s="32" t="str">
        <f t="shared" si="429"/>
        <v/>
      </c>
      <c r="AG425" s="32" t="str">
        <f t="shared" si="429"/>
        <v/>
      </c>
      <c r="AH425" s="33"/>
    </row>
    <row r="426" hidden="1" outlineLevel="2" collapsed="1">
      <c r="A426" s="16" t="b">
        <v>0</v>
      </c>
      <c r="B426" s="17"/>
      <c r="C426" s="18"/>
      <c r="D426" s="41">
        <v>45249.0</v>
      </c>
      <c r="E426" s="20" t="s">
        <v>24</v>
      </c>
      <c r="F426" s="21" t="s">
        <v>371</v>
      </c>
      <c r="G426" s="23">
        <v>2.0</v>
      </c>
      <c r="H426" s="23">
        <v>1.0</v>
      </c>
      <c r="I426" s="23">
        <v>0.0</v>
      </c>
      <c r="J426" s="23"/>
      <c r="K426" s="23"/>
      <c r="L426" s="23"/>
      <c r="M426" s="23"/>
      <c r="N426" s="23"/>
      <c r="O426" s="24"/>
      <c r="P426" s="16" t="b">
        <v>0</v>
      </c>
      <c r="Q426" s="24"/>
      <c r="R426" s="26">
        <v>3.0</v>
      </c>
      <c r="S426" s="26">
        <v>6.72</v>
      </c>
      <c r="T426" s="27" t="s">
        <v>380</v>
      </c>
      <c r="U426" s="24"/>
      <c r="V426" s="28"/>
      <c r="W426" s="29"/>
      <c r="X426" s="30"/>
      <c r="Y426" s="31"/>
      <c r="Z426" s="26">
        <f t="shared" si="5"/>
        <v>-2</v>
      </c>
      <c r="AA426" s="26">
        <f t="shared" si="6"/>
        <v>0</v>
      </c>
      <c r="AB426" s="32">
        <f t="shared" si="7"/>
        <v>-1</v>
      </c>
      <c r="AC426" s="32" t="str">
        <f t="shared" ref="AC426:AG426" si="430">IF(J426&lt;&gt;"", IF(AND($P426=FALSE, $A426=FALSE), -J426, IF(AND($P426=FALSE, $A426=TRUE), 0, IF($P426=TRUE, (J426 / $R426) * 100 * ($S426 / 100)-J426, ))), )</f>
        <v/>
      </c>
      <c r="AD426" s="32" t="str">
        <f t="shared" si="430"/>
        <v/>
      </c>
      <c r="AE426" s="32" t="str">
        <f t="shared" si="430"/>
        <v/>
      </c>
      <c r="AF426" s="32" t="str">
        <f t="shared" si="430"/>
        <v/>
      </c>
      <c r="AG426" s="32" t="str">
        <f t="shared" si="430"/>
        <v/>
      </c>
      <c r="AH426" s="33"/>
    </row>
    <row r="427" hidden="1" outlineLevel="3">
      <c r="A427" s="16" t="b">
        <v>0</v>
      </c>
      <c r="B427" s="17"/>
      <c r="C427" s="18"/>
      <c r="D427" s="34"/>
      <c r="E427" s="29"/>
      <c r="F427" s="34"/>
      <c r="G427" s="23"/>
      <c r="H427" s="23"/>
      <c r="I427" s="23"/>
      <c r="J427" s="23"/>
      <c r="K427" s="23"/>
      <c r="L427" s="23"/>
      <c r="M427" s="23"/>
      <c r="N427" s="23"/>
      <c r="O427" s="24"/>
      <c r="P427" s="16" t="b">
        <v>0</v>
      </c>
      <c r="Q427" s="24"/>
      <c r="R427" s="26"/>
      <c r="S427" s="26"/>
      <c r="T427" s="35"/>
      <c r="U427" s="24"/>
      <c r="V427" s="38" t="s">
        <v>29</v>
      </c>
      <c r="W427" s="29" t="s">
        <v>22</v>
      </c>
      <c r="X427" s="37" t="s">
        <v>381</v>
      </c>
      <c r="Y427" s="31"/>
      <c r="Z427" s="26" t="str">
        <f t="shared" si="5"/>
        <v/>
      </c>
      <c r="AA427" s="26" t="str">
        <f t="shared" si="6"/>
        <v/>
      </c>
      <c r="AB427" s="32" t="str">
        <f t="shared" si="7"/>
        <v/>
      </c>
      <c r="AC427" s="32" t="str">
        <f t="shared" ref="AC427:AG427" si="431">IF(J427&lt;&gt;"", IF(AND($P427=FALSE, $A427=FALSE), -J427, IF(AND($P427=FALSE, $A427=TRUE), 0, IF($P427=TRUE, (J427 / $R427) * 100 * ($S427 / 100)-J427, ))), )</f>
        <v/>
      </c>
      <c r="AD427" s="32" t="str">
        <f t="shared" si="431"/>
        <v/>
      </c>
      <c r="AE427" s="32" t="str">
        <f t="shared" si="431"/>
        <v/>
      </c>
      <c r="AF427" s="32" t="str">
        <f t="shared" si="431"/>
        <v/>
      </c>
      <c r="AG427" s="32" t="str">
        <f t="shared" si="431"/>
        <v/>
      </c>
      <c r="AH427" s="33"/>
    </row>
    <row r="428" hidden="1" outlineLevel="3">
      <c r="A428" s="16" t="b">
        <v>0</v>
      </c>
      <c r="B428" s="17"/>
      <c r="C428" s="18"/>
      <c r="D428" s="34"/>
      <c r="E428" s="29"/>
      <c r="F428" s="34"/>
      <c r="G428" s="23"/>
      <c r="H428" s="23"/>
      <c r="I428" s="23"/>
      <c r="J428" s="23"/>
      <c r="K428" s="23"/>
      <c r="L428" s="23"/>
      <c r="M428" s="23"/>
      <c r="N428" s="23"/>
      <c r="O428" s="24"/>
      <c r="P428" s="16" t="b">
        <v>0</v>
      </c>
      <c r="Q428" s="24"/>
      <c r="R428" s="26"/>
      <c r="S428" s="26"/>
      <c r="T428" s="35"/>
      <c r="U428" s="24"/>
      <c r="V428" s="66" t="s">
        <v>32</v>
      </c>
      <c r="W428" s="29" t="s">
        <v>22</v>
      </c>
      <c r="X428" s="37" t="s">
        <v>382</v>
      </c>
      <c r="Y428" s="31"/>
      <c r="Z428" s="26" t="str">
        <f t="shared" si="5"/>
        <v/>
      </c>
      <c r="AA428" s="26" t="str">
        <f t="shared" si="6"/>
        <v/>
      </c>
      <c r="AB428" s="32" t="str">
        <f t="shared" si="7"/>
        <v/>
      </c>
      <c r="AC428" s="32" t="str">
        <f t="shared" ref="AC428:AG428" si="432">IF(J428&lt;&gt;"", IF(AND($P428=FALSE, $A428=FALSE), -J428, IF(AND($P428=FALSE, $A428=TRUE), 0, IF($P428=TRUE, (J428 / $R428) * 100 * ($S428 / 100)-J428, ))), )</f>
        <v/>
      </c>
      <c r="AD428" s="32" t="str">
        <f t="shared" si="432"/>
        <v/>
      </c>
      <c r="AE428" s="32" t="str">
        <f t="shared" si="432"/>
        <v/>
      </c>
      <c r="AF428" s="32" t="str">
        <f t="shared" si="432"/>
        <v/>
      </c>
      <c r="AG428" s="32" t="str">
        <f t="shared" si="432"/>
        <v/>
      </c>
      <c r="AH428" s="33"/>
    </row>
    <row r="429" hidden="1" outlineLevel="3">
      <c r="A429" s="16" t="b">
        <v>0</v>
      </c>
      <c r="B429" s="17"/>
      <c r="C429" s="18"/>
      <c r="D429" s="34"/>
      <c r="E429" s="29"/>
      <c r="F429" s="34"/>
      <c r="G429" s="23"/>
      <c r="H429" s="23"/>
      <c r="I429" s="23"/>
      <c r="J429" s="23"/>
      <c r="K429" s="23"/>
      <c r="L429" s="23"/>
      <c r="M429" s="23"/>
      <c r="N429" s="23"/>
      <c r="O429" s="24"/>
      <c r="P429" s="16" t="b">
        <v>0</v>
      </c>
      <c r="Q429" s="24"/>
      <c r="R429" s="26"/>
      <c r="S429" s="26"/>
      <c r="T429" s="35"/>
      <c r="U429" s="24"/>
      <c r="V429" s="38" t="s">
        <v>29</v>
      </c>
      <c r="W429" s="29" t="s">
        <v>22</v>
      </c>
      <c r="X429" s="37" t="s">
        <v>383</v>
      </c>
      <c r="Y429" s="31"/>
      <c r="Z429" s="26" t="str">
        <f t="shared" si="5"/>
        <v/>
      </c>
      <c r="AA429" s="26" t="str">
        <f t="shared" si="6"/>
        <v/>
      </c>
      <c r="AB429" s="32" t="str">
        <f t="shared" si="7"/>
        <v/>
      </c>
      <c r="AC429" s="32" t="str">
        <f t="shared" ref="AC429:AG429" si="433">IF(J429&lt;&gt;"", IF(AND($P429=FALSE, $A429=FALSE), -J429, IF(AND($P429=FALSE, $A429=TRUE), 0, IF($P429=TRUE, (J429 / $R429) * 100 * ($S429 / 100)-J429, ))), )</f>
        <v/>
      </c>
      <c r="AD429" s="32" t="str">
        <f t="shared" si="433"/>
        <v/>
      </c>
      <c r="AE429" s="32" t="str">
        <f t="shared" si="433"/>
        <v/>
      </c>
      <c r="AF429" s="32" t="str">
        <f t="shared" si="433"/>
        <v/>
      </c>
      <c r="AG429" s="32" t="str">
        <f t="shared" si="433"/>
        <v/>
      </c>
      <c r="AH429" s="33"/>
    </row>
    <row r="430" hidden="1" outlineLevel="2" collapsed="1">
      <c r="A430" s="16" t="b">
        <v>0</v>
      </c>
      <c r="B430" s="17"/>
      <c r="C430" s="18"/>
      <c r="D430" s="41">
        <v>45249.0</v>
      </c>
      <c r="E430" s="20" t="s">
        <v>24</v>
      </c>
      <c r="F430" s="21" t="s">
        <v>371</v>
      </c>
      <c r="G430" s="23">
        <v>2.0</v>
      </c>
      <c r="H430" s="23">
        <v>1.0</v>
      </c>
      <c r="I430" s="23">
        <v>2.0</v>
      </c>
      <c r="J430" s="23"/>
      <c r="K430" s="23"/>
      <c r="L430" s="23"/>
      <c r="M430" s="23"/>
      <c r="N430" s="23"/>
      <c r="O430" s="24"/>
      <c r="P430" s="16" t="b">
        <v>1</v>
      </c>
      <c r="Q430" s="24"/>
      <c r="R430" s="26">
        <v>5.0</v>
      </c>
      <c r="S430" s="26">
        <v>14.55</v>
      </c>
      <c r="T430" s="27" t="s">
        <v>121</v>
      </c>
      <c r="U430" s="24"/>
      <c r="V430" s="28"/>
      <c r="W430" s="29"/>
      <c r="X430" s="30"/>
      <c r="Y430" s="31"/>
      <c r="Z430" s="26">
        <f t="shared" si="5"/>
        <v>3.82</v>
      </c>
      <c r="AA430" s="26">
        <f t="shared" si="6"/>
        <v>3.82</v>
      </c>
      <c r="AB430" s="32">
        <f t="shared" si="7"/>
        <v>1.91</v>
      </c>
      <c r="AC430" s="32" t="str">
        <f t="shared" ref="AC430:AG430" si="434">IF(J430&lt;&gt;"", IF(AND($P430=FALSE, $A430=FALSE), -J430, IF(AND($P430=FALSE, $A430=TRUE), 0, IF($P430=TRUE, (J430 / $R430) * 100 * ($S430 / 100)-J430, ))), )</f>
        <v/>
      </c>
      <c r="AD430" s="32" t="str">
        <f t="shared" si="434"/>
        <v/>
      </c>
      <c r="AE430" s="32" t="str">
        <f t="shared" si="434"/>
        <v/>
      </c>
      <c r="AF430" s="32" t="str">
        <f t="shared" si="434"/>
        <v/>
      </c>
      <c r="AG430" s="32" t="str">
        <f t="shared" si="434"/>
        <v/>
      </c>
      <c r="AH430" s="33"/>
    </row>
    <row r="431" hidden="1" outlineLevel="3">
      <c r="A431" s="16" t="b">
        <v>0</v>
      </c>
      <c r="B431" s="17"/>
      <c r="C431" s="18"/>
      <c r="D431" s="34"/>
      <c r="E431" s="29"/>
      <c r="F431" s="34"/>
      <c r="G431" s="23"/>
      <c r="H431" s="23"/>
      <c r="I431" s="23"/>
      <c r="J431" s="23"/>
      <c r="K431" s="23"/>
      <c r="L431" s="23"/>
      <c r="M431" s="23"/>
      <c r="N431" s="23"/>
      <c r="O431" s="24"/>
      <c r="P431" s="16" t="b">
        <v>0</v>
      </c>
      <c r="Q431" s="24"/>
      <c r="R431" s="26"/>
      <c r="S431" s="26"/>
      <c r="T431" s="35"/>
      <c r="U431" s="24"/>
      <c r="V431" s="38" t="s">
        <v>29</v>
      </c>
      <c r="W431" s="29" t="s">
        <v>22</v>
      </c>
      <c r="X431" s="37" t="s">
        <v>384</v>
      </c>
      <c r="Y431" s="31"/>
      <c r="Z431" s="26" t="str">
        <f t="shared" si="5"/>
        <v/>
      </c>
      <c r="AA431" s="26" t="str">
        <f t="shared" si="6"/>
        <v/>
      </c>
      <c r="AB431" s="32" t="str">
        <f t="shared" si="7"/>
        <v/>
      </c>
      <c r="AC431" s="32" t="str">
        <f t="shared" ref="AC431:AG431" si="435">IF(J431&lt;&gt;"", IF(AND($P431=FALSE, $A431=FALSE), -J431, IF(AND($P431=FALSE, $A431=TRUE), 0, IF($P431=TRUE, (J431 / $R431) * 100 * ($S431 / 100)-J431, ))), )</f>
        <v/>
      </c>
      <c r="AD431" s="32" t="str">
        <f t="shared" si="435"/>
        <v/>
      </c>
      <c r="AE431" s="32" t="str">
        <f t="shared" si="435"/>
        <v/>
      </c>
      <c r="AF431" s="32" t="str">
        <f t="shared" si="435"/>
        <v/>
      </c>
      <c r="AG431" s="32" t="str">
        <f t="shared" si="435"/>
        <v/>
      </c>
      <c r="AH431" s="33"/>
    </row>
    <row r="432" hidden="1" outlineLevel="3">
      <c r="A432" s="16" t="b">
        <v>0</v>
      </c>
      <c r="B432" s="17"/>
      <c r="C432" s="18"/>
      <c r="D432" s="34"/>
      <c r="E432" s="29"/>
      <c r="F432" s="34"/>
      <c r="G432" s="23"/>
      <c r="H432" s="23"/>
      <c r="I432" s="23"/>
      <c r="J432" s="23"/>
      <c r="K432" s="23"/>
      <c r="L432" s="23"/>
      <c r="M432" s="23"/>
      <c r="N432" s="23"/>
      <c r="O432" s="24"/>
      <c r="P432" s="16" t="b">
        <v>0</v>
      </c>
      <c r="Q432" s="24"/>
      <c r="R432" s="26"/>
      <c r="S432" s="26"/>
      <c r="T432" s="35"/>
      <c r="U432" s="24"/>
      <c r="V432" s="38" t="s">
        <v>29</v>
      </c>
      <c r="W432" s="29" t="s">
        <v>22</v>
      </c>
      <c r="X432" s="37" t="s">
        <v>385</v>
      </c>
      <c r="Y432" s="31"/>
      <c r="Z432" s="26" t="str">
        <f t="shared" si="5"/>
        <v/>
      </c>
      <c r="AA432" s="26" t="str">
        <f t="shared" si="6"/>
        <v/>
      </c>
      <c r="AB432" s="32" t="str">
        <f t="shared" si="7"/>
        <v/>
      </c>
      <c r="AC432" s="32" t="str">
        <f t="shared" ref="AC432:AG432" si="436">IF(J432&lt;&gt;"", IF(AND($P432=FALSE, $A432=FALSE), -J432, IF(AND($P432=FALSE, $A432=TRUE), 0, IF($P432=TRUE, (J432 / $R432) * 100 * ($S432 / 100)-J432, ))), )</f>
        <v/>
      </c>
      <c r="AD432" s="32" t="str">
        <f t="shared" si="436"/>
        <v/>
      </c>
      <c r="AE432" s="32" t="str">
        <f t="shared" si="436"/>
        <v/>
      </c>
      <c r="AF432" s="32" t="str">
        <f t="shared" si="436"/>
        <v/>
      </c>
      <c r="AG432" s="32" t="str">
        <f t="shared" si="436"/>
        <v/>
      </c>
      <c r="AH432" s="33"/>
    </row>
    <row r="433" hidden="1" outlineLevel="3">
      <c r="A433" s="16" t="b">
        <v>0</v>
      </c>
      <c r="B433" s="17"/>
      <c r="C433" s="18"/>
      <c r="D433" s="34"/>
      <c r="E433" s="29"/>
      <c r="F433" s="34"/>
      <c r="G433" s="23"/>
      <c r="H433" s="23"/>
      <c r="I433" s="23"/>
      <c r="J433" s="23"/>
      <c r="K433" s="23"/>
      <c r="L433" s="23"/>
      <c r="M433" s="23"/>
      <c r="N433" s="23"/>
      <c r="O433" s="24"/>
      <c r="P433" s="16" t="b">
        <v>0</v>
      </c>
      <c r="Q433" s="24"/>
      <c r="R433" s="26"/>
      <c r="S433" s="26"/>
      <c r="T433" s="35"/>
      <c r="U433" s="24"/>
      <c r="V433" s="38" t="s">
        <v>29</v>
      </c>
      <c r="W433" s="29" t="s">
        <v>22</v>
      </c>
      <c r="X433" s="37" t="s">
        <v>386</v>
      </c>
      <c r="Y433" s="31"/>
      <c r="Z433" s="26" t="str">
        <f t="shared" si="5"/>
        <v/>
      </c>
      <c r="AA433" s="26" t="str">
        <f t="shared" si="6"/>
        <v/>
      </c>
      <c r="AB433" s="32" t="str">
        <f t="shared" si="7"/>
        <v/>
      </c>
      <c r="AC433" s="32" t="str">
        <f t="shared" ref="AC433:AG433" si="437">IF(J433&lt;&gt;"", IF(AND($P433=FALSE, $A433=FALSE), -J433, IF(AND($P433=FALSE, $A433=TRUE), 0, IF($P433=TRUE, (J433 / $R433) * 100 * ($S433 / 100)-J433, ))), )</f>
        <v/>
      </c>
      <c r="AD433" s="32" t="str">
        <f t="shared" si="437"/>
        <v/>
      </c>
      <c r="AE433" s="32" t="str">
        <f t="shared" si="437"/>
        <v/>
      </c>
      <c r="AF433" s="32" t="str">
        <f t="shared" si="437"/>
        <v/>
      </c>
      <c r="AG433" s="32" t="str">
        <f t="shared" si="437"/>
        <v/>
      </c>
      <c r="AH433" s="33"/>
    </row>
    <row r="434" hidden="1" outlineLevel="3">
      <c r="A434" s="16" t="b">
        <v>0</v>
      </c>
      <c r="B434" s="17"/>
      <c r="C434" s="18"/>
      <c r="D434" s="34"/>
      <c r="E434" s="29"/>
      <c r="F434" s="34"/>
      <c r="G434" s="23"/>
      <c r="H434" s="23"/>
      <c r="I434" s="23"/>
      <c r="J434" s="23"/>
      <c r="K434" s="23"/>
      <c r="L434" s="23"/>
      <c r="M434" s="23"/>
      <c r="N434" s="23"/>
      <c r="O434" s="24"/>
      <c r="P434" s="16" t="b">
        <v>0</v>
      </c>
      <c r="Q434" s="24"/>
      <c r="R434" s="26"/>
      <c r="S434" s="26"/>
      <c r="T434" s="35"/>
      <c r="U434" s="24"/>
      <c r="V434" s="38" t="s">
        <v>29</v>
      </c>
      <c r="W434" s="29" t="s">
        <v>22</v>
      </c>
      <c r="X434" s="37" t="s">
        <v>387</v>
      </c>
      <c r="Y434" s="31"/>
      <c r="Z434" s="26" t="str">
        <f t="shared" si="5"/>
        <v/>
      </c>
      <c r="AA434" s="26" t="str">
        <f t="shared" si="6"/>
        <v/>
      </c>
      <c r="AB434" s="32" t="str">
        <f t="shared" si="7"/>
        <v/>
      </c>
      <c r="AC434" s="32" t="str">
        <f t="shared" ref="AC434:AG434" si="438">IF(J434&lt;&gt;"", IF(AND($P434=FALSE, $A434=FALSE), -J434, IF(AND($P434=FALSE, $A434=TRUE), 0, IF($P434=TRUE, (J434 / $R434) * 100 * ($S434 / 100)-J434, ))), )</f>
        <v/>
      </c>
      <c r="AD434" s="32" t="str">
        <f t="shared" si="438"/>
        <v/>
      </c>
      <c r="AE434" s="32" t="str">
        <f t="shared" si="438"/>
        <v/>
      </c>
      <c r="AF434" s="32" t="str">
        <f t="shared" si="438"/>
        <v/>
      </c>
      <c r="AG434" s="32" t="str">
        <f t="shared" si="438"/>
        <v/>
      </c>
      <c r="AH434" s="33"/>
    </row>
    <row r="435" hidden="1" outlineLevel="2" collapsed="1">
      <c r="A435" s="16" t="b">
        <v>0</v>
      </c>
      <c r="B435" s="17"/>
      <c r="C435" s="18"/>
      <c r="D435" s="41">
        <v>45249.0</v>
      </c>
      <c r="E435" s="20" t="s">
        <v>24</v>
      </c>
      <c r="F435" s="21" t="s">
        <v>371</v>
      </c>
      <c r="G435" s="23">
        <v>2.0</v>
      </c>
      <c r="H435" s="23">
        <v>1.0</v>
      </c>
      <c r="I435" s="23">
        <v>5.0</v>
      </c>
      <c r="J435" s="23"/>
      <c r="K435" s="23"/>
      <c r="L435" s="23"/>
      <c r="M435" s="23"/>
      <c r="N435" s="23"/>
      <c r="O435" s="24"/>
      <c r="P435" s="16" t="b">
        <v>1</v>
      </c>
      <c r="Q435" s="24"/>
      <c r="R435" s="26">
        <v>8.0</v>
      </c>
      <c r="S435" s="26">
        <v>17.58</v>
      </c>
      <c r="T435" s="27" t="s">
        <v>221</v>
      </c>
      <c r="U435" s="24"/>
      <c r="V435" s="28"/>
      <c r="W435" s="29"/>
      <c r="X435" s="30"/>
      <c r="Y435" s="31"/>
      <c r="Z435" s="26">
        <f t="shared" si="5"/>
        <v>2.395</v>
      </c>
      <c r="AA435" s="26">
        <f t="shared" si="6"/>
        <v>5.9875</v>
      </c>
      <c r="AB435" s="32">
        <f t="shared" si="7"/>
        <v>1.1975</v>
      </c>
      <c r="AC435" s="32" t="str">
        <f t="shared" ref="AC435:AG435" si="439">IF(J435&lt;&gt;"", IF(AND($P435=FALSE, $A435=FALSE), -J435, IF(AND($P435=FALSE, $A435=TRUE), 0, IF($P435=TRUE, (J435 / $R435) * 100 * ($S435 / 100)-J435, ))), )</f>
        <v/>
      </c>
      <c r="AD435" s="32" t="str">
        <f t="shared" si="439"/>
        <v/>
      </c>
      <c r="AE435" s="32" t="str">
        <f t="shared" si="439"/>
        <v/>
      </c>
      <c r="AF435" s="32" t="str">
        <f t="shared" si="439"/>
        <v/>
      </c>
      <c r="AG435" s="32" t="str">
        <f t="shared" si="439"/>
        <v/>
      </c>
      <c r="AH435" s="33"/>
    </row>
    <row r="436" hidden="1" outlineLevel="3">
      <c r="A436" s="16" t="b">
        <v>0</v>
      </c>
      <c r="B436" s="17"/>
      <c r="C436" s="18"/>
      <c r="D436" s="34"/>
      <c r="E436" s="29"/>
      <c r="F436" s="34"/>
      <c r="G436" s="23"/>
      <c r="H436" s="23"/>
      <c r="I436" s="23"/>
      <c r="J436" s="23"/>
      <c r="K436" s="23"/>
      <c r="L436" s="23"/>
      <c r="M436" s="23"/>
      <c r="N436" s="23"/>
      <c r="O436" s="24"/>
      <c r="P436" s="16" t="b">
        <v>0</v>
      </c>
      <c r="Q436" s="24"/>
      <c r="R436" s="26"/>
      <c r="S436" s="26"/>
      <c r="T436" s="35"/>
      <c r="U436" s="24"/>
      <c r="V436" s="38" t="s">
        <v>29</v>
      </c>
      <c r="W436" s="29" t="s">
        <v>22</v>
      </c>
      <c r="X436" s="37" t="s">
        <v>311</v>
      </c>
      <c r="Y436" s="31"/>
      <c r="Z436" s="26" t="str">
        <f t="shared" si="5"/>
        <v/>
      </c>
      <c r="AA436" s="26" t="str">
        <f t="shared" si="6"/>
        <v/>
      </c>
      <c r="AB436" s="32" t="str">
        <f t="shared" si="7"/>
        <v/>
      </c>
      <c r="AC436" s="32" t="str">
        <f t="shared" ref="AC436:AG436" si="440">IF(J436&lt;&gt;"", IF(AND($P436=FALSE, $A436=FALSE), -J436, IF(AND($P436=FALSE, $A436=TRUE), 0, IF($P436=TRUE, (J436 / $R436) * 100 * ($S436 / 100)-J436, ))), )</f>
        <v/>
      </c>
      <c r="AD436" s="32" t="str">
        <f t="shared" si="440"/>
        <v/>
      </c>
      <c r="AE436" s="32" t="str">
        <f t="shared" si="440"/>
        <v/>
      </c>
      <c r="AF436" s="32" t="str">
        <f t="shared" si="440"/>
        <v/>
      </c>
      <c r="AG436" s="32" t="str">
        <f t="shared" si="440"/>
        <v/>
      </c>
      <c r="AH436" s="33"/>
    </row>
    <row r="437" hidden="1" outlineLevel="3">
      <c r="A437" s="16" t="b">
        <v>0</v>
      </c>
      <c r="B437" s="17"/>
      <c r="C437" s="18"/>
      <c r="D437" s="34"/>
      <c r="E437" s="29"/>
      <c r="F437" s="34"/>
      <c r="G437" s="23"/>
      <c r="H437" s="23"/>
      <c r="I437" s="23"/>
      <c r="J437" s="23"/>
      <c r="K437" s="23"/>
      <c r="L437" s="23"/>
      <c r="M437" s="23"/>
      <c r="N437" s="23"/>
      <c r="O437" s="24"/>
      <c r="P437" s="16" t="b">
        <v>0</v>
      </c>
      <c r="Q437" s="24"/>
      <c r="R437" s="26"/>
      <c r="S437" s="26"/>
      <c r="T437" s="35"/>
      <c r="U437" s="24"/>
      <c r="V437" s="38" t="s">
        <v>29</v>
      </c>
      <c r="W437" s="29" t="s">
        <v>22</v>
      </c>
      <c r="X437" s="37" t="s">
        <v>388</v>
      </c>
      <c r="Y437" s="31"/>
      <c r="Z437" s="26" t="str">
        <f t="shared" si="5"/>
        <v/>
      </c>
      <c r="AA437" s="26" t="str">
        <f t="shared" si="6"/>
        <v/>
      </c>
      <c r="AB437" s="32" t="str">
        <f t="shared" si="7"/>
        <v/>
      </c>
      <c r="AC437" s="32" t="str">
        <f t="shared" ref="AC437:AG437" si="441">IF(J437&lt;&gt;"", IF(AND($P437=FALSE, $A437=FALSE), -J437, IF(AND($P437=FALSE, $A437=TRUE), 0, IF($P437=TRUE, (J437 / $R437) * 100 * ($S437 / 100)-J437, ))), )</f>
        <v/>
      </c>
      <c r="AD437" s="32" t="str">
        <f t="shared" si="441"/>
        <v/>
      </c>
      <c r="AE437" s="32" t="str">
        <f t="shared" si="441"/>
        <v/>
      </c>
      <c r="AF437" s="32" t="str">
        <f t="shared" si="441"/>
        <v/>
      </c>
      <c r="AG437" s="32" t="str">
        <f t="shared" si="441"/>
        <v/>
      </c>
      <c r="AH437" s="33"/>
    </row>
    <row r="438" hidden="1" outlineLevel="3">
      <c r="A438" s="16" t="b">
        <v>0</v>
      </c>
      <c r="B438" s="17"/>
      <c r="C438" s="18"/>
      <c r="D438" s="34"/>
      <c r="E438" s="29"/>
      <c r="F438" s="34"/>
      <c r="G438" s="23"/>
      <c r="H438" s="23"/>
      <c r="I438" s="23"/>
      <c r="J438" s="23"/>
      <c r="K438" s="23"/>
      <c r="L438" s="23"/>
      <c r="M438" s="23"/>
      <c r="N438" s="23"/>
      <c r="O438" s="24"/>
      <c r="P438" s="16" t="b">
        <v>0</v>
      </c>
      <c r="Q438" s="24"/>
      <c r="R438" s="26"/>
      <c r="S438" s="26"/>
      <c r="T438" s="35"/>
      <c r="U438" s="24"/>
      <c r="V438" s="38" t="s">
        <v>29</v>
      </c>
      <c r="W438" s="29" t="s">
        <v>22</v>
      </c>
      <c r="X438" s="37" t="s">
        <v>389</v>
      </c>
      <c r="Y438" s="31"/>
      <c r="Z438" s="26" t="str">
        <f t="shared" si="5"/>
        <v/>
      </c>
      <c r="AA438" s="26" t="str">
        <f t="shared" si="6"/>
        <v/>
      </c>
      <c r="AB438" s="32" t="str">
        <f t="shared" si="7"/>
        <v/>
      </c>
      <c r="AC438" s="32" t="str">
        <f t="shared" ref="AC438:AG438" si="442">IF(J438&lt;&gt;"", IF(AND($P438=FALSE, $A438=FALSE), -J438, IF(AND($P438=FALSE, $A438=TRUE), 0, IF($P438=TRUE, (J438 / $R438) * 100 * ($S438 / 100)-J438, ))), )</f>
        <v/>
      </c>
      <c r="AD438" s="32" t="str">
        <f t="shared" si="442"/>
        <v/>
      </c>
      <c r="AE438" s="32" t="str">
        <f t="shared" si="442"/>
        <v/>
      </c>
      <c r="AF438" s="32" t="str">
        <f t="shared" si="442"/>
        <v/>
      </c>
      <c r="AG438" s="32" t="str">
        <f t="shared" si="442"/>
        <v/>
      </c>
      <c r="AH438" s="33"/>
    </row>
    <row r="439" hidden="1" outlineLevel="2" collapsed="1">
      <c r="A439" s="16" t="b">
        <v>0</v>
      </c>
      <c r="B439" s="17"/>
      <c r="C439" s="18"/>
      <c r="D439" s="41">
        <v>45249.0</v>
      </c>
      <c r="E439" s="20" t="s">
        <v>24</v>
      </c>
      <c r="F439" s="21" t="s">
        <v>371</v>
      </c>
      <c r="G439" s="23">
        <v>2.0</v>
      </c>
      <c r="H439" s="23">
        <v>1.0</v>
      </c>
      <c r="I439" s="23">
        <v>2.0</v>
      </c>
      <c r="J439" s="23"/>
      <c r="K439" s="23"/>
      <c r="L439" s="23"/>
      <c r="M439" s="23"/>
      <c r="N439" s="23"/>
      <c r="O439" s="24"/>
      <c r="P439" s="16" t="b">
        <v>0</v>
      </c>
      <c r="Q439" s="24"/>
      <c r="R439" s="26">
        <v>5.0</v>
      </c>
      <c r="S439" s="26">
        <v>12.25</v>
      </c>
      <c r="T439" s="27" t="s">
        <v>390</v>
      </c>
      <c r="U439" s="24"/>
      <c r="V439" s="28"/>
      <c r="W439" s="29"/>
      <c r="X439" s="30"/>
      <c r="Y439" s="31"/>
      <c r="Z439" s="26">
        <f t="shared" si="5"/>
        <v>-2</v>
      </c>
      <c r="AA439" s="26">
        <f t="shared" si="6"/>
        <v>-2</v>
      </c>
      <c r="AB439" s="32">
        <f t="shared" si="7"/>
        <v>-1</v>
      </c>
      <c r="AC439" s="32" t="str">
        <f t="shared" ref="AC439:AG439" si="443">IF(J439&lt;&gt;"", IF(AND($P439=FALSE, $A439=FALSE), -J439, IF(AND($P439=FALSE, $A439=TRUE), 0, IF($P439=TRUE, (J439 / $R439) * 100 * ($S439 / 100)-J439, ))), )</f>
        <v/>
      </c>
      <c r="AD439" s="32" t="str">
        <f t="shared" si="443"/>
        <v/>
      </c>
      <c r="AE439" s="32" t="str">
        <f t="shared" si="443"/>
        <v/>
      </c>
      <c r="AF439" s="32" t="str">
        <f t="shared" si="443"/>
        <v/>
      </c>
      <c r="AG439" s="32" t="str">
        <f t="shared" si="443"/>
        <v/>
      </c>
      <c r="AH439" s="33"/>
    </row>
    <row r="440" hidden="1" outlineLevel="3">
      <c r="A440" s="16" t="b">
        <v>0</v>
      </c>
      <c r="B440" s="17"/>
      <c r="C440" s="18"/>
      <c r="D440" s="34"/>
      <c r="E440" s="29"/>
      <c r="F440" s="34"/>
      <c r="G440" s="23"/>
      <c r="H440" s="23"/>
      <c r="I440" s="23"/>
      <c r="J440" s="23"/>
      <c r="K440" s="23"/>
      <c r="L440" s="23"/>
      <c r="M440" s="23"/>
      <c r="N440" s="23"/>
      <c r="O440" s="24"/>
      <c r="P440" s="16" t="b">
        <v>0</v>
      </c>
      <c r="Q440" s="24"/>
      <c r="R440" s="26"/>
      <c r="S440" s="26"/>
      <c r="T440" s="35"/>
      <c r="U440" s="24"/>
      <c r="V440" s="28" t="s">
        <v>32</v>
      </c>
      <c r="W440" s="29" t="s">
        <v>22</v>
      </c>
      <c r="X440" s="37" t="s">
        <v>391</v>
      </c>
      <c r="Y440" s="31"/>
      <c r="Z440" s="26" t="str">
        <f t="shared" si="5"/>
        <v/>
      </c>
      <c r="AA440" s="26" t="str">
        <f t="shared" si="6"/>
        <v/>
      </c>
      <c r="AB440" s="32" t="str">
        <f t="shared" si="7"/>
        <v/>
      </c>
      <c r="AC440" s="32" t="str">
        <f t="shared" ref="AC440:AG440" si="444">IF(J440&lt;&gt;"", IF(AND($P440=FALSE, $A440=FALSE), -J440, IF(AND($P440=FALSE, $A440=TRUE), 0, IF($P440=TRUE, (J440 / $R440) * 100 * ($S440 / 100)-J440, ))), )</f>
        <v/>
      </c>
      <c r="AD440" s="32" t="str">
        <f t="shared" si="444"/>
        <v/>
      </c>
      <c r="AE440" s="32" t="str">
        <f t="shared" si="444"/>
        <v/>
      </c>
      <c r="AF440" s="32" t="str">
        <f t="shared" si="444"/>
        <v/>
      </c>
      <c r="AG440" s="32" t="str">
        <f t="shared" si="444"/>
        <v/>
      </c>
      <c r="AH440" s="33"/>
    </row>
    <row r="441" hidden="1" outlineLevel="2" collapsed="1">
      <c r="A441" s="16" t="b">
        <v>0</v>
      </c>
      <c r="B441" s="17"/>
      <c r="C441" s="18"/>
      <c r="D441" s="41">
        <v>45249.0</v>
      </c>
      <c r="E441" s="20" t="s">
        <v>24</v>
      </c>
      <c r="F441" s="21" t="s">
        <v>371</v>
      </c>
      <c r="G441" s="23">
        <v>2.0</v>
      </c>
      <c r="H441" s="23">
        <v>1.0</v>
      </c>
      <c r="I441" s="23">
        <v>2.0</v>
      </c>
      <c r="J441" s="23"/>
      <c r="K441" s="23"/>
      <c r="L441" s="23"/>
      <c r="M441" s="23"/>
      <c r="N441" s="23"/>
      <c r="O441" s="24"/>
      <c r="P441" s="16" t="b">
        <v>0</v>
      </c>
      <c r="Q441" s="24"/>
      <c r="R441" s="26">
        <v>5.0</v>
      </c>
      <c r="S441" s="26">
        <v>11.99</v>
      </c>
      <c r="T441" s="27" t="s">
        <v>392</v>
      </c>
      <c r="U441" s="24"/>
      <c r="V441" s="28"/>
      <c r="W441" s="29"/>
      <c r="X441" s="30"/>
      <c r="Y441" s="31"/>
      <c r="Z441" s="26">
        <f t="shared" si="5"/>
        <v>-2</v>
      </c>
      <c r="AA441" s="26">
        <f t="shared" si="6"/>
        <v>-2</v>
      </c>
      <c r="AB441" s="32">
        <f t="shared" si="7"/>
        <v>-1</v>
      </c>
      <c r="AC441" s="32" t="str">
        <f t="shared" ref="AC441:AG441" si="445">IF(J441&lt;&gt;"", IF(AND($P441=FALSE, $A441=FALSE), -J441, IF(AND($P441=FALSE, $A441=TRUE), 0, IF($P441=TRUE, (J441 / $R441) * 100 * ($S441 / 100)-J441, ))), )</f>
        <v/>
      </c>
      <c r="AD441" s="32" t="str">
        <f t="shared" si="445"/>
        <v/>
      </c>
      <c r="AE441" s="32" t="str">
        <f t="shared" si="445"/>
        <v/>
      </c>
      <c r="AF441" s="32" t="str">
        <f t="shared" si="445"/>
        <v/>
      </c>
      <c r="AG441" s="32" t="str">
        <f t="shared" si="445"/>
        <v/>
      </c>
      <c r="AH441" s="33"/>
    </row>
    <row r="442" hidden="1" outlineLevel="3">
      <c r="A442" s="16" t="b">
        <v>0</v>
      </c>
      <c r="B442" s="17"/>
      <c r="C442" s="18"/>
      <c r="D442" s="34"/>
      <c r="E442" s="29"/>
      <c r="F442" s="34"/>
      <c r="G442" s="23"/>
      <c r="H442" s="23"/>
      <c r="I442" s="23"/>
      <c r="J442" s="23"/>
      <c r="K442" s="23"/>
      <c r="L442" s="23"/>
      <c r="M442" s="23"/>
      <c r="N442" s="23"/>
      <c r="O442" s="24"/>
      <c r="P442" s="16" t="b">
        <v>0</v>
      </c>
      <c r="Q442" s="24"/>
      <c r="R442" s="26"/>
      <c r="S442" s="26"/>
      <c r="T442" s="35"/>
      <c r="U442" s="24"/>
      <c r="V442" s="38" t="s">
        <v>29</v>
      </c>
      <c r="W442" s="29" t="s">
        <v>22</v>
      </c>
      <c r="X442" s="37" t="s">
        <v>393</v>
      </c>
      <c r="Y442" s="31"/>
      <c r="Z442" s="26" t="str">
        <f t="shared" si="5"/>
        <v/>
      </c>
      <c r="AA442" s="26" t="str">
        <f t="shared" si="6"/>
        <v/>
      </c>
      <c r="AB442" s="32" t="str">
        <f t="shared" si="7"/>
        <v/>
      </c>
      <c r="AC442" s="32" t="str">
        <f t="shared" ref="AC442:AG442" si="446">IF(J442&lt;&gt;"", IF(AND($P442=FALSE, $A442=FALSE), -J442, IF(AND($P442=FALSE, $A442=TRUE), 0, IF($P442=TRUE, (J442 / $R442) * 100 * ($S442 / 100)-J442, ))), )</f>
        <v/>
      </c>
      <c r="AD442" s="32" t="str">
        <f t="shared" si="446"/>
        <v/>
      </c>
      <c r="AE442" s="32" t="str">
        <f t="shared" si="446"/>
        <v/>
      </c>
      <c r="AF442" s="32" t="str">
        <f t="shared" si="446"/>
        <v/>
      </c>
      <c r="AG442" s="32" t="str">
        <f t="shared" si="446"/>
        <v/>
      </c>
      <c r="AH442" s="33"/>
    </row>
    <row r="443" hidden="1" outlineLevel="3">
      <c r="A443" s="16" t="b">
        <v>0</v>
      </c>
      <c r="B443" s="17"/>
      <c r="C443" s="18"/>
      <c r="D443" s="34"/>
      <c r="E443" s="29"/>
      <c r="F443" s="34"/>
      <c r="G443" s="23"/>
      <c r="H443" s="23"/>
      <c r="I443" s="23"/>
      <c r="J443" s="23"/>
      <c r="K443" s="23"/>
      <c r="L443" s="23"/>
      <c r="M443" s="23"/>
      <c r="N443" s="23"/>
      <c r="O443" s="24"/>
      <c r="P443" s="16" t="b">
        <v>0</v>
      </c>
      <c r="Q443" s="24"/>
      <c r="R443" s="26"/>
      <c r="S443" s="26"/>
      <c r="T443" s="35"/>
      <c r="U443" s="24"/>
      <c r="V443" s="66" t="s">
        <v>32</v>
      </c>
      <c r="W443" s="29" t="s">
        <v>22</v>
      </c>
      <c r="X443" s="37" t="s">
        <v>344</v>
      </c>
      <c r="Y443" s="31"/>
      <c r="Z443" s="26" t="str">
        <f t="shared" si="5"/>
        <v/>
      </c>
      <c r="AA443" s="26" t="str">
        <f t="shared" si="6"/>
        <v/>
      </c>
      <c r="AB443" s="32" t="str">
        <f t="shared" si="7"/>
        <v/>
      </c>
      <c r="AC443" s="32" t="str">
        <f t="shared" ref="AC443:AG443" si="447">IF(J443&lt;&gt;"", IF(AND($P443=FALSE, $A443=FALSE), -J443, IF(AND($P443=FALSE, $A443=TRUE), 0, IF($P443=TRUE, (J443 / $R443) * 100 * ($S443 / 100)-J443, ))), )</f>
        <v/>
      </c>
      <c r="AD443" s="32" t="str">
        <f t="shared" si="447"/>
        <v/>
      </c>
      <c r="AE443" s="32" t="str">
        <f t="shared" si="447"/>
        <v/>
      </c>
      <c r="AF443" s="32" t="str">
        <f t="shared" si="447"/>
        <v/>
      </c>
      <c r="AG443" s="32" t="str">
        <f t="shared" si="447"/>
        <v/>
      </c>
      <c r="AH443" s="33"/>
    </row>
    <row r="444" hidden="1" outlineLevel="3">
      <c r="A444" s="16" t="b">
        <v>0</v>
      </c>
      <c r="B444" s="17"/>
      <c r="C444" s="18"/>
      <c r="D444" s="34"/>
      <c r="E444" s="29"/>
      <c r="F444" s="34"/>
      <c r="G444" s="23"/>
      <c r="H444" s="23"/>
      <c r="I444" s="23"/>
      <c r="J444" s="23"/>
      <c r="K444" s="23"/>
      <c r="L444" s="23"/>
      <c r="M444" s="23"/>
      <c r="N444" s="23"/>
      <c r="O444" s="24"/>
      <c r="P444" s="16" t="b">
        <v>0</v>
      </c>
      <c r="Q444" s="24"/>
      <c r="R444" s="26"/>
      <c r="S444" s="26"/>
      <c r="T444" s="35"/>
      <c r="U444" s="24"/>
      <c r="V444" s="38" t="s">
        <v>29</v>
      </c>
      <c r="W444" s="29" t="s">
        <v>22</v>
      </c>
      <c r="X444" s="37" t="s">
        <v>394</v>
      </c>
      <c r="Y444" s="31"/>
      <c r="Z444" s="26" t="str">
        <f t="shared" si="5"/>
        <v/>
      </c>
      <c r="AA444" s="26" t="str">
        <f t="shared" si="6"/>
        <v/>
      </c>
      <c r="AB444" s="32" t="str">
        <f t="shared" si="7"/>
        <v/>
      </c>
      <c r="AC444" s="32" t="str">
        <f t="shared" ref="AC444:AG444" si="448">IF(J444&lt;&gt;"", IF(AND($P444=FALSE, $A444=FALSE), -J444, IF(AND($P444=FALSE, $A444=TRUE), 0, IF($P444=TRUE, (J444 / $R444) * 100 * ($S444 / 100)-J444, ))), )</f>
        <v/>
      </c>
      <c r="AD444" s="32" t="str">
        <f t="shared" si="448"/>
        <v/>
      </c>
      <c r="AE444" s="32" t="str">
        <f t="shared" si="448"/>
        <v/>
      </c>
      <c r="AF444" s="32" t="str">
        <f t="shared" si="448"/>
        <v/>
      </c>
      <c r="AG444" s="32" t="str">
        <f t="shared" si="448"/>
        <v/>
      </c>
      <c r="AH444" s="33"/>
    </row>
    <row r="445" hidden="1" outlineLevel="2" collapsed="1">
      <c r="A445" s="16" t="b">
        <v>0</v>
      </c>
      <c r="B445" s="17"/>
      <c r="C445" s="18"/>
      <c r="D445" s="41">
        <v>45249.0</v>
      </c>
      <c r="E445" s="20" t="s">
        <v>24</v>
      </c>
      <c r="F445" s="21" t="s">
        <v>371</v>
      </c>
      <c r="G445" s="23">
        <v>2.0</v>
      </c>
      <c r="H445" s="23">
        <v>1.0</v>
      </c>
      <c r="I445" s="23">
        <v>3.0</v>
      </c>
      <c r="J445" s="23"/>
      <c r="K445" s="23"/>
      <c r="L445" s="23"/>
      <c r="M445" s="23"/>
      <c r="N445" s="23"/>
      <c r="O445" s="24"/>
      <c r="P445" s="16" t="b">
        <v>0</v>
      </c>
      <c r="Q445" s="24"/>
      <c r="R445" s="26">
        <v>6.0</v>
      </c>
      <c r="S445" s="26">
        <v>21.49</v>
      </c>
      <c r="T445" s="27" t="s">
        <v>395</v>
      </c>
      <c r="U445" s="24"/>
      <c r="V445" s="28"/>
      <c r="W445" s="29"/>
      <c r="X445" s="30"/>
      <c r="Y445" s="31"/>
      <c r="Z445" s="26">
        <f t="shared" si="5"/>
        <v>-2</v>
      </c>
      <c r="AA445" s="26">
        <f t="shared" si="6"/>
        <v>-3</v>
      </c>
      <c r="AB445" s="32">
        <f t="shared" si="7"/>
        <v>-1</v>
      </c>
      <c r="AC445" s="32" t="str">
        <f t="shared" ref="AC445:AG445" si="449">IF(J445&lt;&gt;"", IF(AND($P445=FALSE, $A445=FALSE), -J445, IF(AND($P445=FALSE, $A445=TRUE), 0, IF($P445=TRUE, (J445 / $R445) * 100 * ($S445 / 100)-J445, ))), )</f>
        <v/>
      </c>
      <c r="AD445" s="32" t="str">
        <f t="shared" si="449"/>
        <v/>
      </c>
      <c r="AE445" s="32" t="str">
        <f t="shared" si="449"/>
        <v/>
      </c>
      <c r="AF445" s="32" t="str">
        <f t="shared" si="449"/>
        <v/>
      </c>
      <c r="AG445" s="32" t="str">
        <f t="shared" si="449"/>
        <v/>
      </c>
      <c r="AH445" s="33"/>
    </row>
    <row r="446" hidden="1" outlineLevel="3">
      <c r="A446" s="16" t="b">
        <v>0</v>
      </c>
      <c r="B446" s="17"/>
      <c r="C446" s="18"/>
      <c r="D446" s="34"/>
      <c r="E446" s="29"/>
      <c r="F446" s="34"/>
      <c r="G446" s="23"/>
      <c r="H446" s="23"/>
      <c r="I446" s="23"/>
      <c r="J446" s="23"/>
      <c r="K446" s="23"/>
      <c r="L446" s="23"/>
      <c r="M446" s="23"/>
      <c r="N446" s="23"/>
      <c r="O446" s="24"/>
      <c r="P446" s="16" t="b">
        <v>0</v>
      </c>
      <c r="Q446" s="24"/>
      <c r="R446" s="26"/>
      <c r="S446" s="26"/>
      <c r="T446" s="35"/>
      <c r="U446" s="24"/>
      <c r="V446" s="38" t="s">
        <v>29</v>
      </c>
      <c r="W446" s="29" t="s">
        <v>22</v>
      </c>
      <c r="X446" s="37" t="s">
        <v>348</v>
      </c>
      <c r="Y446" s="31"/>
      <c r="Z446" s="26" t="str">
        <f t="shared" si="5"/>
        <v/>
      </c>
      <c r="AA446" s="26" t="str">
        <f t="shared" si="6"/>
        <v/>
      </c>
      <c r="AB446" s="32" t="str">
        <f t="shared" si="7"/>
        <v/>
      </c>
      <c r="AC446" s="32" t="str">
        <f t="shared" ref="AC446:AG446" si="450">IF(J446&lt;&gt;"", IF(AND($P446=FALSE, $A446=FALSE), -J446, IF(AND($P446=FALSE, $A446=TRUE), 0, IF($P446=TRUE, (J446 / $R446) * 100 * ($S446 / 100)-J446, ))), )</f>
        <v/>
      </c>
      <c r="AD446" s="32" t="str">
        <f t="shared" si="450"/>
        <v/>
      </c>
      <c r="AE446" s="32" t="str">
        <f t="shared" si="450"/>
        <v/>
      </c>
      <c r="AF446" s="32" t="str">
        <f t="shared" si="450"/>
        <v/>
      </c>
      <c r="AG446" s="32" t="str">
        <f t="shared" si="450"/>
        <v/>
      </c>
      <c r="AH446" s="33"/>
    </row>
    <row r="447" hidden="1" outlineLevel="3">
      <c r="A447" s="16" t="b">
        <v>0</v>
      </c>
      <c r="B447" s="17"/>
      <c r="C447" s="18"/>
      <c r="D447" s="34"/>
      <c r="E447" s="29"/>
      <c r="F447" s="34"/>
      <c r="G447" s="23"/>
      <c r="H447" s="23"/>
      <c r="I447" s="23"/>
      <c r="J447" s="23"/>
      <c r="K447" s="23"/>
      <c r="L447" s="23"/>
      <c r="M447" s="23"/>
      <c r="N447" s="23"/>
      <c r="O447" s="24"/>
      <c r="P447" s="16" t="b">
        <v>0</v>
      </c>
      <c r="Q447" s="24"/>
      <c r="R447" s="26"/>
      <c r="S447" s="26"/>
      <c r="T447" s="35"/>
      <c r="U447" s="24"/>
      <c r="V447" s="66" t="s">
        <v>32</v>
      </c>
      <c r="W447" s="29" t="s">
        <v>22</v>
      </c>
      <c r="X447" s="37" t="s">
        <v>396</v>
      </c>
      <c r="Y447" s="31"/>
      <c r="Z447" s="26" t="str">
        <f t="shared" si="5"/>
        <v/>
      </c>
      <c r="AA447" s="26" t="str">
        <f t="shared" si="6"/>
        <v/>
      </c>
      <c r="AB447" s="32" t="str">
        <f t="shared" si="7"/>
        <v/>
      </c>
      <c r="AC447" s="32" t="str">
        <f t="shared" ref="AC447:AG447" si="451">IF(J447&lt;&gt;"", IF(AND($P447=FALSE, $A447=FALSE), -J447, IF(AND($P447=FALSE, $A447=TRUE), 0, IF($P447=TRUE, (J447 / $R447) * 100 * ($S447 / 100)-J447, ))), )</f>
        <v/>
      </c>
      <c r="AD447" s="32" t="str">
        <f t="shared" si="451"/>
        <v/>
      </c>
      <c r="AE447" s="32" t="str">
        <f t="shared" si="451"/>
        <v/>
      </c>
      <c r="AF447" s="32" t="str">
        <f t="shared" si="451"/>
        <v/>
      </c>
      <c r="AG447" s="32" t="str">
        <f t="shared" si="451"/>
        <v/>
      </c>
      <c r="AH447" s="33"/>
    </row>
    <row r="448" hidden="1" outlineLevel="3">
      <c r="A448" s="16" t="b">
        <v>0</v>
      </c>
      <c r="B448" s="17"/>
      <c r="C448" s="18"/>
      <c r="D448" s="34"/>
      <c r="E448" s="29"/>
      <c r="F448" s="34"/>
      <c r="G448" s="23"/>
      <c r="H448" s="23"/>
      <c r="I448" s="23"/>
      <c r="J448" s="23"/>
      <c r="K448" s="23"/>
      <c r="L448" s="23"/>
      <c r="M448" s="23"/>
      <c r="N448" s="23"/>
      <c r="O448" s="24"/>
      <c r="P448" s="16" t="b">
        <v>0</v>
      </c>
      <c r="Q448" s="24"/>
      <c r="R448" s="26"/>
      <c r="S448" s="26"/>
      <c r="T448" s="35"/>
      <c r="U448" s="24"/>
      <c r="V448" s="38" t="s">
        <v>29</v>
      </c>
      <c r="W448" s="29" t="s">
        <v>22</v>
      </c>
      <c r="X448" s="37" t="s">
        <v>137</v>
      </c>
      <c r="Y448" s="31"/>
      <c r="Z448" s="26" t="str">
        <f t="shared" si="5"/>
        <v/>
      </c>
      <c r="AA448" s="26" t="str">
        <f t="shared" si="6"/>
        <v/>
      </c>
      <c r="AB448" s="32" t="str">
        <f t="shared" si="7"/>
        <v/>
      </c>
      <c r="AC448" s="32" t="str">
        <f t="shared" ref="AC448:AG448" si="452">IF(J448&lt;&gt;"", IF(AND($P448=FALSE, $A448=FALSE), -J448, IF(AND($P448=FALSE, $A448=TRUE), 0, IF($P448=TRUE, (J448 / $R448) * 100 * ($S448 / 100)-J448, ))), )</f>
        <v/>
      </c>
      <c r="AD448" s="32" t="str">
        <f t="shared" si="452"/>
        <v/>
      </c>
      <c r="AE448" s="32" t="str">
        <f t="shared" si="452"/>
        <v/>
      </c>
      <c r="AF448" s="32" t="str">
        <f t="shared" si="452"/>
        <v/>
      </c>
      <c r="AG448" s="32" t="str">
        <f t="shared" si="452"/>
        <v/>
      </c>
      <c r="AH448" s="33"/>
    </row>
    <row r="449" hidden="1" outlineLevel="3">
      <c r="A449" s="16" t="b">
        <v>0</v>
      </c>
      <c r="B449" s="17"/>
      <c r="C449" s="18"/>
      <c r="D449" s="34"/>
      <c r="E449" s="29"/>
      <c r="F449" s="34"/>
      <c r="G449" s="23"/>
      <c r="H449" s="23"/>
      <c r="I449" s="23"/>
      <c r="J449" s="23"/>
      <c r="K449" s="23"/>
      <c r="L449" s="23"/>
      <c r="M449" s="23"/>
      <c r="N449" s="23"/>
      <c r="O449" s="24"/>
      <c r="P449" s="16" t="b">
        <v>0</v>
      </c>
      <c r="Q449" s="24"/>
      <c r="R449" s="26"/>
      <c r="S449" s="26"/>
      <c r="T449" s="35"/>
      <c r="U449" s="24"/>
      <c r="V449" s="38" t="s">
        <v>29</v>
      </c>
      <c r="W449" s="29" t="s">
        <v>22</v>
      </c>
      <c r="X449" s="37" t="s">
        <v>353</v>
      </c>
      <c r="Y449" s="31"/>
      <c r="Z449" s="26" t="str">
        <f t="shared" si="5"/>
        <v/>
      </c>
      <c r="AA449" s="26" t="str">
        <f t="shared" si="6"/>
        <v/>
      </c>
      <c r="AB449" s="32" t="str">
        <f t="shared" si="7"/>
        <v/>
      </c>
      <c r="AC449" s="32" t="str">
        <f t="shared" ref="AC449:AG449" si="453">IF(J449&lt;&gt;"", IF(AND($P449=FALSE, $A449=FALSE), -J449, IF(AND($P449=FALSE, $A449=TRUE), 0, IF($P449=TRUE, (J449 / $R449) * 100 * ($S449 / 100)-J449, ))), )</f>
        <v/>
      </c>
      <c r="AD449" s="32" t="str">
        <f t="shared" si="453"/>
        <v/>
      </c>
      <c r="AE449" s="32" t="str">
        <f t="shared" si="453"/>
        <v/>
      </c>
      <c r="AF449" s="32" t="str">
        <f t="shared" si="453"/>
        <v/>
      </c>
      <c r="AG449" s="32" t="str">
        <f t="shared" si="453"/>
        <v/>
      </c>
      <c r="AH449" s="33"/>
    </row>
    <row r="450" hidden="1" outlineLevel="2" collapsed="1">
      <c r="A450" s="16" t="b">
        <v>0</v>
      </c>
      <c r="B450" s="17"/>
      <c r="C450" s="18"/>
      <c r="D450" s="41">
        <v>45249.0</v>
      </c>
      <c r="E450" s="20" t="s">
        <v>24</v>
      </c>
      <c r="F450" s="21" t="s">
        <v>371</v>
      </c>
      <c r="G450" s="23">
        <v>3.0</v>
      </c>
      <c r="H450" s="23">
        <v>1.5</v>
      </c>
      <c r="I450" s="23">
        <v>2.0</v>
      </c>
      <c r="J450" s="23"/>
      <c r="K450" s="23"/>
      <c r="L450" s="23"/>
      <c r="M450" s="23"/>
      <c r="N450" s="23"/>
      <c r="O450" s="24"/>
      <c r="P450" s="16" t="b">
        <v>1</v>
      </c>
      <c r="Q450" s="24"/>
      <c r="R450" s="26">
        <v>6.5</v>
      </c>
      <c r="S450" s="26">
        <v>22.72</v>
      </c>
      <c r="T450" s="27" t="s">
        <v>28</v>
      </c>
      <c r="U450" s="24"/>
      <c r="V450" s="28"/>
      <c r="W450" s="29"/>
      <c r="X450" s="30"/>
      <c r="Y450" s="31"/>
      <c r="Z450" s="26">
        <f t="shared" si="5"/>
        <v>7.486153846</v>
      </c>
      <c r="AA450" s="26">
        <f t="shared" si="6"/>
        <v>4.990769231</v>
      </c>
      <c r="AB450" s="32">
        <f t="shared" si="7"/>
        <v>3.743076923</v>
      </c>
      <c r="AC450" s="32" t="str">
        <f t="shared" ref="AC450:AG450" si="454">IF(J450&lt;&gt;"", IF(AND($P450=FALSE, $A450=FALSE), -J450, IF(AND($P450=FALSE, $A450=TRUE), 0, IF($P450=TRUE, (J450 / $R450) * 100 * ($S450 / 100)-J450, ))), )</f>
        <v/>
      </c>
      <c r="AD450" s="32" t="str">
        <f t="shared" si="454"/>
        <v/>
      </c>
      <c r="AE450" s="32" t="str">
        <f t="shared" si="454"/>
        <v/>
      </c>
      <c r="AF450" s="32" t="str">
        <f t="shared" si="454"/>
        <v/>
      </c>
      <c r="AG450" s="32" t="str">
        <f t="shared" si="454"/>
        <v/>
      </c>
      <c r="AH450" s="33"/>
    </row>
    <row r="451" hidden="1" outlineLevel="3">
      <c r="A451" s="16" t="b">
        <v>0</v>
      </c>
      <c r="B451" s="17"/>
      <c r="C451" s="18"/>
      <c r="D451" s="34"/>
      <c r="E451" s="29"/>
      <c r="F451" s="34"/>
      <c r="G451" s="23"/>
      <c r="H451" s="23"/>
      <c r="I451" s="23"/>
      <c r="J451" s="23"/>
      <c r="K451" s="23"/>
      <c r="L451" s="23"/>
      <c r="M451" s="23"/>
      <c r="N451" s="23"/>
      <c r="O451" s="24"/>
      <c r="P451" s="16" t="b">
        <v>0</v>
      </c>
      <c r="Q451" s="24"/>
      <c r="R451" s="26"/>
      <c r="S451" s="26"/>
      <c r="T451" s="35"/>
      <c r="U451" s="24"/>
      <c r="V451" s="38" t="s">
        <v>29</v>
      </c>
      <c r="W451" s="29" t="s">
        <v>22</v>
      </c>
      <c r="X451" s="37" t="s">
        <v>312</v>
      </c>
      <c r="Y451" s="31"/>
      <c r="Z451" s="26" t="str">
        <f t="shared" si="5"/>
        <v/>
      </c>
      <c r="AA451" s="26" t="str">
        <f t="shared" si="6"/>
        <v/>
      </c>
      <c r="AB451" s="32" t="str">
        <f t="shared" si="7"/>
        <v/>
      </c>
      <c r="AC451" s="32" t="str">
        <f t="shared" ref="AC451:AG451" si="455">IF(J451&lt;&gt;"", IF(AND($P451=FALSE, $A451=FALSE), -J451, IF(AND($P451=FALSE, $A451=TRUE), 0, IF($P451=TRUE, (J451 / $R451) * 100 * ($S451 / 100)-J451, ))), )</f>
        <v/>
      </c>
      <c r="AD451" s="32" t="str">
        <f t="shared" si="455"/>
        <v/>
      </c>
      <c r="AE451" s="32" t="str">
        <f t="shared" si="455"/>
        <v/>
      </c>
      <c r="AF451" s="32" t="str">
        <f t="shared" si="455"/>
        <v/>
      </c>
      <c r="AG451" s="32" t="str">
        <f t="shared" si="455"/>
        <v/>
      </c>
      <c r="AH451" s="33"/>
    </row>
    <row r="452" hidden="1" outlineLevel="3">
      <c r="A452" s="16" t="b">
        <v>0</v>
      </c>
      <c r="B452" s="17"/>
      <c r="C452" s="18"/>
      <c r="D452" s="34"/>
      <c r="E452" s="29"/>
      <c r="F452" s="34"/>
      <c r="G452" s="23"/>
      <c r="H452" s="23"/>
      <c r="I452" s="23"/>
      <c r="J452" s="23"/>
      <c r="K452" s="23"/>
      <c r="L452" s="23"/>
      <c r="M452" s="23"/>
      <c r="N452" s="23"/>
      <c r="O452" s="24"/>
      <c r="P452" s="16" t="b">
        <v>0</v>
      </c>
      <c r="Q452" s="24"/>
      <c r="R452" s="26"/>
      <c r="S452" s="26"/>
      <c r="T452" s="35"/>
      <c r="U452" s="24"/>
      <c r="V452" s="38" t="s">
        <v>29</v>
      </c>
      <c r="W452" s="29" t="s">
        <v>22</v>
      </c>
      <c r="X452" s="37" t="s">
        <v>315</v>
      </c>
      <c r="Y452" s="31"/>
      <c r="Z452" s="26" t="str">
        <f t="shared" si="5"/>
        <v/>
      </c>
      <c r="AA452" s="26" t="str">
        <f t="shared" si="6"/>
        <v/>
      </c>
      <c r="AB452" s="32" t="str">
        <f t="shared" si="7"/>
        <v/>
      </c>
      <c r="AC452" s="32" t="str">
        <f t="shared" ref="AC452:AG452" si="456">IF(J452&lt;&gt;"", IF(AND($P452=FALSE, $A452=FALSE), -J452, IF(AND($P452=FALSE, $A452=TRUE), 0, IF($P452=TRUE, (J452 / $R452) * 100 * ($S452 / 100)-J452, ))), )</f>
        <v/>
      </c>
      <c r="AD452" s="32" t="str">
        <f t="shared" si="456"/>
        <v/>
      </c>
      <c r="AE452" s="32" t="str">
        <f t="shared" si="456"/>
        <v/>
      </c>
      <c r="AF452" s="32" t="str">
        <f t="shared" si="456"/>
        <v/>
      </c>
      <c r="AG452" s="32" t="str">
        <f t="shared" si="456"/>
        <v/>
      </c>
      <c r="AH452" s="33"/>
    </row>
    <row r="453" hidden="1" outlineLevel="3">
      <c r="A453" s="16" t="b">
        <v>0</v>
      </c>
      <c r="B453" s="17"/>
      <c r="C453" s="18"/>
      <c r="D453" s="34"/>
      <c r="E453" s="29"/>
      <c r="F453" s="34"/>
      <c r="G453" s="23"/>
      <c r="H453" s="23"/>
      <c r="I453" s="23"/>
      <c r="J453" s="23"/>
      <c r="K453" s="23"/>
      <c r="L453" s="23"/>
      <c r="M453" s="23"/>
      <c r="N453" s="23"/>
      <c r="O453" s="24"/>
      <c r="P453" s="16" t="b">
        <v>0</v>
      </c>
      <c r="Q453" s="24"/>
      <c r="R453" s="26"/>
      <c r="S453" s="26"/>
      <c r="T453" s="35"/>
      <c r="U453" s="24"/>
      <c r="V453" s="38" t="s">
        <v>29</v>
      </c>
      <c r="W453" s="29" t="s">
        <v>22</v>
      </c>
      <c r="X453" s="37" t="s">
        <v>397</v>
      </c>
      <c r="Y453" s="31"/>
      <c r="Z453" s="26" t="str">
        <f t="shared" si="5"/>
        <v/>
      </c>
      <c r="AA453" s="26" t="str">
        <f t="shared" si="6"/>
        <v/>
      </c>
      <c r="AB453" s="32" t="str">
        <f t="shared" si="7"/>
        <v/>
      </c>
      <c r="AC453" s="32" t="str">
        <f t="shared" ref="AC453:AG453" si="457">IF(J453&lt;&gt;"", IF(AND($P453=FALSE, $A453=FALSE), -J453, IF(AND($P453=FALSE, $A453=TRUE), 0, IF($P453=TRUE, (J453 / $R453) * 100 * ($S453 / 100)-J453, ))), )</f>
        <v/>
      </c>
      <c r="AD453" s="32" t="str">
        <f t="shared" si="457"/>
        <v/>
      </c>
      <c r="AE453" s="32" t="str">
        <f t="shared" si="457"/>
        <v/>
      </c>
      <c r="AF453" s="32" t="str">
        <f t="shared" si="457"/>
        <v/>
      </c>
      <c r="AG453" s="32" t="str">
        <f t="shared" si="457"/>
        <v/>
      </c>
      <c r="AH453" s="33"/>
    </row>
    <row r="454" hidden="1" outlineLevel="3">
      <c r="A454" s="16" t="b">
        <v>0</v>
      </c>
      <c r="B454" s="17"/>
      <c r="C454" s="18"/>
      <c r="D454" s="34"/>
      <c r="E454" s="29"/>
      <c r="F454" s="34"/>
      <c r="G454" s="23"/>
      <c r="H454" s="23"/>
      <c r="I454" s="23"/>
      <c r="J454" s="23"/>
      <c r="K454" s="23"/>
      <c r="L454" s="23"/>
      <c r="M454" s="23"/>
      <c r="N454" s="23"/>
      <c r="O454" s="24"/>
      <c r="P454" s="16" t="b">
        <v>0</v>
      </c>
      <c r="Q454" s="24"/>
      <c r="R454" s="26"/>
      <c r="S454" s="26"/>
      <c r="T454" s="35"/>
      <c r="U454" s="24"/>
      <c r="V454" s="38" t="s">
        <v>29</v>
      </c>
      <c r="W454" s="29" t="s">
        <v>22</v>
      </c>
      <c r="X454" s="37" t="s">
        <v>398</v>
      </c>
      <c r="Y454" s="31"/>
      <c r="Z454" s="26" t="str">
        <f t="shared" si="5"/>
        <v/>
      </c>
      <c r="AA454" s="26" t="str">
        <f t="shared" si="6"/>
        <v/>
      </c>
      <c r="AB454" s="32" t="str">
        <f t="shared" si="7"/>
        <v/>
      </c>
      <c r="AC454" s="32" t="str">
        <f t="shared" ref="AC454:AG454" si="458">IF(J454&lt;&gt;"", IF(AND($P454=FALSE, $A454=FALSE), -J454, IF(AND($P454=FALSE, $A454=TRUE), 0, IF($P454=TRUE, (J454 / $R454) * 100 * ($S454 / 100)-J454, ))), )</f>
        <v/>
      </c>
      <c r="AD454" s="32" t="str">
        <f t="shared" si="458"/>
        <v/>
      </c>
      <c r="AE454" s="32" t="str">
        <f t="shared" si="458"/>
        <v/>
      </c>
      <c r="AF454" s="32" t="str">
        <f t="shared" si="458"/>
        <v/>
      </c>
      <c r="AG454" s="32" t="str">
        <f t="shared" si="458"/>
        <v/>
      </c>
      <c r="AH454" s="33"/>
    </row>
    <row r="455" hidden="1" outlineLevel="3">
      <c r="A455" s="16" t="b">
        <v>0</v>
      </c>
      <c r="B455" s="17"/>
      <c r="C455" s="18"/>
      <c r="D455" s="34"/>
      <c r="E455" s="29"/>
      <c r="F455" s="34"/>
      <c r="G455" s="23"/>
      <c r="H455" s="23"/>
      <c r="I455" s="23"/>
      <c r="J455" s="23"/>
      <c r="K455" s="23"/>
      <c r="L455" s="23"/>
      <c r="M455" s="23"/>
      <c r="N455" s="23"/>
      <c r="O455" s="24"/>
      <c r="P455" s="16" t="b">
        <v>0</v>
      </c>
      <c r="Q455" s="24"/>
      <c r="R455" s="26"/>
      <c r="S455" s="26"/>
      <c r="T455" s="35"/>
      <c r="U455" s="24"/>
      <c r="V455" s="38" t="s">
        <v>29</v>
      </c>
      <c r="W455" s="29" t="s">
        <v>22</v>
      </c>
      <c r="X455" s="37" t="s">
        <v>399</v>
      </c>
      <c r="Y455" s="31"/>
      <c r="Z455" s="26" t="str">
        <f t="shared" si="5"/>
        <v/>
      </c>
      <c r="AA455" s="26" t="str">
        <f t="shared" si="6"/>
        <v/>
      </c>
      <c r="AB455" s="32" t="str">
        <f t="shared" si="7"/>
        <v/>
      </c>
      <c r="AC455" s="32" t="str">
        <f t="shared" ref="AC455:AG455" si="459">IF(J455&lt;&gt;"", IF(AND($P455=FALSE, $A455=FALSE), -J455, IF(AND($P455=FALSE, $A455=TRUE), 0, IF($P455=TRUE, (J455 / $R455) * 100 * ($S455 / 100)-J455, ))), )</f>
        <v/>
      </c>
      <c r="AD455" s="32" t="str">
        <f t="shared" si="459"/>
        <v/>
      </c>
      <c r="AE455" s="32" t="str">
        <f t="shared" si="459"/>
        <v/>
      </c>
      <c r="AF455" s="32" t="str">
        <f t="shared" si="459"/>
        <v/>
      </c>
      <c r="AG455" s="32" t="str">
        <f t="shared" si="459"/>
        <v/>
      </c>
      <c r="AH455" s="33"/>
    </row>
    <row r="456" hidden="1" outlineLevel="2" collapsed="1">
      <c r="A456" s="16" t="b">
        <v>0</v>
      </c>
      <c r="B456" s="17"/>
      <c r="C456" s="18"/>
      <c r="D456" s="41">
        <v>45249.0</v>
      </c>
      <c r="E456" s="20" t="s">
        <v>24</v>
      </c>
      <c r="F456" s="21" t="s">
        <v>371</v>
      </c>
      <c r="G456" s="23">
        <v>2.0</v>
      </c>
      <c r="H456" s="23">
        <v>1.0</v>
      </c>
      <c r="I456" s="23">
        <v>2.0</v>
      </c>
      <c r="J456" s="23"/>
      <c r="K456" s="23"/>
      <c r="L456" s="23"/>
      <c r="M456" s="23"/>
      <c r="N456" s="23"/>
      <c r="O456" s="24"/>
      <c r="P456" s="16" t="b">
        <v>1</v>
      </c>
      <c r="Q456" s="24"/>
      <c r="R456" s="26">
        <v>5.0</v>
      </c>
      <c r="S456" s="26">
        <v>14.1</v>
      </c>
      <c r="T456" s="27" t="s">
        <v>400</v>
      </c>
      <c r="U456" s="24"/>
      <c r="V456" s="28"/>
      <c r="W456" s="29"/>
      <c r="X456" s="30"/>
      <c r="Y456" s="31"/>
      <c r="Z456" s="26">
        <f t="shared" si="5"/>
        <v>3.64</v>
      </c>
      <c r="AA456" s="26">
        <f t="shared" si="6"/>
        <v>3.64</v>
      </c>
      <c r="AB456" s="32">
        <f t="shared" si="7"/>
        <v>1.82</v>
      </c>
      <c r="AC456" s="32" t="str">
        <f t="shared" ref="AC456:AG456" si="460">IF(J456&lt;&gt;"", IF(AND($P456=FALSE, $A456=FALSE), -J456, IF(AND($P456=FALSE, $A456=TRUE), 0, IF($P456=TRUE, (J456 / $R456) * 100 * ($S456 / 100)-J456, ))), )</f>
        <v/>
      </c>
      <c r="AD456" s="32" t="str">
        <f t="shared" si="460"/>
        <v/>
      </c>
      <c r="AE456" s="32" t="str">
        <f t="shared" si="460"/>
        <v/>
      </c>
      <c r="AF456" s="32" t="str">
        <f t="shared" si="460"/>
        <v/>
      </c>
      <c r="AG456" s="32" t="str">
        <f t="shared" si="460"/>
        <v/>
      </c>
      <c r="AH456" s="33"/>
    </row>
    <row r="457" hidden="1" outlineLevel="3">
      <c r="A457" s="16" t="b">
        <v>0</v>
      </c>
      <c r="B457" s="17"/>
      <c r="C457" s="18"/>
      <c r="D457" s="34"/>
      <c r="E457" s="29"/>
      <c r="F457" s="34"/>
      <c r="G457" s="23"/>
      <c r="H457" s="23"/>
      <c r="I457" s="23"/>
      <c r="J457" s="23"/>
      <c r="K457" s="23"/>
      <c r="L457" s="23"/>
      <c r="M457" s="23"/>
      <c r="N457" s="23"/>
      <c r="O457" s="24"/>
      <c r="P457" s="16" t="b">
        <v>0</v>
      </c>
      <c r="Q457" s="24"/>
      <c r="R457" s="26"/>
      <c r="S457" s="26"/>
      <c r="T457" s="35"/>
      <c r="U457" s="24"/>
      <c r="V457" s="38" t="s">
        <v>29</v>
      </c>
      <c r="W457" s="29" t="s">
        <v>22</v>
      </c>
      <c r="X457" s="37" t="s">
        <v>401</v>
      </c>
      <c r="Y457" s="31"/>
      <c r="Z457" s="26" t="str">
        <f t="shared" si="5"/>
        <v/>
      </c>
      <c r="AA457" s="26" t="str">
        <f t="shared" si="6"/>
        <v/>
      </c>
      <c r="AB457" s="32" t="str">
        <f t="shared" si="7"/>
        <v/>
      </c>
      <c r="AC457" s="32" t="str">
        <f t="shared" ref="AC457:AG457" si="461">IF(J457&lt;&gt;"", IF(AND($P457=FALSE, $A457=FALSE), -J457, IF(AND($P457=FALSE, $A457=TRUE), 0, IF($P457=TRUE, (J457 / $R457) * 100 * ($S457 / 100)-J457, ))), )</f>
        <v/>
      </c>
      <c r="AD457" s="32" t="str">
        <f t="shared" si="461"/>
        <v/>
      </c>
      <c r="AE457" s="32" t="str">
        <f t="shared" si="461"/>
        <v/>
      </c>
      <c r="AF457" s="32" t="str">
        <f t="shared" si="461"/>
        <v/>
      </c>
      <c r="AG457" s="32" t="str">
        <f t="shared" si="461"/>
        <v/>
      </c>
      <c r="AH457" s="33"/>
    </row>
    <row r="458" hidden="1" outlineLevel="3">
      <c r="A458" s="16" t="b">
        <v>0</v>
      </c>
      <c r="B458" s="17"/>
      <c r="C458" s="18"/>
      <c r="D458" s="34"/>
      <c r="E458" s="29"/>
      <c r="F458" s="34"/>
      <c r="G458" s="23"/>
      <c r="H458" s="23"/>
      <c r="I458" s="23"/>
      <c r="J458" s="23"/>
      <c r="K458" s="23"/>
      <c r="L458" s="23"/>
      <c r="M458" s="23"/>
      <c r="N458" s="23"/>
      <c r="O458" s="24"/>
      <c r="P458" s="16" t="b">
        <v>0</v>
      </c>
      <c r="Q458" s="24"/>
      <c r="R458" s="26"/>
      <c r="S458" s="26"/>
      <c r="T458" s="35"/>
      <c r="U458" s="24"/>
      <c r="V458" s="38" t="s">
        <v>29</v>
      </c>
      <c r="W458" s="29" t="s">
        <v>22</v>
      </c>
      <c r="X458" s="37" t="s">
        <v>402</v>
      </c>
      <c r="Y458" s="31"/>
      <c r="Z458" s="26" t="str">
        <f t="shared" si="5"/>
        <v/>
      </c>
      <c r="AA458" s="26" t="str">
        <f t="shared" si="6"/>
        <v/>
      </c>
      <c r="AB458" s="32" t="str">
        <f t="shared" si="7"/>
        <v/>
      </c>
      <c r="AC458" s="32" t="str">
        <f t="shared" ref="AC458:AG458" si="462">IF(J458&lt;&gt;"", IF(AND($P458=FALSE, $A458=FALSE), -J458, IF(AND($P458=FALSE, $A458=TRUE), 0, IF($P458=TRUE, (J458 / $R458) * 100 * ($S458 / 100)-J458, ))), )</f>
        <v/>
      </c>
      <c r="AD458" s="32" t="str">
        <f t="shared" si="462"/>
        <v/>
      </c>
      <c r="AE458" s="32" t="str">
        <f t="shared" si="462"/>
        <v/>
      </c>
      <c r="AF458" s="32" t="str">
        <f t="shared" si="462"/>
        <v/>
      </c>
      <c r="AG458" s="32" t="str">
        <f t="shared" si="462"/>
        <v/>
      </c>
      <c r="AH458" s="33"/>
    </row>
    <row r="459" hidden="1" outlineLevel="3">
      <c r="A459" s="16" t="b">
        <v>0</v>
      </c>
      <c r="B459" s="17"/>
      <c r="C459" s="18"/>
      <c r="D459" s="34"/>
      <c r="E459" s="29"/>
      <c r="F459" s="34"/>
      <c r="G459" s="23"/>
      <c r="H459" s="23"/>
      <c r="I459" s="23"/>
      <c r="J459" s="23"/>
      <c r="K459" s="23"/>
      <c r="L459" s="23"/>
      <c r="M459" s="23"/>
      <c r="N459" s="23"/>
      <c r="O459" s="24"/>
      <c r="P459" s="16" t="b">
        <v>0</v>
      </c>
      <c r="Q459" s="24"/>
      <c r="R459" s="26"/>
      <c r="S459" s="26"/>
      <c r="T459" s="35"/>
      <c r="U459" s="24"/>
      <c r="V459" s="38" t="s">
        <v>29</v>
      </c>
      <c r="W459" s="29" t="s">
        <v>22</v>
      </c>
      <c r="X459" s="37" t="s">
        <v>403</v>
      </c>
      <c r="Y459" s="31"/>
      <c r="Z459" s="26" t="str">
        <f t="shared" si="5"/>
        <v/>
      </c>
      <c r="AA459" s="26" t="str">
        <f t="shared" si="6"/>
        <v/>
      </c>
      <c r="AB459" s="32" t="str">
        <f t="shared" si="7"/>
        <v/>
      </c>
      <c r="AC459" s="32" t="str">
        <f t="shared" ref="AC459:AG459" si="463">IF(J459&lt;&gt;"", IF(AND($P459=FALSE, $A459=FALSE), -J459, IF(AND($P459=FALSE, $A459=TRUE), 0, IF($P459=TRUE, (J459 / $R459) * 100 * ($S459 / 100)-J459, ))), )</f>
        <v/>
      </c>
      <c r="AD459" s="32" t="str">
        <f t="shared" si="463"/>
        <v/>
      </c>
      <c r="AE459" s="32" t="str">
        <f t="shared" si="463"/>
        <v/>
      </c>
      <c r="AF459" s="32" t="str">
        <f t="shared" si="463"/>
        <v/>
      </c>
      <c r="AG459" s="32" t="str">
        <f t="shared" si="463"/>
        <v/>
      </c>
      <c r="AH459" s="33"/>
    </row>
    <row r="460" hidden="1" outlineLevel="3">
      <c r="A460" s="16" t="b">
        <v>0</v>
      </c>
      <c r="B460" s="17"/>
      <c r="C460" s="18"/>
      <c r="D460" s="34"/>
      <c r="E460" s="29"/>
      <c r="F460" s="34"/>
      <c r="G460" s="23"/>
      <c r="H460" s="23"/>
      <c r="I460" s="23"/>
      <c r="J460" s="23"/>
      <c r="K460" s="23"/>
      <c r="L460" s="23"/>
      <c r="M460" s="23"/>
      <c r="N460" s="23"/>
      <c r="O460" s="24"/>
      <c r="P460" s="16" t="b">
        <v>0</v>
      </c>
      <c r="Q460" s="24"/>
      <c r="R460" s="26"/>
      <c r="S460" s="26"/>
      <c r="T460" s="35"/>
      <c r="U460" s="24"/>
      <c r="V460" s="38" t="s">
        <v>29</v>
      </c>
      <c r="W460" s="29" t="s">
        <v>22</v>
      </c>
      <c r="X460" s="37" t="s">
        <v>404</v>
      </c>
      <c r="Y460" s="31"/>
      <c r="Z460" s="26" t="str">
        <f t="shared" si="5"/>
        <v/>
      </c>
      <c r="AA460" s="26" t="str">
        <f t="shared" si="6"/>
        <v/>
      </c>
      <c r="AB460" s="32" t="str">
        <f t="shared" si="7"/>
        <v/>
      </c>
      <c r="AC460" s="32" t="str">
        <f t="shared" ref="AC460:AG460" si="464">IF(J460&lt;&gt;"", IF(AND($P460=FALSE, $A460=FALSE), -J460, IF(AND($P460=FALSE, $A460=TRUE), 0, IF($P460=TRUE, (J460 / $R460) * 100 * ($S460 / 100)-J460, ))), )</f>
        <v/>
      </c>
      <c r="AD460" s="32" t="str">
        <f t="shared" si="464"/>
        <v/>
      </c>
      <c r="AE460" s="32" t="str">
        <f t="shared" si="464"/>
        <v/>
      </c>
      <c r="AF460" s="32" t="str">
        <f t="shared" si="464"/>
        <v/>
      </c>
      <c r="AG460" s="32" t="str">
        <f t="shared" si="464"/>
        <v/>
      </c>
      <c r="AH460" s="33"/>
    </row>
    <row r="461" hidden="1" outlineLevel="2" collapsed="1">
      <c r="A461" s="16" t="b">
        <v>0</v>
      </c>
      <c r="B461" s="17"/>
      <c r="C461" s="18"/>
      <c r="D461" s="41">
        <v>45249.0</v>
      </c>
      <c r="E461" s="20" t="s">
        <v>24</v>
      </c>
      <c r="F461" s="21" t="s">
        <v>371</v>
      </c>
      <c r="G461" s="23">
        <v>2.0</v>
      </c>
      <c r="H461" s="23">
        <v>1.0</v>
      </c>
      <c r="I461" s="23">
        <v>2.0</v>
      </c>
      <c r="J461" s="23"/>
      <c r="K461" s="23"/>
      <c r="L461" s="23"/>
      <c r="M461" s="23"/>
      <c r="N461" s="23"/>
      <c r="O461" s="24"/>
      <c r="P461" s="16" t="b">
        <v>1</v>
      </c>
      <c r="Q461" s="24"/>
      <c r="R461" s="26">
        <v>5.0</v>
      </c>
      <c r="S461" s="26">
        <v>12.84</v>
      </c>
      <c r="T461" s="27" t="s">
        <v>405</v>
      </c>
      <c r="U461" s="24"/>
      <c r="V461" s="28"/>
      <c r="W461" s="29"/>
      <c r="X461" s="30"/>
      <c r="Y461" s="31"/>
      <c r="Z461" s="26">
        <f t="shared" si="5"/>
        <v>3.136</v>
      </c>
      <c r="AA461" s="26">
        <f t="shared" si="6"/>
        <v>3.136</v>
      </c>
      <c r="AB461" s="32">
        <f t="shared" si="7"/>
        <v>1.568</v>
      </c>
      <c r="AC461" s="32" t="str">
        <f t="shared" ref="AC461:AG461" si="465">IF(J461&lt;&gt;"", IF(AND($P461=FALSE, $A461=FALSE), -J461, IF(AND($P461=FALSE, $A461=TRUE), 0, IF($P461=TRUE, (J461 / $R461) * 100 * ($S461 / 100)-J461, ))), )</f>
        <v/>
      </c>
      <c r="AD461" s="32" t="str">
        <f t="shared" si="465"/>
        <v/>
      </c>
      <c r="AE461" s="32" t="str">
        <f t="shared" si="465"/>
        <v/>
      </c>
      <c r="AF461" s="32" t="str">
        <f t="shared" si="465"/>
        <v/>
      </c>
      <c r="AG461" s="32" t="str">
        <f t="shared" si="465"/>
        <v/>
      </c>
      <c r="AH461" s="33"/>
    </row>
    <row r="462" hidden="1" outlineLevel="3">
      <c r="A462" s="16" t="b">
        <v>0</v>
      </c>
      <c r="B462" s="17"/>
      <c r="C462" s="18"/>
      <c r="D462" s="34"/>
      <c r="E462" s="29"/>
      <c r="F462" s="34"/>
      <c r="G462" s="23"/>
      <c r="H462" s="23"/>
      <c r="I462" s="23"/>
      <c r="J462" s="23"/>
      <c r="K462" s="23"/>
      <c r="L462" s="23"/>
      <c r="M462" s="23"/>
      <c r="N462" s="23"/>
      <c r="O462" s="24"/>
      <c r="P462" s="16" t="b">
        <v>0</v>
      </c>
      <c r="Q462" s="24"/>
      <c r="R462" s="26"/>
      <c r="S462" s="26"/>
      <c r="T462" s="35"/>
      <c r="U462" s="24"/>
      <c r="V462" s="38" t="s">
        <v>29</v>
      </c>
      <c r="W462" s="29" t="s">
        <v>22</v>
      </c>
      <c r="X462" s="37" t="s">
        <v>406</v>
      </c>
      <c r="Y462" s="31"/>
      <c r="Z462" s="26" t="str">
        <f t="shared" si="5"/>
        <v/>
      </c>
      <c r="AA462" s="26" t="str">
        <f t="shared" si="6"/>
        <v/>
      </c>
      <c r="AB462" s="32" t="str">
        <f t="shared" si="7"/>
        <v/>
      </c>
      <c r="AC462" s="32" t="str">
        <f t="shared" ref="AC462:AG462" si="466">IF(J462&lt;&gt;"", IF(AND($P462=FALSE, $A462=FALSE), -J462, IF(AND($P462=FALSE, $A462=TRUE), 0, IF($P462=TRUE, (J462 / $R462) * 100 * ($S462 / 100)-J462, ))), )</f>
        <v/>
      </c>
      <c r="AD462" s="32" t="str">
        <f t="shared" si="466"/>
        <v/>
      </c>
      <c r="AE462" s="32" t="str">
        <f t="shared" si="466"/>
        <v/>
      </c>
      <c r="AF462" s="32" t="str">
        <f t="shared" si="466"/>
        <v/>
      </c>
      <c r="AG462" s="32" t="str">
        <f t="shared" si="466"/>
        <v/>
      </c>
      <c r="AH462" s="33"/>
    </row>
    <row r="463" hidden="1" outlineLevel="3">
      <c r="A463" s="16" t="b">
        <v>0</v>
      </c>
      <c r="B463" s="17"/>
      <c r="C463" s="18"/>
      <c r="D463" s="34"/>
      <c r="E463" s="29"/>
      <c r="F463" s="34"/>
      <c r="G463" s="23"/>
      <c r="H463" s="23"/>
      <c r="I463" s="23"/>
      <c r="J463" s="23"/>
      <c r="K463" s="23"/>
      <c r="L463" s="23"/>
      <c r="M463" s="23"/>
      <c r="N463" s="23"/>
      <c r="O463" s="24"/>
      <c r="P463" s="16" t="b">
        <v>0</v>
      </c>
      <c r="Q463" s="24"/>
      <c r="R463" s="26"/>
      <c r="S463" s="26"/>
      <c r="T463" s="35"/>
      <c r="U463" s="24"/>
      <c r="V463" s="38" t="s">
        <v>29</v>
      </c>
      <c r="W463" s="29" t="s">
        <v>22</v>
      </c>
      <c r="X463" s="37" t="s">
        <v>407</v>
      </c>
      <c r="Y463" s="31"/>
      <c r="Z463" s="26" t="str">
        <f t="shared" si="5"/>
        <v/>
      </c>
      <c r="AA463" s="26" t="str">
        <f t="shared" si="6"/>
        <v/>
      </c>
      <c r="AB463" s="32" t="str">
        <f t="shared" si="7"/>
        <v/>
      </c>
      <c r="AC463" s="32" t="str">
        <f t="shared" ref="AC463:AG463" si="467">IF(J463&lt;&gt;"", IF(AND($P463=FALSE, $A463=FALSE), -J463, IF(AND($P463=FALSE, $A463=TRUE), 0, IF($P463=TRUE, (J463 / $R463) * 100 * ($S463 / 100)-J463, ))), )</f>
        <v/>
      </c>
      <c r="AD463" s="32" t="str">
        <f t="shared" si="467"/>
        <v/>
      </c>
      <c r="AE463" s="32" t="str">
        <f t="shared" si="467"/>
        <v/>
      </c>
      <c r="AF463" s="32" t="str">
        <f t="shared" si="467"/>
        <v/>
      </c>
      <c r="AG463" s="32" t="str">
        <f t="shared" si="467"/>
        <v/>
      </c>
      <c r="AH463" s="33"/>
    </row>
    <row r="464" hidden="1" outlineLevel="3">
      <c r="A464" s="16" t="b">
        <v>0</v>
      </c>
      <c r="B464" s="17"/>
      <c r="C464" s="18"/>
      <c r="D464" s="34"/>
      <c r="E464" s="29"/>
      <c r="F464" s="34"/>
      <c r="G464" s="23"/>
      <c r="H464" s="23"/>
      <c r="I464" s="23"/>
      <c r="J464" s="23"/>
      <c r="K464" s="23"/>
      <c r="L464" s="23"/>
      <c r="M464" s="23"/>
      <c r="N464" s="23"/>
      <c r="O464" s="24"/>
      <c r="P464" s="16" t="b">
        <v>0</v>
      </c>
      <c r="Q464" s="24"/>
      <c r="R464" s="26"/>
      <c r="S464" s="26"/>
      <c r="T464" s="35"/>
      <c r="U464" s="24"/>
      <c r="V464" s="38" t="s">
        <v>29</v>
      </c>
      <c r="W464" s="29" t="s">
        <v>22</v>
      </c>
      <c r="X464" s="37" t="s">
        <v>408</v>
      </c>
      <c r="Y464" s="31"/>
      <c r="Z464" s="26" t="str">
        <f t="shared" si="5"/>
        <v/>
      </c>
      <c r="AA464" s="26" t="str">
        <f t="shared" si="6"/>
        <v/>
      </c>
      <c r="AB464" s="32" t="str">
        <f t="shared" si="7"/>
        <v/>
      </c>
      <c r="AC464" s="32" t="str">
        <f t="shared" ref="AC464:AG464" si="468">IF(J464&lt;&gt;"", IF(AND($P464=FALSE, $A464=FALSE), -J464, IF(AND($P464=FALSE, $A464=TRUE), 0, IF($P464=TRUE, (J464 / $R464) * 100 * ($S464 / 100)-J464, ))), )</f>
        <v/>
      </c>
      <c r="AD464" s="32" t="str">
        <f t="shared" si="468"/>
        <v/>
      </c>
      <c r="AE464" s="32" t="str">
        <f t="shared" si="468"/>
        <v/>
      </c>
      <c r="AF464" s="32" t="str">
        <f t="shared" si="468"/>
        <v/>
      </c>
      <c r="AG464" s="32" t="str">
        <f t="shared" si="468"/>
        <v/>
      </c>
      <c r="AH464" s="33"/>
    </row>
    <row r="465" hidden="1" outlineLevel="2" collapsed="1">
      <c r="A465" s="16" t="b">
        <v>0</v>
      </c>
      <c r="B465" s="17"/>
      <c r="C465" s="18"/>
      <c r="D465" s="67">
        <v>45249.0</v>
      </c>
      <c r="E465" s="20" t="s">
        <v>24</v>
      </c>
      <c r="F465" s="21" t="s">
        <v>371</v>
      </c>
      <c r="G465" s="48">
        <v>2.0</v>
      </c>
      <c r="H465" s="48">
        <v>1.0</v>
      </c>
      <c r="I465" s="48">
        <v>2.0</v>
      </c>
      <c r="J465" s="48"/>
      <c r="K465" s="46"/>
      <c r="L465" s="48"/>
      <c r="M465" s="46"/>
      <c r="N465" s="46"/>
      <c r="O465" s="47"/>
      <c r="P465" s="16" t="b">
        <v>1</v>
      </c>
      <c r="Q465" s="24"/>
      <c r="R465" s="48">
        <v>5.0</v>
      </c>
      <c r="S465" s="45">
        <v>14.86</v>
      </c>
      <c r="T465" s="27" t="s">
        <v>409</v>
      </c>
      <c r="U465" s="47"/>
      <c r="V465" s="28"/>
      <c r="W465" s="29"/>
      <c r="X465" s="30"/>
      <c r="Y465" s="31"/>
      <c r="Z465" s="26">
        <f t="shared" si="5"/>
        <v>3.944</v>
      </c>
      <c r="AA465" s="26">
        <f t="shared" si="6"/>
        <v>3.944</v>
      </c>
      <c r="AB465" s="32">
        <f t="shared" si="7"/>
        <v>1.972</v>
      </c>
      <c r="AC465" s="32" t="str">
        <f t="shared" ref="AC465:AG465" si="469">IF(J465&lt;&gt;"", IF(AND($P465=FALSE, $A465=FALSE), -J465, IF(AND($P465=FALSE, $A465=TRUE), 0, IF($P465=TRUE, (J465 / $R465) * 100 * ($S465 / 100)-J465, ))), )</f>
        <v/>
      </c>
      <c r="AD465" s="32" t="str">
        <f t="shared" si="469"/>
        <v/>
      </c>
      <c r="AE465" s="32" t="str">
        <f t="shared" si="469"/>
        <v/>
      </c>
      <c r="AF465" s="32" t="str">
        <f t="shared" si="469"/>
        <v/>
      </c>
      <c r="AG465" s="32" t="str">
        <f t="shared" si="469"/>
        <v/>
      </c>
      <c r="AH465" s="33"/>
    </row>
    <row r="466" hidden="1" outlineLevel="3">
      <c r="A466" s="16" t="b">
        <v>0</v>
      </c>
      <c r="B466" s="17"/>
      <c r="C466" s="18"/>
      <c r="D466" s="34"/>
      <c r="E466" s="20"/>
      <c r="F466" s="21"/>
      <c r="G466" s="23"/>
      <c r="H466" s="23"/>
      <c r="I466" s="23"/>
      <c r="J466" s="23"/>
      <c r="K466" s="23"/>
      <c r="L466" s="23"/>
      <c r="M466" s="23"/>
      <c r="N466" s="23"/>
      <c r="O466" s="24"/>
      <c r="P466" s="16" t="b">
        <v>0</v>
      </c>
      <c r="Q466" s="24"/>
      <c r="R466" s="26"/>
      <c r="S466" s="26"/>
      <c r="T466" s="27"/>
      <c r="U466" s="24"/>
      <c r="V466" s="38" t="s">
        <v>29</v>
      </c>
      <c r="W466" s="29" t="s">
        <v>22</v>
      </c>
      <c r="X466" s="37" t="s">
        <v>410</v>
      </c>
      <c r="Y466" s="31"/>
      <c r="Z466" s="26" t="str">
        <f t="shared" si="5"/>
        <v/>
      </c>
      <c r="AA466" s="26" t="str">
        <f t="shared" si="6"/>
        <v/>
      </c>
      <c r="AB466" s="32" t="str">
        <f t="shared" si="7"/>
        <v/>
      </c>
      <c r="AC466" s="32" t="str">
        <f t="shared" ref="AC466:AG466" si="470">IF(J466&lt;&gt;"", IF(AND($P466=FALSE, $A466=FALSE), -J466, IF(AND($P466=FALSE, $A466=TRUE), 0, IF($P466=TRUE, (J466 / $R466) * 100 * ($S466 / 100)-J466, ))), )</f>
        <v/>
      </c>
      <c r="AD466" s="32" t="str">
        <f t="shared" si="470"/>
        <v/>
      </c>
      <c r="AE466" s="32" t="str">
        <f t="shared" si="470"/>
        <v/>
      </c>
      <c r="AF466" s="32" t="str">
        <f t="shared" si="470"/>
        <v/>
      </c>
      <c r="AG466" s="32" t="str">
        <f t="shared" si="470"/>
        <v/>
      </c>
      <c r="AH466" s="33"/>
    </row>
    <row r="467" hidden="1" outlineLevel="3">
      <c r="A467" s="16" t="b">
        <v>0</v>
      </c>
      <c r="B467" s="17"/>
      <c r="C467" s="18"/>
      <c r="D467" s="34"/>
      <c r="E467" s="20"/>
      <c r="F467" s="21"/>
      <c r="G467" s="23"/>
      <c r="H467" s="23"/>
      <c r="I467" s="23"/>
      <c r="J467" s="23"/>
      <c r="K467" s="23"/>
      <c r="L467" s="23"/>
      <c r="M467" s="23"/>
      <c r="N467" s="23"/>
      <c r="O467" s="24"/>
      <c r="P467" s="16" t="b">
        <v>0</v>
      </c>
      <c r="Q467" s="24"/>
      <c r="R467" s="26"/>
      <c r="S467" s="26"/>
      <c r="T467" s="27"/>
      <c r="U467" s="24"/>
      <c r="V467" s="38" t="s">
        <v>29</v>
      </c>
      <c r="W467" s="29" t="s">
        <v>22</v>
      </c>
      <c r="X467" s="37" t="s">
        <v>109</v>
      </c>
      <c r="Y467" s="31"/>
      <c r="Z467" s="26" t="str">
        <f t="shared" si="5"/>
        <v/>
      </c>
      <c r="AA467" s="26" t="str">
        <f t="shared" si="6"/>
        <v/>
      </c>
      <c r="AB467" s="32" t="str">
        <f t="shared" si="7"/>
        <v/>
      </c>
      <c r="AC467" s="32" t="str">
        <f t="shared" ref="AC467:AG467" si="471">IF(J467&lt;&gt;"", IF(AND($P467=FALSE, $A467=FALSE), -J467, IF(AND($P467=FALSE, $A467=TRUE), 0, IF($P467=TRUE, (J467 / $R467) * 100 * ($S467 / 100)-J467, ))), )</f>
        <v/>
      </c>
      <c r="AD467" s="32" t="str">
        <f t="shared" si="471"/>
        <v/>
      </c>
      <c r="AE467" s="32" t="str">
        <f t="shared" si="471"/>
        <v/>
      </c>
      <c r="AF467" s="32" t="str">
        <f t="shared" si="471"/>
        <v/>
      </c>
      <c r="AG467" s="32" t="str">
        <f t="shared" si="471"/>
        <v/>
      </c>
      <c r="AH467" s="33"/>
    </row>
    <row r="468" hidden="1" outlineLevel="3">
      <c r="A468" s="16" t="b">
        <v>0</v>
      </c>
      <c r="B468" s="17"/>
      <c r="C468" s="18"/>
      <c r="D468" s="34"/>
      <c r="E468" s="20"/>
      <c r="F468" s="21"/>
      <c r="G468" s="23"/>
      <c r="H468" s="23"/>
      <c r="I468" s="23"/>
      <c r="J468" s="23"/>
      <c r="K468" s="23"/>
      <c r="L468" s="23"/>
      <c r="M468" s="23"/>
      <c r="N468" s="23"/>
      <c r="O468" s="24"/>
      <c r="P468" s="16" t="b">
        <v>0</v>
      </c>
      <c r="Q468" s="24"/>
      <c r="R468" s="26"/>
      <c r="S468" s="26"/>
      <c r="T468" s="27"/>
      <c r="U468" s="24"/>
      <c r="V468" s="38" t="s">
        <v>29</v>
      </c>
      <c r="W468" s="29" t="s">
        <v>22</v>
      </c>
      <c r="X468" s="37" t="s">
        <v>411</v>
      </c>
      <c r="Y468" s="31"/>
      <c r="Z468" s="26" t="str">
        <f t="shared" si="5"/>
        <v/>
      </c>
      <c r="AA468" s="26" t="str">
        <f t="shared" si="6"/>
        <v/>
      </c>
      <c r="AB468" s="32" t="str">
        <f t="shared" si="7"/>
        <v/>
      </c>
      <c r="AC468" s="32" t="str">
        <f t="shared" ref="AC468:AG468" si="472">IF(J468&lt;&gt;"", IF(AND($P468=FALSE, $A468=FALSE), -J468, IF(AND($P468=FALSE, $A468=TRUE), 0, IF($P468=TRUE, (J468 / $R468) * 100 * ($S468 / 100)-J468, ))), )</f>
        <v/>
      </c>
      <c r="AD468" s="32" t="str">
        <f t="shared" si="472"/>
        <v/>
      </c>
      <c r="AE468" s="32" t="str">
        <f t="shared" si="472"/>
        <v/>
      </c>
      <c r="AF468" s="32" t="str">
        <f t="shared" si="472"/>
        <v/>
      </c>
      <c r="AG468" s="32" t="str">
        <f t="shared" si="472"/>
        <v/>
      </c>
      <c r="AH468" s="33"/>
    </row>
    <row r="469" hidden="1" outlineLevel="3">
      <c r="A469" s="16" t="b">
        <v>0</v>
      </c>
      <c r="B469" s="17"/>
      <c r="C469" s="18"/>
      <c r="D469" s="34"/>
      <c r="E469" s="20"/>
      <c r="F469" s="21"/>
      <c r="G469" s="23"/>
      <c r="H469" s="23"/>
      <c r="I469" s="23"/>
      <c r="J469" s="23"/>
      <c r="K469" s="23"/>
      <c r="L469" s="23"/>
      <c r="M469" s="23"/>
      <c r="N469" s="23"/>
      <c r="O469" s="24"/>
      <c r="P469" s="16" t="b">
        <v>0</v>
      </c>
      <c r="Q469" s="24"/>
      <c r="R469" s="26"/>
      <c r="S469" s="26"/>
      <c r="T469" s="27"/>
      <c r="U469" s="24"/>
      <c r="V469" s="38" t="s">
        <v>29</v>
      </c>
      <c r="W469" s="29" t="s">
        <v>22</v>
      </c>
      <c r="X469" s="37" t="s">
        <v>412</v>
      </c>
      <c r="Y469" s="31"/>
      <c r="Z469" s="26" t="str">
        <f t="shared" si="5"/>
        <v/>
      </c>
      <c r="AA469" s="26" t="str">
        <f t="shared" si="6"/>
        <v/>
      </c>
      <c r="AB469" s="32" t="str">
        <f t="shared" si="7"/>
        <v/>
      </c>
      <c r="AC469" s="32" t="str">
        <f t="shared" ref="AC469:AG469" si="473">IF(J469&lt;&gt;"", IF(AND($P469=FALSE, $A469=FALSE), -J469, IF(AND($P469=FALSE, $A469=TRUE), 0, IF($P469=TRUE, (J469 / $R469) * 100 * ($S469 / 100)-J469, ))), )</f>
        <v/>
      </c>
      <c r="AD469" s="32" t="str">
        <f t="shared" si="473"/>
        <v/>
      </c>
      <c r="AE469" s="32" t="str">
        <f t="shared" si="473"/>
        <v/>
      </c>
      <c r="AF469" s="32" t="str">
        <f t="shared" si="473"/>
        <v/>
      </c>
      <c r="AG469" s="32" t="str">
        <f t="shared" si="473"/>
        <v/>
      </c>
      <c r="AH469" s="33"/>
    </row>
    <row r="470" hidden="1" outlineLevel="3">
      <c r="A470" s="16" t="b">
        <v>0</v>
      </c>
      <c r="B470" s="17"/>
      <c r="C470" s="18"/>
      <c r="D470" s="34"/>
      <c r="E470" s="20"/>
      <c r="F470" s="21"/>
      <c r="G470" s="23"/>
      <c r="H470" s="23"/>
      <c r="I470" s="23"/>
      <c r="J470" s="23"/>
      <c r="K470" s="23"/>
      <c r="L470" s="23"/>
      <c r="M470" s="23"/>
      <c r="N470" s="23"/>
      <c r="O470" s="24"/>
      <c r="P470" s="16" t="b">
        <v>0</v>
      </c>
      <c r="Q470" s="24"/>
      <c r="R470" s="26"/>
      <c r="S470" s="26"/>
      <c r="T470" s="27"/>
      <c r="U470" s="24"/>
      <c r="V470" s="38" t="s">
        <v>29</v>
      </c>
      <c r="W470" s="29" t="s">
        <v>22</v>
      </c>
      <c r="X470" s="37" t="s">
        <v>413</v>
      </c>
      <c r="Y470" s="31"/>
      <c r="Z470" s="26" t="str">
        <f t="shared" si="5"/>
        <v/>
      </c>
      <c r="AA470" s="26" t="str">
        <f t="shared" si="6"/>
        <v/>
      </c>
      <c r="AB470" s="32" t="str">
        <f t="shared" si="7"/>
        <v/>
      </c>
      <c r="AC470" s="32" t="str">
        <f t="shared" ref="AC470:AG470" si="474">IF(J470&lt;&gt;"", IF(AND($P470=FALSE, $A470=FALSE), -J470, IF(AND($P470=FALSE, $A470=TRUE), 0, IF($P470=TRUE, (J470 / $R470) * 100 * ($S470 / 100)-J470, ))), )</f>
        <v/>
      </c>
      <c r="AD470" s="32" t="str">
        <f t="shared" si="474"/>
        <v/>
      </c>
      <c r="AE470" s="32" t="str">
        <f t="shared" si="474"/>
        <v/>
      </c>
      <c r="AF470" s="32" t="str">
        <f t="shared" si="474"/>
        <v/>
      </c>
      <c r="AG470" s="32" t="str">
        <f t="shared" si="474"/>
        <v/>
      </c>
      <c r="AH470" s="33"/>
    </row>
    <row r="471" hidden="1" outlineLevel="2">
      <c r="A471" s="16" t="b">
        <v>0</v>
      </c>
      <c r="B471" s="17"/>
      <c r="C471" s="18"/>
      <c r="D471" s="67">
        <v>45249.0</v>
      </c>
      <c r="E471" s="20" t="s">
        <v>24</v>
      </c>
      <c r="F471" s="21" t="s">
        <v>371</v>
      </c>
      <c r="G471" s="48">
        <v>2.0</v>
      </c>
      <c r="H471" s="48">
        <v>1.0</v>
      </c>
      <c r="I471" s="48">
        <v>2.0</v>
      </c>
      <c r="J471" s="48"/>
      <c r="K471" s="46"/>
      <c r="L471" s="48"/>
      <c r="M471" s="46"/>
      <c r="N471" s="46"/>
      <c r="O471" s="47"/>
      <c r="P471" s="16" t="b">
        <v>0</v>
      </c>
      <c r="Q471" s="24"/>
      <c r="R471" s="48">
        <v>5.0</v>
      </c>
      <c r="S471" s="45">
        <v>14.86</v>
      </c>
      <c r="T471" s="27" t="s">
        <v>409</v>
      </c>
      <c r="U471" s="47"/>
      <c r="V471" s="28"/>
      <c r="W471" s="29"/>
      <c r="X471" s="30"/>
      <c r="Y471" s="31"/>
      <c r="Z471" s="26">
        <f t="shared" si="5"/>
        <v>-2</v>
      </c>
      <c r="AA471" s="26">
        <f t="shared" si="6"/>
        <v>-2</v>
      </c>
      <c r="AB471" s="32">
        <f t="shared" si="7"/>
        <v>-1</v>
      </c>
      <c r="AC471" s="32" t="str">
        <f t="shared" ref="AC471:AG471" si="475">IF(J471&lt;&gt;"", IF(AND($P471=FALSE, $A471=FALSE), -J471, IF(AND($P471=FALSE, $A471=TRUE), 0, IF($P471=TRUE, (J471 / $R471) * 100 * ($S471 / 100)-J471, ))), )</f>
        <v/>
      </c>
      <c r="AD471" s="32" t="str">
        <f t="shared" si="475"/>
        <v/>
      </c>
      <c r="AE471" s="32" t="str">
        <f t="shared" si="475"/>
        <v/>
      </c>
      <c r="AF471" s="32" t="str">
        <f t="shared" si="475"/>
        <v/>
      </c>
      <c r="AG471" s="32" t="str">
        <f t="shared" si="475"/>
        <v/>
      </c>
      <c r="AH471" s="33"/>
    </row>
    <row r="472" hidden="1" outlineLevel="3">
      <c r="A472" s="16" t="b">
        <v>0</v>
      </c>
      <c r="B472" s="17"/>
      <c r="C472" s="18"/>
      <c r="D472" s="34"/>
      <c r="E472" s="20"/>
      <c r="F472" s="21"/>
      <c r="G472" s="23"/>
      <c r="H472" s="23"/>
      <c r="I472" s="23"/>
      <c r="J472" s="23"/>
      <c r="K472" s="23"/>
      <c r="L472" s="23"/>
      <c r="M472" s="23"/>
      <c r="N472" s="23"/>
      <c r="O472" s="24"/>
      <c r="P472" s="16" t="b">
        <v>0</v>
      </c>
      <c r="Q472" s="24"/>
      <c r="R472" s="26"/>
      <c r="S472" s="26"/>
      <c r="T472" s="27"/>
      <c r="U472" s="24"/>
      <c r="V472" s="66" t="s">
        <v>32</v>
      </c>
      <c r="W472" s="29" t="s">
        <v>22</v>
      </c>
      <c r="X472" s="37" t="s">
        <v>414</v>
      </c>
      <c r="Y472" s="31"/>
      <c r="Z472" s="26" t="str">
        <f t="shared" si="5"/>
        <v/>
      </c>
      <c r="AA472" s="26" t="str">
        <f t="shared" si="6"/>
        <v/>
      </c>
      <c r="AB472" s="32" t="str">
        <f t="shared" si="7"/>
        <v/>
      </c>
      <c r="AC472" s="32" t="str">
        <f t="shared" ref="AC472:AG472" si="476">IF(J472&lt;&gt;"", IF(AND($P472=FALSE, $A472=FALSE), -J472, IF(AND($P472=FALSE, $A472=TRUE), 0, IF($P472=TRUE, (J472 / $R472) * 100 * ($S472 / 100)-J472, ))), )</f>
        <v/>
      </c>
      <c r="AD472" s="32" t="str">
        <f t="shared" si="476"/>
        <v/>
      </c>
      <c r="AE472" s="32" t="str">
        <f t="shared" si="476"/>
        <v/>
      </c>
      <c r="AF472" s="32" t="str">
        <f t="shared" si="476"/>
        <v/>
      </c>
      <c r="AG472" s="32" t="str">
        <f t="shared" si="476"/>
        <v/>
      </c>
      <c r="AH472" s="33"/>
    </row>
    <row r="473" hidden="1" outlineLevel="3">
      <c r="A473" s="16" t="b">
        <v>0</v>
      </c>
      <c r="B473" s="17"/>
      <c r="C473" s="18"/>
      <c r="D473" s="34"/>
      <c r="E473" s="20"/>
      <c r="F473" s="21"/>
      <c r="G473" s="23"/>
      <c r="H473" s="23"/>
      <c r="I473" s="23"/>
      <c r="J473" s="23"/>
      <c r="K473" s="23"/>
      <c r="L473" s="23"/>
      <c r="M473" s="23"/>
      <c r="N473" s="23"/>
      <c r="O473" s="24"/>
      <c r="P473" s="16" t="b">
        <v>0</v>
      </c>
      <c r="Q473" s="24"/>
      <c r="R473" s="26"/>
      <c r="S473" s="26"/>
      <c r="T473" s="27"/>
      <c r="U473" s="24"/>
      <c r="V473" s="66" t="s">
        <v>32</v>
      </c>
      <c r="W473" s="29" t="s">
        <v>22</v>
      </c>
      <c r="X473" s="37" t="s">
        <v>415</v>
      </c>
      <c r="Y473" s="31"/>
      <c r="Z473" s="26" t="str">
        <f t="shared" si="5"/>
        <v/>
      </c>
      <c r="AA473" s="26" t="str">
        <f t="shared" si="6"/>
        <v/>
      </c>
      <c r="AB473" s="32" t="str">
        <f t="shared" si="7"/>
        <v/>
      </c>
      <c r="AC473" s="32" t="str">
        <f t="shared" ref="AC473:AG473" si="477">IF(J473&lt;&gt;"", IF(AND($P473=FALSE, $A473=FALSE), -J473, IF(AND($P473=FALSE, $A473=TRUE), 0, IF($P473=TRUE, (J473 / $R473) * 100 * ($S473 / 100)-J473, ))), )</f>
        <v/>
      </c>
      <c r="AD473" s="32" t="str">
        <f t="shared" si="477"/>
        <v/>
      </c>
      <c r="AE473" s="32" t="str">
        <f t="shared" si="477"/>
        <v/>
      </c>
      <c r="AF473" s="32" t="str">
        <f t="shared" si="477"/>
        <v/>
      </c>
      <c r="AG473" s="32" t="str">
        <f t="shared" si="477"/>
        <v/>
      </c>
      <c r="AH473" s="33"/>
    </row>
    <row r="474" hidden="1" outlineLevel="3">
      <c r="A474" s="16" t="b">
        <v>0</v>
      </c>
      <c r="B474" s="17"/>
      <c r="C474" s="18"/>
      <c r="D474" s="34"/>
      <c r="E474" s="20"/>
      <c r="F474" s="21"/>
      <c r="G474" s="23"/>
      <c r="H474" s="23"/>
      <c r="I474" s="23"/>
      <c r="J474" s="23"/>
      <c r="K474" s="23"/>
      <c r="L474" s="23"/>
      <c r="M474" s="23"/>
      <c r="N474" s="23"/>
      <c r="O474" s="24"/>
      <c r="P474" s="16" t="b">
        <v>0</v>
      </c>
      <c r="Q474" s="24"/>
      <c r="R474" s="26"/>
      <c r="S474" s="26"/>
      <c r="T474" s="27"/>
      <c r="U474" s="24"/>
      <c r="V474" s="38" t="s">
        <v>29</v>
      </c>
      <c r="W474" s="29" t="s">
        <v>22</v>
      </c>
      <c r="X474" s="37" t="s">
        <v>416</v>
      </c>
      <c r="Y474" s="31"/>
      <c r="Z474" s="26" t="str">
        <f t="shared" si="5"/>
        <v/>
      </c>
      <c r="AA474" s="26" t="str">
        <f t="shared" si="6"/>
        <v/>
      </c>
      <c r="AB474" s="32" t="str">
        <f t="shared" si="7"/>
        <v/>
      </c>
      <c r="AC474" s="32" t="str">
        <f t="shared" ref="AC474:AG474" si="478">IF(J474&lt;&gt;"", IF(AND($P474=FALSE, $A474=FALSE), -J474, IF(AND($P474=FALSE, $A474=TRUE), 0, IF($P474=TRUE, (J474 / $R474) * 100 * ($S474 / 100)-J474, ))), )</f>
        <v/>
      </c>
      <c r="AD474" s="32" t="str">
        <f t="shared" si="478"/>
        <v/>
      </c>
      <c r="AE474" s="32" t="str">
        <f t="shared" si="478"/>
        <v/>
      </c>
      <c r="AF474" s="32" t="str">
        <f t="shared" si="478"/>
        <v/>
      </c>
      <c r="AG474" s="32" t="str">
        <f t="shared" si="478"/>
        <v/>
      </c>
      <c r="AH474" s="33"/>
    </row>
    <row r="475" hidden="1" outlineLevel="1" collapsed="1">
      <c r="A475" s="16" t="b">
        <v>0</v>
      </c>
      <c r="B475" s="17"/>
      <c r="C475" s="18"/>
      <c r="D475" s="41">
        <v>45250.0</v>
      </c>
      <c r="E475" s="20" t="s">
        <v>60</v>
      </c>
      <c r="F475" s="21" t="s">
        <v>61</v>
      </c>
      <c r="G475" s="23">
        <v>2.0</v>
      </c>
      <c r="H475" s="23">
        <v>1.0</v>
      </c>
      <c r="I475" s="23">
        <v>3.0</v>
      </c>
      <c r="J475" s="23"/>
      <c r="K475" s="23"/>
      <c r="L475" s="23"/>
      <c r="M475" s="23"/>
      <c r="N475" s="23"/>
      <c r="O475" s="24"/>
      <c r="P475" s="16" t="b">
        <v>0</v>
      </c>
      <c r="Q475" s="24"/>
      <c r="R475" s="26">
        <v>6.0</v>
      </c>
      <c r="S475" s="26">
        <v>14.54</v>
      </c>
      <c r="T475" s="27" t="s">
        <v>417</v>
      </c>
      <c r="U475" s="24"/>
      <c r="V475" s="28"/>
      <c r="W475" s="29"/>
      <c r="X475" s="30"/>
      <c r="Y475" s="31"/>
      <c r="Z475" s="26">
        <f t="shared" si="5"/>
        <v>-2</v>
      </c>
      <c r="AA475" s="26">
        <f t="shared" si="6"/>
        <v>-3</v>
      </c>
      <c r="AB475" s="32">
        <f t="shared" si="7"/>
        <v>-1</v>
      </c>
      <c r="AC475" s="32" t="str">
        <f t="shared" ref="AC475:AG475" si="479">IF(J475&lt;&gt;"", IF(AND($P475=FALSE, $A475=FALSE), -J475, IF(AND($P475=FALSE, $A475=TRUE), 0, IF($P475=TRUE, (J475 / $R475) * 100 * ($S475 / 100)-J475, ))), )</f>
        <v/>
      </c>
      <c r="AD475" s="32" t="str">
        <f t="shared" si="479"/>
        <v/>
      </c>
      <c r="AE475" s="32" t="str">
        <f t="shared" si="479"/>
        <v/>
      </c>
      <c r="AF475" s="32" t="str">
        <f t="shared" si="479"/>
        <v/>
      </c>
      <c r="AG475" s="32" t="str">
        <f t="shared" si="479"/>
        <v/>
      </c>
      <c r="AH475" s="33"/>
    </row>
    <row r="476" hidden="1" outlineLevel="3">
      <c r="A476" s="16" t="b">
        <v>0</v>
      </c>
      <c r="B476" s="17"/>
      <c r="C476" s="18"/>
      <c r="D476" s="34"/>
      <c r="E476" s="29"/>
      <c r="F476" s="34"/>
      <c r="G476" s="23"/>
      <c r="H476" s="23"/>
      <c r="I476" s="23"/>
      <c r="J476" s="23"/>
      <c r="K476" s="23"/>
      <c r="L476" s="23"/>
      <c r="M476" s="23"/>
      <c r="N476" s="23"/>
      <c r="O476" s="24"/>
      <c r="P476" s="16" t="b">
        <v>0</v>
      </c>
      <c r="Q476" s="24"/>
      <c r="R476" s="26"/>
      <c r="S476" s="26"/>
      <c r="T476" s="35"/>
      <c r="U476" s="24"/>
      <c r="V476" s="66" t="s">
        <v>32</v>
      </c>
      <c r="W476" s="29" t="s">
        <v>22</v>
      </c>
      <c r="X476" s="37" t="s">
        <v>239</v>
      </c>
      <c r="Y476" s="31"/>
      <c r="Z476" s="26" t="str">
        <f t="shared" si="5"/>
        <v/>
      </c>
      <c r="AA476" s="26" t="str">
        <f t="shared" si="6"/>
        <v/>
      </c>
      <c r="AB476" s="32" t="str">
        <f t="shared" si="7"/>
        <v/>
      </c>
      <c r="AC476" s="32" t="str">
        <f t="shared" ref="AC476:AG476" si="480">IF(J476&lt;&gt;"", IF(AND($P476=FALSE, $A476=FALSE), -J476, IF(AND($P476=FALSE, $A476=TRUE), 0, IF($P476=TRUE, (J476 / $R476) * 100 * ($S476 / 100)-J476, ))), )</f>
        <v/>
      </c>
      <c r="AD476" s="32" t="str">
        <f t="shared" si="480"/>
        <v/>
      </c>
      <c r="AE476" s="32" t="str">
        <f t="shared" si="480"/>
        <v/>
      </c>
      <c r="AF476" s="32" t="str">
        <f t="shared" si="480"/>
        <v/>
      </c>
      <c r="AG476" s="32" t="str">
        <f t="shared" si="480"/>
        <v/>
      </c>
      <c r="AH476" s="33"/>
    </row>
    <row r="477" hidden="1" outlineLevel="3">
      <c r="A477" s="16" t="b">
        <v>0</v>
      </c>
      <c r="B477" s="17"/>
      <c r="C477" s="18"/>
      <c r="D477" s="34"/>
      <c r="E477" s="29"/>
      <c r="F477" s="34"/>
      <c r="G477" s="23"/>
      <c r="H477" s="23"/>
      <c r="I477" s="23"/>
      <c r="J477" s="23"/>
      <c r="K477" s="23"/>
      <c r="L477" s="23"/>
      <c r="M477" s="23"/>
      <c r="N477" s="23"/>
      <c r="O477" s="24"/>
      <c r="P477" s="16" t="b">
        <v>0</v>
      </c>
      <c r="Q477" s="24"/>
      <c r="R477" s="26"/>
      <c r="S477" s="26"/>
      <c r="T477" s="35"/>
      <c r="U477" s="24"/>
      <c r="V477" s="66" t="s">
        <v>32</v>
      </c>
      <c r="W477" s="29" t="s">
        <v>22</v>
      </c>
      <c r="X477" s="37" t="s">
        <v>216</v>
      </c>
      <c r="Y477" s="31"/>
      <c r="Z477" s="26" t="str">
        <f t="shared" si="5"/>
        <v/>
      </c>
      <c r="AA477" s="26" t="str">
        <f t="shared" si="6"/>
        <v/>
      </c>
      <c r="AB477" s="32" t="str">
        <f t="shared" si="7"/>
        <v/>
      </c>
      <c r="AC477" s="32" t="str">
        <f t="shared" ref="AC477:AG477" si="481">IF(J477&lt;&gt;"", IF(AND($P477=FALSE, $A477=FALSE), -J477, IF(AND($P477=FALSE, $A477=TRUE), 0, IF($P477=TRUE, (J477 / $R477) * 100 * ($S477 / 100)-J477, ))), )</f>
        <v/>
      </c>
      <c r="AD477" s="32" t="str">
        <f t="shared" si="481"/>
        <v/>
      </c>
      <c r="AE477" s="32" t="str">
        <f t="shared" si="481"/>
        <v/>
      </c>
      <c r="AF477" s="32" t="str">
        <f t="shared" si="481"/>
        <v/>
      </c>
      <c r="AG477" s="32" t="str">
        <f t="shared" si="481"/>
        <v/>
      </c>
      <c r="AH477" s="33"/>
    </row>
    <row r="478" hidden="1" outlineLevel="3">
      <c r="A478" s="16" t="b">
        <v>0</v>
      </c>
      <c r="B478" s="17"/>
      <c r="C478" s="18"/>
      <c r="D478" s="34"/>
      <c r="E478" s="29"/>
      <c r="F478" s="34"/>
      <c r="G478" s="23"/>
      <c r="H478" s="23"/>
      <c r="I478" s="23"/>
      <c r="J478" s="23"/>
      <c r="K478" s="23"/>
      <c r="L478" s="23"/>
      <c r="M478" s="23"/>
      <c r="N478" s="23"/>
      <c r="O478" s="24"/>
      <c r="P478" s="16" t="b">
        <v>0</v>
      </c>
      <c r="Q478" s="24"/>
      <c r="R478" s="26"/>
      <c r="S478" s="26"/>
      <c r="T478" s="35"/>
      <c r="U478" s="24"/>
      <c r="V478" s="66" t="s">
        <v>32</v>
      </c>
      <c r="W478" s="29" t="s">
        <v>22</v>
      </c>
      <c r="X478" s="37" t="s">
        <v>217</v>
      </c>
      <c r="Y478" s="31"/>
      <c r="Z478" s="26" t="str">
        <f t="shared" si="5"/>
        <v/>
      </c>
      <c r="AA478" s="26" t="str">
        <f t="shared" si="6"/>
        <v/>
      </c>
      <c r="AB478" s="32" t="str">
        <f t="shared" si="7"/>
        <v/>
      </c>
      <c r="AC478" s="32" t="str">
        <f t="shared" ref="AC478:AG478" si="482">IF(J478&lt;&gt;"", IF(AND($P478=FALSE, $A478=FALSE), -J478, IF(AND($P478=FALSE, $A478=TRUE), 0, IF($P478=TRUE, (J478 / $R478) * 100 * ($S478 / 100)-J478, ))), )</f>
        <v/>
      </c>
      <c r="AD478" s="32" t="str">
        <f t="shared" si="482"/>
        <v/>
      </c>
      <c r="AE478" s="32" t="str">
        <f t="shared" si="482"/>
        <v/>
      </c>
      <c r="AF478" s="32" t="str">
        <f t="shared" si="482"/>
        <v/>
      </c>
      <c r="AG478" s="32" t="str">
        <f t="shared" si="482"/>
        <v/>
      </c>
      <c r="AH478" s="33"/>
    </row>
    <row r="479" hidden="1" outlineLevel="3">
      <c r="A479" s="16" t="b">
        <v>0</v>
      </c>
      <c r="B479" s="17"/>
      <c r="C479" s="18"/>
      <c r="D479" s="34"/>
      <c r="E479" s="29"/>
      <c r="F479" s="34"/>
      <c r="G479" s="23"/>
      <c r="H479" s="23"/>
      <c r="I479" s="23"/>
      <c r="J479" s="23"/>
      <c r="K479" s="23"/>
      <c r="L479" s="23"/>
      <c r="M479" s="23"/>
      <c r="N479" s="23"/>
      <c r="O479" s="24"/>
      <c r="P479" s="16" t="b">
        <v>0</v>
      </c>
      <c r="Q479" s="24"/>
      <c r="R479" s="26"/>
      <c r="S479" s="26"/>
      <c r="T479" s="35"/>
      <c r="U479" s="24"/>
      <c r="V479" s="38" t="s">
        <v>29</v>
      </c>
      <c r="W479" s="29" t="s">
        <v>22</v>
      </c>
      <c r="X479" s="37" t="s">
        <v>418</v>
      </c>
      <c r="Y479" s="31"/>
      <c r="Z479" s="26" t="str">
        <f t="shared" si="5"/>
        <v/>
      </c>
      <c r="AA479" s="26" t="str">
        <f t="shared" si="6"/>
        <v/>
      </c>
      <c r="AB479" s="32" t="str">
        <f t="shared" si="7"/>
        <v/>
      </c>
      <c r="AC479" s="32" t="str">
        <f t="shared" ref="AC479:AG479" si="483">IF(J479&lt;&gt;"", IF(AND($P479=FALSE, $A479=FALSE), -J479, IF(AND($P479=FALSE, $A479=TRUE), 0, IF($P479=TRUE, (J479 / $R479) * 100 * ($S479 / 100)-J479, ))), )</f>
        <v/>
      </c>
      <c r="AD479" s="32" t="str">
        <f t="shared" si="483"/>
        <v/>
      </c>
      <c r="AE479" s="32" t="str">
        <f t="shared" si="483"/>
        <v/>
      </c>
      <c r="AF479" s="32" t="str">
        <f t="shared" si="483"/>
        <v/>
      </c>
      <c r="AG479" s="32" t="str">
        <f t="shared" si="483"/>
        <v/>
      </c>
      <c r="AH479" s="33"/>
    </row>
    <row r="480" hidden="1" outlineLevel="2" collapsed="1">
      <c r="A480" s="16" t="b">
        <v>0</v>
      </c>
      <c r="B480" s="17"/>
      <c r="C480" s="18"/>
      <c r="D480" s="41">
        <v>45250.0</v>
      </c>
      <c r="E480" s="20" t="s">
        <v>60</v>
      </c>
      <c r="F480" s="21" t="s">
        <v>61</v>
      </c>
      <c r="G480" s="23">
        <v>2.0</v>
      </c>
      <c r="H480" s="23">
        <v>1.0</v>
      </c>
      <c r="I480" s="23">
        <v>3.0</v>
      </c>
      <c r="J480" s="23"/>
      <c r="K480" s="23"/>
      <c r="L480" s="23"/>
      <c r="M480" s="23"/>
      <c r="N480" s="23"/>
      <c r="O480" s="24"/>
      <c r="P480" s="16" t="b">
        <v>1</v>
      </c>
      <c r="Q480" s="24"/>
      <c r="R480" s="26">
        <v>6.0</v>
      </c>
      <c r="S480" s="26">
        <v>13.82</v>
      </c>
      <c r="T480" s="27" t="s">
        <v>419</v>
      </c>
      <c r="U480" s="24"/>
      <c r="V480" s="28"/>
      <c r="W480" s="29"/>
      <c r="X480" s="30"/>
      <c r="Y480" s="31"/>
      <c r="Z480" s="26">
        <f t="shared" si="5"/>
        <v>2.606666667</v>
      </c>
      <c r="AA480" s="26">
        <f t="shared" si="6"/>
        <v>3.91</v>
      </c>
      <c r="AB480" s="32">
        <f t="shared" si="7"/>
        <v>1.303333333</v>
      </c>
      <c r="AC480" s="32" t="str">
        <f t="shared" ref="AC480:AG480" si="484">IF(J480&lt;&gt;"", IF(AND($P480=FALSE, $A480=FALSE), -J480, IF(AND($P480=FALSE, $A480=TRUE), 0, IF($P480=TRUE, (J480 / $R480) * 100 * ($S480 / 100)-J480, ))), )</f>
        <v/>
      </c>
      <c r="AD480" s="32" t="str">
        <f t="shared" si="484"/>
        <v/>
      </c>
      <c r="AE480" s="32" t="str">
        <f t="shared" si="484"/>
        <v/>
      </c>
      <c r="AF480" s="32" t="str">
        <f t="shared" si="484"/>
        <v/>
      </c>
      <c r="AG480" s="32" t="str">
        <f t="shared" si="484"/>
        <v/>
      </c>
      <c r="AH480" s="33"/>
    </row>
    <row r="481" hidden="1" outlineLevel="3">
      <c r="A481" s="16" t="b">
        <v>0</v>
      </c>
      <c r="B481" s="17"/>
      <c r="C481" s="18"/>
      <c r="D481" s="34"/>
      <c r="E481" s="29"/>
      <c r="F481" s="34"/>
      <c r="G481" s="23"/>
      <c r="H481" s="23"/>
      <c r="I481" s="23"/>
      <c r="J481" s="23"/>
      <c r="K481" s="23"/>
      <c r="L481" s="23"/>
      <c r="M481" s="23"/>
      <c r="N481" s="23"/>
      <c r="O481" s="24"/>
      <c r="P481" s="16" t="b">
        <v>0</v>
      </c>
      <c r="Q481" s="24"/>
      <c r="R481" s="26"/>
      <c r="S481" s="26"/>
      <c r="T481" s="35"/>
      <c r="U481" s="24"/>
      <c r="V481" s="38" t="s">
        <v>29</v>
      </c>
      <c r="W481" s="29" t="s">
        <v>22</v>
      </c>
      <c r="X481" s="37" t="s">
        <v>230</v>
      </c>
      <c r="Y481" s="31"/>
      <c r="Z481" s="26" t="str">
        <f t="shared" si="5"/>
        <v/>
      </c>
      <c r="AA481" s="26" t="str">
        <f t="shared" si="6"/>
        <v/>
      </c>
      <c r="AB481" s="32" t="str">
        <f t="shared" si="7"/>
        <v/>
      </c>
      <c r="AC481" s="32" t="str">
        <f t="shared" ref="AC481:AG481" si="485">IF(J481&lt;&gt;"", IF(AND($P481=FALSE, $A481=FALSE), -J481, IF(AND($P481=FALSE, $A481=TRUE), 0, IF($P481=TRUE, (J481 / $R481) * 100 * ($S481 / 100)-J481, ))), )</f>
        <v/>
      </c>
      <c r="AD481" s="32" t="str">
        <f t="shared" si="485"/>
        <v/>
      </c>
      <c r="AE481" s="32" t="str">
        <f t="shared" si="485"/>
        <v/>
      </c>
      <c r="AF481" s="32" t="str">
        <f t="shared" si="485"/>
        <v/>
      </c>
      <c r="AG481" s="32" t="str">
        <f t="shared" si="485"/>
        <v/>
      </c>
      <c r="AH481" s="33"/>
    </row>
    <row r="482" hidden="1" outlineLevel="3">
      <c r="A482" s="16" t="b">
        <v>0</v>
      </c>
      <c r="B482" s="17"/>
      <c r="C482" s="18"/>
      <c r="D482" s="34"/>
      <c r="E482" s="29"/>
      <c r="F482" s="34"/>
      <c r="G482" s="23"/>
      <c r="H482" s="23"/>
      <c r="I482" s="23"/>
      <c r="J482" s="23"/>
      <c r="K482" s="23"/>
      <c r="L482" s="23"/>
      <c r="M482" s="23"/>
      <c r="N482" s="23"/>
      <c r="O482" s="24"/>
      <c r="P482" s="16" t="b">
        <v>0</v>
      </c>
      <c r="Q482" s="24"/>
      <c r="R482" s="26"/>
      <c r="S482" s="26"/>
      <c r="T482" s="35"/>
      <c r="U482" s="24"/>
      <c r="V482" s="38" t="s">
        <v>29</v>
      </c>
      <c r="W482" s="29" t="s">
        <v>22</v>
      </c>
      <c r="X482" s="37" t="s">
        <v>420</v>
      </c>
      <c r="Y482" s="31"/>
      <c r="Z482" s="26" t="str">
        <f t="shared" si="5"/>
        <v/>
      </c>
      <c r="AA482" s="26" t="str">
        <f t="shared" si="6"/>
        <v/>
      </c>
      <c r="AB482" s="32" t="str">
        <f t="shared" si="7"/>
        <v/>
      </c>
      <c r="AC482" s="32" t="str">
        <f t="shared" ref="AC482:AG482" si="486">IF(J482&lt;&gt;"", IF(AND($P482=FALSE, $A482=FALSE), -J482, IF(AND($P482=FALSE, $A482=TRUE), 0, IF($P482=TRUE, (J482 / $R482) * 100 * ($S482 / 100)-J482, ))), )</f>
        <v/>
      </c>
      <c r="AD482" s="32" t="str">
        <f t="shared" si="486"/>
        <v/>
      </c>
      <c r="AE482" s="32" t="str">
        <f t="shared" si="486"/>
        <v/>
      </c>
      <c r="AF482" s="32" t="str">
        <f t="shared" si="486"/>
        <v/>
      </c>
      <c r="AG482" s="32" t="str">
        <f t="shared" si="486"/>
        <v/>
      </c>
      <c r="AH482" s="33"/>
    </row>
    <row r="483" hidden="1" outlineLevel="3">
      <c r="A483" s="16" t="b">
        <v>0</v>
      </c>
      <c r="B483" s="17"/>
      <c r="C483" s="18"/>
      <c r="D483" s="34"/>
      <c r="E483" s="29"/>
      <c r="F483" s="34"/>
      <c r="G483" s="23"/>
      <c r="H483" s="23"/>
      <c r="I483" s="23"/>
      <c r="J483" s="23"/>
      <c r="K483" s="23"/>
      <c r="L483" s="23"/>
      <c r="M483" s="23"/>
      <c r="N483" s="23"/>
      <c r="O483" s="24"/>
      <c r="P483" s="16" t="b">
        <v>0</v>
      </c>
      <c r="Q483" s="24"/>
      <c r="R483" s="26"/>
      <c r="S483" s="26"/>
      <c r="T483" s="35"/>
      <c r="U483" s="24"/>
      <c r="V483" s="38" t="s">
        <v>29</v>
      </c>
      <c r="W483" s="29" t="s">
        <v>22</v>
      </c>
      <c r="X483" s="37" t="s">
        <v>286</v>
      </c>
      <c r="Y483" s="31"/>
      <c r="Z483" s="26" t="str">
        <f t="shared" si="5"/>
        <v/>
      </c>
      <c r="AA483" s="26" t="str">
        <f t="shared" si="6"/>
        <v/>
      </c>
      <c r="AB483" s="32" t="str">
        <f t="shared" si="7"/>
        <v/>
      </c>
      <c r="AC483" s="32" t="str">
        <f t="shared" ref="AC483:AG483" si="487">IF(J483&lt;&gt;"", IF(AND($P483=FALSE, $A483=FALSE), -J483, IF(AND($P483=FALSE, $A483=TRUE), 0, IF($P483=TRUE, (J483 / $R483) * 100 * ($S483 / 100)-J483, ))), )</f>
        <v/>
      </c>
      <c r="AD483" s="32" t="str">
        <f t="shared" si="487"/>
        <v/>
      </c>
      <c r="AE483" s="32" t="str">
        <f t="shared" si="487"/>
        <v/>
      </c>
      <c r="AF483" s="32" t="str">
        <f t="shared" si="487"/>
        <v/>
      </c>
      <c r="AG483" s="32" t="str">
        <f t="shared" si="487"/>
        <v/>
      </c>
      <c r="AH483" s="33"/>
    </row>
    <row r="484" hidden="1" outlineLevel="2" collapsed="1">
      <c r="A484" s="16" t="b">
        <v>0</v>
      </c>
      <c r="B484" s="17"/>
      <c r="C484" s="18"/>
      <c r="D484" s="41">
        <v>45250.0</v>
      </c>
      <c r="E484" s="20" t="s">
        <v>60</v>
      </c>
      <c r="F484" s="21" t="s">
        <v>61</v>
      </c>
      <c r="G484" s="23">
        <v>2.0</v>
      </c>
      <c r="H484" s="23">
        <v>1.0</v>
      </c>
      <c r="I484" s="23">
        <v>1.0</v>
      </c>
      <c r="J484" s="23"/>
      <c r="K484" s="23"/>
      <c r="L484" s="23"/>
      <c r="M484" s="23"/>
      <c r="N484" s="23"/>
      <c r="O484" s="24"/>
      <c r="P484" s="16" t="b">
        <v>0</v>
      </c>
      <c r="Q484" s="24"/>
      <c r="R484" s="26">
        <v>4.0</v>
      </c>
      <c r="S484" s="26">
        <v>11.83</v>
      </c>
      <c r="T484" s="27" t="s">
        <v>199</v>
      </c>
      <c r="U484" s="24"/>
      <c r="V484" s="28"/>
      <c r="W484" s="29"/>
      <c r="X484" s="30"/>
      <c r="Y484" s="31"/>
      <c r="Z484" s="26">
        <f t="shared" si="5"/>
        <v>-2</v>
      </c>
      <c r="AA484" s="26">
        <f t="shared" si="6"/>
        <v>-1</v>
      </c>
      <c r="AB484" s="32">
        <f t="shared" si="7"/>
        <v>-1</v>
      </c>
      <c r="AC484" s="32" t="str">
        <f t="shared" ref="AC484:AG484" si="488">IF(J484&lt;&gt;"", IF(AND($P484=FALSE, $A484=FALSE), -J484, IF(AND($P484=FALSE, $A484=TRUE), 0, IF($P484=TRUE, (J484 / $R484) * 100 * ($S484 / 100)-J484, ))), )</f>
        <v/>
      </c>
      <c r="AD484" s="32" t="str">
        <f t="shared" si="488"/>
        <v/>
      </c>
      <c r="AE484" s="32" t="str">
        <f t="shared" si="488"/>
        <v/>
      </c>
      <c r="AF484" s="32" t="str">
        <f t="shared" si="488"/>
        <v/>
      </c>
      <c r="AG484" s="32" t="str">
        <f t="shared" si="488"/>
        <v/>
      </c>
      <c r="AH484" s="33"/>
    </row>
    <row r="485" hidden="1" outlineLevel="3">
      <c r="A485" s="16" t="b">
        <v>0</v>
      </c>
      <c r="B485" s="17"/>
      <c r="C485" s="18"/>
      <c r="D485" s="34"/>
      <c r="E485" s="29"/>
      <c r="F485" s="34"/>
      <c r="G485" s="23"/>
      <c r="H485" s="23"/>
      <c r="I485" s="23"/>
      <c r="J485" s="23"/>
      <c r="K485" s="23"/>
      <c r="L485" s="23"/>
      <c r="M485" s="23"/>
      <c r="N485" s="23"/>
      <c r="O485" s="24"/>
      <c r="P485" s="16" t="b">
        <v>0</v>
      </c>
      <c r="Q485" s="24"/>
      <c r="R485" s="26"/>
      <c r="S485" s="26"/>
      <c r="T485" s="35"/>
      <c r="U485" s="24"/>
      <c r="V485" s="66" t="s">
        <v>32</v>
      </c>
      <c r="W485" s="29" t="s">
        <v>22</v>
      </c>
      <c r="X485" s="37" t="s">
        <v>421</v>
      </c>
      <c r="Y485" s="31"/>
      <c r="Z485" s="26" t="str">
        <f t="shared" si="5"/>
        <v/>
      </c>
      <c r="AA485" s="26" t="str">
        <f t="shared" si="6"/>
        <v/>
      </c>
      <c r="AB485" s="32" t="str">
        <f t="shared" si="7"/>
        <v/>
      </c>
      <c r="AC485" s="32" t="str">
        <f t="shared" ref="AC485:AG485" si="489">IF(J485&lt;&gt;"", IF(AND($P485=FALSE, $A485=FALSE), -J485, IF(AND($P485=FALSE, $A485=TRUE), 0, IF($P485=TRUE, (J485 / $R485) * 100 * ($S485 / 100)-J485, ))), )</f>
        <v/>
      </c>
      <c r="AD485" s="32" t="str">
        <f t="shared" si="489"/>
        <v/>
      </c>
      <c r="AE485" s="32" t="str">
        <f t="shared" si="489"/>
        <v/>
      </c>
      <c r="AF485" s="32" t="str">
        <f t="shared" si="489"/>
        <v/>
      </c>
      <c r="AG485" s="32" t="str">
        <f t="shared" si="489"/>
        <v/>
      </c>
      <c r="AH485" s="33"/>
    </row>
    <row r="486" hidden="1" outlineLevel="3">
      <c r="A486" s="16" t="b">
        <v>0</v>
      </c>
      <c r="B486" s="17"/>
      <c r="C486" s="18"/>
      <c r="D486" s="34"/>
      <c r="E486" s="29"/>
      <c r="F486" s="34"/>
      <c r="G486" s="23"/>
      <c r="H486" s="23"/>
      <c r="I486" s="23"/>
      <c r="J486" s="23"/>
      <c r="K486" s="23"/>
      <c r="L486" s="23"/>
      <c r="M486" s="23"/>
      <c r="N486" s="23"/>
      <c r="O486" s="24"/>
      <c r="P486" s="16" t="b">
        <v>0</v>
      </c>
      <c r="Q486" s="24"/>
      <c r="R486" s="26"/>
      <c r="S486" s="26"/>
      <c r="T486" s="35"/>
      <c r="U486" s="24"/>
      <c r="V486" s="38" t="s">
        <v>29</v>
      </c>
      <c r="W486" s="29" t="s">
        <v>22</v>
      </c>
      <c r="X486" s="37" t="s">
        <v>422</v>
      </c>
      <c r="Y486" s="31"/>
      <c r="Z486" s="26" t="str">
        <f t="shared" si="5"/>
        <v/>
      </c>
      <c r="AA486" s="26" t="str">
        <f t="shared" si="6"/>
        <v/>
      </c>
      <c r="AB486" s="32" t="str">
        <f t="shared" si="7"/>
        <v/>
      </c>
      <c r="AC486" s="32" t="str">
        <f t="shared" ref="AC486:AG486" si="490">IF(J486&lt;&gt;"", IF(AND($P486=FALSE, $A486=FALSE), -J486, IF(AND($P486=FALSE, $A486=TRUE), 0, IF($P486=TRUE, (J486 / $R486) * 100 * ($S486 / 100)-J486, ))), )</f>
        <v/>
      </c>
      <c r="AD486" s="32" t="str">
        <f t="shared" si="490"/>
        <v/>
      </c>
      <c r="AE486" s="32" t="str">
        <f t="shared" si="490"/>
        <v/>
      </c>
      <c r="AF486" s="32" t="str">
        <f t="shared" si="490"/>
        <v/>
      </c>
      <c r="AG486" s="32" t="str">
        <f t="shared" si="490"/>
        <v/>
      </c>
      <c r="AH486" s="33"/>
    </row>
    <row r="487" hidden="1" outlineLevel="3">
      <c r="A487" s="16" t="b">
        <v>0</v>
      </c>
      <c r="B487" s="17"/>
      <c r="C487" s="18"/>
      <c r="D487" s="34"/>
      <c r="E487" s="29"/>
      <c r="F487" s="34"/>
      <c r="G487" s="23"/>
      <c r="H487" s="23"/>
      <c r="I487" s="23"/>
      <c r="J487" s="23"/>
      <c r="K487" s="23"/>
      <c r="L487" s="23"/>
      <c r="M487" s="23"/>
      <c r="N487" s="23"/>
      <c r="O487" s="24"/>
      <c r="P487" s="16" t="b">
        <v>0</v>
      </c>
      <c r="Q487" s="24"/>
      <c r="R487" s="26"/>
      <c r="S487" s="26"/>
      <c r="T487" s="35"/>
      <c r="U487" s="24"/>
      <c r="V487" s="38" t="s">
        <v>29</v>
      </c>
      <c r="W487" s="29" t="s">
        <v>22</v>
      </c>
      <c r="X487" s="37" t="s">
        <v>423</v>
      </c>
      <c r="Y487" s="31"/>
      <c r="Z487" s="26" t="str">
        <f t="shared" si="5"/>
        <v/>
      </c>
      <c r="AA487" s="26" t="str">
        <f t="shared" si="6"/>
        <v/>
      </c>
      <c r="AB487" s="32" t="str">
        <f t="shared" si="7"/>
        <v/>
      </c>
      <c r="AC487" s="32" t="str">
        <f t="shared" ref="AC487:AG487" si="491">IF(J487&lt;&gt;"", IF(AND($P487=FALSE, $A487=FALSE), -J487, IF(AND($P487=FALSE, $A487=TRUE), 0, IF($P487=TRUE, (J487 / $R487) * 100 * ($S487 / 100)-J487, ))), )</f>
        <v/>
      </c>
      <c r="AD487" s="32" t="str">
        <f t="shared" si="491"/>
        <v/>
      </c>
      <c r="AE487" s="32" t="str">
        <f t="shared" si="491"/>
        <v/>
      </c>
      <c r="AF487" s="32" t="str">
        <f t="shared" si="491"/>
        <v/>
      </c>
      <c r="AG487" s="32" t="str">
        <f t="shared" si="491"/>
        <v/>
      </c>
      <c r="AH487" s="33"/>
    </row>
    <row r="488" hidden="1" outlineLevel="3">
      <c r="A488" s="16" t="b">
        <v>0</v>
      </c>
      <c r="B488" s="17"/>
      <c r="C488" s="18"/>
      <c r="D488" s="34"/>
      <c r="E488" s="29"/>
      <c r="F488" s="34"/>
      <c r="G488" s="23"/>
      <c r="H488" s="23"/>
      <c r="I488" s="23"/>
      <c r="J488" s="23"/>
      <c r="K488" s="23"/>
      <c r="L488" s="23"/>
      <c r="M488" s="23"/>
      <c r="N488" s="23"/>
      <c r="O488" s="24"/>
      <c r="P488" s="16" t="b">
        <v>0</v>
      </c>
      <c r="Q488" s="24"/>
      <c r="R488" s="26"/>
      <c r="S488" s="26"/>
      <c r="T488" s="35"/>
      <c r="U488" s="24"/>
      <c r="V488" s="38" t="s">
        <v>29</v>
      </c>
      <c r="W488" s="29" t="s">
        <v>22</v>
      </c>
      <c r="X488" s="37" t="s">
        <v>233</v>
      </c>
      <c r="Y488" s="31"/>
      <c r="Z488" s="26" t="str">
        <f t="shared" si="5"/>
        <v/>
      </c>
      <c r="AA488" s="26" t="str">
        <f t="shared" si="6"/>
        <v/>
      </c>
      <c r="AB488" s="32" t="str">
        <f t="shared" si="7"/>
        <v/>
      </c>
      <c r="AC488" s="32" t="str">
        <f t="shared" ref="AC488:AG488" si="492">IF(J488&lt;&gt;"", IF(AND($P488=FALSE, $A488=FALSE), -J488, IF(AND($P488=FALSE, $A488=TRUE), 0, IF($P488=TRUE, (J488 / $R488) * 100 * ($S488 / 100)-J488, ))), )</f>
        <v/>
      </c>
      <c r="AD488" s="32" t="str">
        <f t="shared" si="492"/>
        <v/>
      </c>
      <c r="AE488" s="32" t="str">
        <f t="shared" si="492"/>
        <v/>
      </c>
      <c r="AF488" s="32" t="str">
        <f t="shared" si="492"/>
        <v/>
      </c>
      <c r="AG488" s="32" t="str">
        <f t="shared" si="492"/>
        <v/>
      </c>
      <c r="AH488" s="33"/>
    </row>
    <row r="489" hidden="1" outlineLevel="2" collapsed="1">
      <c r="A489" s="16" t="b">
        <v>0</v>
      </c>
      <c r="B489" s="17"/>
      <c r="C489" s="18"/>
      <c r="D489" s="41">
        <v>45250.0</v>
      </c>
      <c r="E489" s="20" t="s">
        <v>60</v>
      </c>
      <c r="F489" s="21" t="s">
        <v>61</v>
      </c>
      <c r="G489" s="23">
        <v>2.0</v>
      </c>
      <c r="H489" s="23">
        <v>1.0</v>
      </c>
      <c r="I489" s="23">
        <v>1.0</v>
      </c>
      <c r="J489" s="23"/>
      <c r="K489" s="23"/>
      <c r="L489" s="23"/>
      <c r="M489" s="23"/>
      <c r="N489" s="23"/>
      <c r="O489" s="24"/>
      <c r="P489" s="16" t="b">
        <v>1</v>
      </c>
      <c r="Q489" s="24"/>
      <c r="R489" s="26">
        <v>4.0</v>
      </c>
      <c r="S489" s="26">
        <v>20.45</v>
      </c>
      <c r="T489" s="27" t="s">
        <v>424</v>
      </c>
      <c r="U489" s="24"/>
      <c r="V489" s="28"/>
      <c r="W489" s="29"/>
      <c r="X489" s="30"/>
      <c r="Y489" s="31"/>
      <c r="Z489" s="26">
        <f t="shared" si="5"/>
        <v>8.225</v>
      </c>
      <c r="AA489" s="26">
        <f t="shared" si="6"/>
        <v>4.1125</v>
      </c>
      <c r="AB489" s="32">
        <f t="shared" si="7"/>
        <v>4.1125</v>
      </c>
      <c r="AC489" s="32" t="str">
        <f t="shared" ref="AC489:AG489" si="493">IF(J489&lt;&gt;"", IF(AND($P489=FALSE, $A489=FALSE), -J489, IF(AND($P489=FALSE, $A489=TRUE), 0, IF($P489=TRUE, (J489 / $R489) * 100 * ($S489 / 100)-J489, ))), )</f>
        <v/>
      </c>
      <c r="AD489" s="32" t="str">
        <f t="shared" si="493"/>
        <v/>
      </c>
      <c r="AE489" s="32" t="str">
        <f t="shared" si="493"/>
        <v/>
      </c>
      <c r="AF489" s="32" t="str">
        <f t="shared" si="493"/>
        <v/>
      </c>
      <c r="AG489" s="32" t="str">
        <f t="shared" si="493"/>
        <v/>
      </c>
      <c r="AH489" s="33"/>
    </row>
    <row r="490" hidden="1" outlineLevel="3">
      <c r="A490" s="16" t="b">
        <v>0</v>
      </c>
      <c r="B490" s="17"/>
      <c r="C490" s="18"/>
      <c r="D490" s="34"/>
      <c r="E490" s="29"/>
      <c r="F490" s="34"/>
      <c r="G490" s="23"/>
      <c r="H490" s="23"/>
      <c r="I490" s="23"/>
      <c r="J490" s="23"/>
      <c r="K490" s="23"/>
      <c r="L490" s="23"/>
      <c r="M490" s="23"/>
      <c r="N490" s="23"/>
      <c r="O490" s="24"/>
      <c r="P490" s="16" t="b">
        <v>0</v>
      </c>
      <c r="Q490" s="24"/>
      <c r="R490" s="26"/>
      <c r="S490" s="26"/>
      <c r="T490" s="35"/>
      <c r="U490" s="24"/>
      <c r="V490" s="28" t="s">
        <v>29</v>
      </c>
      <c r="W490" s="29" t="s">
        <v>22</v>
      </c>
      <c r="X490" s="37" t="s">
        <v>425</v>
      </c>
      <c r="Y490" s="31"/>
      <c r="Z490" s="26" t="str">
        <f t="shared" si="5"/>
        <v/>
      </c>
      <c r="AA490" s="26" t="str">
        <f t="shared" si="6"/>
        <v/>
      </c>
      <c r="AB490" s="32" t="str">
        <f t="shared" si="7"/>
        <v/>
      </c>
      <c r="AC490" s="32" t="str">
        <f t="shared" ref="AC490:AG490" si="494">IF(J490&lt;&gt;"", IF(AND($P490=FALSE, $A490=FALSE), -J490, IF(AND($P490=FALSE, $A490=TRUE), 0, IF($P490=TRUE, (J490 / $R490) * 100 * ($S490 / 100)-J490, ))), )</f>
        <v/>
      </c>
      <c r="AD490" s="32" t="str">
        <f t="shared" si="494"/>
        <v/>
      </c>
      <c r="AE490" s="32" t="str">
        <f t="shared" si="494"/>
        <v/>
      </c>
      <c r="AF490" s="32" t="str">
        <f t="shared" si="494"/>
        <v/>
      </c>
      <c r="AG490" s="32" t="str">
        <f t="shared" si="494"/>
        <v/>
      </c>
      <c r="AH490" s="33"/>
    </row>
    <row r="491" hidden="1" outlineLevel="3">
      <c r="A491" s="16" t="b">
        <v>0</v>
      </c>
      <c r="B491" s="17"/>
      <c r="C491" s="18"/>
      <c r="D491" s="34"/>
      <c r="E491" s="29"/>
      <c r="F491" s="34"/>
      <c r="G491" s="23"/>
      <c r="H491" s="23"/>
      <c r="I491" s="23"/>
      <c r="J491" s="23"/>
      <c r="K491" s="23"/>
      <c r="L491" s="23"/>
      <c r="M491" s="23"/>
      <c r="N491" s="23"/>
      <c r="O491" s="24"/>
      <c r="P491" s="16" t="b">
        <v>0</v>
      </c>
      <c r="Q491" s="24"/>
      <c r="R491" s="26"/>
      <c r="S491" s="26"/>
      <c r="T491" s="35"/>
      <c r="U491" s="24"/>
      <c r="V491" s="28" t="s">
        <v>29</v>
      </c>
      <c r="W491" s="29" t="s">
        <v>22</v>
      </c>
      <c r="X491" s="37" t="s">
        <v>426</v>
      </c>
      <c r="Y491" s="31"/>
      <c r="Z491" s="26" t="str">
        <f t="shared" si="5"/>
        <v/>
      </c>
      <c r="AA491" s="26" t="str">
        <f t="shared" si="6"/>
        <v/>
      </c>
      <c r="AB491" s="32" t="str">
        <f t="shared" si="7"/>
        <v/>
      </c>
      <c r="AC491" s="32" t="str">
        <f t="shared" ref="AC491:AG491" si="495">IF(J491&lt;&gt;"", IF(AND($P491=FALSE, $A491=FALSE), -J491, IF(AND($P491=FALSE, $A491=TRUE), 0, IF($P491=TRUE, (J491 / $R491) * 100 * ($S491 / 100)-J491, ))), )</f>
        <v/>
      </c>
      <c r="AD491" s="32" t="str">
        <f t="shared" si="495"/>
        <v/>
      </c>
      <c r="AE491" s="32" t="str">
        <f t="shared" si="495"/>
        <v/>
      </c>
      <c r="AF491" s="32" t="str">
        <f t="shared" si="495"/>
        <v/>
      </c>
      <c r="AG491" s="32" t="str">
        <f t="shared" si="495"/>
        <v/>
      </c>
      <c r="AH491" s="33"/>
    </row>
    <row r="492" hidden="1" outlineLevel="3">
      <c r="A492" s="16" t="b">
        <v>0</v>
      </c>
      <c r="B492" s="17"/>
      <c r="C492" s="18"/>
      <c r="D492" s="34"/>
      <c r="E492" s="29"/>
      <c r="F492" s="34"/>
      <c r="G492" s="23"/>
      <c r="H492" s="23"/>
      <c r="I492" s="23"/>
      <c r="J492" s="23"/>
      <c r="K492" s="23"/>
      <c r="L492" s="23"/>
      <c r="M492" s="23"/>
      <c r="N492" s="23"/>
      <c r="O492" s="24"/>
      <c r="P492" s="16" t="b">
        <v>0</v>
      </c>
      <c r="Q492" s="24"/>
      <c r="R492" s="26"/>
      <c r="S492" s="26"/>
      <c r="T492" s="35"/>
      <c r="U492" s="24"/>
      <c r="V492" s="28" t="s">
        <v>29</v>
      </c>
      <c r="W492" s="29" t="s">
        <v>22</v>
      </c>
      <c r="X492" s="37" t="s">
        <v>427</v>
      </c>
      <c r="Y492" s="31"/>
      <c r="Z492" s="26" t="str">
        <f t="shared" si="5"/>
        <v/>
      </c>
      <c r="AA492" s="26" t="str">
        <f t="shared" si="6"/>
        <v/>
      </c>
      <c r="AB492" s="32" t="str">
        <f t="shared" si="7"/>
        <v/>
      </c>
      <c r="AC492" s="32" t="str">
        <f t="shared" ref="AC492:AG492" si="496">IF(J492&lt;&gt;"", IF(AND($P492=FALSE, $A492=FALSE), -J492, IF(AND($P492=FALSE, $A492=TRUE), 0, IF($P492=TRUE, (J492 / $R492) * 100 * ($S492 / 100)-J492, ))), )</f>
        <v/>
      </c>
      <c r="AD492" s="32" t="str">
        <f t="shared" si="496"/>
        <v/>
      </c>
      <c r="AE492" s="32" t="str">
        <f t="shared" si="496"/>
        <v/>
      </c>
      <c r="AF492" s="32" t="str">
        <f t="shared" si="496"/>
        <v/>
      </c>
      <c r="AG492" s="32" t="str">
        <f t="shared" si="496"/>
        <v/>
      </c>
      <c r="AH492" s="33"/>
    </row>
    <row r="493" hidden="1" outlineLevel="3">
      <c r="A493" s="16" t="b">
        <v>0</v>
      </c>
      <c r="B493" s="17"/>
      <c r="C493" s="18"/>
      <c r="D493" s="34"/>
      <c r="E493" s="29"/>
      <c r="F493" s="34"/>
      <c r="G493" s="23"/>
      <c r="H493" s="23"/>
      <c r="I493" s="23"/>
      <c r="J493" s="23"/>
      <c r="K493" s="23"/>
      <c r="L493" s="23"/>
      <c r="M493" s="23"/>
      <c r="N493" s="23"/>
      <c r="O493" s="24"/>
      <c r="P493" s="16" t="b">
        <v>0</v>
      </c>
      <c r="Q493" s="24"/>
      <c r="R493" s="26"/>
      <c r="S493" s="26"/>
      <c r="T493" s="35"/>
      <c r="U493" s="24"/>
      <c r="V493" s="28" t="s">
        <v>29</v>
      </c>
      <c r="W493" s="29" t="s">
        <v>22</v>
      </c>
      <c r="X493" s="37" t="s">
        <v>428</v>
      </c>
      <c r="Y493" s="31"/>
      <c r="Z493" s="26" t="str">
        <f t="shared" si="5"/>
        <v/>
      </c>
      <c r="AA493" s="26" t="str">
        <f t="shared" si="6"/>
        <v/>
      </c>
      <c r="AB493" s="32" t="str">
        <f t="shared" si="7"/>
        <v/>
      </c>
      <c r="AC493" s="32" t="str">
        <f t="shared" ref="AC493:AG493" si="497">IF(J493&lt;&gt;"", IF(AND($P493=FALSE, $A493=FALSE), -J493, IF(AND($P493=FALSE, $A493=TRUE), 0, IF($P493=TRUE, (J493 / $R493) * 100 * ($S493 / 100)-J493, ))), )</f>
        <v/>
      </c>
      <c r="AD493" s="32" t="str">
        <f t="shared" si="497"/>
        <v/>
      </c>
      <c r="AE493" s="32" t="str">
        <f t="shared" si="497"/>
        <v/>
      </c>
      <c r="AF493" s="32" t="str">
        <f t="shared" si="497"/>
        <v/>
      </c>
      <c r="AG493" s="32" t="str">
        <f t="shared" si="497"/>
        <v/>
      </c>
      <c r="AH493" s="33"/>
    </row>
    <row r="494" hidden="1" outlineLevel="2" collapsed="1">
      <c r="A494" s="16" t="b">
        <v>0</v>
      </c>
      <c r="B494" s="17"/>
      <c r="C494" s="18"/>
      <c r="D494" s="41">
        <v>45250.0</v>
      </c>
      <c r="E494" s="20" t="s">
        <v>60</v>
      </c>
      <c r="F494" s="21" t="s">
        <v>61</v>
      </c>
      <c r="G494" s="23">
        <v>2.0</v>
      </c>
      <c r="H494" s="23">
        <v>1.0</v>
      </c>
      <c r="I494" s="23">
        <v>2.0</v>
      </c>
      <c r="J494" s="23"/>
      <c r="K494" s="23"/>
      <c r="L494" s="23"/>
      <c r="M494" s="23"/>
      <c r="N494" s="23"/>
      <c r="O494" s="24"/>
      <c r="P494" s="16" t="b">
        <v>0</v>
      </c>
      <c r="Q494" s="24"/>
      <c r="R494" s="26">
        <v>5.0</v>
      </c>
      <c r="S494" s="26">
        <v>13.23</v>
      </c>
      <c r="T494" s="27" t="s">
        <v>133</v>
      </c>
      <c r="U494" s="24"/>
      <c r="V494" s="28"/>
      <c r="W494" s="29"/>
      <c r="X494" s="30"/>
      <c r="Y494" s="31"/>
      <c r="Z494" s="26">
        <f t="shared" si="5"/>
        <v>-2</v>
      </c>
      <c r="AA494" s="26">
        <f t="shared" si="6"/>
        <v>-2</v>
      </c>
      <c r="AB494" s="32">
        <f t="shared" si="7"/>
        <v>-1</v>
      </c>
      <c r="AC494" s="32" t="str">
        <f t="shared" ref="AC494:AG494" si="498">IF(J494&lt;&gt;"", IF(AND($P494=FALSE, $A494=FALSE), -J494, IF(AND($P494=FALSE, $A494=TRUE), 0, IF($P494=TRUE, (J494 / $R494) * 100 * ($S494 / 100)-J494, ))), )</f>
        <v/>
      </c>
      <c r="AD494" s="32" t="str">
        <f t="shared" si="498"/>
        <v/>
      </c>
      <c r="AE494" s="32" t="str">
        <f t="shared" si="498"/>
        <v/>
      </c>
      <c r="AF494" s="32" t="str">
        <f t="shared" si="498"/>
        <v/>
      </c>
      <c r="AG494" s="32" t="str">
        <f t="shared" si="498"/>
        <v/>
      </c>
      <c r="AH494" s="33"/>
    </row>
    <row r="495" hidden="1" outlineLevel="3">
      <c r="A495" s="16" t="b">
        <v>0</v>
      </c>
      <c r="B495" s="17"/>
      <c r="C495" s="18"/>
      <c r="D495" s="34"/>
      <c r="E495" s="29"/>
      <c r="F495" s="34"/>
      <c r="G495" s="23"/>
      <c r="H495" s="23"/>
      <c r="I495" s="23"/>
      <c r="J495" s="23"/>
      <c r="K495" s="23"/>
      <c r="L495" s="23"/>
      <c r="M495" s="23"/>
      <c r="N495" s="23"/>
      <c r="O495" s="24"/>
      <c r="P495" s="16" t="b">
        <v>0</v>
      </c>
      <c r="Q495" s="24"/>
      <c r="R495" s="26"/>
      <c r="S495" s="26"/>
      <c r="T495" s="35"/>
      <c r="U495" s="24"/>
      <c r="V495" s="38" t="s">
        <v>29</v>
      </c>
      <c r="W495" s="29" t="s">
        <v>22</v>
      </c>
      <c r="X495" s="37" t="s">
        <v>429</v>
      </c>
      <c r="Y495" s="31"/>
      <c r="Z495" s="26" t="str">
        <f t="shared" si="5"/>
        <v/>
      </c>
      <c r="AA495" s="26" t="str">
        <f t="shared" si="6"/>
        <v/>
      </c>
      <c r="AB495" s="32" t="str">
        <f t="shared" si="7"/>
        <v/>
      </c>
      <c r="AC495" s="32" t="str">
        <f t="shared" ref="AC495:AG495" si="499">IF(J495&lt;&gt;"", IF(AND($P495=FALSE, $A495=FALSE), -J495, IF(AND($P495=FALSE, $A495=TRUE), 0, IF($P495=TRUE, (J495 / $R495) * 100 * ($S495 / 100)-J495, ))), )</f>
        <v/>
      </c>
      <c r="AD495" s="32" t="str">
        <f t="shared" si="499"/>
        <v/>
      </c>
      <c r="AE495" s="32" t="str">
        <f t="shared" si="499"/>
        <v/>
      </c>
      <c r="AF495" s="32" t="str">
        <f t="shared" si="499"/>
        <v/>
      </c>
      <c r="AG495" s="32" t="str">
        <f t="shared" si="499"/>
        <v/>
      </c>
      <c r="AH495" s="33"/>
    </row>
    <row r="496" hidden="1" outlineLevel="3">
      <c r="A496" s="16" t="b">
        <v>0</v>
      </c>
      <c r="B496" s="17"/>
      <c r="C496" s="18"/>
      <c r="D496" s="34"/>
      <c r="E496" s="29"/>
      <c r="F496" s="34"/>
      <c r="G496" s="23"/>
      <c r="H496" s="23"/>
      <c r="I496" s="23"/>
      <c r="J496" s="23"/>
      <c r="K496" s="23"/>
      <c r="L496" s="23"/>
      <c r="M496" s="23"/>
      <c r="N496" s="23"/>
      <c r="O496" s="24"/>
      <c r="P496" s="16" t="b">
        <v>0</v>
      </c>
      <c r="Q496" s="24"/>
      <c r="R496" s="26"/>
      <c r="S496" s="26"/>
      <c r="T496" s="35"/>
      <c r="U496" s="24"/>
      <c r="V496" s="66" t="s">
        <v>32</v>
      </c>
      <c r="W496" s="29" t="s">
        <v>22</v>
      </c>
      <c r="X496" s="37" t="s">
        <v>430</v>
      </c>
      <c r="Y496" s="31"/>
      <c r="Z496" s="26" t="str">
        <f t="shared" si="5"/>
        <v/>
      </c>
      <c r="AA496" s="26" t="str">
        <f t="shared" si="6"/>
        <v/>
      </c>
      <c r="AB496" s="32" t="str">
        <f t="shared" si="7"/>
        <v/>
      </c>
      <c r="AC496" s="32" t="str">
        <f t="shared" ref="AC496:AG496" si="500">IF(J496&lt;&gt;"", IF(AND($P496=FALSE, $A496=FALSE), -J496, IF(AND($P496=FALSE, $A496=TRUE), 0, IF($P496=TRUE, (J496 / $R496) * 100 * ($S496 / 100)-J496, ))), )</f>
        <v/>
      </c>
      <c r="AD496" s="32" t="str">
        <f t="shared" si="500"/>
        <v/>
      </c>
      <c r="AE496" s="32" t="str">
        <f t="shared" si="500"/>
        <v/>
      </c>
      <c r="AF496" s="32" t="str">
        <f t="shared" si="500"/>
        <v/>
      </c>
      <c r="AG496" s="32" t="str">
        <f t="shared" si="500"/>
        <v/>
      </c>
      <c r="AH496" s="33"/>
    </row>
    <row r="497" hidden="1" outlineLevel="3">
      <c r="A497" s="16" t="b">
        <v>0</v>
      </c>
      <c r="B497" s="17"/>
      <c r="C497" s="18"/>
      <c r="D497" s="34"/>
      <c r="E497" s="29"/>
      <c r="F497" s="34"/>
      <c r="G497" s="23"/>
      <c r="H497" s="23"/>
      <c r="I497" s="23"/>
      <c r="J497" s="23"/>
      <c r="K497" s="23"/>
      <c r="L497" s="23"/>
      <c r="M497" s="23"/>
      <c r="N497" s="23"/>
      <c r="O497" s="24"/>
      <c r="P497" s="16" t="b">
        <v>0</v>
      </c>
      <c r="Q497" s="24"/>
      <c r="R497" s="26"/>
      <c r="S497" s="26"/>
      <c r="T497" s="35"/>
      <c r="U497" s="24"/>
      <c r="V497" s="38" t="s">
        <v>29</v>
      </c>
      <c r="W497" s="29" t="s">
        <v>22</v>
      </c>
      <c r="X497" s="37" t="s">
        <v>431</v>
      </c>
      <c r="Y497" s="31"/>
      <c r="Z497" s="26" t="str">
        <f t="shared" si="5"/>
        <v/>
      </c>
      <c r="AA497" s="26" t="str">
        <f t="shared" si="6"/>
        <v/>
      </c>
      <c r="AB497" s="32" t="str">
        <f t="shared" si="7"/>
        <v/>
      </c>
      <c r="AC497" s="32" t="str">
        <f t="shared" ref="AC497:AG497" si="501">IF(J497&lt;&gt;"", IF(AND($P497=FALSE, $A497=FALSE), -J497, IF(AND($P497=FALSE, $A497=TRUE), 0, IF($P497=TRUE, (J497 / $R497) * 100 * ($S497 / 100)-J497, ))), )</f>
        <v/>
      </c>
      <c r="AD497" s="32" t="str">
        <f t="shared" si="501"/>
        <v/>
      </c>
      <c r="AE497" s="32" t="str">
        <f t="shared" si="501"/>
        <v/>
      </c>
      <c r="AF497" s="32" t="str">
        <f t="shared" si="501"/>
        <v/>
      </c>
      <c r="AG497" s="32" t="str">
        <f t="shared" si="501"/>
        <v/>
      </c>
      <c r="AH497" s="33"/>
    </row>
    <row r="498" hidden="1" outlineLevel="3">
      <c r="A498" s="16" t="b">
        <v>0</v>
      </c>
      <c r="B498" s="17"/>
      <c r="C498" s="18"/>
      <c r="D498" s="34"/>
      <c r="E498" s="29"/>
      <c r="F498" s="34"/>
      <c r="G498" s="23"/>
      <c r="H498" s="23"/>
      <c r="I498" s="23"/>
      <c r="J498" s="23"/>
      <c r="K498" s="23"/>
      <c r="L498" s="23"/>
      <c r="M498" s="23"/>
      <c r="N498" s="23"/>
      <c r="O498" s="24"/>
      <c r="P498" s="16" t="b">
        <v>0</v>
      </c>
      <c r="Q498" s="24"/>
      <c r="R498" s="26"/>
      <c r="S498" s="26"/>
      <c r="T498" s="35"/>
      <c r="U498" s="24"/>
      <c r="V498" s="28" t="s">
        <v>29</v>
      </c>
      <c r="W498" s="29" t="s">
        <v>22</v>
      </c>
      <c r="X498" s="37" t="s">
        <v>366</v>
      </c>
      <c r="Y498" s="31"/>
      <c r="Z498" s="26" t="str">
        <f t="shared" si="5"/>
        <v/>
      </c>
      <c r="AA498" s="26" t="str">
        <f t="shared" si="6"/>
        <v/>
      </c>
      <c r="AB498" s="32" t="str">
        <f t="shared" si="7"/>
        <v/>
      </c>
      <c r="AC498" s="32" t="str">
        <f t="shared" ref="AC498:AG498" si="502">IF(J498&lt;&gt;"", IF(AND($P498=FALSE, $A498=FALSE), -J498, IF(AND($P498=FALSE, $A498=TRUE), 0, IF($P498=TRUE, (J498 / $R498) * 100 * ($S498 / 100)-J498, ))), )</f>
        <v/>
      </c>
      <c r="AD498" s="32" t="str">
        <f t="shared" si="502"/>
        <v/>
      </c>
      <c r="AE498" s="32" t="str">
        <f t="shared" si="502"/>
        <v/>
      </c>
      <c r="AF498" s="32" t="str">
        <f t="shared" si="502"/>
        <v/>
      </c>
      <c r="AG498" s="32" t="str">
        <f t="shared" si="502"/>
        <v/>
      </c>
      <c r="AH498" s="33"/>
    </row>
    <row r="499" hidden="1" outlineLevel="2" collapsed="1">
      <c r="A499" s="16" t="b">
        <v>0</v>
      </c>
      <c r="B499" s="17"/>
      <c r="C499" s="18"/>
      <c r="D499" s="41">
        <v>45250.0</v>
      </c>
      <c r="E499" s="20" t="s">
        <v>60</v>
      </c>
      <c r="F499" s="21" t="s">
        <v>61</v>
      </c>
      <c r="G499" s="23">
        <v>2.0</v>
      </c>
      <c r="H499" s="23">
        <v>1.0</v>
      </c>
      <c r="I499" s="23">
        <v>3.0</v>
      </c>
      <c r="J499" s="23"/>
      <c r="K499" s="23"/>
      <c r="L499" s="23"/>
      <c r="M499" s="23"/>
      <c r="N499" s="23"/>
      <c r="O499" s="24"/>
      <c r="P499" s="16" t="b">
        <v>0</v>
      </c>
      <c r="Q499" s="24"/>
      <c r="R499" s="26">
        <v>6.0</v>
      </c>
      <c r="S499" s="26">
        <v>13.09</v>
      </c>
      <c r="T499" s="27" t="s">
        <v>210</v>
      </c>
      <c r="U499" s="24"/>
      <c r="V499" s="28"/>
      <c r="W499" s="29"/>
      <c r="X499" s="30"/>
      <c r="Y499" s="31"/>
      <c r="Z499" s="26">
        <f t="shared" si="5"/>
        <v>-2</v>
      </c>
      <c r="AA499" s="26">
        <f t="shared" si="6"/>
        <v>-3</v>
      </c>
      <c r="AB499" s="32">
        <f t="shared" si="7"/>
        <v>-1</v>
      </c>
      <c r="AC499" s="32" t="str">
        <f t="shared" ref="AC499:AG499" si="503">IF(J499&lt;&gt;"", IF(AND($P499=FALSE, $A499=FALSE), -J499, IF(AND($P499=FALSE, $A499=TRUE), 0, IF($P499=TRUE, (J499 / $R499) * 100 * ($S499 / 100)-J499, ))), )</f>
        <v/>
      </c>
      <c r="AD499" s="32" t="str">
        <f t="shared" si="503"/>
        <v/>
      </c>
      <c r="AE499" s="32" t="str">
        <f t="shared" si="503"/>
        <v/>
      </c>
      <c r="AF499" s="32" t="str">
        <f t="shared" si="503"/>
        <v/>
      </c>
      <c r="AG499" s="32" t="str">
        <f t="shared" si="503"/>
        <v/>
      </c>
      <c r="AH499" s="33"/>
    </row>
    <row r="500" hidden="1" outlineLevel="3">
      <c r="A500" s="16" t="b">
        <v>0</v>
      </c>
      <c r="B500" s="17"/>
      <c r="C500" s="18"/>
      <c r="D500" s="34"/>
      <c r="E500" s="29"/>
      <c r="F500" s="34"/>
      <c r="G500" s="23"/>
      <c r="H500" s="23"/>
      <c r="I500" s="23"/>
      <c r="J500" s="23"/>
      <c r="K500" s="23"/>
      <c r="L500" s="23"/>
      <c r="M500" s="23"/>
      <c r="N500" s="23"/>
      <c r="O500" s="24"/>
      <c r="P500" s="16" t="b">
        <v>0</v>
      </c>
      <c r="Q500" s="24"/>
      <c r="R500" s="26"/>
      <c r="S500" s="26"/>
      <c r="T500" s="35"/>
      <c r="U500" s="24"/>
      <c r="V500" s="28" t="s">
        <v>29</v>
      </c>
      <c r="W500" s="29" t="s">
        <v>22</v>
      </c>
      <c r="X500" s="37" t="s">
        <v>283</v>
      </c>
      <c r="Y500" s="31"/>
      <c r="Z500" s="26" t="str">
        <f t="shared" si="5"/>
        <v/>
      </c>
      <c r="AA500" s="26" t="str">
        <f t="shared" si="6"/>
        <v/>
      </c>
      <c r="AB500" s="32" t="str">
        <f t="shared" si="7"/>
        <v/>
      </c>
      <c r="AC500" s="32" t="str">
        <f t="shared" ref="AC500:AG500" si="504">IF(J500&lt;&gt;"", IF(AND($P500=FALSE, $A500=FALSE), -J500, IF(AND($P500=FALSE, $A500=TRUE), 0, IF($P500=TRUE, (J500 / $R500) * 100 * ($S500 / 100)-J500, ))), )</f>
        <v/>
      </c>
      <c r="AD500" s="32" t="str">
        <f t="shared" si="504"/>
        <v/>
      </c>
      <c r="AE500" s="32" t="str">
        <f t="shared" si="504"/>
        <v/>
      </c>
      <c r="AF500" s="32" t="str">
        <f t="shared" si="504"/>
        <v/>
      </c>
      <c r="AG500" s="32" t="str">
        <f t="shared" si="504"/>
        <v/>
      </c>
      <c r="AH500" s="33"/>
    </row>
    <row r="501" hidden="1" outlineLevel="3">
      <c r="A501" s="16" t="b">
        <v>0</v>
      </c>
      <c r="B501" s="17"/>
      <c r="C501" s="18"/>
      <c r="D501" s="34"/>
      <c r="E501" s="29"/>
      <c r="F501" s="34"/>
      <c r="G501" s="23"/>
      <c r="H501" s="23"/>
      <c r="I501" s="23"/>
      <c r="J501" s="23"/>
      <c r="K501" s="23"/>
      <c r="L501" s="23"/>
      <c r="M501" s="23"/>
      <c r="N501" s="23"/>
      <c r="O501" s="24"/>
      <c r="P501" s="16" t="b">
        <v>0</v>
      </c>
      <c r="Q501" s="24"/>
      <c r="R501" s="26"/>
      <c r="S501" s="26"/>
      <c r="T501" s="35"/>
      <c r="U501" s="24"/>
      <c r="V501" s="66" t="s">
        <v>32</v>
      </c>
      <c r="W501" s="29" t="s">
        <v>22</v>
      </c>
      <c r="X501" s="37" t="s">
        <v>432</v>
      </c>
      <c r="Y501" s="31"/>
      <c r="Z501" s="26" t="str">
        <f t="shared" si="5"/>
        <v/>
      </c>
      <c r="AA501" s="26" t="str">
        <f t="shared" si="6"/>
        <v/>
      </c>
      <c r="AB501" s="32" t="str">
        <f t="shared" si="7"/>
        <v/>
      </c>
      <c r="AC501" s="32" t="str">
        <f t="shared" ref="AC501:AG501" si="505">IF(J501&lt;&gt;"", IF(AND($P501=FALSE, $A501=FALSE), -J501, IF(AND($P501=FALSE, $A501=TRUE), 0, IF($P501=TRUE, (J501 / $R501) * 100 * ($S501 / 100)-J501, ))), )</f>
        <v/>
      </c>
      <c r="AD501" s="32" t="str">
        <f t="shared" si="505"/>
        <v/>
      </c>
      <c r="AE501" s="32" t="str">
        <f t="shared" si="505"/>
        <v/>
      </c>
      <c r="AF501" s="32" t="str">
        <f t="shared" si="505"/>
        <v/>
      </c>
      <c r="AG501" s="32" t="str">
        <f t="shared" si="505"/>
        <v/>
      </c>
      <c r="AH501" s="33"/>
    </row>
    <row r="502" hidden="1" outlineLevel="3">
      <c r="A502" s="16" t="b">
        <v>0</v>
      </c>
      <c r="B502" s="17"/>
      <c r="C502" s="18"/>
      <c r="D502" s="34"/>
      <c r="E502" s="29"/>
      <c r="F502" s="34"/>
      <c r="G502" s="23"/>
      <c r="H502" s="23"/>
      <c r="I502" s="23"/>
      <c r="J502" s="23"/>
      <c r="K502" s="23"/>
      <c r="L502" s="23"/>
      <c r="M502" s="23"/>
      <c r="N502" s="23"/>
      <c r="O502" s="24"/>
      <c r="P502" s="16" t="b">
        <v>0</v>
      </c>
      <c r="Q502" s="24"/>
      <c r="R502" s="26"/>
      <c r="S502" s="26"/>
      <c r="T502" s="35"/>
      <c r="U502" s="24"/>
      <c r="V502" s="66" t="s">
        <v>32</v>
      </c>
      <c r="W502" s="29" t="s">
        <v>22</v>
      </c>
      <c r="X502" s="37" t="s">
        <v>433</v>
      </c>
      <c r="Y502" s="31"/>
      <c r="Z502" s="26" t="str">
        <f t="shared" si="5"/>
        <v/>
      </c>
      <c r="AA502" s="26" t="str">
        <f t="shared" si="6"/>
        <v/>
      </c>
      <c r="AB502" s="32" t="str">
        <f t="shared" si="7"/>
        <v/>
      </c>
      <c r="AC502" s="32" t="str">
        <f t="shared" ref="AC502:AG502" si="506">IF(J502&lt;&gt;"", IF(AND($P502=FALSE, $A502=FALSE), -J502, IF(AND($P502=FALSE, $A502=TRUE), 0, IF($P502=TRUE, (J502 / $R502) * 100 * ($S502 / 100)-J502, ))), )</f>
        <v/>
      </c>
      <c r="AD502" s="32" t="str">
        <f t="shared" si="506"/>
        <v/>
      </c>
      <c r="AE502" s="32" t="str">
        <f t="shared" si="506"/>
        <v/>
      </c>
      <c r="AF502" s="32" t="str">
        <f t="shared" si="506"/>
        <v/>
      </c>
      <c r="AG502" s="32" t="str">
        <f t="shared" si="506"/>
        <v/>
      </c>
      <c r="AH502" s="33"/>
    </row>
    <row r="503" hidden="1" outlineLevel="2" collapsed="1">
      <c r="A503" s="16" t="b">
        <v>0</v>
      </c>
      <c r="B503" s="17"/>
      <c r="C503" s="18"/>
      <c r="D503" s="41">
        <v>45250.0</v>
      </c>
      <c r="E503" s="20" t="s">
        <v>60</v>
      </c>
      <c r="F503" s="21" t="s">
        <v>61</v>
      </c>
      <c r="G503" s="23">
        <v>2.0</v>
      </c>
      <c r="H503" s="23">
        <v>1.0</v>
      </c>
      <c r="I503" s="23">
        <v>4.0</v>
      </c>
      <c r="J503" s="23"/>
      <c r="K503" s="23"/>
      <c r="L503" s="23"/>
      <c r="M503" s="23"/>
      <c r="N503" s="23"/>
      <c r="O503" s="24"/>
      <c r="P503" s="16" t="b">
        <v>1</v>
      </c>
      <c r="Q503" s="24"/>
      <c r="R503" s="26">
        <v>7.0</v>
      </c>
      <c r="S503" s="26">
        <v>15.99</v>
      </c>
      <c r="T503" s="27" t="s">
        <v>367</v>
      </c>
      <c r="U503" s="24"/>
      <c r="V503" s="28"/>
      <c r="W503" s="29"/>
      <c r="X503" s="30"/>
      <c r="Y503" s="31"/>
      <c r="Z503" s="26">
        <f t="shared" si="5"/>
        <v>2.568571429</v>
      </c>
      <c r="AA503" s="26">
        <f t="shared" si="6"/>
        <v>5.137142857</v>
      </c>
      <c r="AB503" s="32">
        <f t="shared" si="7"/>
        <v>1.284285714</v>
      </c>
      <c r="AC503" s="32" t="str">
        <f t="shared" ref="AC503:AG503" si="507">IF(J503&lt;&gt;"", IF(AND($P503=FALSE, $A503=FALSE), -J503, IF(AND($P503=FALSE, $A503=TRUE), 0, IF($P503=TRUE, (J503 / $R503) * 100 * ($S503 / 100)-J503, ))), )</f>
        <v/>
      </c>
      <c r="AD503" s="32" t="str">
        <f t="shared" si="507"/>
        <v/>
      </c>
      <c r="AE503" s="32" t="str">
        <f t="shared" si="507"/>
        <v/>
      </c>
      <c r="AF503" s="32" t="str">
        <f t="shared" si="507"/>
        <v/>
      </c>
      <c r="AG503" s="32" t="str">
        <f t="shared" si="507"/>
        <v/>
      </c>
      <c r="AH503" s="33"/>
    </row>
    <row r="504" hidden="1" outlineLevel="3">
      <c r="A504" s="16" t="b">
        <v>0</v>
      </c>
      <c r="B504" s="17"/>
      <c r="C504" s="18"/>
      <c r="D504" s="34"/>
      <c r="E504" s="29"/>
      <c r="F504" s="34"/>
      <c r="G504" s="23"/>
      <c r="H504" s="23"/>
      <c r="I504" s="23"/>
      <c r="J504" s="23"/>
      <c r="K504" s="23"/>
      <c r="L504" s="23"/>
      <c r="M504" s="23"/>
      <c r="N504" s="23"/>
      <c r="O504" s="24"/>
      <c r="P504" s="16" t="b">
        <v>0</v>
      </c>
      <c r="Q504" s="24"/>
      <c r="R504" s="26"/>
      <c r="S504" s="26"/>
      <c r="T504" s="35"/>
      <c r="U504" s="24"/>
      <c r="V504" s="28" t="s">
        <v>29</v>
      </c>
      <c r="W504" s="29" t="s">
        <v>22</v>
      </c>
      <c r="X504" s="37" t="s">
        <v>189</v>
      </c>
      <c r="Y504" s="31"/>
      <c r="Z504" s="26" t="str">
        <f t="shared" si="5"/>
        <v/>
      </c>
      <c r="AA504" s="26" t="str">
        <f t="shared" si="6"/>
        <v/>
      </c>
      <c r="AB504" s="32" t="str">
        <f t="shared" si="7"/>
        <v/>
      </c>
      <c r="AC504" s="32" t="str">
        <f t="shared" ref="AC504:AG504" si="508">IF(J504&lt;&gt;"", IF(AND($P504=FALSE, $A504=FALSE), -J504, IF(AND($P504=FALSE, $A504=TRUE), 0, IF($P504=TRUE, (J504 / $R504) * 100 * ($S504 / 100)-J504, ))), )</f>
        <v/>
      </c>
      <c r="AD504" s="32" t="str">
        <f t="shared" si="508"/>
        <v/>
      </c>
      <c r="AE504" s="32" t="str">
        <f t="shared" si="508"/>
        <v/>
      </c>
      <c r="AF504" s="32" t="str">
        <f t="shared" si="508"/>
        <v/>
      </c>
      <c r="AG504" s="32" t="str">
        <f t="shared" si="508"/>
        <v/>
      </c>
      <c r="AH504" s="33"/>
    </row>
    <row r="505" hidden="1" outlineLevel="3">
      <c r="A505" s="16" t="b">
        <v>0</v>
      </c>
      <c r="B505" s="17"/>
      <c r="C505" s="18"/>
      <c r="D505" s="34"/>
      <c r="E505" s="29"/>
      <c r="F505" s="34"/>
      <c r="G505" s="23"/>
      <c r="H505" s="23"/>
      <c r="I505" s="23"/>
      <c r="J505" s="23"/>
      <c r="K505" s="23"/>
      <c r="L505" s="23"/>
      <c r="M505" s="23"/>
      <c r="N505" s="23"/>
      <c r="O505" s="24"/>
      <c r="P505" s="16" t="b">
        <v>0</v>
      </c>
      <c r="Q505" s="24"/>
      <c r="R505" s="26"/>
      <c r="S505" s="26"/>
      <c r="T505" s="35"/>
      <c r="U505" s="24"/>
      <c r="V505" s="28" t="s">
        <v>29</v>
      </c>
      <c r="W505" s="29" t="s">
        <v>22</v>
      </c>
      <c r="X505" s="37" t="s">
        <v>281</v>
      </c>
      <c r="Y505" s="31"/>
      <c r="Z505" s="26" t="str">
        <f t="shared" si="5"/>
        <v/>
      </c>
      <c r="AA505" s="26" t="str">
        <f t="shared" si="6"/>
        <v/>
      </c>
      <c r="AB505" s="32" t="str">
        <f t="shared" si="7"/>
        <v/>
      </c>
      <c r="AC505" s="32" t="str">
        <f t="shared" ref="AC505:AG505" si="509">IF(J505&lt;&gt;"", IF(AND($P505=FALSE, $A505=FALSE), -J505, IF(AND($P505=FALSE, $A505=TRUE), 0, IF($P505=TRUE, (J505 / $R505) * 100 * ($S505 / 100)-J505, ))), )</f>
        <v/>
      </c>
      <c r="AD505" s="32" t="str">
        <f t="shared" si="509"/>
        <v/>
      </c>
      <c r="AE505" s="32" t="str">
        <f t="shared" si="509"/>
        <v/>
      </c>
      <c r="AF505" s="32" t="str">
        <f t="shared" si="509"/>
        <v/>
      </c>
      <c r="AG505" s="32" t="str">
        <f t="shared" si="509"/>
        <v/>
      </c>
      <c r="AH505" s="33"/>
    </row>
    <row r="506" hidden="1" outlineLevel="3">
      <c r="A506" s="16" t="b">
        <v>0</v>
      </c>
      <c r="B506" s="17"/>
      <c r="C506" s="18"/>
      <c r="D506" s="34"/>
      <c r="E506" s="29"/>
      <c r="F506" s="34"/>
      <c r="G506" s="23"/>
      <c r="H506" s="23"/>
      <c r="I506" s="23"/>
      <c r="J506" s="23"/>
      <c r="K506" s="23"/>
      <c r="L506" s="23"/>
      <c r="M506" s="23"/>
      <c r="N506" s="23"/>
      <c r="O506" s="24"/>
      <c r="P506" s="16" t="b">
        <v>0</v>
      </c>
      <c r="Q506" s="24"/>
      <c r="R506" s="26"/>
      <c r="S506" s="26"/>
      <c r="T506" s="35"/>
      <c r="U506" s="24"/>
      <c r="V506" s="28" t="s">
        <v>29</v>
      </c>
      <c r="W506" s="29" t="s">
        <v>22</v>
      </c>
      <c r="X506" s="37" t="s">
        <v>434</v>
      </c>
      <c r="Y506" s="31"/>
      <c r="Z506" s="26" t="str">
        <f t="shared" si="5"/>
        <v/>
      </c>
      <c r="AA506" s="26" t="str">
        <f t="shared" si="6"/>
        <v/>
      </c>
      <c r="AB506" s="32" t="str">
        <f t="shared" si="7"/>
        <v/>
      </c>
      <c r="AC506" s="32" t="str">
        <f t="shared" ref="AC506:AG506" si="510">IF(J506&lt;&gt;"", IF(AND($P506=FALSE, $A506=FALSE), -J506, IF(AND($P506=FALSE, $A506=TRUE), 0, IF($P506=TRUE, (J506 / $R506) * 100 * ($S506 / 100)-J506, ))), )</f>
        <v/>
      </c>
      <c r="AD506" s="32" t="str">
        <f t="shared" si="510"/>
        <v/>
      </c>
      <c r="AE506" s="32" t="str">
        <f t="shared" si="510"/>
        <v/>
      </c>
      <c r="AF506" s="32" t="str">
        <f t="shared" si="510"/>
        <v/>
      </c>
      <c r="AG506" s="32" t="str">
        <f t="shared" si="510"/>
        <v/>
      </c>
      <c r="AH506" s="33"/>
    </row>
    <row r="507" hidden="1" outlineLevel="2" collapsed="1">
      <c r="A507" s="16" t="b">
        <v>0</v>
      </c>
      <c r="B507" s="17"/>
      <c r="C507" s="18"/>
      <c r="D507" s="41">
        <v>45250.0</v>
      </c>
      <c r="E507" s="20" t="s">
        <v>24</v>
      </c>
      <c r="F507" s="19" t="s">
        <v>371</v>
      </c>
      <c r="G507" s="48">
        <v>2.0</v>
      </c>
      <c r="H507" s="48">
        <v>1.0</v>
      </c>
      <c r="I507" s="45">
        <v>5.0</v>
      </c>
      <c r="J507" s="48">
        <v>5.0</v>
      </c>
      <c r="K507" s="46"/>
      <c r="L507" s="48"/>
      <c r="M507" s="46"/>
      <c r="N507" s="46"/>
      <c r="O507" s="47"/>
      <c r="P507" s="16" t="b">
        <v>0</v>
      </c>
      <c r="Q507" s="24"/>
      <c r="R507" s="48">
        <v>13.0</v>
      </c>
      <c r="S507" s="45">
        <v>32.2</v>
      </c>
      <c r="T507" s="27" t="s">
        <v>435</v>
      </c>
      <c r="U507" s="47"/>
      <c r="V507" s="28"/>
      <c r="W507" s="29"/>
      <c r="X507" s="30"/>
      <c r="Y507" s="31"/>
      <c r="Z507" s="26">
        <f t="shared" si="5"/>
        <v>-2</v>
      </c>
      <c r="AA507" s="26">
        <f t="shared" si="6"/>
        <v>-5</v>
      </c>
      <c r="AB507" s="32">
        <f t="shared" si="7"/>
        <v>-1</v>
      </c>
      <c r="AC507" s="32">
        <f t="shared" ref="AC507:AG507" si="511">IF(J507&lt;&gt;"", IF(AND($P507=FALSE, $A507=FALSE), -J507, IF(AND($P507=FALSE, $A507=TRUE), 0, IF($P507=TRUE, (J507 / $R507) * 100 * ($S507 / 100)-J507, ))), )</f>
        <v>-5</v>
      </c>
      <c r="AD507" s="32" t="str">
        <f t="shared" si="511"/>
        <v/>
      </c>
      <c r="AE507" s="32" t="str">
        <f t="shared" si="511"/>
        <v/>
      </c>
      <c r="AF507" s="32" t="str">
        <f t="shared" si="511"/>
        <v/>
      </c>
      <c r="AG507" s="32" t="str">
        <f t="shared" si="511"/>
        <v/>
      </c>
      <c r="AH507" s="33"/>
    </row>
    <row r="508" hidden="1" outlineLevel="3">
      <c r="A508" s="16" t="b">
        <v>0</v>
      </c>
      <c r="B508" s="17"/>
      <c r="C508" s="18"/>
      <c r="D508" s="34"/>
      <c r="E508" s="20"/>
      <c r="F508" s="19"/>
      <c r="G508" s="23"/>
      <c r="H508" s="23"/>
      <c r="I508" s="23"/>
      <c r="J508" s="23"/>
      <c r="K508" s="23"/>
      <c r="L508" s="23"/>
      <c r="M508" s="23"/>
      <c r="N508" s="23"/>
      <c r="O508" s="24"/>
      <c r="P508" s="16" t="b">
        <v>0</v>
      </c>
      <c r="Q508" s="24"/>
      <c r="R508" s="26"/>
      <c r="S508" s="26"/>
      <c r="T508" s="27"/>
      <c r="U508" s="24"/>
      <c r="V508" s="66" t="s">
        <v>32</v>
      </c>
      <c r="W508" s="29" t="s">
        <v>22</v>
      </c>
      <c r="X508" s="37" t="s">
        <v>436</v>
      </c>
      <c r="Y508" s="31"/>
      <c r="Z508" s="26" t="str">
        <f t="shared" si="5"/>
        <v/>
      </c>
      <c r="AA508" s="26" t="str">
        <f t="shared" si="6"/>
        <v/>
      </c>
      <c r="AB508" s="32" t="str">
        <f t="shared" si="7"/>
        <v/>
      </c>
      <c r="AC508" s="32" t="str">
        <f t="shared" ref="AC508:AG508" si="512">IF(J508&lt;&gt;"", IF(AND($P508=FALSE, $A508=FALSE), -J508, IF(AND($P508=FALSE, $A508=TRUE), 0, IF($P508=TRUE, (J508 / $R508) * 100 * ($S508 / 100)-J508, ))), )</f>
        <v/>
      </c>
      <c r="AD508" s="32" t="str">
        <f t="shared" si="512"/>
        <v/>
      </c>
      <c r="AE508" s="32" t="str">
        <f t="shared" si="512"/>
        <v/>
      </c>
      <c r="AF508" s="32" t="str">
        <f t="shared" si="512"/>
        <v/>
      </c>
      <c r="AG508" s="32" t="str">
        <f t="shared" si="512"/>
        <v/>
      </c>
      <c r="AH508" s="33"/>
    </row>
    <row r="509" hidden="1" outlineLevel="3">
      <c r="A509" s="16" t="b">
        <v>0</v>
      </c>
      <c r="B509" s="17"/>
      <c r="C509" s="18"/>
      <c r="D509" s="34"/>
      <c r="E509" s="20"/>
      <c r="F509" s="19"/>
      <c r="G509" s="23"/>
      <c r="H509" s="23"/>
      <c r="I509" s="23"/>
      <c r="J509" s="23"/>
      <c r="K509" s="23"/>
      <c r="L509" s="23"/>
      <c r="M509" s="23"/>
      <c r="N509" s="23"/>
      <c r="O509" s="24"/>
      <c r="P509" s="16" t="b">
        <v>0</v>
      </c>
      <c r="Q509" s="24"/>
      <c r="R509" s="26"/>
      <c r="S509" s="26"/>
      <c r="T509" s="27"/>
      <c r="U509" s="24"/>
      <c r="V509" s="38" t="s">
        <v>29</v>
      </c>
      <c r="W509" s="29" t="s">
        <v>22</v>
      </c>
      <c r="X509" s="37" t="s">
        <v>437</v>
      </c>
      <c r="Y509" s="31"/>
      <c r="Z509" s="26" t="str">
        <f t="shared" si="5"/>
        <v/>
      </c>
      <c r="AA509" s="26" t="str">
        <f t="shared" si="6"/>
        <v/>
      </c>
      <c r="AB509" s="32" t="str">
        <f t="shared" si="7"/>
        <v/>
      </c>
      <c r="AC509" s="32" t="str">
        <f t="shared" ref="AC509:AG509" si="513">IF(J509&lt;&gt;"", IF(AND($P509=FALSE, $A509=FALSE), -J509, IF(AND($P509=FALSE, $A509=TRUE), 0, IF($P509=TRUE, (J509 / $R509) * 100 * ($S509 / 100)-J509, ))), )</f>
        <v/>
      </c>
      <c r="AD509" s="32" t="str">
        <f t="shared" si="513"/>
        <v/>
      </c>
      <c r="AE509" s="32" t="str">
        <f t="shared" si="513"/>
        <v/>
      </c>
      <c r="AF509" s="32" t="str">
        <f t="shared" si="513"/>
        <v/>
      </c>
      <c r="AG509" s="32" t="str">
        <f t="shared" si="513"/>
        <v/>
      </c>
      <c r="AH509" s="33"/>
    </row>
    <row r="510" hidden="1" outlineLevel="3">
      <c r="A510" s="16" t="b">
        <v>0</v>
      </c>
      <c r="B510" s="17"/>
      <c r="C510" s="18"/>
      <c r="D510" s="34"/>
      <c r="E510" s="20"/>
      <c r="F510" s="19"/>
      <c r="G510" s="23"/>
      <c r="H510" s="23"/>
      <c r="I510" s="23"/>
      <c r="J510" s="23"/>
      <c r="K510" s="23"/>
      <c r="L510" s="23"/>
      <c r="M510" s="23"/>
      <c r="N510" s="23"/>
      <c r="O510" s="24"/>
      <c r="P510" s="16" t="b">
        <v>0</v>
      </c>
      <c r="Q510" s="24"/>
      <c r="R510" s="26"/>
      <c r="S510" s="26"/>
      <c r="T510" s="27"/>
      <c r="U510" s="24"/>
      <c r="V510" s="38" t="s">
        <v>29</v>
      </c>
      <c r="W510" s="29" t="s">
        <v>22</v>
      </c>
      <c r="X510" s="37" t="s">
        <v>438</v>
      </c>
      <c r="Y510" s="31"/>
      <c r="Z510" s="26" t="str">
        <f t="shared" si="5"/>
        <v/>
      </c>
      <c r="AA510" s="26" t="str">
        <f t="shared" si="6"/>
        <v/>
      </c>
      <c r="AB510" s="32" t="str">
        <f t="shared" si="7"/>
        <v/>
      </c>
      <c r="AC510" s="32" t="str">
        <f t="shared" ref="AC510:AG510" si="514">IF(J510&lt;&gt;"", IF(AND($P510=FALSE, $A510=FALSE), -J510, IF(AND($P510=FALSE, $A510=TRUE), 0, IF($P510=TRUE, (J510 / $R510) * 100 * ($S510 / 100)-J510, ))), )</f>
        <v/>
      </c>
      <c r="AD510" s="32" t="str">
        <f t="shared" si="514"/>
        <v/>
      </c>
      <c r="AE510" s="32" t="str">
        <f t="shared" si="514"/>
        <v/>
      </c>
      <c r="AF510" s="32" t="str">
        <f t="shared" si="514"/>
        <v/>
      </c>
      <c r="AG510" s="32" t="str">
        <f t="shared" si="514"/>
        <v/>
      </c>
      <c r="AH510" s="33"/>
    </row>
    <row r="511" hidden="1" outlineLevel="2" collapsed="1">
      <c r="A511" s="16" t="b">
        <v>0</v>
      </c>
      <c r="B511" s="17"/>
      <c r="C511" s="18"/>
      <c r="D511" s="41">
        <v>45250.0</v>
      </c>
      <c r="E511" s="20" t="s">
        <v>24</v>
      </c>
      <c r="F511" s="19" t="s">
        <v>371</v>
      </c>
      <c r="G511" s="48">
        <v>2.0</v>
      </c>
      <c r="H511" s="48">
        <v>1.0</v>
      </c>
      <c r="I511" s="45">
        <v>4.0</v>
      </c>
      <c r="J511" s="48"/>
      <c r="K511" s="46"/>
      <c r="L511" s="48"/>
      <c r="M511" s="46"/>
      <c r="N511" s="46"/>
      <c r="O511" s="47"/>
      <c r="P511" s="16" t="b">
        <v>0</v>
      </c>
      <c r="Q511" s="24"/>
      <c r="R511" s="48">
        <v>7.0</v>
      </c>
      <c r="S511" s="45">
        <v>19.07</v>
      </c>
      <c r="T511" s="27" t="s">
        <v>439</v>
      </c>
      <c r="U511" s="47"/>
      <c r="V511" s="28"/>
      <c r="W511" s="29"/>
      <c r="X511" s="30"/>
      <c r="Y511" s="31"/>
      <c r="Z511" s="26">
        <f t="shared" si="5"/>
        <v>-2</v>
      </c>
      <c r="AA511" s="26">
        <f t="shared" si="6"/>
        <v>-4</v>
      </c>
      <c r="AB511" s="32">
        <f t="shared" si="7"/>
        <v>-1</v>
      </c>
      <c r="AC511" s="32" t="str">
        <f t="shared" ref="AC511:AG511" si="515">IF(J511&lt;&gt;"", IF(AND($P511=FALSE, $A511=FALSE), -J511, IF(AND($P511=FALSE, $A511=TRUE), 0, IF($P511=TRUE, (J511 / $R511) * 100 * ($S511 / 100)-J511, ))), )</f>
        <v/>
      </c>
      <c r="AD511" s="32" t="str">
        <f t="shared" si="515"/>
        <v/>
      </c>
      <c r="AE511" s="32" t="str">
        <f t="shared" si="515"/>
        <v/>
      </c>
      <c r="AF511" s="32" t="str">
        <f t="shared" si="515"/>
        <v/>
      </c>
      <c r="AG511" s="32" t="str">
        <f t="shared" si="515"/>
        <v/>
      </c>
      <c r="AH511" s="33"/>
    </row>
    <row r="512" hidden="1" outlineLevel="3">
      <c r="A512" s="16" t="b">
        <v>0</v>
      </c>
      <c r="B512" s="17"/>
      <c r="C512" s="18"/>
      <c r="D512" s="34"/>
      <c r="E512" s="20"/>
      <c r="F512" s="19"/>
      <c r="G512" s="23"/>
      <c r="H512" s="23"/>
      <c r="I512" s="23"/>
      <c r="J512" s="23"/>
      <c r="K512" s="23"/>
      <c r="L512" s="23"/>
      <c r="M512" s="23"/>
      <c r="N512" s="23"/>
      <c r="O512" s="24"/>
      <c r="P512" s="16" t="b">
        <v>0</v>
      </c>
      <c r="Q512" s="24"/>
      <c r="R512" s="26"/>
      <c r="S512" s="26"/>
      <c r="T512" s="27"/>
      <c r="U512" s="24"/>
      <c r="V512" s="66" t="s">
        <v>32</v>
      </c>
      <c r="W512" s="29" t="s">
        <v>22</v>
      </c>
      <c r="X512" s="37" t="s">
        <v>440</v>
      </c>
      <c r="Y512" s="31"/>
      <c r="Z512" s="26" t="str">
        <f t="shared" si="5"/>
        <v/>
      </c>
      <c r="AA512" s="26" t="str">
        <f t="shared" si="6"/>
        <v/>
      </c>
      <c r="AB512" s="32" t="str">
        <f t="shared" si="7"/>
        <v/>
      </c>
      <c r="AC512" s="32" t="str">
        <f t="shared" ref="AC512:AG512" si="516">IF(J512&lt;&gt;"", IF(AND($P512=FALSE, $A512=FALSE), -J512, IF(AND($P512=FALSE, $A512=TRUE), 0, IF($P512=TRUE, (J512 / $R512) * 100 * ($S512 / 100)-J512, ))), )</f>
        <v/>
      </c>
      <c r="AD512" s="32" t="str">
        <f t="shared" si="516"/>
        <v/>
      </c>
      <c r="AE512" s="32" t="str">
        <f t="shared" si="516"/>
        <v/>
      </c>
      <c r="AF512" s="32" t="str">
        <f t="shared" si="516"/>
        <v/>
      </c>
      <c r="AG512" s="32" t="str">
        <f t="shared" si="516"/>
        <v/>
      </c>
      <c r="AH512" s="33"/>
    </row>
    <row r="513" hidden="1" outlineLevel="3">
      <c r="A513" s="16" t="b">
        <v>0</v>
      </c>
      <c r="B513" s="17"/>
      <c r="C513" s="18"/>
      <c r="D513" s="34"/>
      <c r="E513" s="20"/>
      <c r="F513" s="19"/>
      <c r="G513" s="23"/>
      <c r="H513" s="23"/>
      <c r="I513" s="23"/>
      <c r="J513" s="23"/>
      <c r="K513" s="23"/>
      <c r="L513" s="23"/>
      <c r="M513" s="23"/>
      <c r="N513" s="23"/>
      <c r="O513" s="24"/>
      <c r="P513" s="16" t="b">
        <v>0</v>
      </c>
      <c r="Q513" s="24"/>
      <c r="R513" s="26"/>
      <c r="S513" s="26"/>
      <c r="T513" s="27"/>
      <c r="U513" s="24"/>
      <c r="V513" s="66" t="s">
        <v>32</v>
      </c>
      <c r="W513" s="29" t="s">
        <v>22</v>
      </c>
      <c r="X513" s="37" t="s">
        <v>441</v>
      </c>
      <c r="Y513" s="31"/>
      <c r="Z513" s="26" t="str">
        <f t="shared" si="5"/>
        <v/>
      </c>
      <c r="AA513" s="26" t="str">
        <f t="shared" si="6"/>
        <v/>
      </c>
      <c r="AB513" s="32" t="str">
        <f t="shared" si="7"/>
        <v/>
      </c>
      <c r="AC513" s="32" t="str">
        <f t="shared" ref="AC513:AG513" si="517">IF(J513&lt;&gt;"", IF(AND($P513=FALSE, $A513=FALSE), -J513, IF(AND($P513=FALSE, $A513=TRUE), 0, IF($P513=TRUE, (J513 / $R513) * 100 * ($S513 / 100)-J513, ))), )</f>
        <v/>
      </c>
      <c r="AD513" s="32" t="str">
        <f t="shared" si="517"/>
        <v/>
      </c>
      <c r="AE513" s="32" t="str">
        <f t="shared" si="517"/>
        <v/>
      </c>
      <c r="AF513" s="32" t="str">
        <f t="shared" si="517"/>
        <v/>
      </c>
      <c r="AG513" s="32" t="str">
        <f t="shared" si="517"/>
        <v/>
      </c>
      <c r="AH513" s="33"/>
    </row>
    <row r="514" hidden="1" outlineLevel="3">
      <c r="A514" s="16" t="b">
        <v>0</v>
      </c>
      <c r="B514" s="17"/>
      <c r="C514" s="18"/>
      <c r="D514" s="34"/>
      <c r="E514" s="20"/>
      <c r="F514" s="19"/>
      <c r="G514" s="23"/>
      <c r="H514" s="23"/>
      <c r="I514" s="23"/>
      <c r="J514" s="23"/>
      <c r="K514" s="23"/>
      <c r="L514" s="23"/>
      <c r="M514" s="23"/>
      <c r="N514" s="23"/>
      <c r="O514" s="24"/>
      <c r="P514" s="16" t="b">
        <v>0</v>
      </c>
      <c r="Q514" s="24"/>
      <c r="R514" s="26"/>
      <c r="S514" s="26"/>
      <c r="T514" s="27"/>
      <c r="U514" s="24"/>
      <c r="V514" s="66" t="s">
        <v>32</v>
      </c>
      <c r="W514" s="29" t="s">
        <v>22</v>
      </c>
      <c r="X514" s="37" t="s">
        <v>80</v>
      </c>
      <c r="Y514" s="31"/>
      <c r="Z514" s="26" t="str">
        <f t="shared" si="5"/>
        <v/>
      </c>
      <c r="AA514" s="26" t="str">
        <f t="shared" si="6"/>
        <v/>
      </c>
      <c r="AB514" s="32" t="str">
        <f t="shared" si="7"/>
        <v/>
      </c>
      <c r="AC514" s="32" t="str">
        <f t="shared" ref="AC514:AG514" si="518">IF(J514&lt;&gt;"", IF(AND($P514=FALSE, $A514=FALSE), -J514, IF(AND($P514=FALSE, $A514=TRUE), 0, IF($P514=TRUE, (J514 / $R514) * 100 * ($S514 / 100)-J514, ))), )</f>
        <v/>
      </c>
      <c r="AD514" s="32" t="str">
        <f t="shared" si="518"/>
        <v/>
      </c>
      <c r="AE514" s="32" t="str">
        <f t="shared" si="518"/>
        <v/>
      </c>
      <c r="AF514" s="32" t="str">
        <f t="shared" si="518"/>
        <v/>
      </c>
      <c r="AG514" s="32" t="str">
        <f t="shared" si="518"/>
        <v/>
      </c>
      <c r="AH514" s="33"/>
    </row>
    <row r="515" hidden="1" outlineLevel="3">
      <c r="A515" s="16" t="b">
        <v>0</v>
      </c>
      <c r="B515" s="17"/>
      <c r="C515" s="18"/>
      <c r="D515" s="34"/>
      <c r="E515" s="20"/>
      <c r="F515" s="19"/>
      <c r="G515" s="23"/>
      <c r="H515" s="23"/>
      <c r="I515" s="23"/>
      <c r="J515" s="23"/>
      <c r="K515" s="23"/>
      <c r="L515" s="23"/>
      <c r="M515" s="23"/>
      <c r="N515" s="23"/>
      <c r="O515" s="24"/>
      <c r="P515" s="16" t="b">
        <v>0</v>
      </c>
      <c r="Q515" s="24"/>
      <c r="R515" s="26"/>
      <c r="S515" s="26"/>
      <c r="T515" s="27"/>
      <c r="U515" s="24"/>
      <c r="V515" s="38" t="s">
        <v>29</v>
      </c>
      <c r="W515" s="29" t="s">
        <v>22</v>
      </c>
      <c r="X515" s="37" t="s">
        <v>442</v>
      </c>
      <c r="Y515" s="31"/>
      <c r="Z515" s="26" t="str">
        <f t="shared" si="5"/>
        <v/>
      </c>
      <c r="AA515" s="26" t="str">
        <f t="shared" si="6"/>
        <v/>
      </c>
      <c r="AB515" s="32" t="str">
        <f t="shared" si="7"/>
        <v/>
      </c>
      <c r="AC515" s="32" t="str">
        <f t="shared" ref="AC515:AG515" si="519">IF(J515&lt;&gt;"", IF(AND($P515=FALSE, $A515=FALSE), -J515, IF(AND($P515=FALSE, $A515=TRUE), 0, IF($P515=TRUE, (J515 / $R515) * 100 * ($S515 / 100)-J515, ))), )</f>
        <v/>
      </c>
      <c r="AD515" s="32" t="str">
        <f t="shared" si="519"/>
        <v/>
      </c>
      <c r="AE515" s="32" t="str">
        <f t="shared" si="519"/>
        <v/>
      </c>
      <c r="AF515" s="32" t="str">
        <f t="shared" si="519"/>
        <v/>
      </c>
      <c r="AG515" s="32" t="str">
        <f t="shared" si="519"/>
        <v/>
      </c>
      <c r="AH515" s="33"/>
    </row>
    <row r="516" hidden="1" outlineLevel="2" collapsed="1">
      <c r="A516" s="16" t="b">
        <v>0</v>
      </c>
      <c r="B516" s="17"/>
      <c r="C516" s="18"/>
      <c r="D516" s="41">
        <v>45250.0</v>
      </c>
      <c r="E516" s="20" t="s">
        <v>24</v>
      </c>
      <c r="F516" s="19" t="s">
        <v>371</v>
      </c>
      <c r="G516" s="45">
        <v>1.0</v>
      </c>
      <c r="H516" s="45">
        <v>0.5</v>
      </c>
      <c r="I516" s="45">
        <v>3.15</v>
      </c>
      <c r="J516" s="48"/>
      <c r="K516" s="46"/>
      <c r="L516" s="45"/>
      <c r="M516" s="46"/>
      <c r="N516" s="46"/>
      <c r="O516" s="47"/>
      <c r="P516" s="16" t="b">
        <v>0</v>
      </c>
      <c r="Q516" s="24"/>
      <c r="R516" s="48">
        <v>4.65</v>
      </c>
      <c r="S516" s="45">
        <v>104.74</v>
      </c>
      <c r="T516" s="27" t="s">
        <v>443</v>
      </c>
      <c r="U516" s="47"/>
      <c r="V516" s="28"/>
      <c r="W516" s="29"/>
      <c r="X516" s="30"/>
      <c r="Y516" s="31"/>
      <c r="Z516" s="26">
        <f t="shared" si="5"/>
        <v>-1</v>
      </c>
      <c r="AA516" s="26">
        <f t="shared" si="6"/>
        <v>-3.15</v>
      </c>
      <c r="AB516" s="32">
        <f t="shared" si="7"/>
        <v>-0.5</v>
      </c>
      <c r="AC516" s="32" t="str">
        <f t="shared" ref="AC516:AG516" si="520">IF(J516&lt;&gt;"", IF(AND($P516=FALSE, $A516=FALSE), -J516, IF(AND($P516=FALSE, $A516=TRUE), 0, IF($P516=TRUE, (J516 / $R516) * 100 * ($S516 / 100)-J516, ))), )</f>
        <v/>
      </c>
      <c r="AD516" s="32" t="str">
        <f t="shared" si="520"/>
        <v/>
      </c>
      <c r="AE516" s="32" t="str">
        <f t="shared" si="520"/>
        <v/>
      </c>
      <c r="AF516" s="32" t="str">
        <f t="shared" si="520"/>
        <v/>
      </c>
      <c r="AG516" s="32" t="str">
        <f t="shared" si="520"/>
        <v/>
      </c>
      <c r="AH516" s="33"/>
    </row>
    <row r="517" hidden="1" outlineLevel="3">
      <c r="A517" s="16" t="b">
        <v>0</v>
      </c>
      <c r="B517" s="17"/>
      <c r="C517" s="18"/>
      <c r="D517" s="34"/>
      <c r="E517" s="20"/>
      <c r="F517" s="19"/>
      <c r="G517" s="23"/>
      <c r="H517" s="23"/>
      <c r="I517" s="23"/>
      <c r="J517" s="23"/>
      <c r="K517" s="23"/>
      <c r="L517" s="23"/>
      <c r="M517" s="23"/>
      <c r="N517" s="23"/>
      <c r="O517" s="24"/>
      <c r="P517" s="16" t="b">
        <v>0</v>
      </c>
      <c r="Q517" s="24"/>
      <c r="R517" s="26"/>
      <c r="S517" s="26"/>
      <c r="T517" s="27"/>
      <c r="U517" s="24"/>
      <c r="V517" s="38" t="s">
        <v>29</v>
      </c>
      <c r="W517" s="29" t="s">
        <v>22</v>
      </c>
      <c r="X517" s="37" t="s">
        <v>444</v>
      </c>
      <c r="Y517" s="31"/>
      <c r="Z517" s="26" t="str">
        <f t="shared" si="5"/>
        <v/>
      </c>
      <c r="AA517" s="26" t="str">
        <f t="shared" si="6"/>
        <v/>
      </c>
      <c r="AB517" s="32" t="str">
        <f t="shared" si="7"/>
        <v/>
      </c>
      <c r="AC517" s="32" t="str">
        <f t="shared" ref="AC517:AG517" si="521">IF(J517&lt;&gt;"", IF(AND($P517=FALSE, $A517=FALSE), -J517, IF(AND($P517=FALSE, $A517=TRUE), 0, IF($P517=TRUE, (J517 / $R517) * 100 * ($S517 / 100)-J517, ))), )</f>
        <v/>
      </c>
      <c r="AD517" s="32" t="str">
        <f t="shared" si="521"/>
        <v/>
      </c>
      <c r="AE517" s="32" t="str">
        <f t="shared" si="521"/>
        <v/>
      </c>
      <c r="AF517" s="32" t="str">
        <f t="shared" si="521"/>
        <v/>
      </c>
      <c r="AG517" s="32" t="str">
        <f t="shared" si="521"/>
        <v/>
      </c>
      <c r="AH517" s="33"/>
    </row>
    <row r="518" hidden="1" outlineLevel="3">
      <c r="A518" s="16" t="b">
        <v>0</v>
      </c>
      <c r="B518" s="17"/>
      <c r="C518" s="18"/>
      <c r="D518" s="34"/>
      <c r="E518" s="20"/>
      <c r="F518" s="19"/>
      <c r="G518" s="23"/>
      <c r="H518" s="23"/>
      <c r="I518" s="23"/>
      <c r="J518" s="23"/>
      <c r="K518" s="23"/>
      <c r="L518" s="23"/>
      <c r="M518" s="23"/>
      <c r="N518" s="23"/>
      <c r="O518" s="24"/>
      <c r="P518" s="16" t="b">
        <v>0</v>
      </c>
      <c r="Q518" s="24"/>
      <c r="R518" s="26"/>
      <c r="S518" s="26"/>
      <c r="T518" s="27"/>
      <c r="U518" s="24"/>
      <c r="V518" s="38" t="s">
        <v>29</v>
      </c>
      <c r="W518" s="29" t="s">
        <v>22</v>
      </c>
      <c r="X518" s="37" t="s">
        <v>445</v>
      </c>
      <c r="Y518" s="31"/>
      <c r="Z518" s="26" t="str">
        <f t="shared" si="5"/>
        <v/>
      </c>
      <c r="AA518" s="26" t="str">
        <f t="shared" si="6"/>
        <v/>
      </c>
      <c r="AB518" s="32" t="str">
        <f t="shared" si="7"/>
        <v/>
      </c>
      <c r="AC518" s="32" t="str">
        <f t="shared" ref="AC518:AG518" si="522">IF(J518&lt;&gt;"", IF(AND($P518=FALSE, $A518=FALSE), -J518, IF(AND($P518=FALSE, $A518=TRUE), 0, IF($P518=TRUE, (J518 / $R518) * 100 * ($S518 / 100)-J518, ))), )</f>
        <v/>
      </c>
      <c r="AD518" s="32" t="str">
        <f t="shared" si="522"/>
        <v/>
      </c>
      <c r="AE518" s="32" t="str">
        <f t="shared" si="522"/>
        <v/>
      </c>
      <c r="AF518" s="32" t="str">
        <f t="shared" si="522"/>
        <v/>
      </c>
      <c r="AG518" s="32" t="str">
        <f t="shared" si="522"/>
        <v/>
      </c>
      <c r="AH518" s="33"/>
    </row>
    <row r="519" hidden="1" outlineLevel="3">
      <c r="A519" s="16" t="b">
        <v>0</v>
      </c>
      <c r="B519" s="17"/>
      <c r="C519" s="18"/>
      <c r="D519" s="34"/>
      <c r="E519" s="20"/>
      <c r="F519" s="19"/>
      <c r="G519" s="23"/>
      <c r="H519" s="23"/>
      <c r="I519" s="23"/>
      <c r="J519" s="23"/>
      <c r="K519" s="23"/>
      <c r="L519" s="23"/>
      <c r="M519" s="23"/>
      <c r="N519" s="23"/>
      <c r="O519" s="24"/>
      <c r="P519" s="16" t="b">
        <v>0</v>
      </c>
      <c r="Q519" s="24"/>
      <c r="R519" s="26"/>
      <c r="S519" s="26"/>
      <c r="T519" s="27"/>
      <c r="U519" s="24"/>
      <c r="V519" s="38" t="s">
        <v>29</v>
      </c>
      <c r="W519" s="29" t="s">
        <v>22</v>
      </c>
      <c r="X519" s="37" t="s">
        <v>437</v>
      </c>
      <c r="Y519" s="31"/>
      <c r="Z519" s="26" t="str">
        <f t="shared" si="5"/>
        <v/>
      </c>
      <c r="AA519" s="26" t="str">
        <f t="shared" si="6"/>
        <v/>
      </c>
      <c r="AB519" s="32" t="str">
        <f t="shared" si="7"/>
        <v/>
      </c>
      <c r="AC519" s="32" t="str">
        <f t="shared" ref="AC519:AG519" si="523">IF(J519&lt;&gt;"", IF(AND($P519=FALSE, $A519=FALSE), -J519, IF(AND($P519=FALSE, $A519=TRUE), 0, IF($P519=TRUE, (J519 / $R519) * 100 * ($S519 / 100)-J519, ))), )</f>
        <v/>
      </c>
      <c r="AD519" s="32" t="str">
        <f t="shared" si="523"/>
        <v/>
      </c>
      <c r="AE519" s="32" t="str">
        <f t="shared" si="523"/>
        <v/>
      </c>
      <c r="AF519" s="32" t="str">
        <f t="shared" si="523"/>
        <v/>
      </c>
      <c r="AG519" s="32" t="str">
        <f t="shared" si="523"/>
        <v/>
      </c>
      <c r="AH519" s="33"/>
    </row>
    <row r="520" hidden="1" outlineLevel="3">
      <c r="A520" s="16" t="b">
        <v>0</v>
      </c>
      <c r="B520" s="17"/>
      <c r="C520" s="18"/>
      <c r="D520" s="34"/>
      <c r="E520" s="20"/>
      <c r="F520" s="19"/>
      <c r="G520" s="23"/>
      <c r="H520" s="23"/>
      <c r="I520" s="23"/>
      <c r="J520" s="23"/>
      <c r="K520" s="23"/>
      <c r="L520" s="23"/>
      <c r="M520" s="23"/>
      <c r="N520" s="23"/>
      <c r="O520" s="24"/>
      <c r="P520" s="16" t="b">
        <v>0</v>
      </c>
      <c r="Q520" s="24"/>
      <c r="R520" s="26"/>
      <c r="S520" s="26"/>
      <c r="T520" s="27"/>
      <c r="U520" s="24"/>
      <c r="V520" s="66" t="s">
        <v>32</v>
      </c>
      <c r="W520" s="29" t="s">
        <v>22</v>
      </c>
      <c r="X520" s="37" t="s">
        <v>446</v>
      </c>
      <c r="Y520" s="31"/>
      <c r="Z520" s="26" t="str">
        <f t="shared" si="5"/>
        <v/>
      </c>
      <c r="AA520" s="26" t="str">
        <f t="shared" si="6"/>
        <v/>
      </c>
      <c r="AB520" s="32" t="str">
        <f t="shared" si="7"/>
        <v/>
      </c>
      <c r="AC520" s="32" t="str">
        <f t="shared" ref="AC520:AG520" si="524">IF(J520&lt;&gt;"", IF(AND($P520=FALSE, $A520=FALSE), -J520, IF(AND($P520=FALSE, $A520=TRUE), 0, IF($P520=TRUE, (J520 / $R520) * 100 * ($S520 / 100)-J520, ))), )</f>
        <v/>
      </c>
      <c r="AD520" s="32" t="str">
        <f t="shared" si="524"/>
        <v/>
      </c>
      <c r="AE520" s="32" t="str">
        <f t="shared" si="524"/>
        <v/>
      </c>
      <c r="AF520" s="32" t="str">
        <f t="shared" si="524"/>
        <v/>
      </c>
      <c r="AG520" s="32" t="str">
        <f t="shared" si="524"/>
        <v/>
      </c>
      <c r="AH520" s="33"/>
    </row>
    <row r="521" hidden="1" outlineLevel="3">
      <c r="A521" s="16" t="b">
        <v>0</v>
      </c>
      <c r="B521" s="17"/>
      <c r="C521" s="18"/>
      <c r="D521" s="34"/>
      <c r="E521" s="20"/>
      <c r="F521" s="19"/>
      <c r="G521" s="23"/>
      <c r="H521" s="23"/>
      <c r="I521" s="23"/>
      <c r="J521" s="23"/>
      <c r="K521" s="23"/>
      <c r="L521" s="23"/>
      <c r="M521" s="23"/>
      <c r="N521" s="23"/>
      <c r="O521" s="24"/>
      <c r="P521" s="16" t="b">
        <v>0</v>
      </c>
      <c r="Q521" s="24"/>
      <c r="R521" s="26"/>
      <c r="S521" s="26"/>
      <c r="T521" s="27"/>
      <c r="U521" s="24"/>
      <c r="V521" s="38" t="s">
        <v>29</v>
      </c>
      <c r="W521" s="29" t="s">
        <v>22</v>
      </c>
      <c r="X521" s="37" t="s">
        <v>447</v>
      </c>
      <c r="Y521" s="31"/>
      <c r="Z521" s="26" t="str">
        <f t="shared" si="5"/>
        <v/>
      </c>
      <c r="AA521" s="26" t="str">
        <f t="shared" si="6"/>
        <v/>
      </c>
      <c r="AB521" s="32" t="str">
        <f t="shared" si="7"/>
        <v/>
      </c>
      <c r="AC521" s="32" t="str">
        <f t="shared" ref="AC521:AG521" si="525">IF(J521&lt;&gt;"", IF(AND($P521=FALSE, $A521=FALSE), -J521, IF(AND($P521=FALSE, $A521=TRUE), 0, IF($P521=TRUE, (J521 / $R521) * 100 * ($S521 / 100)-J521, ))), )</f>
        <v/>
      </c>
      <c r="AD521" s="32" t="str">
        <f t="shared" si="525"/>
        <v/>
      </c>
      <c r="AE521" s="32" t="str">
        <f t="shared" si="525"/>
        <v/>
      </c>
      <c r="AF521" s="32" t="str">
        <f t="shared" si="525"/>
        <v/>
      </c>
      <c r="AG521" s="32" t="str">
        <f t="shared" si="525"/>
        <v/>
      </c>
      <c r="AH521" s="33"/>
    </row>
    <row r="522" hidden="1" outlineLevel="3">
      <c r="A522" s="16" t="b">
        <v>0</v>
      </c>
      <c r="B522" s="17"/>
      <c r="C522" s="18"/>
      <c r="D522" s="34"/>
      <c r="E522" s="20"/>
      <c r="F522" s="19"/>
      <c r="G522" s="23"/>
      <c r="H522" s="23"/>
      <c r="I522" s="23"/>
      <c r="J522" s="23"/>
      <c r="K522" s="23"/>
      <c r="L522" s="23"/>
      <c r="M522" s="23"/>
      <c r="N522" s="23"/>
      <c r="O522" s="24"/>
      <c r="P522" s="16" t="b">
        <v>0</v>
      </c>
      <c r="Q522" s="24"/>
      <c r="R522" s="26"/>
      <c r="S522" s="26"/>
      <c r="T522" s="27"/>
      <c r="U522" s="24"/>
      <c r="V522" s="38" t="s">
        <v>29</v>
      </c>
      <c r="W522" s="29" t="s">
        <v>22</v>
      </c>
      <c r="X522" s="37" t="s">
        <v>448</v>
      </c>
      <c r="Y522" s="31"/>
      <c r="Z522" s="26" t="str">
        <f t="shared" si="5"/>
        <v/>
      </c>
      <c r="AA522" s="26" t="str">
        <f t="shared" si="6"/>
        <v/>
      </c>
      <c r="AB522" s="32" t="str">
        <f t="shared" si="7"/>
        <v/>
      </c>
      <c r="AC522" s="32" t="str">
        <f t="shared" ref="AC522:AG522" si="526">IF(J522&lt;&gt;"", IF(AND($P522=FALSE, $A522=FALSE), -J522, IF(AND($P522=FALSE, $A522=TRUE), 0, IF($P522=TRUE, (J522 / $R522) * 100 * ($S522 / 100)-J522, ))), )</f>
        <v/>
      </c>
      <c r="AD522" s="32" t="str">
        <f t="shared" si="526"/>
        <v/>
      </c>
      <c r="AE522" s="32" t="str">
        <f t="shared" si="526"/>
        <v/>
      </c>
      <c r="AF522" s="32" t="str">
        <f t="shared" si="526"/>
        <v/>
      </c>
      <c r="AG522" s="32" t="str">
        <f t="shared" si="526"/>
        <v/>
      </c>
      <c r="AH522" s="33"/>
    </row>
    <row r="523" hidden="1" outlineLevel="2">
      <c r="A523" s="16" t="b">
        <v>0</v>
      </c>
      <c r="B523" s="17"/>
      <c r="C523" s="18"/>
      <c r="D523" s="41">
        <v>45250.0</v>
      </c>
      <c r="E523" s="20" t="s">
        <v>24</v>
      </c>
      <c r="F523" s="19" t="s">
        <v>371</v>
      </c>
      <c r="G523" s="45">
        <v>0.5</v>
      </c>
      <c r="H523" s="45">
        <v>0.25</v>
      </c>
      <c r="I523" s="45">
        <v>1.75</v>
      </c>
      <c r="J523" s="48"/>
      <c r="K523" s="46"/>
      <c r="L523" s="45"/>
      <c r="M523" s="46"/>
      <c r="N523" s="46"/>
      <c r="O523" s="47"/>
      <c r="P523" s="16" t="b">
        <v>0</v>
      </c>
      <c r="Q523" s="24"/>
      <c r="R523" s="48">
        <v>2.5</v>
      </c>
      <c r="S523" s="45">
        <v>104.74</v>
      </c>
      <c r="T523" s="27" t="s">
        <v>449</v>
      </c>
      <c r="U523" s="47"/>
      <c r="V523" s="28"/>
      <c r="W523" s="29"/>
      <c r="X523" s="30"/>
      <c r="Y523" s="31"/>
      <c r="Z523" s="26">
        <f t="shared" si="5"/>
        <v>-0.5</v>
      </c>
      <c r="AA523" s="26">
        <f t="shared" si="6"/>
        <v>-1.75</v>
      </c>
      <c r="AB523" s="32">
        <f t="shared" si="7"/>
        <v>-0.25</v>
      </c>
      <c r="AC523" s="32" t="str">
        <f t="shared" ref="AC523:AG523" si="527">IF(J523&lt;&gt;"", IF(AND($P523=FALSE, $A523=FALSE), -J523, IF(AND($P523=FALSE, $A523=TRUE), 0, IF($P523=TRUE, (J523 / $R523) * 100 * ($S523 / 100)-J523, ))), )</f>
        <v/>
      </c>
      <c r="AD523" s="32" t="str">
        <f t="shared" si="527"/>
        <v/>
      </c>
      <c r="AE523" s="32" t="str">
        <f t="shared" si="527"/>
        <v/>
      </c>
      <c r="AF523" s="32" t="str">
        <f t="shared" si="527"/>
        <v/>
      </c>
      <c r="AG523" s="32" t="str">
        <f t="shared" si="527"/>
        <v/>
      </c>
      <c r="AH523" s="33"/>
    </row>
    <row r="524" hidden="1" outlineLevel="3">
      <c r="A524" s="16" t="b">
        <v>0</v>
      </c>
      <c r="B524" s="17"/>
      <c r="C524" s="18"/>
      <c r="D524" s="34"/>
      <c r="E524" s="20"/>
      <c r="F524" s="19"/>
      <c r="G524" s="23"/>
      <c r="H524" s="23"/>
      <c r="I524" s="23"/>
      <c r="J524" s="23"/>
      <c r="K524" s="23"/>
      <c r="L524" s="23"/>
      <c r="M524" s="23"/>
      <c r="N524" s="23"/>
      <c r="O524" s="24"/>
      <c r="P524" s="16" t="b">
        <v>0</v>
      </c>
      <c r="Q524" s="24"/>
      <c r="R524" s="26"/>
      <c r="S524" s="26"/>
      <c r="T524" s="27"/>
      <c r="U524" s="24"/>
      <c r="V524" s="66" t="s">
        <v>32</v>
      </c>
      <c r="W524" s="29" t="s">
        <v>22</v>
      </c>
      <c r="X524" s="37" t="s">
        <v>450</v>
      </c>
      <c r="Y524" s="31"/>
      <c r="Z524" s="26" t="str">
        <f t="shared" si="5"/>
        <v/>
      </c>
      <c r="AA524" s="26" t="str">
        <f t="shared" si="6"/>
        <v/>
      </c>
      <c r="AB524" s="32" t="str">
        <f t="shared" si="7"/>
        <v/>
      </c>
      <c r="AC524" s="32" t="str">
        <f t="shared" ref="AC524:AG524" si="528">IF(J524&lt;&gt;"", IF(AND($P524=FALSE, $A524=FALSE), -J524, IF(AND($P524=FALSE, $A524=TRUE), 0, IF($P524=TRUE, (J524 / $R524) * 100 * ($S524 / 100)-J524, ))), )</f>
        <v/>
      </c>
      <c r="AD524" s="32" t="str">
        <f t="shared" si="528"/>
        <v/>
      </c>
      <c r="AE524" s="32" t="str">
        <f t="shared" si="528"/>
        <v/>
      </c>
      <c r="AF524" s="32" t="str">
        <f t="shared" si="528"/>
        <v/>
      </c>
      <c r="AG524" s="32" t="str">
        <f t="shared" si="528"/>
        <v/>
      </c>
      <c r="AH524" s="33"/>
    </row>
    <row r="525" hidden="1" outlineLevel="3">
      <c r="A525" s="16" t="b">
        <v>0</v>
      </c>
      <c r="B525" s="17"/>
      <c r="C525" s="18"/>
      <c r="D525" s="34"/>
      <c r="E525" s="20"/>
      <c r="F525" s="19"/>
      <c r="G525" s="23"/>
      <c r="H525" s="23"/>
      <c r="I525" s="23"/>
      <c r="J525" s="23"/>
      <c r="K525" s="23"/>
      <c r="L525" s="23"/>
      <c r="M525" s="23"/>
      <c r="N525" s="23"/>
      <c r="O525" s="24"/>
      <c r="P525" s="16" t="b">
        <v>0</v>
      </c>
      <c r="Q525" s="24"/>
      <c r="R525" s="26"/>
      <c r="S525" s="26"/>
      <c r="T525" s="27"/>
      <c r="U525" s="24"/>
      <c r="V525" s="66" t="s">
        <v>32</v>
      </c>
      <c r="W525" s="29" t="s">
        <v>22</v>
      </c>
      <c r="X525" s="37" t="s">
        <v>451</v>
      </c>
      <c r="Y525" s="31"/>
      <c r="Z525" s="26" t="str">
        <f t="shared" si="5"/>
        <v/>
      </c>
      <c r="AA525" s="26" t="str">
        <f t="shared" si="6"/>
        <v/>
      </c>
      <c r="AB525" s="32" t="str">
        <f t="shared" si="7"/>
        <v/>
      </c>
      <c r="AC525" s="32" t="str">
        <f t="shared" ref="AC525:AG525" si="529">IF(J525&lt;&gt;"", IF(AND($P525=FALSE, $A525=FALSE), -J525, IF(AND($P525=FALSE, $A525=TRUE), 0, IF($P525=TRUE, (J525 / $R525) * 100 * ($S525 / 100)-J525, ))), )</f>
        <v/>
      </c>
      <c r="AD525" s="32" t="str">
        <f t="shared" si="529"/>
        <v/>
      </c>
      <c r="AE525" s="32" t="str">
        <f t="shared" si="529"/>
        <v/>
      </c>
      <c r="AF525" s="32" t="str">
        <f t="shared" si="529"/>
        <v/>
      </c>
      <c r="AG525" s="32" t="str">
        <f t="shared" si="529"/>
        <v/>
      </c>
      <c r="AH525" s="33"/>
    </row>
    <row r="526" hidden="1" outlineLevel="3">
      <c r="A526" s="16" t="b">
        <v>0</v>
      </c>
      <c r="B526" s="17"/>
      <c r="C526" s="18"/>
      <c r="D526" s="34"/>
      <c r="E526" s="20"/>
      <c r="F526" s="19"/>
      <c r="G526" s="23"/>
      <c r="H526" s="23"/>
      <c r="I526" s="23"/>
      <c r="J526" s="23"/>
      <c r="K526" s="23"/>
      <c r="L526" s="23"/>
      <c r="M526" s="23"/>
      <c r="N526" s="23"/>
      <c r="O526" s="24"/>
      <c r="P526" s="16" t="b">
        <v>0</v>
      </c>
      <c r="Q526" s="24"/>
      <c r="R526" s="26"/>
      <c r="S526" s="26"/>
      <c r="T526" s="27"/>
      <c r="U526" s="24"/>
      <c r="V526" s="66" t="s">
        <v>32</v>
      </c>
      <c r="W526" s="29" t="s">
        <v>22</v>
      </c>
      <c r="X526" s="37" t="s">
        <v>452</v>
      </c>
      <c r="Y526" s="31"/>
      <c r="Z526" s="26" t="str">
        <f t="shared" si="5"/>
        <v/>
      </c>
      <c r="AA526" s="26" t="str">
        <f t="shared" si="6"/>
        <v/>
      </c>
      <c r="AB526" s="32" t="str">
        <f t="shared" si="7"/>
        <v/>
      </c>
      <c r="AC526" s="32" t="str">
        <f t="shared" ref="AC526:AG526" si="530">IF(J526&lt;&gt;"", IF(AND($P526=FALSE, $A526=FALSE), -J526, IF(AND($P526=FALSE, $A526=TRUE), 0, IF($P526=TRUE, (J526 / $R526) * 100 * ($S526 / 100)-J526, ))), )</f>
        <v/>
      </c>
      <c r="AD526" s="32" t="str">
        <f t="shared" si="530"/>
        <v/>
      </c>
      <c r="AE526" s="32" t="str">
        <f t="shared" si="530"/>
        <v/>
      </c>
      <c r="AF526" s="32" t="str">
        <f t="shared" si="530"/>
        <v/>
      </c>
      <c r="AG526" s="32" t="str">
        <f t="shared" si="530"/>
        <v/>
      </c>
      <c r="AH526" s="33"/>
    </row>
    <row r="527" hidden="1" outlineLevel="1" collapsed="1">
      <c r="A527" s="16" t="b">
        <v>0</v>
      </c>
      <c r="B527" s="17"/>
      <c r="C527" s="18"/>
      <c r="D527" s="41">
        <v>45251.0</v>
      </c>
      <c r="E527" s="20" t="s">
        <v>60</v>
      </c>
      <c r="F527" s="21" t="s">
        <v>61</v>
      </c>
      <c r="G527" s="23">
        <v>2.0</v>
      </c>
      <c r="H527" s="23">
        <v>1.0</v>
      </c>
      <c r="I527" s="23">
        <v>3.0</v>
      </c>
      <c r="J527" s="23"/>
      <c r="K527" s="23"/>
      <c r="L527" s="23"/>
      <c r="M527" s="23"/>
      <c r="N527" s="23"/>
      <c r="O527" s="24"/>
      <c r="P527" s="16" t="b">
        <v>1</v>
      </c>
      <c r="Q527" s="24"/>
      <c r="R527" s="26">
        <v>6.0</v>
      </c>
      <c r="S527" s="26">
        <v>16.05</v>
      </c>
      <c r="T527" s="27" t="s">
        <v>453</v>
      </c>
      <c r="U527" s="24"/>
      <c r="V527" s="28"/>
      <c r="W527" s="29"/>
      <c r="X527" s="30"/>
      <c r="Y527" s="31"/>
      <c r="Z527" s="26">
        <f t="shared" si="5"/>
        <v>3.35</v>
      </c>
      <c r="AA527" s="26">
        <f t="shared" si="6"/>
        <v>5.025</v>
      </c>
      <c r="AB527" s="32">
        <f t="shared" si="7"/>
        <v>1.675</v>
      </c>
      <c r="AC527" s="32" t="str">
        <f t="shared" ref="AC527:AG527" si="531">IF(J527&lt;&gt;"", IF(AND($P527=FALSE, $A527=FALSE), -J527, IF(AND($P527=FALSE, $A527=TRUE), 0, IF($P527=TRUE, (J527 / $R527) * 100 * ($S527 / 100)-J527, ))), )</f>
        <v/>
      </c>
      <c r="AD527" s="32" t="str">
        <f t="shared" si="531"/>
        <v/>
      </c>
      <c r="AE527" s="32" t="str">
        <f t="shared" si="531"/>
        <v/>
      </c>
      <c r="AF527" s="32" t="str">
        <f t="shared" si="531"/>
        <v/>
      </c>
      <c r="AG527" s="32" t="str">
        <f t="shared" si="531"/>
        <v/>
      </c>
      <c r="AH527" s="33"/>
    </row>
    <row r="528" hidden="1" outlineLevel="3">
      <c r="A528" s="16" t="b">
        <v>0</v>
      </c>
      <c r="B528" s="17"/>
      <c r="C528" s="18"/>
      <c r="D528" s="34"/>
      <c r="E528" s="20"/>
      <c r="F528" s="19"/>
      <c r="G528" s="23"/>
      <c r="H528" s="23"/>
      <c r="I528" s="23"/>
      <c r="J528" s="23"/>
      <c r="K528" s="23"/>
      <c r="L528" s="23"/>
      <c r="M528" s="23"/>
      <c r="N528" s="23"/>
      <c r="O528" s="24"/>
      <c r="P528" s="16" t="b">
        <v>0</v>
      </c>
      <c r="Q528" s="24"/>
      <c r="R528" s="26"/>
      <c r="S528" s="26"/>
      <c r="T528" s="27"/>
      <c r="U528" s="24"/>
      <c r="V528" s="38" t="s">
        <v>29</v>
      </c>
      <c r="W528" s="29" t="s">
        <v>22</v>
      </c>
      <c r="X528" s="37" t="s">
        <v>180</v>
      </c>
      <c r="Y528" s="31"/>
      <c r="Z528" s="26" t="str">
        <f t="shared" si="5"/>
        <v/>
      </c>
      <c r="AA528" s="26" t="str">
        <f t="shared" si="6"/>
        <v/>
      </c>
      <c r="AB528" s="32" t="str">
        <f t="shared" si="7"/>
        <v/>
      </c>
      <c r="AC528" s="32" t="str">
        <f t="shared" ref="AC528:AG528" si="532">IF(J528&lt;&gt;"", IF(AND($P528=FALSE, $A528=FALSE), -J528, IF(AND($P528=FALSE, $A528=TRUE), 0, IF($P528=TRUE, (J528 / $R528) * 100 * ($S528 / 100)-J528, ))), )</f>
        <v/>
      </c>
      <c r="AD528" s="32" t="str">
        <f t="shared" si="532"/>
        <v/>
      </c>
      <c r="AE528" s="32" t="str">
        <f t="shared" si="532"/>
        <v/>
      </c>
      <c r="AF528" s="32" t="str">
        <f t="shared" si="532"/>
        <v/>
      </c>
      <c r="AG528" s="32" t="str">
        <f t="shared" si="532"/>
        <v/>
      </c>
      <c r="AH528" s="33"/>
    </row>
    <row r="529" hidden="1" outlineLevel="3">
      <c r="A529" s="16" t="b">
        <v>0</v>
      </c>
      <c r="B529" s="17"/>
      <c r="C529" s="18"/>
      <c r="D529" s="34"/>
      <c r="E529" s="20"/>
      <c r="F529" s="19"/>
      <c r="G529" s="23"/>
      <c r="H529" s="23"/>
      <c r="I529" s="23"/>
      <c r="J529" s="23"/>
      <c r="K529" s="23"/>
      <c r="L529" s="23"/>
      <c r="M529" s="23"/>
      <c r="N529" s="23"/>
      <c r="O529" s="24"/>
      <c r="P529" s="16" t="b">
        <v>0</v>
      </c>
      <c r="Q529" s="24"/>
      <c r="R529" s="26"/>
      <c r="S529" s="26"/>
      <c r="T529" s="27"/>
      <c r="U529" s="24"/>
      <c r="V529" s="38" t="s">
        <v>29</v>
      </c>
      <c r="W529" s="29" t="s">
        <v>22</v>
      </c>
      <c r="X529" s="37" t="s">
        <v>179</v>
      </c>
      <c r="Y529" s="31"/>
      <c r="Z529" s="26" t="str">
        <f t="shared" si="5"/>
        <v/>
      </c>
      <c r="AA529" s="26" t="str">
        <f t="shared" si="6"/>
        <v/>
      </c>
      <c r="AB529" s="32" t="str">
        <f t="shared" si="7"/>
        <v/>
      </c>
      <c r="AC529" s="32" t="str">
        <f t="shared" ref="AC529:AG529" si="533">IF(J529&lt;&gt;"", IF(AND($P529=FALSE, $A529=FALSE), -J529, IF(AND($P529=FALSE, $A529=TRUE), 0, IF($P529=TRUE, (J529 / $R529) * 100 * ($S529 / 100)-J529, ))), )</f>
        <v/>
      </c>
      <c r="AD529" s="32" t="str">
        <f t="shared" si="533"/>
        <v/>
      </c>
      <c r="AE529" s="32" t="str">
        <f t="shared" si="533"/>
        <v/>
      </c>
      <c r="AF529" s="32" t="str">
        <f t="shared" si="533"/>
        <v/>
      </c>
      <c r="AG529" s="32" t="str">
        <f t="shared" si="533"/>
        <v/>
      </c>
      <c r="AH529" s="33"/>
    </row>
    <row r="530" hidden="1" outlineLevel="3">
      <c r="A530" s="16" t="b">
        <v>0</v>
      </c>
      <c r="B530" s="17"/>
      <c r="C530" s="18"/>
      <c r="D530" s="34"/>
      <c r="E530" s="20"/>
      <c r="F530" s="19"/>
      <c r="G530" s="23"/>
      <c r="H530" s="23"/>
      <c r="I530" s="23"/>
      <c r="J530" s="23"/>
      <c r="K530" s="23"/>
      <c r="L530" s="23"/>
      <c r="M530" s="23"/>
      <c r="N530" s="23"/>
      <c r="O530" s="24"/>
      <c r="P530" s="16" t="b">
        <v>0</v>
      </c>
      <c r="Q530" s="24"/>
      <c r="R530" s="26"/>
      <c r="S530" s="26"/>
      <c r="T530" s="27"/>
      <c r="U530" s="24"/>
      <c r="V530" s="38" t="s">
        <v>29</v>
      </c>
      <c r="W530" s="29" t="s">
        <v>22</v>
      </c>
      <c r="X530" s="37" t="s">
        <v>220</v>
      </c>
      <c r="Y530" s="31"/>
      <c r="Z530" s="26" t="str">
        <f t="shared" si="5"/>
        <v/>
      </c>
      <c r="AA530" s="26" t="str">
        <f t="shared" si="6"/>
        <v/>
      </c>
      <c r="AB530" s="32" t="str">
        <f t="shared" si="7"/>
        <v/>
      </c>
      <c r="AC530" s="32" t="str">
        <f t="shared" ref="AC530:AG530" si="534">IF(J530&lt;&gt;"", IF(AND($P530=FALSE, $A530=FALSE), -J530, IF(AND($P530=FALSE, $A530=TRUE), 0, IF($P530=TRUE, (J530 / $R530) * 100 * ($S530 / 100)-J530, ))), )</f>
        <v/>
      </c>
      <c r="AD530" s="32" t="str">
        <f t="shared" si="534"/>
        <v/>
      </c>
      <c r="AE530" s="32" t="str">
        <f t="shared" si="534"/>
        <v/>
      </c>
      <c r="AF530" s="32" t="str">
        <f t="shared" si="534"/>
        <v/>
      </c>
      <c r="AG530" s="32" t="str">
        <f t="shared" si="534"/>
        <v/>
      </c>
      <c r="AH530" s="33"/>
    </row>
    <row r="531" hidden="1" outlineLevel="3">
      <c r="A531" s="16" t="b">
        <v>0</v>
      </c>
      <c r="B531" s="17"/>
      <c r="C531" s="18"/>
      <c r="D531" s="34"/>
      <c r="E531" s="20"/>
      <c r="F531" s="19"/>
      <c r="G531" s="23"/>
      <c r="H531" s="23"/>
      <c r="I531" s="23"/>
      <c r="J531" s="23"/>
      <c r="K531" s="23"/>
      <c r="L531" s="23"/>
      <c r="M531" s="23"/>
      <c r="N531" s="23"/>
      <c r="O531" s="24"/>
      <c r="P531" s="16" t="b">
        <v>0</v>
      </c>
      <c r="Q531" s="24"/>
      <c r="R531" s="26"/>
      <c r="S531" s="26"/>
      <c r="T531" s="27"/>
      <c r="U531" s="24"/>
      <c r="V531" s="38" t="s">
        <v>29</v>
      </c>
      <c r="W531" s="29" t="s">
        <v>22</v>
      </c>
      <c r="X531" s="37" t="s">
        <v>454</v>
      </c>
      <c r="Y531" s="31"/>
      <c r="Z531" s="26" t="str">
        <f t="shared" si="5"/>
        <v/>
      </c>
      <c r="AA531" s="26" t="str">
        <f t="shared" si="6"/>
        <v/>
      </c>
      <c r="AB531" s="32" t="str">
        <f t="shared" si="7"/>
        <v/>
      </c>
      <c r="AC531" s="32" t="str">
        <f t="shared" ref="AC531:AG531" si="535">IF(J531&lt;&gt;"", IF(AND($P531=FALSE, $A531=FALSE), -J531, IF(AND($P531=FALSE, $A531=TRUE), 0, IF($P531=TRUE, (J531 / $R531) * 100 * ($S531 / 100)-J531, ))), )</f>
        <v/>
      </c>
      <c r="AD531" s="32" t="str">
        <f t="shared" si="535"/>
        <v/>
      </c>
      <c r="AE531" s="32" t="str">
        <f t="shared" si="535"/>
        <v/>
      </c>
      <c r="AF531" s="32" t="str">
        <f t="shared" si="535"/>
        <v/>
      </c>
      <c r="AG531" s="32" t="str">
        <f t="shared" si="535"/>
        <v/>
      </c>
      <c r="AH531" s="33"/>
    </row>
    <row r="532" hidden="1" outlineLevel="2" collapsed="1">
      <c r="A532" s="16" t="b">
        <v>0</v>
      </c>
      <c r="B532" s="17"/>
      <c r="C532" s="18"/>
      <c r="D532" s="41">
        <v>45251.0</v>
      </c>
      <c r="E532" s="20" t="s">
        <v>60</v>
      </c>
      <c r="F532" s="21" t="s">
        <v>61</v>
      </c>
      <c r="G532" s="23">
        <v>2.0</v>
      </c>
      <c r="H532" s="23">
        <v>1.0</v>
      </c>
      <c r="I532" s="23">
        <v>2.0</v>
      </c>
      <c r="J532" s="23"/>
      <c r="K532" s="23"/>
      <c r="L532" s="23"/>
      <c r="M532" s="23"/>
      <c r="N532" s="23"/>
      <c r="O532" s="24"/>
      <c r="P532" s="16" t="b">
        <v>1</v>
      </c>
      <c r="Q532" s="24"/>
      <c r="R532" s="26">
        <v>5.0</v>
      </c>
      <c r="S532" s="26">
        <v>13.5</v>
      </c>
      <c r="T532" s="27" t="s">
        <v>100</v>
      </c>
      <c r="U532" s="24"/>
      <c r="V532" s="28"/>
      <c r="W532" s="29"/>
      <c r="X532" s="30"/>
      <c r="Y532" s="31"/>
      <c r="Z532" s="26">
        <f t="shared" si="5"/>
        <v>3.4</v>
      </c>
      <c r="AA532" s="26">
        <f t="shared" si="6"/>
        <v>3.4</v>
      </c>
      <c r="AB532" s="32">
        <f t="shared" si="7"/>
        <v>1.7</v>
      </c>
      <c r="AC532" s="32" t="str">
        <f t="shared" ref="AC532:AG532" si="536">IF(J532&lt;&gt;"", IF(AND($P532=FALSE, $A532=FALSE), -J532, IF(AND($P532=FALSE, $A532=TRUE), 0, IF($P532=TRUE, (J532 / $R532) * 100 * ($S532 / 100)-J532, ))), )</f>
        <v/>
      </c>
      <c r="AD532" s="32" t="str">
        <f t="shared" si="536"/>
        <v/>
      </c>
      <c r="AE532" s="32" t="str">
        <f t="shared" si="536"/>
        <v/>
      </c>
      <c r="AF532" s="32" t="str">
        <f t="shared" si="536"/>
        <v/>
      </c>
      <c r="AG532" s="32" t="str">
        <f t="shared" si="536"/>
        <v/>
      </c>
      <c r="AH532" s="33"/>
    </row>
    <row r="533" hidden="1" outlineLevel="3">
      <c r="A533" s="16" t="b">
        <v>0</v>
      </c>
      <c r="B533" s="17"/>
      <c r="C533" s="18"/>
      <c r="D533" s="34"/>
      <c r="E533" s="20"/>
      <c r="F533" s="19"/>
      <c r="G533" s="23"/>
      <c r="H533" s="23"/>
      <c r="I533" s="23"/>
      <c r="J533" s="23"/>
      <c r="K533" s="23"/>
      <c r="L533" s="23"/>
      <c r="M533" s="23"/>
      <c r="N533" s="23"/>
      <c r="O533" s="24"/>
      <c r="P533" s="16" t="b">
        <v>0</v>
      </c>
      <c r="Q533" s="24"/>
      <c r="R533" s="26"/>
      <c r="S533" s="26"/>
      <c r="T533" s="27"/>
      <c r="U533" s="24"/>
      <c r="V533" s="38" t="s">
        <v>29</v>
      </c>
      <c r="W533" s="29" t="s">
        <v>22</v>
      </c>
      <c r="X533" s="37" t="s">
        <v>455</v>
      </c>
      <c r="Y533" s="31"/>
      <c r="Z533" s="26" t="str">
        <f t="shared" si="5"/>
        <v/>
      </c>
      <c r="AA533" s="26" t="str">
        <f t="shared" si="6"/>
        <v/>
      </c>
      <c r="AB533" s="32" t="str">
        <f t="shared" si="7"/>
        <v/>
      </c>
      <c r="AC533" s="32" t="str">
        <f t="shared" ref="AC533:AG533" si="537">IF(J533&lt;&gt;"", IF(AND($P533=FALSE, $A533=FALSE), -J533, IF(AND($P533=FALSE, $A533=TRUE), 0, IF($P533=TRUE, (J533 / $R533) * 100 * ($S533 / 100)-J533, ))), )</f>
        <v/>
      </c>
      <c r="AD533" s="32" t="str">
        <f t="shared" si="537"/>
        <v/>
      </c>
      <c r="AE533" s="32" t="str">
        <f t="shared" si="537"/>
        <v/>
      </c>
      <c r="AF533" s="32" t="str">
        <f t="shared" si="537"/>
        <v/>
      </c>
      <c r="AG533" s="32" t="str">
        <f t="shared" si="537"/>
        <v/>
      </c>
      <c r="AH533" s="33"/>
    </row>
    <row r="534" hidden="1" outlineLevel="3">
      <c r="A534" s="16" t="b">
        <v>0</v>
      </c>
      <c r="B534" s="17"/>
      <c r="C534" s="18"/>
      <c r="D534" s="34"/>
      <c r="E534" s="20"/>
      <c r="F534" s="19"/>
      <c r="G534" s="23"/>
      <c r="H534" s="23"/>
      <c r="I534" s="23"/>
      <c r="J534" s="23"/>
      <c r="K534" s="23"/>
      <c r="L534" s="23"/>
      <c r="M534" s="23"/>
      <c r="N534" s="23"/>
      <c r="O534" s="24"/>
      <c r="P534" s="16" t="b">
        <v>0</v>
      </c>
      <c r="Q534" s="24"/>
      <c r="R534" s="26"/>
      <c r="S534" s="26"/>
      <c r="T534" s="27"/>
      <c r="U534" s="24"/>
      <c r="V534" s="38" t="s">
        <v>29</v>
      </c>
      <c r="W534" s="29" t="s">
        <v>22</v>
      </c>
      <c r="X534" s="37" t="s">
        <v>185</v>
      </c>
      <c r="Y534" s="31"/>
      <c r="Z534" s="26" t="str">
        <f t="shared" si="5"/>
        <v/>
      </c>
      <c r="AA534" s="26" t="str">
        <f t="shared" si="6"/>
        <v/>
      </c>
      <c r="AB534" s="32" t="str">
        <f t="shared" si="7"/>
        <v/>
      </c>
      <c r="AC534" s="32" t="str">
        <f t="shared" ref="AC534:AG534" si="538">IF(J534&lt;&gt;"", IF(AND($P534=FALSE, $A534=FALSE), -J534, IF(AND($P534=FALSE, $A534=TRUE), 0, IF($P534=TRUE, (J534 / $R534) * 100 * ($S534 / 100)-J534, ))), )</f>
        <v/>
      </c>
      <c r="AD534" s="32" t="str">
        <f t="shared" si="538"/>
        <v/>
      </c>
      <c r="AE534" s="32" t="str">
        <f t="shared" si="538"/>
        <v/>
      </c>
      <c r="AF534" s="32" t="str">
        <f t="shared" si="538"/>
        <v/>
      </c>
      <c r="AG534" s="32" t="str">
        <f t="shared" si="538"/>
        <v/>
      </c>
      <c r="AH534" s="33"/>
    </row>
    <row r="535" hidden="1" outlineLevel="2" collapsed="1">
      <c r="A535" s="16" t="b">
        <v>0</v>
      </c>
      <c r="B535" s="17"/>
      <c r="C535" s="18"/>
      <c r="D535" s="41">
        <v>45251.0</v>
      </c>
      <c r="E535" s="20" t="s">
        <v>60</v>
      </c>
      <c r="F535" s="21" t="s">
        <v>61</v>
      </c>
      <c r="G535" s="23">
        <v>2.0</v>
      </c>
      <c r="H535" s="23">
        <v>1.0</v>
      </c>
      <c r="I535" s="23">
        <v>3.0</v>
      </c>
      <c r="J535" s="23"/>
      <c r="K535" s="23"/>
      <c r="L535" s="23"/>
      <c r="M535" s="23"/>
      <c r="N535" s="23"/>
      <c r="O535" s="24"/>
      <c r="P535" s="16" t="b">
        <v>0</v>
      </c>
      <c r="Q535" s="24"/>
      <c r="R535" s="26">
        <v>6.0</v>
      </c>
      <c r="S535" s="26">
        <v>13.74</v>
      </c>
      <c r="T535" s="27" t="s">
        <v>245</v>
      </c>
      <c r="U535" s="24"/>
      <c r="V535" s="28"/>
      <c r="W535" s="29"/>
      <c r="X535" s="30"/>
      <c r="Y535" s="31"/>
      <c r="Z535" s="26">
        <f t="shared" si="5"/>
        <v>-2</v>
      </c>
      <c r="AA535" s="26">
        <f t="shared" si="6"/>
        <v>-3</v>
      </c>
      <c r="AB535" s="32">
        <f t="shared" si="7"/>
        <v>-1</v>
      </c>
      <c r="AC535" s="32" t="str">
        <f t="shared" ref="AC535:AG535" si="539">IF(J535&lt;&gt;"", IF(AND($P535=FALSE, $A535=FALSE), -J535, IF(AND($P535=FALSE, $A535=TRUE), 0, IF($P535=TRUE, (J535 / $R535) * 100 * ($S535 / 100)-J535, ))), )</f>
        <v/>
      </c>
      <c r="AD535" s="32" t="str">
        <f t="shared" si="539"/>
        <v/>
      </c>
      <c r="AE535" s="32" t="str">
        <f t="shared" si="539"/>
        <v/>
      </c>
      <c r="AF535" s="32" t="str">
        <f t="shared" si="539"/>
        <v/>
      </c>
      <c r="AG535" s="32" t="str">
        <f t="shared" si="539"/>
        <v/>
      </c>
      <c r="AH535" s="33"/>
    </row>
    <row r="536" hidden="1" outlineLevel="3">
      <c r="A536" s="16" t="b">
        <v>0</v>
      </c>
      <c r="B536" s="17"/>
      <c r="C536" s="18"/>
      <c r="D536" s="34"/>
      <c r="E536" s="20"/>
      <c r="F536" s="19"/>
      <c r="G536" s="23"/>
      <c r="H536" s="23"/>
      <c r="I536" s="23"/>
      <c r="J536" s="23"/>
      <c r="K536" s="23"/>
      <c r="L536" s="23"/>
      <c r="M536" s="23"/>
      <c r="N536" s="23"/>
      <c r="O536" s="24"/>
      <c r="P536" s="16" t="b">
        <v>0</v>
      </c>
      <c r="Q536" s="24"/>
      <c r="R536" s="26"/>
      <c r="S536" s="26"/>
      <c r="T536" s="27"/>
      <c r="U536" s="24"/>
      <c r="V536" s="38" t="s">
        <v>29</v>
      </c>
      <c r="W536" s="29" t="s">
        <v>22</v>
      </c>
      <c r="X536" s="37" t="s">
        <v>456</v>
      </c>
      <c r="Y536" s="31"/>
      <c r="Z536" s="26" t="str">
        <f t="shared" si="5"/>
        <v/>
      </c>
      <c r="AA536" s="26" t="str">
        <f t="shared" si="6"/>
        <v/>
      </c>
      <c r="AB536" s="32" t="str">
        <f t="shared" si="7"/>
        <v/>
      </c>
      <c r="AC536" s="32" t="str">
        <f t="shared" ref="AC536:AG536" si="540">IF(J536&lt;&gt;"", IF(AND($P536=FALSE, $A536=FALSE), -J536, IF(AND($P536=FALSE, $A536=TRUE), 0, IF($P536=TRUE, (J536 / $R536) * 100 * ($S536 / 100)-J536, ))), )</f>
        <v/>
      </c>
      <c r="AD536" s="32" t="str">
        <f t="shared" si="540"/>
        <v/>
      </c>
      <c r="AE536" s="32" t="str">
        <f t="shared" si="540"/>
        <v/>
      </c>
      <c r="AF536" s="32" t="str">
        <f t="shared" si="540"/>
        <v/>
      </c>
      <c r="AG536" s="32" t="str">
        <f t="shared" si="540"/>
        <v/>
      </c>
      <c r="AH536" s="33"/>
    </row>
    <row r="537" hidden="1" outlineLevel="3">
      <c r="A537" s="16" t="b">
        <v>0</v>
      </c>
      <c r="B537" s="17"/>
      <c r="C537" s="18"/>
      <c r="D537" s="34"/>
      <c r="E537" s="20"/>
      <c r="F537" s="19"/>
      <c r="G537" s="23"/>
      <c r="H537" s="23"/>
      <c r="I537" s="23"/>
      <c r="J537" s="23"/>
      <c r="K537" s="23"/>
      <c r="L537" s="23"/>
      <c r="M537" s="23"/>
      <c r="N537" s="23"/>
      <c r="O537" s="24"/>
      <c r="P537" s="16" t="b">
        <v>0</v>
      </c>
      <c r="Q537" s="24"/>
      <c r="R537" s="26"/>
      <c r="S537" s="26"/>
      <c r="T537" s="27"/>
      <c r="U537" s="24"/>
      <c r="V537" s="38" t="s">
        <v>29</v>
      </c>
      <c r="W537" s="29" t="s">
        <v>22</v>
      </c>
      <c r="X537" s="37" t="s">
        <v>232</v>
      </c>
      <c r="Y537" s="31"/>
      <c r="Z537" s="26" t="str">
        <f t="shared" si="5"/>
        <v/>
      </c>
      <c r="AA537" s="26" t="str">
        <f t="shared" si="6"/>
        <v/>
      </c>
      <c r="AB537" s="32" t="str">
        <f t="shared" si="7"/>
        <v/>
      </c>
      <c r="AC537" s="32" t="str">
        <f t="shared" ref="AC537:AG537" si="541">IF(J537&lt;&gt;"", IF(AND($P537=FALSE, $A537=FALSE), -J537, IF(AND($P537=FALSE, $A537=TRUE), 0, IF($P537=TRUE, (J537 / $R537) * 100 * ($S537 / 100)-J537, ))), )</f>
        <v/>
      </c>
      <c r="AD537" s="32" t="str">
        <f t="shared" si="541"/>
        <v/>
      </c>
      <c r="AE537" s="32" t="str">
        <f t="shared" si="541"/>
        <v/>
      </c>
      <c r="AF537" s="32" t="str">
        <f t="shared" si="541"/>
        <v/>
      </c>
      <c r="AG537" s="32" t="str">
        <f t="shared" si="541"/>
        <v/>
      </c>
      <c r="AH537" s="33"/>
    </row>
    <row r="538" hidden="1" outlineLevel="3">
      <c r="A538" s="16" t="b">
        <v>0</v>
      </c>
      <c r="B538" s="17"/>
      <c r="C538" s="18"/>
      <c r="D538" s="34"/>
      <c r="E538" s="20"/>
      <c r="F538" s="19"/>
      <c r="G538" s="23"/>
      <c r="H538" s="23"/>
      <c r="I538" s="23"/>
      <c r="J538" s="23"/>
      <c r="K538" s="23"/>
      <c r="L538" s="23"/>
      <c r="M538" s="23"/>
      <c r="N538" s="23"/>
      <c r="O538" s="24"/>
      <c r="P538" s="16" t="b">
        <v>0</v>
      </c>
      <c r="Q538" s="24"/>
      <c r="R538" s="26"/>
      <c r="S538" s="26"/>
      <c r="T538" s="27"/>
      <c r="U538" s="24"/>
      <c r="V538" s="28" t="s">
        <v>32</v>
      </c>
      <c r="W538" s="29" t="s">
        <v>22</v>
      </c>
      <c r="X538" s="37" t="s">
        <v>457</v>
      </c>
      <c r="Y538" s="31"/>
      <c r="Z538" s="26" t="str">
        <f t="shared" si="5"/>
        <v/>
      </c>
      <c r="AA538" s="26" t="str">
        <f t="shared" si="6"/>
        <v/>
      </c>
      <c r="AB538" s="32" t="str">
        <f t="shared" si="7"/>
        <v/>
      </c>
      <c r="AC538" s="32" t="str">
        <f t="shared" ref="AC538:AG538" si="542">IF(J538&lt;&gt;"", IF(AND($P538=FALSE, $A538=FALSE), -J538, IF(AND($P538=FALSE, $A538=TRUE), 0, IF($P538=TRUE, (J538 / $R538) * 100 * ($S538 / 100)-J538, ))), )</f>
        <v/>
      </c>
      <c r="AD538" s="32" t="str">
        <f t="shared" si="542"/>
        <v/>
      </c>
      <c r="AE538" s="32" t="str">
        <f t="shared" si="542"/>
        <v/>
      </c>
      <c r="AF538" s="32" t="str">
        <f t="shared" si="542"/>
        <v/>
      </c>
      <c r="AG538" s="32" t="str">
        <f t="shared" si="542"/>
        <v/>
      </c>
      <c r="AH538" s="33"/>
    </row>
    <row r="539" hidden="1" outlineLevel="2" collapsed="1">
      <c r="A539" s="16" t="b">
        <v>0</v>
      </c>
      <c r="B539" s="17"/>
      <c r="C539" s="18"/>
      <c r="D539" s="41">
        <v>45251.0</v>
      </c>
      <c r="E539" s="20" t="s">
        <v>60</v>
      </c>
      <c r="F539" s="21" t="s">
        <v>61</v>
      </c>
      <c r="G539" s="23">
        <v>2.0</v>
      </c>
      <c r="H539" s="23">
        <v>1.0</v>
      </c>
      <c r="I539" s="23">
        <v>3.0</v>
      </c>
      <c r="J539" s="23"/>
      <c r="K539" s="23"/>
      <c r="L539" s="23"/>
      <c r="M539" s="23"/>
      <c r="N539" s="23"/>
      <c r="O539" s="24"/>
      <c r="P539" s="16" t="b">
        <v>0</v>
      </c>
      <c r="Q539" s="24"/>
      <c r="R539" s="26">
        <v>6.0</v>
      </c>
      <c r="S539" s="26">
        <v>16.0</v>
      </c>
      <c r="T539" s="27" t="s">
        <v>458</v>
      </c>
      <c r="U539" s="24"/>
      <c r="V539" s="28"/>
      <c r="W539" s="29"/>
      <c r="X539" s="30"/>
      <c r="Y539" s="31"/>
      <c r="Z539" s="26">
        <f t="shared" si="5"/>
        <v>-2</v>
      </c>
      <c r="AA539" s="26">
        <f t="shared" si="6"/>
        <v>-3</v>
      </c>
      <c r="AB539" s="32">
        <f t="shared" si="7"/>
        <v>-1</v>
      </c>
      <c r="AC539" s="32" t="str">
        <f t="shared" ref="AC539:AG539" si="543">IF(J539&lt;&gt;"", IF(AND($P539=FALSE, $A539=FALSE), -J539, IF(AND($P539=FALSE, $A539=TRUE), 0, IF($P539=TRUE, (J539 / $R539) * 100 * ($S539 / 100)-J539, ))), )</f>
        <v/>
      </c>
      <c r="AD539" s="32" t="str">
        <f t="shared" si="543"/>
        <v/>
      </c>
      <c r="AE539" s="32" t="str">
        <f t="shared" si="543"/>
        <v/>
      </c>
      <c r="AF539" s="32" t="str">
        <f t="shared" si="543"/>
        <v/>
      </c>
      <c r="AG539" s="32" t="str">
        <f t="shared" si="543"/>
        <v/>
      </c>
      <c r="AH539" s="33"/>
    </row>
    <row r="540" hidden="1" outlineLevel="3">
      <c r="A540" s="16" t="b">
        <v>0</v>
      </c>
      <c r="B540" s="17"/>
      <c r="C540" s="18"/>
      <c r="D540" s="34"/>
      <c r="E540" s="20"/>
      <c r="F540" s="19"/>
      <c r="G540" s="23"/>
      <c r="H540" s="23"/>
      <c r="I540" s="23"/>
      <c r="J540" s="23"/>
      <c r="K540" s="23"/>
      <c r="L540" s="23"/>
      <c r="M540" s="23"/>
      <c r="N540" s="23"/>
      <c r="O540" s="24"/>
      <c r="P540" s="16" t="b">
        <v>0</v>
      </c>
      <c r="Q540" s="24"/>
      <c r="R540" s="26"/>
      <c r="S540" s="26"/>
      <c r="T540" s="27"/>
      <c r="U540" s="24"/>
      <c r="V540" s="28" t="s">
        <v>32</v>
      </c>
      <c r="W540" s="29" t="s">
        <v>22</v>
      </c>
      <c r="X540" s="37" t="s">
        <v>212</v>
      </c>
      <c r="Y540" s="31"/>
      <c r="Z540" s="26" t="str">
        <f t="shared" si="5"/>
        <v/>
      </c>
      <c r="AA540" s="26" t="str">
        <f t="shared" si="6"/>
        <v/>
      </c>
      <c r="AB540" s="32" t="str">
        <f t="shared" si="7"/>
        <v/>
      </c>
      <c r="AC540" s="32" t="str">
        <f t="shared" ref="AC540:AG540" si="544">IF(J540&lt;&gt;"", IF(AND($P540=FALSE, $A540=FALSE), -J540, IF(AND($P540=FALSE, $A540=TRUE), 0, IF($P540=TRUE, (J540 / $R540) * 100 * ($S540 / 100)-J540, ))), )</f>
        <v/>
      </c>
      <c r="AD540" s="32" t="str">
        <f t="shared" si="544"/>
        <v/>
      </c>
      <c r="AE540" s="32" t="str">
        <f t="shared" si="544"/>
        <v/>
      </c>
      <c r="AF540" s="32" t="str">
        <f t="shared" si="544"/>
        <v/>
      </c>
      <c r="AG540" s="32" t="str">
        <f t="shared" si="544"/>
        <v/>
      </c>
      <c r="AH540" s="33"/>
    </row>
    <row r="541" hidden="1" outlineLevel="3">
      <c r="A541" s="16" t="b">
        <v>0</v>
      </c>
      <c r="B541" s="17"/>
      <c r="C541" s="18"/>
      <c r="D541" s="34"/>
      <c r="E541" s="20"/>
      <c r="F541" s="19"/>
      <c r="G541" s="23"/>
      <c r="H541" s="23"/>
      <c r="I541" s="23"/>
      <c r="J541" s="23"/>
      <c r="K541" s="23"/>
      <c r="L541" s="23"/>
      <c r="M541" s="23"/>
      <c r="N541" s="23"/>
      <c r="O541" s="24"/>
      <c r="P541" s="16" t="b">
        <v>0</v>
      </c>
      <c r="Q541" s="24"/>
      <c r="R541" s="26"/>
      <c r="S541" s="26"/>
      <c r="T541" s="27"/>
      <c r="U541" s="24"/>
      <c r="V541" s="28" t="s">
        <v>32</v>
      </c>
      <c r="W541" s="29" t="s">
        <v>22</v>
      </c>
      <c r="X541" s="37" t="s">
        <v>195</v>
      </c>
      <c r="Y541" s="31"/>
      <c r="Z541" s="26" t="str">
        <f t="shared" si="5"/>
        <v/>
      </c>
      <c r="AA541" s="26" t="str">
        <f t="shared" si="6"/>
        <v/>
      </c>
      <c r="AB541" s="32" t="str">
        <f t="shared" si="7"/>
        <v/>
      </c>
      <c r="AC541" s="32" t="str">
        <f t="shared" ref="AC541:AG541" si="545">IF(J541&lt;&gt;"", IF(AND($P541=FALSE, $A541=FALSE), -J541, IF(AND($P541=FALSE, $A541=TRUE), 0, IF($P541=TRUE, (J541 / $R541) * 100 * ($S541 / 100)-J541, ))), )</f>
        <v/>
      </c>
      <c r="AD541" s="32" t="str">
        <f t="shared" si="545"/>
        <v/>
      </c>
      <c r="AE541" s="32" t="str">
        <f t="shared" si="545"/>
        <v/>
      </c>
      <c r="AF541" s="32" t="str">
        <f t="shared" si="545"/>
        <v/>
      </c>
      <c r="AG541" s="32" t="str">
        <f t="shared" si="545"/>
        <v/>
      </c>
      <c r="AH541" s="33"/>
    </row>
    <row r="542" hidden="1" outlineLevel="3">
      <c r="A542" s="16" t="b">
        <v>0</v>
      </c>
      <c r="B542" s="17"/>
      <c r="C542" s="18"/>
      <c r="D542" s="34"/>
      <c r="E542" s="20"/>
      <c r="F542" s="19"/>
      <c r="G542" s="23"/>
      <c r="H542" s="23"/>
      <c r="I542" s="23"/>
      <c r="J542" s="23"/>
      <c r="K542" s="23"/>
      <c r="L542" s="23"/>
      <c r="M542" s="23"/>
      <c r="N542" s="23"/>
      <c r="O542" s="24"/>
      <c r="P542" s="16" t="b">
        <v>0</v>
      </c>
      <c r="Q542" s="24"/>
      <c r="R542" s="26"/>
      <c r="S542" s="26"/>
      <c r="T542" s="27"/>
      <c r="U542" s="24"/>
      <c r="V542" s="38" t="s">
        <v>29</v>
      </c>
      <c r="W542" s="29" t="s">
        <v>22</v>
      </c>
      <c r="X542" s="37" t="s">
        <v>459</v>
      </c>
      <c r="Y542" s="31"/>
      <c r="Z542" s="26" t="str">
        <f t="shared" si="5"/>
        <v/>
      </c>
      <c r="AA542" s="26" t="str">
        <f t="shared" si="6"/>
        <v/>
      </c>
      <c r="AB542" s="32" t="str">
        <f t="shared" si="7"/>
        <v/>
      </c>
      <c r="AC542" s="32" t="str">
        <f t="shared" ref="AC542:AG542" si="546">IF(J542&lt;&gt;"", IF(AND($P542=FALSE, $A542=FALSE), -J542, IF(AND($P542=FALSE, $A542=TRUE), 0, IF($P542=TRUE, (J542 / $R542) * 100 * ($S542 / 100)-J542, ))), )</f>
        <v/>
      </c>
      <c r="AD542" s="32" t="str">
        <f t="shared" si="546"/>
        <v/>
      </c>
      <c r="AE542" s="32" t="str">
        <f t="shared" si="546"/>
        <v/>
      </c>
      <c r="AF542" s="32" t="str">
        <f t="shared" si="546"/>
        <v/>
      </c>
      <c r="AG542" s="32" t="str">
        <f t="shared" si="546"/>
        <v/>
      </c>
      <c r="AH542" s="33"/>
    </row>
    <row r="543" hidden="1" outlineLevel="3">
      <c r="A543" s="16" t="b">
        <v>0</v>
      </c>
      <c r="B543" s="17"/>
      <c r="C543" s="18"/>
      <c r="D543" s="34"/>
      <c r="E543" s="20"/>
      <c r="F543" s="19"/>
      <c r="G543" s="23"/>
      <c r="H543" s="23"/>
      <c r="I543" s="23"/>
      <c r="J543" s="23"/>
      <c r="K543" s="23"/>
      <c r="L543" s="23"/>
      <c r="M543" s="23"/>
      <c r="N543" s="23"/>
      <c r="O543" s="24"/>
      <c r="P543" s="16" t="b">
        <v>0</v>
      </c>
      <c r="Q543" s="24"/>
      <c r="R543" s="26"/>
      <c r="S543" s="26"/>
      <c r="T543" s="27"/>
      <c r="U543" s="24"/>
      <c r="V543" s="28" t="s">
        <v>32</v>
      </c>
      <c r="W543" s="29" t="s">
        <v>22</v>
      </c>
      <c r="X543" s="37" t="s">
        <v>460</v>
      </c>
      <c r="Y543" s="31"/>
      <c r="Z543" s="26" t="str">
        <f t="shared" si="5"/>
        <v/>
      </c>
      <c r="AA543" s="26" t="str">
        <f t="shared" si="6"/>
        <v/>
      </c>
      <c r="AB543" s="32" t="str">
        <f t="shared" si="7"/>
        <v/>
      </c>
      <c r="AC543" s="32" t="str">
        <f t="shared" ref="AC543:AG543" si="547">IF(J543&lt;&gt;"", IF(AND($P543=FALSE, $A543=FALSE), -J543, IF(AND($P543=FALSE, $A543=TRUE), 0, IF($P543=TRUE, (J543 / $R543) * 100 * ($S543 / 100)-J543, ))), )</f>
        <v/>
      </c>
      <c r="AD543" s="32" t="str">
        <f t="shared" si="547"/>
        <v/>
      </c>
      <c r="AE543" s="32" t="str">
        <f t="shared" si="547"/>
        <v/>
      </c>
      <c r="AF543" s="32" t="str">
        <f t="shared" si="547"/>
        <v/>
      </c>
      <c r="AG543" s="32" t="str">
        <f t="shared" si="547"/>
        <v/>
      </c>
      <c r="AH543" s="33"/>
    </row>
    <row r="544" hidden="1" outlineLevel="2">
      <c r="A544" s="16" t="b">
        <v>0</v>
      </c>
      <c r="B544" s="17"/>
      <c r="C544" s="18"/>
      <c r="D544" s="41">
        <v>45251.0</v>
      </c>
      <c r="E544" s="20" t="s">
        <v>60</v>
      </c>
      <c r="F544" s="21" t="s">
        <v>61</v>
      </c>
      <c r="G544" s="23">
        <v>2.0</v>
      </c>
      <c r="H544" s="23">
        <v>1.0</v>
      </c>
      <c r="I544" s="23">
        <v>3.0</v>
      </c>
      <c r="J544" s="23"/>
      <c r="K544" s="23"/>
      <c r="L544" s="23"/>
      <c r="M544" s="23"/>
      <c r="N544" s="23"/>
      <c r="O544" s="24"/>
      <c r="P544" s="16" t="b">
        <v>0</v>
      </c>
      <c r="Q544" s="24"/>
      <c r="R544" s="26">
        <v>6.0</v>
      </c>
      <c r="S544" s="26">
        <v>15.0</v>
      </c>
      <c r="T544" s="27" t="s">
        <v>44</v>
      </c>
      <c r="U544" s="24"/>
      <c r="V544" s="28"/>
      <c r="W544" s="29"/>
      <c r="X544" s="30"/>
      <c r="Y544" s="31"/>
      <c r="Z544" s="26">
        <f t="shared" si="5"/>
        <v>-2</v>
      </c>
      <c r="AA544" s="26">
        <f t="shared" si="6"/>
        <v>-3</v>
      </c>
      <c r="AB544" s="32">
        <f t="shared" si="7"/>
        <v>-1</v>
      </c>
      <c r="AC544" s="32" t="str">
        <f t="shared" ref="AC544:AG544" si="548">IF(J544&lt;&gt;"", IF(AND($P544=FALSE, $A544=FALSE), -J544, IF(AND($P544=FALSE, $A544=TRUE), 0, IF($P544=TRUE, (J544 / $R544) * 100 * ($S544 / 100)-J544, ))), )</f>
        <v/>
      </c>
      <c r="AD544" s="32" t="str">
        <f t="shared" si="548"/>
        <v/>
      </c>
      <c r="AE544" s="32" t="str">
        <f t="shared" si="548"/>
        <v/>
      </c>
      <c r="AF544" s="32" t="str">
        <f t="shared" si="548"/>
        <v/>
      </c>
      <c r="AG544" s="32" t="str">
        <f t="shared" si="548"/>
        <v/>
      </c>
      <c r="AH544" s="33"/>
    </row>
    <row r="545" hidden="1" outlineLevel="3">
      <c r="A545" s="16" t="b">
        <v>0</v>
      </c>
      <c r="B545" s="17"/>
      <c r="C545" s="18"/>
      <c r="D545" s="34"/>
      <c r="E545" s="20"/>
      <c r="F545" s="19"/>
      <c r="G545" s="23"/>
      <c r="H545" s="23"/>
      <c r="I545" s="23"/>
      <c r="J545" s="23"/>
      <c r="K545" s="23"/>
      <c r="L545" s="23"/>
      <c r="M545" s="23"/>
      <c r="N545" s="23"/>
      <c r="O545" s="24"/>
      <c r="P545" s="16" t="b">
        <v>0</v>
      </c>
      <c r="Q545" s="24"/>
      <c r="R545" s="26"/>
      <c r="S545" s="26"/>
      <c r="T545" s="27"/>
      <c r="U545" s="24"/>
      <c r="V545" s="38" t="s">
        <v>29</v>
      </c>
      <c r="W545" s="29" t="s">
        <v>22</v>
      </c>
      <c r="X545" s="37" t="s">
        <v>456</v>
      </c>
      <c r="Y545" s="31"/>
      <c r="Z545" s="26" t="str">
        <f t="shared" si="5"/>
        <v/>
      </c>
      <c r="AA545" s="26" t="str">
        <f t="shared" si="6"/>
        <v/>
      </c>
      <c r="AB545" s="32" t="str">
        <f t="shared" si="7"/>
        <v/>
      </c>
      <c r="AC545" s="32" t="str">
        <f t="shared" ref="AC545:AG545" si="549">IF(J545&lt;&gt;"", IF(AND($P545=FALSE, $A545=FALSE), -J545, IF(AND($P545=FALSE, $A545=TRUE), 0, IF($P545=TRUE, (J545 / $R545) * 100 * ($S545 / 100)-J545, ))), )</f>
        <v/>
      </c>
      <c r="AD545" s="32" t="str">
        <f t="shared" si="549"/>
        <v/>
      </c>
      <c r="AE545" s="32" t="str">
        <f t="shared" si="549"/>
        <v/>
      </c>
      <c r="AF545" s="32" t="str">
        <f t="shared" si="549"/>
        <v/>
      </c>
      <c r="AG545" s="32" t="str">
        <f t="shared" si="549"/>
        <v/>
      </c>
      <c r="AH545" s="33"/>
    </row>
    <row r="546" hidden="1" outlineLevel="3">
      <c r="A546" s="16" t="b">
        <v>0</v>
      </c>
      <c r="B546" s="17"/>
      <c r="C546" s="18"/>
      <c r="D546" s="34"/>
      <c r="E546" s="20"/>
      <c r="F546" s="19"/>
      <c r="G546" s="23"/>
      <c r="H546" s="23"/>
      <c r="I546" s="23"/>
      <c r="J546" s="23"/>
      <c r="K546" s="23"/>
      <c r="L546" s="23"/>
      <c r="M546" s="23"/>
      <c r="N546" s="23"/>
      <c r="O546" s="24"/>
      <c r="P546" s="16" t="b">
        <v>0</v>
      </c>
      <c r="Q546" s="24"/>
      <c r="R546" s="26"/>
      <c r="S546" s="26"/>
      <c r="T546" s="27"/>
      <c r="U546" s="24"/>
      <c r="V546" s="38" t="s">
        <v>29</v>
      </c>
      <c r="W546" s="29" t="s">
        <v>22</v>
      </c>
      <c r="X546" s="37" t="s">
        <v>461</v>
      </c>
      <c r="Y546" s="31"/>
      <c r="Z546" s="26" t="str">
        <f t="shared" si="5"/>
        <v/>
      </c>
      <c r="AA546" s="26" t="str">
        <f t="shared" si="6"/>
        <v/>
      </c>
      <c r="AB546" s="32" t="str">
        <f t="shared" si="7"/>
        <v/>
      </c>
      <c r="AC546" s="32" t="str">
        <f t="shared" ref="AC546:AG546" si="550">IF(J546&lt;&gt;"", IF(AND($P546=FALSE, $A546=FALSE), -J546, IF(AND($P546=FALSE, $A546=TRUE), 0, IF($P546=TRUE, (J546 / $R546) * 100 * ($S546 / 100)-J546, ))), )</f>
        <v/>
      </c>
      <c r="AD546" s="32" t="str">
        <f t="shared" si="550"/>
        <v/>
      </c>
      <c r="AE546" s="32" t="str">
        <f t="shared" si="550"/>
        <v/>
      </c>
      <c r="AF546" s="32" t="str">
        <f t="shared" si="550"/>
        <v/>
      </c>
      <c r="AG546" s="32" t="str">
        <f t="shared" si="550"/>
        <v/>
      </c>
      <c r="AH546" s="33"/>
    </row>
    <row r="547" hidden="1" outlineLevel="3">
      <c r="A547" s="16" t="b">
        <v>0</v>
      </c>
      <c r="B547" s="17"/>
      <c r="C547" s="18"/>
      <c r="D547" s="34"/>
      <c r="E547" s="20"/>
      <c r="F547" s="19"/>
      <c r="G547" s="23"/>
      <c r="H547" s="23"/>
      <c r="I547" s="23"/>
      <c r="J547" s="23"/>
      <c r="K547" s="23"/>
      <c r="L547" s="23"/>
      <c r="M547" s="23"/>
      <c r="N547" s="23"/>
      <c r="O547" s="24"/>
      <c r="P547" s="16" t="b">
        <v>0</v>
      </c>
      <c r="Q547" s="24"/>
      <c r="R547" s="26"/>
      <c r="S547" s="26"/>
      <c r="T547" s="27"/>
      <c r="U547" s="24"/>
      <c r="V547" s="28" t="s">
        <v>32</v>
      </c>
      <c r="W547" s="29" t="s">
        <v>22</v>
      </c>
      <c r="X547" s="37" t="s">
        <v>212</v>
      </c>
      <c r="Y547" s="31"/>
      <c r="Z547" s="26" t="str">
        <f t="shared" si="5"/>
        <v/>
      </c>
      <c r="AA547" s="26" t="str">
        <f t="shared" si="6"/>
        <v/>
      </c>
      <c r="AB547" s="32" t="str">
        <f t="shared" si="7"/>
        <v/>
      </c>
      <c r="AC547" s="32" t="str">
        <f t="shared" ref="AC547:AG547" si="551">IF(J547&lt;&gt;"", IF(AND($P547=FALSE, $A547=FALSE), -J547, IF(AND($P547=FALSE, $A547=TRUE), 0, IF($P547=TRUE, (J547 / $R547) * 100 * ($S547 / 100)-J547, ))), )</f>
        <v/>
      </c>
      <c r="AD547" s="32" t="str">
        <f t="shared" si="551"/>
        <v/>
      </c>
      <c r="AE547" s="32" t="str">
        <f t="shared" si="551"/>
        <v/>
      </c>
      <c r="AF547" s="32" t="str">
        <f t="shared" si="551"/>
        <v/>
      </c>
      <c r="AG547" s="32" t="str">
        <f t="shared" si="551"/>
        <v/>
      </c>
      <c r="AH547" s="33"/>
    </row>
    <row r="548" hidden="1" outlineLevel="1" collapsed="1">
      <c r="A548" s="16" t="b">
        <v>0</v>
      </c>
      <c r="B548" s="17"/>
      <c r="C548" s="18"/>
      <c r="D548" s="41">
        <v>45252.0</v>
      </c>
      <c r="E548" s="20" t="s">
        <v>60</v>
      </c>
      <c r="F548" s="21" t="s">
        <v>61</v>
      </c>
      <c r="G548" s="23">
        <v>3.0</v>
      </c>
      <c r="H548" s="23">
        <v>1.5</v>
      </c>
      <c r="I548" s="23">
        <v>3.0</v>
      </c>
      <c r="J548" s="23"/>
      <c r="K548" s="23"/>
      <c r="L548" s="23"/>
      <c r="M548" s="23"/>
      <c r="N548" s="23"/>
      <c r="O548" s="24"/>
      <c r="P548" s="16" t="b">
        <v>1</v>
      </c>
      <c r="Q548" s="24"/>
      <c r="R548" s="26">
        <v>7.5</v>
      </c>
      <c r="S548" s="26">
        <v>18.03</v>
      </c>
      <c r="T548" s="27" t="s">
        <v>392</v>
      </c>
      <c r="U548" s="24"/>
      <c r="V548" s="28"/>
      <c r="W548" s="29"/>
      <c r="X548" s="30"/>
      <c r="Y548" s="31"/>
      <c r="Z548" s="26">
        <f t="shared" si="5"/>
        <v>4.212</v>
      </c>
      <c r="AA548" s="26">
        <f t="shared" si="6"/>
        <v>4.212</v>
      </c>
      <c r="AB548" s="32">
        <f t="shared" si="7"/>
        <v>2.106</v>
      </c>
      <c r="AC548" s="32" t="str">
        <f t="shared" ref="AC548:AG548" si="552">IF(J548&lt;&gt;"", IF(AND($P548=FALSE, $A548=FALSE), -J548, IF(AND($P548=FALSE, $A548=TRUE), 0, IF($P548=TRUE, (J548 / $R548) * 100 * ($S548 / 100)-J548, ))), )</f>
        <v/>
      </c>
      <c r="AD548" s="32" t="str">
        <f t="shared" si="552"/>
        <v/>
      </c>
      <c r="AE548" s="32" t="str">
        <f t="shared" si="552"/>
        <v/>
      </c>
      <c r="AF548" s="32" t="str">
        <f t="shared" si="552"/>
        <v/>
      </c>
      <c r="AG548" s="32" t="str">
        <f t="shared" si="552"/>
        <v/>
      </c>
      <c r="AH548" s="33"/>
    </row>
    <row r="549" hidden="1" outlineLevel="3">
      <c r="A549" s="16" t="b">
        <v>0</v>
      </c>
      <c r="B549" s="17"/>
      <c r="C549" s="18"/>
      <c r="D549" s="34"/>
      <c r="E549" s="20"/>
      <c r="F549" s="19"/>
      <c r="G549" s="23"/>
      <c r="H549" s="23"/>
      <c r="I549" s="23"/>
      <c r="J549" s="23"/>
      <c r="K549" s="23"/>
      <c r="L549" s="23"/>
      <c r="M549" s="23"/>
      <c r="N549" s="23"/>
      <c r="O549" s="24"/>
      <c r="P549" s="16" t="b">
        <v>0</v>
      </c>
      <c r="Q549" s="24"/>
      <c r="R549" s="26"/>
      <c r="S549" s="26"/>
      <c r="T549" s="27"/>
      <c r="U549" s="24"/>
      <c r="V549" s="38" t="s">
        <v>29</v>
      </c>
      <c r="W549" s="29" t="s">
        <v>22</v>
      </c>
      <c r="X549" s="37" t="s">
        <v>239</v>
      </c>
      <c r="Y549" s="31"/>
      <c r="Z549" s="26" t="str">
        <f t="shared" si="5"/>
        <v/>
      </c>
      <c r="AA549" s="26" t="str">
        <f t="shared" si="6"/>
        <v/>
      </c>
      <c r="AB549" s="32" t="str">
        <f t="shared" si="7"/>
        <v/>
      </c>
      <c r="AC549" s="32" t="str">
        <f t="shared" ref="AC549:AG549" si="553">IF(J549&lt;&gt;"", IF(AND($P549=FALSE, $A549=FALSE), -J549, IF(AND($P549=FALSE, $A549=TRUE), 0, IF($P549=TRUE, (J549 / $R549) * 100 * ($S549 / 100)-J549, ))), )</f>
        <v/>
      </c>
      <c r="AD549" s="32" t="str">
        <f t="shared" si="553"/>
        <v/>
      </c>
      <c r="AE549" s="32" t="str">
        <f t="shared" si="553"/>
        <v/>
      </c>
      <c r="AF549" s="32" t="str">
        <f t="shared" si="553"/>
        <v/>
      </c>
      <c r="AG549" s="32" t="str">
        <f t="shared" si="553"/>
        <v/>
      </c>
      <c r="AH549" s="33"/>
    </row>
    <row r="550" hidden="1" outlineLevel="3">
      <c r="A550" s="16" t="b">
        <v>0</v>
      </c>
      <c r="B550" s="17"/>
      <c r="C550" s="18"/>
      <c r="D550" s="34"/>
      <c r="E550" s="20"/>
      <c r="F550" s="19"/>
      <c r="G550" s="23"/>
      <c r="H550" s="23"/>
      <c r="I550" s="23"/>
      <c r="J550" s="23"/>
      <c r="K550" s="23"/>
      <c r="L550" s="23"/>
      <c r="M550" s="23"/>
      <c r="N550" s="23"/>
      <c r="O550" s="24"/>
      <c r="P550" s="16" t="b">
        <v>0</v>
      </c>
      <c r="Q550" s="24"/>
      <c r="R550" s="26"/>
      <c r="S550" s="26"/>
      <c r="T550" s="27"/>
      <c r="U550" s="24"/>
      <c r="V550" s="38" t="s">
        <v>29</v>
      </c>
      <c r="W550" s="29" t="s">
        <v>22</v>
      </c>
      <c r="X550" s="37" t="s">
        <v>217</v>
      </c>
      <c r="Y550" s="31"/>
      <c r="Z550" s="26" t="str">
        <f t="shared" si="5"/>
        <v/>
      </c>
      <c r="AA550" s="26" t="str">
        <f t="shared" si="6"/>
        <v/>
      </c>
      <c r="AB550" s="32" t="str">
        <f t="shared" si="7"/>
        <v/>
      </c>
      <c r="AC550" s="32" t="str">
        <f t="shared" ref="AC550:AG550" si="554">IF(J550&lt;&gt;"", IF(AND($P550=FALSE, $A550=FALSE), -J550, IF(AND($P550=FALSE, $A550=TRUE), 0, IF($P550=TRUE, (J550 / $R550) * 100 * ($S550 / 100)-J550, ))), )</f>
        <v/>
      </c>
      <c r="AD550" s="32" t="str">
        <f t="shared" si="554"/>
        <v/>
      </c>
      <c r="AE550" s="32" t="str">
        <f t="shared" si="554"/>
        <v/>
      </c>
      <c r="AF550" s="32" t="str">
        <f t="shared" si="554"/>
        <v/>
      </c>
      <c r="AG550" s="32" t="str">
        <f t="shared" si="554"/>
        <v/>
      </c>
      <c r="AH550" s="33"/>
    </row>
    <row r="551" hidden="1" outlineLevel="3">
      <c r="A551" s="16" t="b">
        <v>0</v>
      </c>
      <c r="B551" s="17"/>
      <c r="C551" s="18"/>
      <c r="D551" s="34"/>
      <c r="E551" s="20"/>
      <c r="F551" s="19"/>
      <c r="G551" s="23"/>
      <c r="H551" s="23"/>
      <c r="I551" s="23"/>
      <c r="J551" s="23"/>
      <c r="K551" s="23"/>
      <c r="L551" s="23"/>
      <c r="M551" s="23"/>
      <c r="N551" s="23"/>
      <c r="O551" s="24"/>
      <c r="P551" s="16" t="b">
        <v>0</v>
      </c>
      <c r="Q551" s="24"/>
      <c r="R551" s="26"/>
      <c r="S551" s="26"/>
      <c r="T551" s="27"/>
      <c r="U551" s="24"/>
      <c r="V551" s="38" t="s">
        <v>29</v>
      </c>
      <c r="W551" s="29" t="s">
        <v>22</v>
      </c>
      <c r="X551" s="37" t="s">
        <v>216</v>
      </c>
      <c r="Y551" s="31"/>
      <c r="Z551" s="26" t="str">
        <f t="shared" si="5"/>
        <v/>
      </c>
      <c r="AA551" s="26" t="str">
        <f t="shared" si="6"/>
        <v/>
      </c>
      <c r="AB551" s="32" t="str">
        <f t="shared" si="7"/>
        <v/>
      </c>
      <c r="AC551" s="32" t="str">
        <f t="shared" ref="AC551:AG551" si="555">IF(J551&lt;&gt;"", IF(AND($P551=FALSE, $A551=FALSE), -J551, IF(AND($P551=FALSE, $A551=TRUE), 0, IF($P551=TRUE, (J551 / $R551) * 100 * ($S551 / 100)-J551, ))), )</f>
        <v/>
      </c>
      <c r="AD551" s="32" t="str">
        <f t="shared" si="555"/>
        <v/>
      </c>
      <c r="AE551" s="32" t="str">
        <f t="shared" si="555"/>
        <v/>
      </c>
      <c r="AF551" s="32" t="str">
        <f t="shared" si="555"/>
        <v/>
      </c>
      <c r="AG551" s="32" t="str">
        <f t="shared" si="555"/>
        <v/>
      </c>
      <c r="AH551" s="33"/>
    </row>
    <row r="552" hidden="1" outlineLevel="3">
      <c r="A552" s="16" t="b">
        <v>0</v>
      </c>
      <c r="B552" s="17"/>
      <c r="C552" s="18"/>
      <c r="D552" s="34"/>
      <c r="E552" s="20"/>
      <c r="F552" s="19"/>
      <c r="G552" s="23"/>
      <c r="H552" s="23"/>
      <c r="I552" s="23"/>
      <c r="J552" s="23"/>
      <c r="K552" s="23"/>
      <c r="L552" s="23"/>
      <c r="M552" s="23"/>
      <c r="N552" s="23"/>
      <c r="O552" s="24"/>
      <c r="P552" s="16" t="b">
        <v>0</v>
      </c>
      <c r="Q552" s="24"/>
      <c r="R552" s="26"/>
      <c r="S552" s="26"/>
      <c r="T552" s="27"/>
      <c r="U552" s="24"/>
      <c r="V552" s="38" t="s">
        <v>29</v>
      </c>
      <c r="W552" s="29" t="s">
        <v>22</v>
      </c>
      <c r="X552" s="37" t="s">
        <v>462</v>
      </c>
      <c r="Y552" s="31"/>
      <c r="Z552" s="26" t="str">
        <f t="shared" si="5"/>
        <v/>
      </c>
      <c r="AA552" s="26" t="str">
        <f t="shared" si="6"/>
        <v/>
      </c>
      <c r="AB552" s="32" t="str">
        <f t="shared" si="7"/>
        <v/>
      </c>
      <c r="AC552" s="32" t="str">
        <f t="shared" ref="AC552:AG552" si="556">IF(J552&lt;&gt;"", IF(AND($P552=FALSE, $A552=FALSE), -J552, IF(AND($P552=FALSE, $A552=TRUE), 0, IF($P552=TRUE, (J552 / $R552) * 100 * ($S552 / 100)-J552, ))), )</f>
        <v/>
      </c>
      <c r="AD552" s="32" t="str">
        <f t="shared" si="556"/>
        <v/>
      </c>
      <c r="AE552" s="32" t="str">
        <f t="shared" si="556"/>
        <v/>
      </c>
      <c r="AF552" s="32" t="str">
        <f t="shared" si="556"/>
        <v/>
      </c>
      <c r="AG552" s="32" t="str">
        <f t="shared" si="556"/>
        <v/>
      </c>
      <c r="AH552" s="33"/>
    </row>
    <row r="553" hidden="1" outlineLevel="2" collapsed="1">
      <c r="A553" s="16" t="b">
        <v>0</v>
      </c>
      <c r="B553" s="17"/>
      <c r="C553" s="18"/>
      <c r="D553" s="41">
        <v>45252.0</v>
      </c>
      <c r="E553" s="20" t="s">
        <v>60</v>
      </c>
      <c r="F553" s="21" t="s">
        <v>61</v>
      </c>
      <c r="G553" s="23">
        <v>3.0</v>
      </c>
      <c r="H553" s="23">
        <v>1.5</v>
      </c>
      <c r="I553" s="23">
        <v>5.5</v>
      </c>
      <c r="J553" s="23"/>
      <c r="K553" s="23"/>
      <c r="L553" s="23"/>
      <c r="M553" s="23"/>
      <c r="N553" s="23"/>
      <c r="O553" s="24"/>
      <c r="P553" s="16" t="b">
        <v>0</v>
      </c>
      <c r="Q553" s="24"/>
      <c r="R553" s="26">
        <v>10.0</v>
      </c>
      <c r="S553" s="26">
        <v>21.11</v>
      </c>
      <c r="T553" s="27" t="s">
        <v>378</v>
      </c>
      <c r="U553" s="24"/>
      <c r="V553" s="28"/>
      <c r="W553" s="29"/>
      <c r="X553" s="30"/>
      <c r="Y553" s="31"/>
      <c r="Z553" s="26">
        <f t="shared" si="5"/>
        <v>-3</v>
      </c>
      <c r="AA553" s="26">
        <f t="shared" si="6"/>
        <v>-5.5</v>
      </c>
      <c r="AB553" s="32">
        <f t="shared" si="7"/>
        <v>-1.5</v>
      </c>
      <c r="AC553" s="32" t="str">
        <f t="shared" ref="AC553:AG553" si="557">IF(J553&lt;&gt;"", IF(AND($P553=FALSE, $A553=FALSE), -J553, IF(AND($P553=FALSE, $A553=TRUE), 0, IF($P553=TRUE, (J553 / $R553) * 100 * ($S553 / 100)-J553, ))), )</f>
        <v/>
      </c>
      <c r="AD553" s="32" t="str">
        <f t="shared" si="557"/>
        <v/>
      </c>
      <c r="AE553" s="32" t="str">
        <f t="shared" si="557"/>
        <v/>
      </c>
      <c r="AF553" s="32" t="str">
        <f t="shared" si="557"/>
        <v/>
      </c>
      <c r="AG553" s="32" t="str">
        <f t="shared" si="557"/>
        <v/>
      </c>
      <c r="AH553" s="33"/>
    </row>
    <row r="554" hidden="1" outlineLevel="3">
      <c r="A554" s="16" t="b">
        <v>0</v>
      </c>
      <c r="B554" s="17"/>
      <c r="C554" s="18"/>
      <c r="D554" s="34"/>
      <c r="E554" s="20"/>
      <c r="F554" s="19"/>
      <c r="G554" s="23"/>
      <c r="H554" s="23"/>
      <c r="I554" s="23"/>
      <c r="J554" s="23"/>
      <c r="K554" s="23"/>
      <c r="L554" s="23"/>
      <c r="M554" s="23"/>
      <c r="N554" s="23"/>
      <c r="O554" s="24"/>
      <c r="P554" s="16" t="b">
        <v>0</v>
      </c>
      <c r="Q554" s="24"/>
      <c r="R554" s="26"/>
      <c r="S554" s="26"/>
      <c r="T554" s="27"/>
      <c r="U554" s="24"/>
      <c r="V554" s="38" t="s">
        <v>29</v>
      </c>
      <c r="W554" s="68">
        <v>5.0</v>
      </c>
      <c r="X554" s="37" t="s">
        <v>239</v>
      </c>
      <c r="Y554" s="31"/>
      <c r="Z554" s="26" t="str">
        <f t="shared" si="5"/>
        <v/>
      </c>
      <c r="AA554" s="26" t="str">
        <f t="shared" si="6"/>
        <v/>
      </c>
      <c r="AB554" s="32" t="str">
        <f t="shared" si="7"/>
        <v/>
      </c>
      <c r="AC554" s="32" t="str">
        <f t="shared" ref="AC554:AG554" si="558">IF(J554&lt;&gt;"", IF(AND($P554=FALSE, $A554=FALSE), -J554, IF(AND($P554=FALSE, $A554=TRUE), 0, IF($P554=TRUE, (J554 / $R554) * 100 * ($S554 / 100)-J554, ))), )</f>
        <v/>
      </c>
      <c r="AD554" s="32" t="str">
        <f t="shared" si="558"/>
        <v/>
      </c>
      <c r="AE554" s="32" t="str">
        <f t="shared" si="558"/>
        <v/>
      </c>
      <c r="AF554" s="32" t="str">
        <f t="shared" si="558"/>
        <v/>
      </c>
      <c r="AG554" s="32" t="str">
        <f t="shared" si="558"/>
        <v/>
      </c>
      <c r="AH554" s="33"/>
    </row>
    <row r="555" hidden="1" outlineLevel="3">
      <c r="A555" s="16" t="b">
        <v>0</v>
      </c>
      <c r="B555" s="17"/>
      <c r="C555" s="18"/>
      <c r="D555" s="34"/>
      <c r="E555" s="20"/>
      <c r="F555" s="19"/>
      <c r="G555" s="23"/>
      <c r="H555" s="23"/>
      <c r="I555" s="23"/>
      <c r="J555" s="23"/>
      <c r="K555" s="23"/>
      <c r="L555" s="23"/>
      <c r="M555" s="23"/>
      <c r="N555" s="23"/>
      <c r="O555" s="24"/>
      <c r="P555" s="16" t="b">
        <v>0</v>
      </c>
      <c r="Q555" s="24"/>
      <c r="R555" s="26"/>
      <c r="S555" s="26"/>
      <c r="T555" s="27"/>
      <c r="U555" s="24"/>
      <c r="V555" s="28" t="s">
        <v>32</v>
      </c>
      <c r="W555" s="29" t="s">
        <v>22</v>
      </c>
      <c r="X555" s="37" t="s">
        <v>463</v>
      </c>
      <c r="Y555" s="31"/>
      <c r="Z555" s="26" t="str">
        <f t="shared" si="5"/>
        <v/>
      </c>
      <c r="AA555" s="26" t="str">
        <f t="shared" si="6"/>
        <v/>
      </c>
      <c r="AB555" s="32" t="str">
        <f t="shared" si="7"/>
        <v/>
      </c>
      <c r="AC555" s="32" t="str">
        <f t="shared" ref="AC555:AG555" si="559">IF(J555&lt;&gt;"", IF(AND($P555=FALSE, $A555=FALSE), -J555, IF(AND($P555=FALSE, $A555=TRUE), 0, IF($P555=TRUE, (J555 / $R555) * 100 * ($S555 / 100)-J555, ))), )</f>
        <v/>
      </c>
      <c r="AD555" s="32" t="str">
        <f t="shared" si="559"/>
        <v/>
      </c>
      <c r="AE555" s="32" t="str">
        <f t="shared" si="559"/>
        <v/>
      </c>
      <c r="AF555" s="32" t="str">
        <f t="shared" si="559"/>
        <v/>
      </c>
      <c r="AG555" s="32" t="str">
        <f t="shared" si="559"/>
        <v/>
      </c>
      <c r="AH555" s="33"/>
    </row>
    <row r="556" hidden="1" outlineLevel="3">
      <c r="A556" s="16" t="b">
        <v>0</v>
      </c>
      <c r="B556" s="17"/>
      <c r="C556" s="18"/>
      <c r="D556" s="34"/>
      <c r="E556" s="20"/>
      <c r="F556" s="19"/>
      <c r="G556" s="23"/>
      <c r="H556" s="23"/>
      <c r="I556" s="23"/>
      <c r="J556" s="23"/>
      <c r="K556" s="23"/>
      <c r="L556" s="23"/>
      <c r="M556" s="23"/>
      <c r="N556" s="23"/>
      <c r="O556" s="24"/>
      <c r="P556" s="16" t="b">
        <v>0</v>
      </c>
      <c r="Q556" s="24"/>
      <c r="R556" s="26"/>
      <c r="S556" s="26"/>
      <c r="T556" s="27"/>
      <c r="U556" s="24"/>
      <c r="V556" s="38" t="s">
        <v>29</v>
      </c>
      <c r="W556" s="29" t="s">
        <v>22</v>
      </c>
      <c r="X556" s="37" t="s">
        <v>287</v>
      </c>
      <c r="Y556" s="31"/>
      <c r="Z556" s="26" t="str">
        <f t="shared" si="5"/>
        <v/>
      </c>
      <c r="AA556" s="26" t="str">
        <f t="shared" si="6"/>
        <v/>
      </c>
      <c r="AB556" s="32" t="str">
        <f t="shared" si="7"/>
        <v/>
      </c>
      <c r="AC556" s="32" t="str">
        <f t="shared" ref="AC556:AG556" si="560">IF(J556&lt;&gt;"", IF(AND($P556=FALSE, $A556=FALSE), -J556, IF(AND($P556=FALSE, $A556=TRUE), 0, IF($P556=TRUE, (J556 / $R556) * 100 * ($S556 / 100)-J556, ))), )</f>
        <v/>
      </c>
      <c r="AD556" s="32" t="str">
        <f t="shared" si="560"/>
        <v/>
      </c>
      <c r="AE556" s="32" t="str">
        <f t="shared" si="560"/>
        <v/>
      </c>
      <c r="AF556" s="32" t="str">
        <f t="shared" si="560"/>
        <v/>
      </c>
      <c r="AG556" s="32" t="str">
        <f t="shared" si="560"/>
        <v/>
      </c>
      <c r="AH556" s="33"/>
    </row>
    <row r="557" hidden="1" outlineLevel="2" collapsed="1">
      <c r="A557" s="16" t="b">
        <v>0</v>
      </c>
      <c r="B557" s="17"/>
      <c r="C557" s="18"/>
      <c r="D557" s="41">
        <v>45252.0</v>
      </c>
      <c r="E557" s="20" t="s">
        <v>60</v>
      </c>
      <c r="F557" s="21" t="s">
        <v>61</v>
      </c>
      <c r="G557" s="23">
        <v>2.0</v>
      </c>
      <c r="H557" s="23">
        <v>1.0</v>
      </c>
      <c r="I557" s="23">
        <v>5.0</v>
      </c>
      <c r="J557" s="23"/>
      <c r="K557" s="23"/>
      <c r="L557" s="23"/>
      <c r="M557" s="23"/>
      <c r="N557" s="23"/>
      <c r="O557" s="24"/>
      <c r="P557" s="16" t="b">
        <v>1</v>
      </c>
      <c r="Q557" s="24"/>
      <c r="R557" s="26">
        <v>8.0</v>
      </c>
      <c r="S557" s="26">
        <v>19.33</v>
      </c>
      <c r="T557" s="27" t="s">
        <v>417</v>
      </c>
      <c r="U557" s="24"/>
      <c r="V557" s="28"/>
      <c r="W557" s="29"/>
      <c r="X557" s="30"/>
      <c r="Y557" s="31"/>
      <c r="Z557" s="26">
        <f t="shared" si="5"/>
        <v>2.8325</v>
      </c>
      <c r="AA557" s="26">
        <f t="shared" si="6"/>
        <v>7.08125</v>
      </c>
      <c r="AB557" s="32">
        <f t="shared" si="7"/>
        <v>1.41625</v>
      </c>
      <c r="AC557" s="32" t="str">
        <f t="shared" ref="AC557:AG557" si="561">IF(J557&lt;&gt;"", IF(AND($P557=FALSE, $A557=FALSE), -J557, IF(AND($P557=FALSE, $A557=TRUE), 0, IF($P557=TRUE, (J557 / $R557) * 100 * ($S557 / 100)-J557, ))), )</f>
        <v/>
      </c>
      <c r="AD557" s="32" t="str">
        <f t="shared" si="561"/>
        <v/>
      </c>
      <c r="AE557" s="32" t="str">
        <f t="shared" si="561"/>
        <v/>
      </c>
      <c r="AF557" s="32" t="str">
        <f t="shared" si="561"/>
        <v/>
      </c>
      <c r="AG557" s="32" t="str">
        <f t="shared" si="561"/>
        <v/>
      </c>
      <c r="AH557" s="33"/>
    </row>
    <row r="558" hidden="1" outlineLevel="3">
      <c r="A558" s="16" t="b">
        <v>0</v>
      </c>
      <c r="B558" s="17"/>
      <c r="C558" s="18"/>
      <c r="D558" s="34"/>
      <c r="E558" s="20"/>
      <c r="F558" s="19"/>
      <c r="G558" s="23"/>
      <c r="H558" s="23"/>
      <c r="I558" s="23"/>
      <c r="J558" s="23"/>
      <c r="K558" s="23"/>
      <c r="L558" s="23"/>
      <c r="M558" s="23"/>
      <c r="N558" s="23"/>
      <c r="O558" s="24"/>
      <c r="P558" s="16" t="b">
        <v>0</v>
      </c>
      <c r="Q558" s="24"/>
      <c r="R558" s="26"/>
      <c r="S558" s="26"/>
      <c r="T558" s="27"/>
      <c r="U558" s="24"/>
      <c r="V558" s="38" t="s">
        <v>29</v>
      </c>
      <c r="W558" s="29" t="s">
        <v>22</v>
      </c>
      <c r="X558" s="37" t="s">
        <v>464</v>
      </c>
      <c r="Y558" s="31"/>
      <c r="Z558" s="26" t="str">
        <f t="shared" si="5"/>
        <v/>
      </c>
      <c r="AA558" s="26" t="str">
        <f t="shared" si="6"/>
        <v/>
      </c>
      <c r="AB558" s="32" t="str">
        <f t="shared" si="7"/>
        <v/>
      </c>
      <c r="AC558" s="32" t="str">
        <f t="shared" ref="AC558:AG558" si="562">IF(J558&lt;&gt;"", IF(AND($P558=FALSE, $A558=FALSE), -J558, IF(AND($P558=FALSE, $A558=TRUE), 0, IF($P558=TRUE, (J558 / $R558) * 100 * ($S558 / 100)-J558, ))), )</f>
        <v/>
      </c>
      <c r="AD558" s="32" t="str">
        <f t="shared" si="562"/>
        <v/>
      </c>
      <c r="AE558" s="32" t="str">
        <f t="shared" si="562"/>
        <v/>
      </c>
      <c r="AF558" s="32" t="str">
        <f t="shared" si="562"/>
        <v/>
      </c>
      <c r="AG558" s="32" t="str">
        <f t="shared" si="562"/>
        <v/>
      </c>
      <c r="AH558" s="33"/>
    </row>
    <row r="559" hidden="1" outlineLevel="3">
      <c r="A559" s="16" t="b">
        <v>0</v>
      </c>
      <c r="B559" s="17"/>
      <c r="C559" s="18"/>
      <c r="D559" s="34"/>
      <c r="E559" s="20"/>
      <c r="F559" s="19"/>
      <c r="G559" s="23"/>
      <c r="H559" s="23"/>
      <c r="I559" s="23"/>
      <c r="J559" s="23"/>
      <c r="K559" s="23"/>
      <c r="L559" s="23"/>
      <c r="M559" s="23"/>
      <c r="N559" s="23"/>
      <c r="O559" s="24"/>
      <c r="P559" s="16" t="b">
        <v>0</v>
      </c>
      <c r="Q559" s="24"/>
      <c r="R559" s="26"/>
      <c r="S559" s="26"/>
      <c r="T559" s="27"/>
      <c r="U559" s="24"/>
      <c r="V559" s="38" t="s">
        <v>29</v>
      </c>
      <c r="W559" s="29" t="s">
        <v>22</v>
      </c>
      <c r="X559" s="37" t="s">
        <v>465</v>
      </c>
      <c r="Y559" s="31"/>
      <c r="Z559" s="26" t="str">
        <f t="shared" si="5"/>
        <v/>
      </c>
      <c r="AA559" s="26" t="str">
        <f t="shared" si="6"/>
        <v/>
      </c>
      <c r="AB559" s="32" t="str">
        <f t="shared" si="7"/>
        <v/>
      </c>
      <c r="AC559" s="32" t="str">
        <f t="shared" ref="AC559:AG559" si="563">IF(J559&lt;&gt;"", IF(AND($P559=FALSE, $A559=FALSE), -J559, IF(AND($P559=FALSE, $A559=TRUE), 0, IF($P559=TRUE, (J559 / $R559) * 100 * ($S559 / 100)-J559, ))), )</f>
        <v/>
      </c>
      <c r="AD559" s="32" t="str">
        <f t="shared" si="563"/>
        <v/>
      </c>
      <c r="AE559" s="32" t="str">
        <f t="shared" si="563"/>
        <v/>
      </c>
      <c r="AF559" s="32" t="str">
        <f t="shared" si="563"/>
        <v/>
      </c>
      <c r="AG559" s="32" t="str">
        <f t="shared" si="563"/>
        <v/>
      </c>
      <c r="AH559" s="33"/>
    </row>
    <row r="560" hidden="1" outlineLevel="3">
      <c r="A560" s="16" t="b">
        <v>0</v>
      </c>
      <c r="B560" s="17"/>
      <c r="C560" s="18"/>
      <c r="D560" s="34"/>
      <c r="E560" s="20"/>
      <c r="F560" s="19"/>
      <c r="G560" s="23"/>
      <c r="H560" s="23"/>
      <c r="I560" s="23"/>
      <c r="J560" s="23"/>
      <c r="K560" s="23"/>
      <c r="L560" s="23"/>
      <c r="M560" s="23"/>
      <c r="N560" s="23"/>
      <c r="O560" s="24"/>
      <c r="P560" s="16" t="b">
        <v>0</v>
      </c>
      <c r="Q560" s="24"/>
      <c r="R560" s="26"/>
      <c r="S560" s="26"/>
      <c r="T560" s="27"/>
      <c r="U560" s="24"/>
      <c r="V560" s="38" t="s">
        <v>29</v>
      </c>
      <c r="W560" s="29" t="s">
        <v>22</v>
      </c>
      <c r="X560" s="37" t="s">
        <v>466</v>
      </c>
      <c r="Y560" s="31"/>
      <c r="Z560" s="26" t="str">
        <f t="shared" si="5"/>
        <v/>
      </c>
      <c r="AA560" s="26" t="str">
        <f t="shared" si="6"/>
        <v/>
      </c>
      <c r="AB560" s="32" t="str">
        <f t="shared" si="7"/>
        <v/>
      </c>
      <c r="AC560" s="32" t="str">
        <f t="shared" ref="AC560:AG560" si="564">IF(J560&lt;&gt;"", IF(AND($P560=FALSE, $A560=FALSE), -J560, IF(AND($P560=FALSE, $A560=TRUE), 0, IF($P560=TRUE, (J560 / $R560) * 100 * ($S560 / 100)-J560, ))), )</f>
        <v/>
      </c>
      <c r="AD560" s="32" t="str">
        <f t="shared" si="564"/>
        <v/>
      </c>
      <c r="AE560" s="32" t="str">
        <f t="shared" si="564"/>
        <v/>
      </c>
      <c r="AF560" s="32" t="str">
        <f t="shared" si="564"/>
        <v/>
      </c>
      <c r="AG560" s="32" t="str">
        <f t="shared" si="564"/>
        <v/>
      </c>
      <c r="AH560" s="33"/>
    </row>
    <row r="561" hidden="1" outlineLevel="2" collapsed="1">
      <c r="A561" s="16" t="b">
        <v>0</v>
      </c>
      <c r="B561" s="17"/>
      <c r="C561" s="18"/>
      <c r="D561" s="41">
        <v>45252.0</v>
      </c>
      <c r="E561" s="20" t="s">
        <v>60</v>
      </c>
      <c r="F561" s="21" t="s">
        <v>61</v>
      </c>
      <c r="G561" s="23">
        <v>2.0</v>
      </c>
      <c r="H561" s="23">
        <v>1.0</v>
      </c>
      <c r="I561" s="23">
        <v>3.0</v>
      </c>
      <c r="J561" s="23"/>
      <c r="K561" s="23"/>
      <c r="L561" s="23"/>
      <c r="M561" s="23"/>
      <c r="N561" s="23"/>
      <c r="O561" s="24"/>
      <c r="P561" s="16" t="b">
        <v>0</v>
      </c>
      <c r="Q561" s="24"/>
      <c r="R561" s="26">
        <v>6.0</v>
      </c>
      <c r="S561" s="26">
        <v>19.98</v>
      </c>
      <c r="T561" s="27" t="s">
        <v>467</v>
      </c>
      <c r="U561" s="24"/>
      <c r="V561" s="28"/>
      <c r="W561" s="29"/>
      <c r="X561" s="30"/>
      <c r="Y561" s="31"/>
      <c r="Z561" s="26">
        <f t="shared" si="5"/>
        <v>-2</v>
      </c>
      <c r="AA561" s="26">
        <f t="shared" si="6"/>
        <v>-3</v>
      </c>
      <c r="AB561" s="32">
        <f t="shared" si="7"/>
        <v>-1</v>
      </c>
      <c r="AC561" s="32" t="str">
        <f t="shared" ref="AC561:AG561" si="565">IF(J561&lt;&gt;"", IF(AND($P561=FALSE, $A561=FALSE), -J561, IF(AND($P561=FALSE, $A561=TRUE), 0, IF($P561=TRUE, (J561 / $R561) * 100 * ($S561 / 100)-J561, ))), )</f>
        <v/>
      </c>
      <c r="AD561" s="32" t="str">
        <f t="shared" si="565"/>
        <v/>
      </c>
      <c r="AE561" s="32" t="str">
        <f t="shared" si="565"/>
        <v/>
      </c>
      <c r="AF561" s="32" t="str">
        <f t="shared" si="565"/>
        <v/>
      </c>
      <c r="AG561" s="32" t="str">
        <f t="shared" si="565"/>
        <v/>
      </c>
      <c r="AH561" s="33"/>
    </row>
    <row r="562" hidden="1" outlineLevel="3">
      <c r="A562" s="16" t="b">
        <v>0</v>
      </c>
      <c r="B562" s="17"/>
      <c r="C562" s="18"/>
      <c r="D562" s="34"/>
      <c r="E562" s="20"/>
      <c r="F562" s="19"/>
      <c r="G562" s="23"/>
      <c r="H562" s="23"/>
      <c r="I562" s="23"/>
      <c r="J562" s="23"/>
      <c r="K562" s="23"/>
      <c r="L562" s="23"/>
      <c r="M562" s="23"/>
      <c r="N562" s="23"/>
      <c r="O562" s="24"/>
      <c r="P562" s="16" t="b">
        <v>0</v>
      </c>
      <c r="Q562" s="24"/>
      <c r="R562" s="26"/>
      <c r="S562" s="26"/>
      <c r="T562" s="27"/>
      <c r="U562" s="24"/>
      <c r="V562" s="28" t="s">
        <v>32</v>
      </c>
      <c r="W562" s="29" t="s">
        <v>22</v>
      </c>
      <c r="X562" s="37" t="s">
        <v>468</v>
      </c>
      <c r="Y562" s="31"/>
      <c r="Z562" s="26" t="str">
        <f t="shared" si="5"/>
        <v/>
      </c>
      <c r="AA562" s="26" t="str">
        <f t="shared" si="6"/>
        <v/>
      </c>
      <c r="AB562" s="32" t="str">
        <f t="shared" si="7"/>
        <v/>
      </c>
      <c r="AC562" s="32" t="str">
        <f t="shared" ref="AC562:AG562" si="566">IF(J562&lt;&gt;"", IF(AND($P562=FALSE, $A562=FALSE), -J562, IF(AND($P562=FALSE, $A562=TRUE), 0, IF($P562=TRUE, (J562 / $R562) * 100 * ($S562 / 100)-J562, ))), )</f>
        <v/>
      </c>
      <c r="AD562" s="32" t="str">
        <f t="shared" si="566"/>
        <v/>
      </c>
      <c r="AE562" s="32" t="str">
        <f t="shared" si="566"/>
        <v/>
      </c>
      <c r="AF562" s="32" t="str">
        <f t="shared" si="566"/>
        <v/>
      </c>
      <c r="AG562" s="32" t="str">
        <f t="shared" si="566"/>
        <v/>
      </c>
      <c r="AH562" s="33"/>
    </row>
    <row r="563" hidden="1" outlineLevel="3">
      <c r="A563" s="16" t="b">
        <v>0</v>
      </c>
      <c r="B563" s="17"/>
      <c r="C563" s="18"/>
      <c r="D563" s="34"/>
      <c r="E563" s="20"/>
      <c r="F563" s="19"/>
      <c r="G563" s="23"/>
      <c r="H563" s="23"/>
      <c r="I563" s="23"/>
      <c r="J563" s="23"/>
      <c r="K563" s="23"/>
      <c r="L563" s="23"/>
      <c r="M563" s="23"/>
      <c r="N563" s="23"/>
      <c r="O563" s="24"/>
      <c r="P563" s="16" t="b">
        <v>0</v>
      </c>
      <c r="Q563" s="24"/>
      <c r="R563" s="26"/>
      <c r="S563" s="26"/>
      <c r="T563" s="27"/>
      <c r="U563" s="24"/>
      <c r="V563" s="28" t="s">
        <v>32</v>
      </c>
      <c r="W563" s="29" t="s">
        <v>22</v>
      </c>
      <c r="X563" s="37" t="s">
        <v>230</v>
      </c>
      <c r="Y563" s="31"/>
      <c r="Z563" s="26" t="str">
        <f t="shared" si="5"/>
        <v/>
      </c>
      <c r="AA563" s="26" t="str">
        <f t="shared" si="6"/>
        <v/>
      </c>
      <c r="AB563" s="32" t="str">
        <f t="shared" si="7"/>
        <v/>
      </c>
      <c r="AC563" s="32" t="str">
        <f t="shared" ref="AC563:AG563" si="567">IF(J563&lt;&gt;"", IF(AND($P563=FALSE, $A563=FALSE), -J563, IF(AND($P563=FALSE, $A563=TRUE), 0, IF($P563=TRUE, (J563 / $R563) * 100 * ($S563 / 100)-J563, ))), )</f>
        <v/>
      </c>
      <c r="AD563" s="32" t="str">
        <f t="shared" si="567"/>
        <v/>
      </c>
      <c r="AE563" s="32" t="str">
        <f t="shared" si="567"/>
        <v/>
      </c>
      <c r="AF563" s="32" t="str">
        <f t="shared" si="567"/>
        <v/>
      </c>
      <c r="AG563" s="32" t="str">
        <f t="shared" si="567"/>
        <v/>
      </c>
      <c r="AH563" s="33"/>
    </row>
    <row r="564" hidden="1" outlineLevel="3">
      <c r="A564" s="16" t="b">
        <v>0</v>
      </c>
      <c r="B564" s="17"/>
      <c r="C564" s="18"/>
      <c r="D564" s="34"/>
      <c r="E564" s="20"/>
      <c r="F564" s="19"/>
      <c r="G564" s="23"/>
      <c r="H564" s="23"/>
      <c r="I564" s="23"/>
      <c r="J564" s="23"/>
      <c r="K564" s="23"/>
      <c r="L564" s="23"/>
      <c r="M564" s="23"/>
      <c r="N564" s="23"/>
      <c r="O564" s="24"/>
      <c r="P564" s="16" t="b">
        <v>0</v>
      </c>
      <c r="Q564" s="24"/>
      <c r="R564" s="26"/>
      <c r="S564" s="26"/>
      <c r="T564" s="27"/>
      <c r="U564" s="24"/>
      <c r="V564" s="38" t="s">
        <v>29</v>
      </c>
      <c r="W564" s="29" t="s">
        <v>22</v>
      </c>
      <c r="X564" s="37" t="s">
        <v>286</v>
      </c>
      <c r="Y564" s="31"/>
      <c r="Z564" s="26" t="str">
        <f t="shared" si="5"/>
        <v/>
      </c>
      <c r="AA564" s="26" t="str">
        <f t="shared" si="6"/>
        <v/>
      </c>
      <c r="AB564" s="32" t="str">
        <f t="shared" si="7"/>
        <v/>
      </c>
      <c r="AC564" s="32" t="str">
        <f t="shared" ref="AC564:AG564" si="568">IF(J564&lt;&gt;"", IF(AND($P564=FALSE, $A564=FALSE), -J564, IF(AND($P564=FALSE, $A564=TRUE), 0, IF($P564=TRUE, (J564 / $R564) * 100 * ($S564 / 100)-J564, ))), )</f>
        <v/>
      </c>
      <c r="AD564" s="32" t="str">
        <f t="shared" si="568"/>
        <v/>
      </c>
      <c r="AE564" s="32" t="str">
        <f t="shared" si="568"/>
        <v/>
      </c>
      <c r="AF564" s="32" t="str">
        <f t="shared" si="568"/>
        <v/>
      </c>
      <c r="AG564" s="32" t="str">
        <f t="shared" si="568"/>
        <v/>
      </c>
      <c r="AH564" s="33"/>
    </row>
    <row r="565" hidden="1" outlineLevel="3">
      <c r="A565" s="16" t="b">
        <v>0</v>
      </c>
      <c r="B565" s="17"/>
      <c r="C565" s="18"/>
      <c r="D565" s="34"/>
      <c r="E565" s="20"/>
      <c r="F565" s="19"/>
      <c r="G565" s="23"/>
      <c r="H565" s="23"/>
      <c r="I565" s="23"/>
      <c r="J565" s="23"/>
      <c r="K565" s="23"/>
      <c r="L565" s="23"/>
      <c r="M565" s="23"/>
      <c r="N565" s="23"/>
      <c r="O565" s="24"/>
      <c r="P565" s="16" t="b">
        <v>0</v>
      </c>
      <c r="Q565" s="24"/>
      <c r="R565" s="26"/>
      <c r="S565" s="26"/>
      <c r="T565" s="27"/>
      <c r="U565" s="24"/>
      <c r="V565" s="38" t="s">
        <v>29</v>
      </c>
      <c r="W565" s="29" t="s">
        <v>22</v>
      </c>
      <c r="X565" s="37" t="s">
        <v>469</v>
      </c>
      <c r="Y565" s="31"/>
      <c r="Z565" s="26" t="str">
        <f t="shared" si="5"/>
        <v/>
      </c>
      <c r="AA565" s="26" t="str">
        <f t="shared" si="6"/>
        <v/>
      </c>
      <c r="AB565" s="32" t="str">
        <f t="shared" si="7"/>
        <v/>
      </c>
      <c r="AC565" s="32" t="str">
        <f t="shared" ref="AC565:AG565" si="569">IF(J565&lt;&gt;"", IF(AND($P565=FALSE, $A565=FALSE), -J565, IF(AND($P565=FALSE, $A565=TRUE), 0, IF($P565=TRUE, (J565 / $R565) * 100 * ($S565 / 100)-J565, ))), )</f>
        <v/>
      </c>
      <c r="AD565" s="32" t="str">
        <f t="shared" si="569"/>
        <v/>
      </c>
      <c r="AE565" s="32" t="str">
        <f t="shared" si="569"/>
        <v/>
      </c>
      <c r="AF565" s="32" t="str">
        <f t="shared" si="569"/>
        <v/>
      </c>
      <c r="AG565" s="32" t="str">
        <f t="shared" si="569"/>
        <v/>
      </c>
      <c r="AH565" s="33"/>
    </row>
    <row r="566" hidden="1" outlineLevel="2" collapsed="1">
      <c r="A566" s="16" t="b">
        <v>0</v>
      </c>
      <c r="B566" s="17"/>
      <c r="C566" s="18"/>
      <c r="D566" s="41">
        <v>45252.0</v>
      </c>
      <c r="E566" s="20" t="s">
        <v>60</v>
      </c>
      <c r="F566" s="21" t="s">
        <v>61</v>
      </c>
      <c r="G566" s="23">
        <v>2.0</v>
      </c>
      <c r="H566" s="23">
        <v>1.0</v>
      </c>
      <c r="I566" s="23">
        <v>2.0</v>
      </c>
      <c r="J566" s="23"/>
      <c r="K566" s="23"/>
      <c r="L566" s="23"/>
      <c r="M566" s="23"/>
      <c r="N566" s="23"/>
      <c r="O566" s="24"/>
      <c r="P566" s="16" t="b">
        <v>0</v>
      </c>
      <c r="Q566" s="24"/>
      <c r="R566" s="26">
        <v>5.0</v>
      </c>
      <c r="S566" s="26">
        <v>9.21</v>
      </c>
      <c r="T566" s="27">
        <v>-119.0</v>
      </c>
      <c r="U566" s="24"/>
      <c r="V566" s="28"/>
      <c r="W566" s="29"/>
      <c r="X566" s="30"/>
      <c r="Y566" s="31"/>
      <c r="Z566" s="26">
        <f t="shared" si="5"/>
        <v>-2</v>
      </c>
      <c r="AA566" s="26">
        <f t="shared" si="6"/>
        <v>-2</v>
      </c>
      <c r="AB566" s="32">
        <f t="shared" si="7"/>
        <v>-1</v>
      </c>
      <c r="AC566" s="32" t="str">
        <f t="shared" ref="AC566:AG566" si="570">IF(J566&lt;&gt;"", IF(AND($P566=FALSE, $A566=FALSE), -J566, IF(AND($P566=FALSE, $A566=TRUE), 0, IF($P566=TRUE, (J566 / $R566) * 100 * ($S566 / 100)-J566, ))), )</f>
        <v/>
      </c>
      <c r="AD566" s="32" t="str">
        <f t="shared" si="570"/>
        <v/>
      </c>
      <c r="AE566" s="32" t="str">
        <f t="shared" si="570"/>
        <v/>
      </c>
      <c r="AF566" s="32" t="str">
        <f t="shared" si="570"/>
        <v/>
      </c>
      <c r="AG566" s="32" t="str">
        <f t="shared" si="570"/>
        <v/>
      </c>
      <c r="AH566" s="33"/>
    </row>
    <row r="567" hidden="1" outlineLevel="3">
      <c r="A567" s="16" t="b">
        <v>0</v>
      </c>
      <c r="B567" s="17"/>
      <c r="C567" s="18"/>
      <c r="D567" s="34"/>
      <c r="E567" s="20"/>
      <c r="F567" s="19"/>
      <c r="G567" s="23"/>
      <c r="H567" s="23"/>
      <c r="I567" s="23"/>
      <c r="J567" s="23"/>
      <c r="K567" s="23"/>
      <c r="L567" s="23"/>
      <c r="M567" s="23"/>
      <c r="N567" s="23"/>
      <c r="O567" s="24"/>
      <c r="P567" s="16" t="b">
        <v>0</v>
      </c>
      <c r="Q567" s="24"/>
      <c r="R567" s="26"/>
      <c r="S567" s="26"/>
      <c r="T567" s="27"/>
      <c r="U567" s="24"/>
      <c r="V567" s="69" t="s">
        <v>358</v>
      </c>
      <c r="W567" s="29" t="s">
        <v>22</v>
      </c>
      <c r="X567" s="37" t="s">
        <v>470</v>
      </c>
      <c r="Y567" s="31"/>
      <c r="Z567" s="26" t="str">
        <f t="shared" si="5"/>
        <v/>
      </c>
      <c r="AA567" s="26" t="str">
        <f t="shared" si="6"/>
        <v/>
      </c>
      <c r="AB567" s="32" t="str">
        <f t="shared" si="7"/>
        <v/>
      </c>
      <c r="AC567" s="32" t="str">
        <f t="shared" ref="AC567:AG567" si="571">IF(J567&lt;&gt;"", IF(AND($P567=FALSE, $A567=FALSE), -J567, IF(AND($P567=FALSE, $A567=TRUE), 0, IF($P567=TRUE, (J567 / $R567) * 100 * ($S567 / 100)-J567, ))), )</f>
        <v/>
      </c>
      <c r="AD567" s="32" t="str">
        <f t="shared" si="571"/>
        <v/>
      </c>
      <c r="AE567" s="32" t="str">
        <f t="shared" si="571"/>
        <v/>
      </c>
      <c r="AF567" s="32" t="str">
        <f t="shared" si="571"/>
        <v/>
      </c>
      <c r="AG567" s="32" t="str">
        <f t="shared" si="571"/>
        <v/>
      </c>
      <c r="AH567" s="33"/>
    </row>
    <row r="568" hidden="1" outlineLevel="3">
      <c r="A568" s="16" t="b">
        <v>0</v>
      </c>
      <c r="B568" s="17"/>
      <c r="C568" s="18"/>
      <c r="D568" s="34"/>
      <c r="E568" s="20"/>
      <c r="F568" s="19"/>
      <c r="G568" s="23"/>
      <c r="H568" s="23"/>
      <c r="I568" s="23"/>
      <c r="J568" s="23"/>
      <c r="K568" s="23"/>
      <c r="L568" s="23"/>
      <c r="M568" s="23"/>
      <c r="N568" s="23"/>
      <c r="O568" s="24"/>
      <c r="P568" s="16" t="b">
        <v>0</v>
      </c>
      <c r="Q568" s="24"/>
      <c r="R568" s="26"/>
      <c r="S568" s="26"/>
      <c r="T568" s="27"/>
      <c r="U568" s="24"/>
      <c r="V568" s="28" t="s">
        <v>32</v>
      </c>
      <c r="W568" s="29" t="s">
        <v>22</v>
      </c>
      <c r="X568" s="37" t="s">
        <v>471</v>
      </c>
      <c r="Y568" s="31"/>
      <c r="Z568" s="26" t="str">
        <f t="shared" si="5"/>
        <v/>
      </c>
      <c r="AA568" s="26" t="str">
        <f t="shared" si="6"/>
        <v/>
      </c>
      <c r="AB568" s="32" t="str">
        <f t="shared" si="7"/>
        <v/>
      </c>
      <c r="AC568" s="32" t="str">
        <f t="shared" ref="AC568:AG568" si="572">IF(J568&lt;&gt;"", IF(AND($P568=FALSE, $A568=FALSE), -J568, IF(AND($P568=FALSE, $A568=TRUE), 0, IF($P568=TRUE, (J568 / $R568) * 100 * ($S568 / 100)-J568, ))), )</f>
        <v/>
      </c>
      <c r="AD568" s="32" t="str">
        <f t="shared" si="572"/>
        <v/>
      </c>
      <c r="AE568" s="32" t="str">
        <f t="shared" si="572"/>
        <v/>
      </c>
      <c r="AF568" s="32" t="str">
        <f t="shared" si="572"/>
        <v/>
      </c>
      <c r="AG568" s="32" t="str">
        <f t="shared" si="572"/>
        <v/>
      </c>
      <c r="AH568" s="33"/>
    </row>
    <row r="569" hidden="1" outlineLevel="3">
      <c r="A569" s="16" t="b">
        <v>0</v>
      </c>
      <c r="B569" s="17"/>
      <c r="C569" s="18"/>
      <c r="D569" s="34"/>
      <c r="E569" s="20"/>
      <c r="F569" s="19"/>
      <c r="G569" s="23"/>
      <c r="H569" s="23"/>
      <c r="I569" s="23"/>
      <c r="J569" s="23"/>
      <c r="K569" s="23"/>
      <c r="L569" s="23"/>
      <c r="M569" s="23"/>
      <c r="N569" s="23"/>
      <c r="O569" s="24"/>
      <c r="P569" s="16" t="b">
        <v>0</v>
      </c>
      <c r="Q569" s="24"/>
      <c r="R569" s="26"/>
      <c r="S569" s="26"/>
      <c r="T569" s="27"/>
      <c r="U569" s="24"/>
      <c r="V569" s="38" t="s">
        <v>29</v>
      </c>
      <c r="W569" s="29" t="s">
        <v>22</v>
      </c>
      <c r="X569" s="37" t="s">
        <v>226</v>
      </c>
      <c r="Y569" s="31"/>
      <c r="Z569" s="26" t="str">
        <f t="shared" si="5"/>
        <v/>
      </c>
      <c r="AA569" s="26" t="str">
        <f t="shared" si="6"/>
        <v/>
      </c>
      <c r="AB569" s="32" t="str">
        <f t="shared" si="7"/>
        <v/>
      </c>
      <c r="AC569" s="32" t="str">
        <f t="shared" ref="AC569:AG569" si="573">IF(J569&lt;&gt;"", IF(AND($P569=FALSE, $A569=FALSE), -J569, IF(AND($P569=FALSE, $A569=TRUE), 0, IF($P569=TRUE, (J569 / $R569) * 100 * ($S569 / 100)-J569, ))), )</f>
        <v/>
      </c>
      <c r="AD569" s="32" t="str">
        <f t="shared" si="573"/>
        <v/>
      </c>
      <c r="AE569" s="32" t="str">
        <f t="shared" si="573"/>
        <v/>
      </c>
      <c r="AF569" s="32" t="str">
        <f t="shared" si="573"/>
        <v/>
      </c>
      <c r="AG569" s="32" t="str">
        <f t="shared" si="573"/>
        <v/>
      </c>
      <c r="AH569" s="33"/>
    </row>
    <row r="570" hidden="1" outlineLevel="3">
      <c r="A570" s="16" t="b">
        <v>0</v>
      </c>
      <c r="B570" s="17"/>
      <c r="C570" s="18"/>
      <c r="D570" s="34"/>
      <c r="E570" s="20"/>
      <c r="F570" s="19"/>
      <c r="G570" s="23"/>
      <c r="H570" s="23"/>
      <c r="I570" s="23"/>
      <c r="J570" s="23"/>
      <c r="K570" s="23"/>
      <c r="L570" s="23"/>
      <c r="M570" s="23"/>
      <c r="N570" s="23"/>
      <c r="O570" s="24"/>
      <c r="P570" s="16" t="b">
        <v>0</v>
      </c>
      <c r="Q570" s="24"/>
      <c r="R570" s="26"/>
      <c r="S570" s="26"/>
      <c r="T570" s="27"/>
      <c r="U570" s="24"/>
      <c r="V570" s="69" t="s">
        <v>358</v>
      </c>
      <c r="W570" s="29" t="s">
        <v>22</v>
      </c>
      <c r="X570" s="37" t="s">
        <v>472</v>
      </c>
      <c r="Y570" s="31"/>
      <c r="Z570" s="26" t="str">
        <f t="shared" si="5"/>
        <v/>
      </c>
      <c r="AA570" s="26" t="str">
        <f t="shared" si="6"/>
        <v/>
      </c>
      <c r="AB570" s="32" t="str">
        <f t="shared" si="7"/>
        <v/>
      </c>
      <c r="AC570" s="32" t="str">
        <f t="shared" ref="AC570:AG570" si="574">IF(J570&lt;&gt;"", IF(AND($P570=FALSE, $A570=FALSE), -J570, IF(AND($P570=FALSE, $A570=TRUE), 0, IF($P570=TRUE, (J570 / $R570) * 100 * ($S570 / 100)-J570, ))), )</f>
        <v/>
      </c>
      <c r="AD570" s="32" t="str">
        <f t="shared" si="574"/>
        <v/>
      </c>
      <c r="AE570" s="32" t="str">
        <f t="shared" si="574"/>
        <v/>
      </c>
      <c r="AF570" s="32" t="str">
        <f t="shared" si="574"/>
        <v/>
      </c>
      <c r="AG570" s="32" t="str">
        <f t="shared" si="574"/>
        <v/>
      </c>
      <c r="AH570" s="33"/>
    </row>
    <row r="571" hidden="1" outlineLevel="2" collapsed="1">
      <c r="A571" s="70" t="b">
        <v>0</v>
      </c>
      <c r="B571" s="17"/>
      <c r="C571" s="18"/>
      <c r="D571" s="67">
        <v>45252.0</v>
      </c>
      <c r="E571" s="43" t="s">
        <v>60</v>
      </c>
      <c r="F571" s="53" t="s">
        <v>61</v>
      </c>
      <c r="G571" s="48">
        <v>2.0</v>
      </c>
      <c r="H571" s="48">
        <v>1.0</v>
      </c>
      <c r="I571" s="48">
        <v>3.0</v>
      </c>
      <c r="J571" s="46"/>
      <c r="K571" s="46"/>
      <c r="L571" s="48"/>
      <c r="M571" s="46"/>
      <c r="N571" s="46"/>
      <c r="O571" s="47"/>
      <c r="P571" s="71" t="b">
        <v>1</v>
      </c>
      <c r="Q571" s="24"/>
      <c r="R571" s="48">
        <v>6.0</v>
      </c>
      <c r="S571" s="45">
        <v>17.55</v>
      </c>
      <c r="T571" s="49" t="s">
        <v>473</v>
      </c>
      <c r="U571" s="47"/>
      <c r="V571" s="28"/>
      <c r="W571" s="29"/>
      <c r="X571" s="30"/>
      <c r="Y571" s="72"/>
      <c r="Z571" s="26">
        <f t="shared" si="5"/>
        <v>3.85</v>
      </c>
      <c r="AA571" s="26">
        <f t="shared" si="6"/>
        <v>5.775</v>
      </c>
      <c r="AB571" s="32">
        <f t="shared" si="7"/>
        <v>1.925</v>
      </c>
      <c r="AC571" s="32" t="str">
        <f t="shared" ref="AC571:AG571" si="575">IF(J571&lt;&gt;"", IF(AND($P571=FALSE, $A571=FALSE), -J571, IF(AND($P571=FALSE, $A571=TRUE), 0, IF($P571=TRUE, (J571 / $R571) * 100 * ($S571 / 100)-J571, ))), )</f>
        <v/>
      </c>
      <c r="AD571" s="32" t="str">
        <f t="shared" si="575"/>
        <v/>
      </c>
      <c r="AE571" s="32" t="str">
        <f t="shared" si="575"/>
        <v/>
      </c>
      <c r="AF571" s="32" t="str">
        <f t="shared" si="575"/>
        <v/>
      </c>
      <c r="AG571" s="32" t="str">
        <f t="shared" si="575"/>
        <v/>
      </c>
      <c r="AH571" s="33"/>
    </row>
    <row r="572" hidden="1" outlineLevel="3">
      <c r="A572" s="16" t="b">
        <v>0</v>
      </c>
      <c r="B572" s="17"/>
      <c r="C572" s="18"/>
      <c r="D572" s="34"/>
      <c r="E572" s="20"/>
      <c r="F572" s="19"/>
      <c r="G572" s="23"/>
      <c r="H572" s="23"/>
      <c r="I572" s="23"/>
      <c r="J572" s="23"/>
      <c r="K572" s="23"/>
      <c r="L572" s="23"/>
      <c r="M572" s="23"/>
      <c r="N572" s="23"/>
      <c r="O572" s="24"/>
      <c r="P572" s="16" t="b">
        <v>0</v>
      </c>
      <c r="Q572" s="24"/>
      <c r="R572" s="26"/>
      <c r="S572" s="26"/>
      <c r="T572" s="27"/>
      <c r="U572" s="24"/>
      <c r="V572" s="38" t="s">
        <v>29</v>
      </c>
      <c r="W572" s="29" t="s">
        <v>22</v>
      </c>
      <c r="X572" s="37" t="s">
        <v>474</v>
      </c>
      <c r="Y572" s="31"/>
      <c r="Z572" s="26" t="str">
        <f t="shared" si="5"/>
        <v/>
      </c>
      <c r="AA572" s="26" t="str">
        <f t="shared" si="6"/>
        <v/>
      </c>
      <c r="AB572" s="32" t="str">
        <f t="shared" si="7"/>
        <v/>
      </c>
      <c r="AC572" s="32" t="str">
        <f t="shared" ref="AC572:AG572" si="576">IF(J572&lt;&gt;"", IF(AND($P572=FALSE, $A572=FALSE), -J572, IF(AND($P572=FALSE, $A572=TRUE), 0, IF($P572=TRUE, (J572 / $R572) * 100 * ($S572 / 100)-J572, ))), )</f>
        <v/>
      </c>
      <c r="AD572" s="32" t="str">
        <f t="shared" si="576"/>
        <v/>
      </c>
      <c r="AE572" s="32" t="str">
        <f t="shared" si="576"/>
        <v/>
      </c>
      <c r="AF572" s="32" t="str">
        <f t="shared" si="576"/>
        <v/>
      </c>
      <c r="AG572" s="32" t="str">
        <f t="shared" si="576"/>
        <v/>
      </c>
      <c r="AH572" s="33"/>
    </row>
    <row r="573" hidden="1" outlineLevel="3">
      <c r="A573" s="16" t="b">
        <v>0</v>
      </c>
      <c r="B573" s="17"/>
      <c r="C573" s="18"/>
      <c r="D573" s="34"/>
      <c r="E573" s="20"/>
      <c r="F573" s="19"/>
      <c r="G573" s="23"/>
      <c r="H573" s="23"/>
      <c r="I573" s="23"/>
      <c r="J573" s="23"/>
      <c r="K573" s="23"/>
      <c r="L573" s="23"/>
      <c r="M573" s="23"/>
      <c r="N573" s="23"/>
      <c r="O573" s="24"/>
      <c r="P573" s="16" t="b">
        <v>0</v>
      </c>
      <c r="Q573" s="24"/>
      <c r="R573" s="26"/>
      <c r="S573" s="26"/>
      <c r="T573" s="27"/>
      <c r="U573" s="24"/>
      <c r="V573" s="38" t="s">
        <v>29</v>
      </c>
      <c r="W573" s="29" t="s">
        <v>22</v>
      </c>
      <c r="X573" s="37" t="s">
        <v>207</v>
      </c>
      <c r="Y573" s="31"/>
      <c r="Z573" s="26" t="str">
        <f t="shared" si="5"/>
        <v/>
      </c>
      <c r="AA573" s="26" t="str">
        <f t="shared" si="6"/>
        <v/>
      </c>
      <c r="AB573" s="32" t="str">
        <f t="shared" si="7"/>
        <v/>
      </c>
      <c r="AC573" s="32" t="str">
        <f t="shared" ref="AC573:AG573" si="577">IF(J573&lt;&gt;"", IF(AND($P573=FALSE, $A573=FALSE), -J573, IF(AND($P573=FALSE, $A573=TRUE), 0, IF($P573=TRUE, (J573 / $R573) * 100 * ($S573 / 100)-J573, ))), )</f>
        <v/>
      </c>
      <c r="AD573" s="32" t="str">
        <f t="shared" si="577"/>
        <v/>
      </c>
      <c r="AE573" s="32" t="str">
        <f t="shared" si="577"/>
        <v/>
      </c>
      <c r="AF573" s="32" t="str">
        <f t="shared" si="577"/>
        <v/>
      </c>
      <c r="AG573" s="32" t="str">
        <f t="shared" si="577"/>
        <v/>
      </c>
      <c r="AH573" s="33"/>
    </row>
    <row r="574" hidden="1" outlineLevel="3">
      <c r="A574" s="16" t="b">
        <v>0</v>
      </c>
      <c r="B574" s="17"/>
      <c r="C574" s="18"/>
      <c r="D574" s="34"/>
      <c r="E574" s="20"/>
      <c r="F574" s="19"/>
      <c r="G574" s="23"/>
      <c r="H574" s="23"/>
      <c r="I574" s="23"/>
      <c r="J574" s="23"/>
      <c r="K574" s="23"/>
      <c r="L574" s="23"/>
      <c r="M574" s="23"/>
      <c r="N574" s="23"/>
      <c r="O574" s="24"/>
      <c r="P574" s="16" t="b">
        <v>0</v>
      </c>
      <c r="Q574" s="24"/>
      <c r="R574" s="26"/>
      <c r="S574" s="26"/>
      <c r="T574" s="27"/>
      <c r="U574" s="24"/>
      <c r="V574" s="38" t="s">
        <v>29</v>
      </c>
      <c r="W574" s="29" t="s">
        <v>22</v>
      </c>
      <c r="X574" s="37" t="s">
        <v>475</v>
      </c>
      <c r="Y574" s="31"/>
      <c r="Z574" s="26" t="str">
        <f t="shared" si="5"/>
        <v/>
      </c>
      <c r="AA574" s="26" t="str">
        <f t="shared" si="6"/>
        <v/>
      </c>
      <c r="AB574" s="32" t="str">
        <f t="shared" si="7"/>
        <v/>
      </c>
      <c r="AC574" s="32" t="str">
        <f t="shared" ref="AC574:AG574" si="578">IF(J574&lt;&gt;"", IF(AND($P574=FALSE, $A574=FALSE), -J574, IF(AND($P574=FALSE, $A574=TRUE), 0, IF($P574=TRUE, (J574 / $R574) * 100 * ($S574 / 100)-J574, ))), )</f>
        <v/>
      </c>
      <c r="AD574" s="32" t="str">
        <f t="shared" si="578"/>
        <v/>
      </c>
      <c r="AE574" s="32" t="str">
        <f t="shared" si="578"/>
        <v/>
      </c>
      <c r="AF574" s="32" t="str">
        <f t="shared" si="578"/>
        <v/>
      </c>
      <c r="AG574" s="32" t="str">
        <f t="shared" si="578"/>
        <v/>
      </c>
      <c r="AH574" s="33"/>
    </row>
    <row r="575" hidden="1" outlineLevel="2" collapsed="1">
      <c r="A575" s="70" t="b">
        <v>0</v>
      </c>
      <c r="B575" s="17"/>
      <c r="C575" s="18"/>
      <c r="D575" s="67">
        <v>45252.0</v>
      </c>
      <c r="E575" s="43" t="s">
        <v>60</v>
      </c>
      <c r="F575" s="53" t="s">
        <v>61</v>
      </c>
      <c r="G575" s="48">
        <v>2.0</v>
      </c>
      <c r="H575" s="48">
        <v>1.0</v>
      </c>
      <c r="I575" s="48">
        <v>3.0</v>
      </c>
      <c r="J575" s="46"/>
      <c r="K575" s="46"/>
      <c r="L575" s="48"/>
      <c r="M575" s="46"/>
      <c r="N575" s="46"/>
      <c r="O575" s="47"/>
      <c r="P575" s="70" t="b">
        <v>0</v>
      </c>
      <c r="Q575" s="24"/>
      <c r="R575" s="48">
        <v>6.0</v>
      </c>
      <c r="S575" s="45">
        <v>15.63</v>
      </c>
      <c r="T575" s="49" t="s">
        <v>476</v>
      </c>
      <c r="U575" s="47"/>
      <c r="V575" s="28"/>
      <c r="W575" s="29"/>
      <c r="X575" s="30"/>
      <c r="Y575" s="73"/>
      <c r="Z575" s="26">
        <f t="shared" si="5"/>
        <v>-2</v>
      </c>
      <c r="AA575" s="26">
        <f t="shared" si="6"/>
        <v>-3</v>
      </c>
      <c r="AB575" s="32">
        <f t="shared" si="7"/>
        <v>-1</v>
      </c>
      <c r="AC575" s="32" t="str">
        <f t="shared" ref="AC575:AG575" si="579">IF(J575&lt;&gt;"", IF(AND($P575=FALSE, $A575=FALSE), -J575, IF(AND($P575=FALSE, $A575=TRUE), 0, IF($P575=TRUE, (J575 / $R575) * 100 * ($S575 / 100)-J575, ))), )</f>
        <v/>
      </c>
      <c r="AD575" s="32" t="str">
        <f t="shared" si="579"/>
        <v/>
      </c>
      <c r="AE575" s="32" t="str">
        <f t="shared" si="579"/>
        <v/>
      </c>
      <c r="AF575" s="32" t="str">
        <f t="shared" si="579"/>
        <v/>
      </c>
      <c r="AG575" s="32" t="str">
        <f t="shared" si="579"/>
        <v/>
      </c>
      <c r="AH575" s="33"/>
    </row>
    <row r="576" hidden="1" outlineLevel="3">
      <c r="A576" s="16" t="b">
        <v>0</v>
      </c>
      <c r="B576" s="17"/>
      <c r="C576" s="18"/>
      <c r="D576" s="34"/>
      <c r="E576" s="20"/>
      <c r="F576" s="19"/>
      <c r="G576" s="23"/>
      <c r="H576" s="23"/>
      <c r="I576" s="23"/>
      <c r="J576" s="23"/>
      <c r="K576" s="23"/>
      <c r="L576" s="23"/>
      <c r="M576" s="23"/>
      <c r="N576" s="23"/>
      <c r="O576" s="24"/>
      <c r="P576" s="16" t="b">
        <v>0</v>
      </c>
      <c r="Q576" s="24"/>
      <c r="R576" s="26"/>
      <c r="S576" s="26"/>
      <c r="T576" s="27"/>
      <c r="U576" s="24"/>
      <c r="V576" s="38" t="s">
        <v>29</v>
      </c>
      <c r="W576" s="29" t="s">
        <v>22</v>
      </c>
      <c r="X576" s="37" t="s">
        <v>429</v>
      </c>
      <c r="Y576" s="31"/>
      <c r="Z576" s="26" t="str">
        <f t="shared" si="5"/>
        <v/>
      </c>
      <c r="AA576" s="26" t="str">
        <f t="shared" si="6"/>
        <v/>
      </c>
      <c r="AB576" s="32" t="str">
        <f t="shared" si="7"/>
        <v/>
      </c>
      <c r="AC576" s="32" t="str">
        <f t="shared" ref="AC576:AG576" si="580">IF(J576&lt;&gt;"", IF(AND($P576=FALSE, $A576=FALSE), -J576, IF(AND($P576=FALSE, $A576=TRUE), 0, IF($P576=TRUE, (J576 / $R576) * 100 * ($S576 / 100)-J576, ))), )</f>
        <v/>
      </c>
      <c r="AD576" s="32" t="str">
        <f t="shared" si="580"/>
        <v/>
      </c>
      <c r="AE576" s="32" t="str">
        <f t="shared" si="580"/>
        <v/>
      </c>
      <c r="AF576" s="32" t="str">
        <f t="shared" si="580"/>
        <v/>
      </c>
      <c r="AG576" s="32" t="str">
        <f t="shared" si="580"/>
        <v/>
      </c>
      <c r="AH576" s="33"/>
    </row>
    <row r="577" hidden="1" outlineLevel="3">
      <c r="A577" s="16" t="b">
        <v>0</v>
      </c>
      <c r="B577" s="17"/>
      <c r="C577" s="18"/>
      <c r="D577" s="34"/>
      <c r="E577" s="20"/>
      <c r="F577" s="19"/>
      <c r="G577" s="23"/>
      <c r="H577" s="23"/>
      <c r="I577" s="23"/>
      <c r="J577" s="23"/>
      <c r="K577" s="23"/>
      <c r="L577" s="23"/>
      <c r="M577" s="23"/>
      <c r="N577" s="23"/>
      <c r="O577" s="24"/>
      <c r="P577" s="16" t="b">
        <v>0</v>
      </c>
      <c r="Q577" s="24"/>
      <c r="R577" s="26"/>
      <c r="S577" s="26"/>
      <c r="T577" s="27"/>
      <c r="U577" s="24"/>
      <c r="V577" s="38" t="s">
        <v>29</v>
      </c>
      <c r="W577" s="29" t="s">
        <v>22</v>
      </c>
      <c r="X577" s="37" t="s">
        <v>365</v>
      </c>
      <c r="Y577" s="31"/>
      <c r="Z577" s="26" t="str">
        <f t="shared" si="5"/>
        <v/>
      </c>
      <c r="AA577" s="26" t="str">
        <f t="shared" si="6"/>
        <v/>
      </c>
      <c r="AB577" s="32" t="str">
        <f t="shared" si="7"/>
        <v/>
      </c>
      <c r="AC577" s="32" t="str">
        <f t="shared" ref="AC577:AG577" si="581">IF(J577&lt;&gt;"", IF(AND($P577=FALSE, $A577=FALSE), -J577, IF(AND($P577=FALSE, $A577=TRUE), 0, IF($P577=TRUE, (J577 / $R577) * 100 * ($S577 / 100)-J577, ))), )</f>
        <v/>
      </c>
      <c r="AD577" s="32" t="str">
        <f t="shared" si="581"/>
        <v/>
      </c>
      <c r="AE577" s="32" t="str">
        <f t="shared" si="581"/>
        <v/>
      </c>
      <c r="AF577" s="32" t="str">
        <f t="shared" si="581"/>
        <v/>
      </c>
      <c r="AG577" s="32" t="str">
        <f t="shared" si="581"/>
        <v/>
      </c>
      <c r="AH577" s="33"/>
    </row>
    <row r="578" hidden="1" outlineLevel="3">
      <c r="A578" s="16" t="b">
        <v>0</v>
      </c>
      <c r="B578" s="17"/>
      <c r="C578" s="18"/>
      <c r="D578" s="34"/>
      <c r="E578" s="20"/>
      <c r="F578" s="19"/>
      <c r="G578" s="23"/>
      <c r="H578" s="23"/>
      <c r="I578" s="23"/>
      <c r="J578" s="23"/>
      <c r="K578" s="23"/>
      <c r="L578" s="23"/>
      <c r="M578" s="23"/>
      <c r="N578" s="23"/>
      <c r="O578" s="24"/>
      <c r="P578" s="16" t="b">
        <v>0</v>
      </c>
      <c r="Q578" s="24"/>
      <c r="R578" s="26"/>
      <c r="S578" s="26"/>
      <c r="T578" s="27"/>
      <c r="U578" s="24"/>
      <c r="V578" s="28" t="s">
        <v>32</v>
      </c>
      <c r="W578" s="29" t="s">
        <v>22</v>
      </c>
      <c r="X578" s="37" t="s">
        <v>366</v>
      </c>
      <c r="Y578" s="31"/>
      <c r="Z578" s="26" t="str">
        <f t="shared" si="5"/>
        <v/>
      </c>
      <c r="AA578" s="26" t="str">
        <f t="shared" si="6"/>
        <v/>
      </c>
      <c r="AB578" s="32" t="str">
        <f t="shared" si="7"/>
        <v/>
      </c>
      <c r="AC578" s="32" t="str">
        <f t="shared" ref="AC578:AG578" si="582">IF(J578&lt;&gt;"", IF(AND($P578=FALSE, $A578=FALSE), -J578, IF(AND($P578=FALSE, $A578=TRUE), 0, IF($P578=TRUE, (J578 / $R578) * 100 * ($S578 / 100)-J578, ))), )</f>
        <v/>
      </c>
      <c r="AD578" s="32" t="str">
        <f t="shared" si="582"/>
        <v/>
      </c>
      <c r="AE578" s="32" t="str">
        <f t="shared" si="582"/>
        <v/>
      </c>
      <c r="AF578" s="32" t="str">
        <f t="shared" si="582"/>
        <v/>
      </c>
      <c r="AG578" s="32" t="str">
        <f t="shared" si="582"/>
        <v/>
      </c>
      <c r="AH578" s="33"/>
    </row>
    <row r="579" hidden="1" outlineLevel="3">
      <c r="A579" s="16" t="b">
        <v>0</v>
      </c>
      <c r="B579" s="17"/>
      <c r="C579" s="18"/>
      <c r="D579" s="34"/>
      <c r="E579" s="20"/>
      <c r="F579" s="19"/>
      <c r="G579" s="23"/>
      <c r="H579" s="23"/>
      <c r="I579" s="23"/>
      <c r="J579" s="23"/>
      <c r="K579" s="23"/>
      <c r="L579" s="23"/>
      <c r="M579" s="23"/>
      <c r="N579" s="23"/>
      <c r="O579" s="24"/>
      <c r="P579" s="16" t="b">
        <v>0</v>
      </c>
      <c r="Q579" s="24"/>
      <c r="R579" s="26"/>
      <c r="S579" s="26"/>
      <c r="T579" s="27"/>
      <c r="U579" s="24"/>
      <c r="V579" s="38" t="s">
        <v>29</v>
      </c>
      <c r="W579" s="29" t="s">
        <v>22</v>
      </c>
      <c r="X579" s="37" t="s">
        <v>431</v>
      </c>
      <c r="Y579" s="31"/>
      <c r="Z579" s="26" t="str">
        <f t="shared" si="5"/>
        <v/>
      </c>
      <c r="AA579" s="26" t="str">
        <f t="shared" si="6"/>
        <v/>
      </c>
      <c r="AB579" s="32" t="str">
        <f t="shared" si="7"/>
        <v/>
      </c>
      <c r="AC579" s="32" t="str">
        <f t="shared" ref="AC579:AG579" si="583">IF(J579&lt;&gt;"", IF(AND($P579=FALSE, $A579=FALSE), -J579, IF(AND($P579=FALSE, $A579=TRUE), 0, IF($P579=TRUE, (J579 / $R579) * 100 * ($S579 / 100)-J579, ))), )</f>
        <v/>
      </c>
      <c r="AD579" s="32" t="str">
        <f t="shared" si="583"/>
        <v/>
      </c>
      <c r="AE579" s="32" t="str">
        <f t="shared" si="583"/>
        <v/>
      </c>
      <c r="AF579" s="32" t="str">
        <f t="shared" si="583"/>
        <v/>
      </c>
      <c r="AG579" s="32" t="str">
        <f t="shared" si="583"/>
        <v/>
      </c>
      <c r="AH579" s="33"/>
    </row>
    <row r="580" hidden="1" outlineLevel="2" collapsed="1">
      <c r="A580" s="70" t="b">
        <v>0</v>
      </c>
      <c r="B580" s="17"/>
      <c r="C580" s="18"/>
      <c r="D580" s="67">
        <v>45252.0</v>
      </c>
      <c r="E580" s="43" t="s">
        <v>60</v>
      </c>
      <c r="F580" s="53" t="s">
        <v>61</v>
      </c>
      <c r="G580" s="48">
        <v>2.0</v>
      </c>
      <c r="H580" s="48">
        <v>1.0</v>
      </c>
      <c r="I580" s="48">
        <v>3.0</v>
      </c>
      <c r="J580" s="46"/>
      <c r="K580" s="46"/>
      <c r="L580" s="48"/>
      <c r="M580" s="46"/>
      <c r="N580" s="46"/>
      <c r="O580" s="47"/>
      <c r="P580" s="70" t="b">
        <v>0</v>
      </c>
      <c r="Q580" s="24"/>
      <c r="R580" s="48">
        <v>6.0</v>
      </c>
      <c r="S580" s="45">
        <v>17.66</v>
      </c>
      <c r="T580" s="49" t="s">
        <v>477</v>
      </c>
      <c r="U580" s="47"/>
      <c r="V580" s="28"/>
      <c r="W580" s="29"/>
      <c r="X580" s="30"/>
      <c r="Y580" s="73"/>
      <c r="Z580" s="26">
        <f t="shared" si="5"/>
        <v>-2</v>
      </c>
      <c r="AA580" s="26">
        <f t="shared" si="6"/>
        <v>-3</v>
      </c>
      <c r="AB580" s="32">
        <f t="shared" si="7"/>
        <v>-1</v>
      </c>
      <c r="AC580" s="32" t="str">
        <f t="shared" ref="AC580:AG580" si="584">IF(J580&lt;&gt;"", IF(AND($P580=FALSE, $A580=FALSE), -J580, IF(AND($P580=FALSE, $A580=TRUE), 0, IF($P580=TRUE, (J580 / $R580) * 100 * ($S580 / 100)-J580, ))), )</f>
        <v/>
      </c>
      <c r="AD580" s="32" t="str">
        <f t="shared" si="584"/>
        <v/>
      </c>
      <c r="AE580" s="32" t="str">
        <f t="shared" si="584"/>
        <v/>
      </c>
      <c r="AF580" s="32" t="str">
        <f t="shared" si="584"/>
        <v/>
      </c>
      <c r="AG580" s="32" t="str">
        <f t="shared" si="584"/>
        <v/>
      </c>
      <c r="AH580" s="33"/>
    </row>
    <row r="581" hidden="1" outlineLevel="3">
      <c r="A581" s="16" t="b">
        <v>0</v>
      </c>
      <c r="B581" s="17"/>
      <c r="C581" s="18"/>
      <c r="D581" s="34"/>
      <c r="E581" s="20"/>
      <c r="F581" s="19"/>
      <c r="G581" s="23"/>
      <c r="H581" s="23"/>
      <c r="I581" s="23"/>
      <c r="J581" s="23"/>
      <c r="K581" s="23"/>
      <c r="L581" s="23"/>
      <c r="M581" s="23"/>
      <c r="N581" s="23"/>
      <c r="O581" s="24"/>
      <c r="P581" s="16" t="b">
        <v>0</v>
      </c>
      <c r="Q581" s="24"/>
      <c r="R581" s="26"/>
      <c r="S581" s="26"/>
      <c r="T581" s="27"/>
      <c r="U581" s="24"/>
      <c r="V581" s="28" t="s">
        <v>32</v>
      </c>
      <c r="W581" s="29" t="s">
        <v>22</v>
      </c>
      <c r="X581" s="37" t="s">
        <v>189</v>
      </c>
      <c r="Y581" s="31"/>
      <c r="Z581" s="26" t="str">
        <f t="shared" si="5"/>
        <v/>
      </c>
      <c r="AA581" s="26" t="str">
        <f t="shared" si="6"/>
        <v/>
      </c>
      <c r="AB581" s="32" t="str">
        <f t="shared" si="7"/>
        <v/>
      </c>
      <c r="AC581" s="32" t="str">
        <f t="shared" ref="AC581:AG581" si="585">IF(J581&lt;&gt;"", IF(AND($P581=FALSE, $A581=FALSE), -J581, IF(AND($P581=FALSE, $A581=TRUE), 0, IF($P581=TRUE, (J581 / $R581) * 100 * ($S581 / 100)-J581, ))), )</f>
        <v/>
      </c>
      <c r="AD581" s="32" t="str">
        <f t="shared" si="585"/>
        <v/>
      </c>
      <c r="AE581" s="32" t="str">
        <f t="shared" si="585"/>
        <v/>
      </c>
      <c r="AF581" s="32" t="str">
        <f t="shared" si="585"/>
        <v/>
      </c>
      <c r="AG581" s="32" t="str">
        <f t="shared" si="585"/>
        <v/>
      </c>
      <c r="AH581" s="33"/>
    </row>
    <row r="582" hidden="1" outlineLevel="3">
      <c r="A582" s="16" t="b">
        <v>0</v>
      </c>
      <c r="B582" s="17"/>
      <c r="C582" s="18"/>
      <c r="D582" s="34"/>
      <c r="E582" s="20"/>
      <c r="F582" s="19"/>
      <c r="G582" s="23"/>
      <c r="H582" s="23"/>
      <c r="I582" s="23"/>
      <c r="J582" s="23"/>
      <c r="K582" s="23"/>
      <c r="L582" s="23"/>
      <c r="M582" s="23"/>
      <c r="N582" s="23"/>
      <c r="O582" s="24"/>
      <c r="P582" s="16" t="b">
        <v>0</v>
      </c>
      <c r="Q582" s="24"/>
      <c r="R582" s="26"/>
      <c r="S582" s="26"/>
      <c r="T582" s="27"/>
      <c r="U582" s="24"/>
      <c r="V582" s="38" t="s">
        <v>29</v>
      </c>
      <c r="W582" s="29" t="s">
        <v>22</v>
      </c>
      <c r="X582" s="37" t="s">
        <v>232</v>
      </c>
      <c r="Y582" s="31"/>
      <c r="Z582" s="26" t="str">
        <f t="shared" si="5"/>
        <v/>
      </c>
      <c r="AA582" s="26" t="str">
        <f t="shared" si="6"/>
        <v/>
      </c>
      <c r="AB582" s="32" t="str">
        <f t="shared" si="7"/>
        <v/>
      </c>
      <c r="AC582" s="32" t="str">
        <f t="shared" ref="AC582:AG582" si="586">IF(J582&lt;&gt;"", IF(AND($P582=FALSE, $A582=FALSE), -J582, IF(AND($P582=FALSE, $A582=TRUE), 0, IF($P582=TRUE, (J582 / $R582) * 100 * ($S582 / 100)-J582, ))), )</f>
        <v/>
      </c>
      <c r="AD582" s="32" t="str">
        <f t="shared" si="586"/>
        <v/>
      </c>
      <c r="AE582" s="32" t="str">
        <f t="shared" si="586"/>
        <v/>
      </c>
      <c r="AF582" s="32" t="str">
        <f t="shared" si="586"/>
        <v/>
      </c>
      <c r="AG582" s="32" t="str">
        <f t="shared" si="586"/>
        <v/>
      </c>
      <c r="AH582" s="33"/>
    </row>
    <row r="583" hidden="1" outlineLevel="3">
      <c r="A583" s="16" t="b">
        <v>0</v>
      </c>
      <c r="B583" s="17"/>
      <c r="C583" s="18"/>
      <c r="D583" s="34"/>
      <c r="E583" s="20"/>
      <c r="F583" s="19"/>
      <c r="G583" s="23"/>
      <c r="H583" s="23"/>
      <c r="I583" s="23"/>
      <c r="J583" s="23"/>
      <c r="K583" s="23"/>
      <c r="L583" s="23"/>
      <c r="M583" s="23"/>
      <c r="N583" s="23"/>
      <c r="O583" s="24"/>
      <c r="P583" s="16" t="b">
        <v>0</v>
      </c>
      <c r="Q583" s="24"/>
      <c r="R583" s="26"/>
      <c r="S583" s="26"/>
      <c r="T583" s="27"/>
      <c r="U583" s="24"/>
      <c r="V583" s="38" t="s">
        <v>29</v>
      </c>
      <c r="W583" s="29" t="s">
        <v>22</v>
      </c>
      <c r="X583" s="37" t="s">
        <v>478</v>
      </c>
      <c r="Y583" s="31"/>
      <c r="Z583" s="26" t="str">
        <f t="shared" si="5"/>
        <v/>
      </c>
      <c r="AA583" s="26" t="str">
        <f t="shared" si="6"/>
        <v/>
      </c>
      <c r="AB583" s="32" t="str">
        <f t="shared" si="7"/>
        <v/>
      </c>
      <c r="AC583" s="32" t="str">
        <f t="shared" ref="AC583:AG583" si="587">IF(J583&lt;&gt;"", IF(AND($P583=FALSE, $A583=FALSE), -J583, IF(AND($P583=FALSE, $A583=TRUE), 0, IF($P583=TRUE, (J583 / $R583) * 100 * ($S583 / 100)-J583, ))), )</f>
        <v/>
      </c>
      <c r="AD583" s="32" t="str">
        <f t="shared" si="587"/>
        <v/>
      </c>
      <c r="AE583" s="32" t="str">
        <f t="shared" si="587"/>
        <v/>
      </c>
      <c r="AF583" s="32" t="str">
        <f t="shared" si="587"/>
        <v/>
      </c>
      <c r="AG583" s="32" t="str">
        <f t="shared" si="587"/>
        <v/>
      </c>
      <c r="AH583" s="33"/>
    </row>
    <row r="584" hidden="1" outlineLevel="3">
      <c r="A584" s="16" t="b">
        <v>0</v>
      </c>
      <c r="B584" s="17"/>
      <c r="C584" s="18"/>
      <c r="D584" s="34"/>
      <c r="E584" s="20"/>
      <c r="F584" s="19"/>
      <c r="G584" s="23"/>
      <c r="H584" s="23"/>
      <c r="I584" s="23"/>
      <c r="J584" s="23"/>
      <c r="K584" s="23"/>
      <c r="L584" s="23"/>
      <c r="M584" s="23"/>
      <c r="N584" s="23"/>
      <c r="O584" s="24"/>
      <c r="P584" s="16" t="b">
        <v>0</v>
      </c>
      <c r="Q584" s="24"/>
      <c r="R584" s="26"/>
      <c r="S584" s="26"/>
      <c r="T584" s="27"/>
      <c r="U584" s="24"/>
      <c r="V584" s="38" t="s">
        <v>29</v>
      </c>
      <c r="W584" s="29" t="s">
        <v>22</v>
      </c>
      <c r="X584" s="37" t="s">
        <v>479</v>
      </c>
      <c r="Y584" s="31"/>
      <c r="Z584" s="26" t="str">
        <f t="shared" si="5"/>
        <v/>
      </c>
      <c r="AA584" s="26" t="str">
        <f t="shared" si="6"/>
        <v/>
      </c>
      <c r="AB584" s="32" t="str">
        <f t="shared" si="7"/>
        <v/>
      </c>
      <c r="AC584" s="32" t="str">
        <f t="shared" ref="AC584:AG584" si="588">IF(J584&lt;&gt;"", IF(AND($P584=FALSE, $A584=FALSE), -J584, IF(AND($P584=FALSE, $A584=TRUE), 0, IF($P584=TRUE, (J584 / $R584) * 100 * ($S584 / 100)-J584, ))), )</f>
        <v/>
      </c>
      <c r="AD584" s="32" t="str">
        <f t="shared" si="588"/>
        <v/>
      </c>
      <c r="AE584" s="32" t="str">
        <f t="shared" si="588"/>
        <v/>
      </c>
      <c r="AF584" s="32" t="str">
        <f t="shared" si="588"/>
        <v/>
      </c>
      <c r="AG584" s="32" t="str">
        <f t="shared" si="588"/>
        <v/>
      </c>
      <c r="AH584" s="33"/>
    </row>
    <row r="585" hidden="1" outlineLevel="2">
      <c r="A585" s="70" t="b">
        <v>0</v>
      </c>
      <c r="B585" s="17"/>
      <c r="C585" s="18"/>
      <c r="D585" s="67">
        <v>45252.0</v>
      </c>
      <c r="E585" s="43" t="s">
        <v>60</v>
      </c>
      <c r="F585" s="53" t="s">
        <v>61</v>
      </c>
      <c r="G585" s="48">
        <v>2.0</v>
      </c>
      <c r="H585" s="48">
        <v>1.0</v>
      </c>
      <c r="I585" s="48">
        <v>3.0</v>
      </c>
      <c r="J585" s="46"/>
      <c r="K585" s="46"/>
      <c r="L585" s="48"/>
      <c r="M585" s="46"/>
      <c r="N585" s="46"/>
      <c r="O585" s="47"/>
      <c r="P585" s="71" t="b">
        <v>1</v>
      </c>
      <c r="Q585" s="24"/>
      <c r="R585" s="48">
        <v>6.0</v>
      </c>
      <c r="S585" s="45">
        <v>17.66</v>
      </c>
      <c r="T585" s="49" t="s">
        <v>477</v>
      </c>
      <c r="U585" s="47"/>
      <c r="V585" s="28"/>
      <c r="W585" s="29"/>
      <c r="X585" s="30"/>
      <c r="Y585" s="72"/>
      <c r="Z585" s="26">
        <f t="shared" si="5"/>
        <v>3.886666667</v>
      </c>
      <c r="AA585" s="26">
        <f t="shared" si="6"/>
        <v>5.83</v>
      </c>
      <c r="AB585" s="32">
        <f t="shared" si="7"/>
        <v>1.943333333</v>
      </c>
      <c r="AC585" s="32" t="str">
        <f t="shared" ref="AC585:AG585" si="589">IF(J585&lt;&gt;"", IF(AND($P585=FALSE, $A585=FALSE), -J585, IF(AND($P585=FALSE, $A585=TRUE), 0, IF($P585=TRUE, (J585 / $R585) * 100 * ($S585 / 100)-J585, ))), )</f>
        <v/>
      </c>
      <c r="AD585" s="32" t="str">
        <f t="shared" si="589"/>
        <v/>
      </c>
      <c r="AE585" s="32" t="str">
        <f t="shared" si="589"/>
        <v/>
      </c>
      <c r="AF585" s="32" t="str">
        <f t="shared" si="589"/>
        <v/>
      </c>
      <c r="AG585" s="32" t="str">
        <f t="shared" si="589"/>
        <v/>
      </c>
      <c r="AH585" s="33"/>
    </row>
    <row r="586" hidden="1" outlineLevel="3">
      <c r="A586" s="16" t="b">
        <v>0</v>
      </c>
      <c r="B586" s="17"/>
      <c r="C586" s="18"/>
      <c r="D586" s="34"/>
      <c r="E586" s="20"/>
      <c r="F586" s="19"/>
      <c r="G586" s="23"/>
      <c r="H586" s="23"/>
      <c r="I586" s="23"/>
      <c r="J586" s="23"/>
      <c r="K586" s="23"/>
      <c r="L586" s="23"/>
      <c r="M586" s="23"/>
      <c r="N586" s="23"/>
      <c r="O586" s="24"/>
      <c r="P586" s="16" t="b">
        <v>0</v>
      </c>
      <c r="Q586" s="24"/>
      <c r="R586" s="26"/>
      <c r="S586" s="26"/>
      <c r="T586" s="27"/>
      <c r="U586" s="24"/>
      <c r="V586" s="38" t="s">
        <v>29</v>
      </c>
      <c r="W586" s="29" t="s">
        <v>22</v>
      </c>
      <c r="X586" s="37" t="s">
        <v>63</v>
      </c>
      <c r="Y586" s="31"/>
      <c r="Z586" s="26" t="str">
        <f t="shared" si="5"/>
        <v/>
      </c>
      <c r="AA586" s="26" t="str">
        <f t="shared" si="6"/>
        <v/>
      </c>
      <c r="AB586" s="32" t="str">
        <f t="shared" si="7"/>
        <v/>
      </c>
      <c r="AC586" s="32" t="str">
        <f t="shared" ref="AC586:AG586" si="590">IF(J586&lt;&gt;"", IF(AND($P586=FALSE, $A586=FALSE), -J586, IF(AND($P586=FALSE, $A586=TRUE), 0, IF($P586=TRUE, (J586 / $R586) * 100 * ($S586 / 100)-J586, ))), )</f>
        <v/>
      </c>
      <c r="AD586" s="32" t="str">
        <f t="shared" si="590"/>
        <v/>
      </c>
      <c r="AE586" s="32" t="str">
        <f t="shared" si="590"/>
        <v/>
      </c>
      <c r="AF586" s="32" t="str">
        <f t="shared" si="590"/>
        <v/>
      </c>
      <c r="AG586" s="32" t="str">
        <f t="shared" si="590"/>
        <v/>
      </c>
      <c r="AH586" s="33"/>
    </row>
    <row r="587" hidden="1" outlineLevel="3">
      <c r="A587" s="16" t="b">
        <v>0</v>
      </c>
      <c r="B587" s="17"/>
      <c r="C587" s="18"/>
      <c r="D587" s="34"/>
      <c r="E587" s="20"/>
      <c r="F587" s="19"/>
      <c r="G587" s="23"/>
      <c r="H587" s="23"/>
      <c r="I587" s="23"/>
      <c r="J587" s="23"/>
      <c r="K587" s="23"/>
      <c r="L587" s="23"/>
      <c r="M587" s="23"/>
      <c r="N587" s="23"/>
      <c r="O587" s="24"/>
      <c r="P587" s="16" t="b">
        <v>0</v>
      </c>
      <c r="Q587" s="24"/>
      <c r="R587" s="26"/>
      <c r="S587" s="26"/>
      <c r="T587" s="27"/>
      <c r="U587" s="24"/>
      <c r="V587" s="38" t="s">
        <v>29</v>
      </c>
      <c r="W587" s="29" t="s">
        <v>22</v>
      </c>
      <c r="X587" s="37" t="s">
        <v>480</v>
      </c>
      <c r="Y587" s="31"/>
      <c r="Z587" s="26" t="str">
        <f t="shared" si="5"/>
        <v/>
      </c>
      <c r="AA587" s="26" t="str">
        <f t="shared" si="6"/>
        <v/>
      </c>
      <c r="AB587" s="32" t="str">
        <f t="shared" si="7"/>
        <v/>
      </c>
      <c r="AC587" s="32" t="str">
        <f t="shared" ref="AC587:AG587" si="591">IF(J587&lt;&gt;"", IF(AND($P587=FALSE, $A587=FALSE), -J587, IF(AND($P587=FALSE, $A587=TRUE), 0, IF($P587=TRUE, (J587 / $R587) * 100 * ($S587 / 100)-J587, ))), )</f>
        <v/>
      </c>
      <c r="AD587" s="32" t="str">
        <f t="shared" si="591"/>
        <v/>
      </c>
      <c r="AE587" s="32" t="str">
        <f t="shared" si="591"/>
        <v/>
      </c>
      <c r="AF587" s="32" t="str">
        <f t="shared" si="591"/>
        <v/>
      </c>
      <c r="AG587" s="32" t="str">
        <f t="shared" si="591"/>
        <v/>
      </c>
      <c r="AH587" s="33"/>
    </row>
    <row r="588" hidden="1" outlineLevel="3">
      <c r="A588" s="16" t="b">
        <v>0</v>
      </c>
      <c r="B588" s="17"/>
      <c r="C588" s="18"/>
      <c r="D588" s="34"/>
      <c r="E588" s="20"/>
      <c r="F588" s="19"/>
      <c r="G588" s="23"/>
      <c r="H588" s="23"/>
      <c r="I588" s="23"/>
      <c r="J588" s="23"/>
      <c r="K588" s="23"/>
      <c r="L588" s="23"/>
      <c r="M588" s="23"/>
      <c r="N588" s="23"/>
      <c r="O588" s="24"/>
      <c r="P588" s="16" t="b">
        <v>0</v>
      </c>
      <c r="Q588" s="24"/>
      <c r="R588" s="26"/>
      <c r="S588" s="26"/>
      <c r="T588" s="27"/>
      <c r="U588" s="24"/>
      <c r="V588" s="38" t="s">
        <v>29</v>
      </c>
      <c r="W588" s="29" t="s">
        <v>22</v>
      </c>
      <c r="X588" s="37" t="s">
        <v>195</v>
      </c>
      <c r="Y588" s="31"/>
      <c r="Z588" s="26" t="str">
        <f t="shared" si="5"/>
        <v/>
      </c>
      <c r="AA588" s="26" t="str">
        <f t="shared" si="6"/>
        <v/>
      </c>
      <c r="AB588" s="32" t="str">
        <f t="shared" si="7"/>
        <v/>
      </c>
      <c r="AC588" s="32" t="str">
        <f t="shared" ref="AC588:AG588" si="592">IF(J588&lt;&gt;"", IF(AND($P588=FALSE, $A588=FALSE), -J588, IF(AND($P588=FALSE, $A588=TRUE), 0, IF($P588=TRUE, (J588 / $R588) * 100 * ($S588 / 100)-J588, ))), )</f>
        <v/>
      </c>
      <c r="AD588" s="32" t="str">
        <f t="shared" si="592"/>
        <v/>
      </c>
      <c r="AE588" s="32" t="str">
        <f t="shared" si="592"/>
        <v/>
      </c>
      <c r="AF588" s="32" t="str">
        <f t="shared" si="592"/>
        <v/>
      </c>
      <c r="AG588" s="32" t="str">
        <f t="shared" si="592"/>
        <v/>
      </c>
      <c r="AH588" s="33"/>
    </row>
    <row r="589" hidden="1" outlineLevel="3">
      <c r="A589" s="16" t="b">
        <v>0</v>
      </c>
      <c r="B589" s="17"/>
      <c r="C589" s="18"/>
      <c r="D589" s="34"/>
      <c r="E589" s="20"/>
      <c r="F589" s="19"/>
      <c r="G589" s="23"/>
      <c r="H589" s="23"/>
      <c r="I589" s="23"/>
      <c r="J589" s="23"/>
      <c r="K589" s="23"/>
      <c r="L589" s="23"/>
      <c r="M589" s="23"/>
      <c r="N589" s="23"/>
      <c r="O589" s="24"/>
      <c r="P589" s="16" t="b">
        <v>0</v>
      </c>
      <c r="Q589" s="24"/>
      <c r="R589" s="26"/>
      <c r="S589" s="26"/>
      <c r="T589" s="27"/>
      <c r="U589" s="24"/>
      <c r="V589" s="38" t="s">
        <v>29</v>
      </c>
      <c r="W589" s="29" t="s">
        <v>22</v>
      </c>
      <c r="X589" s="37" t="s">
        <v>459</v>
      </c>
      <c r="Y589" s="31"/>
      <c r="Z589" s="26" t="str">
        <f t="shared" si="5"/>
        <v/>
      </c>
      <c r="AA589" s="26" t="str">
        <f t="shared" si="6"/>
        <v/>
      </c>
      <c r="AB589" s="32" t="str">
        <f t="shared" si="7"/>
        <v/>
      </c>
      <c r="AC589" s="32" t="str">
        <f t="shared" ref="AC589:AG589" si="593">IF(J589&lt;&gt;"", IF(AND($P589=FALSE, $A589=FALSE), -J589, IF(AND($P589=FALSE, $A589=TRUE), 0, IF($P589=TRUE, (J589 / $R589) * 100 * ($S589 / 100)-J589, ))), )</f>
        <v/>
      </c>
      <c r="AD589" s="32" t="str">
        <f t="shared" si="593"/>
        <v/>
      </c>
      <c r="AE589" s="32" t="str">
        <f t="shared" si="593"/>
        <v/>
      </c>
      <c r="AF589" s="32" t="str">
        <f t="shared" si="593"/>
        <v/>
      </c>
      <c r="AG589" s="32" t="str">
        <f t="shared" si="593"/>
        <v/>
      </c>
      <c r="AH589" s="33"/>
    </row>
    <row r="590" hidden="1" outlineLevel="1" collapsed="1">
      <c r="A590" s="16" t="b">
        <v>0</v>
      </c>
      <c r="B590" s="17"/>
      <c r="C590" s="18"/>
      <c r="D590" s="41">
        <v>45253.0</v>
      </c>
      <c r="E590" s="20" t="s">
        <v>24</v>
      </c>
      <c r="F590" s="21" t="s">
        <v>481</v>
      </c>
      <c r="G590" s="23">
        <v>2.0</v>
      </c>
      <c r="H590" s="23">
        <v>1.0</v>
      </c>
      <c r="I590" s="23">
        <v>5.0</v>
      </c>
      <c r="J590" s="23"/>
      <c r="K590" s="23"/>
      <c r="L590" s="23"/>
      <c r="M590" s="23"/>
      <c r="N590" s="23"/>
      <c r="O590" s="24"/>
      <c r="P590" s="16" t="b">
        <v>1</v>
      </c>
      <c r="Q590" s="24"/>
      <c r="R590" s="26">
        <v>8.0</v>
      </c>
      <c r="S590" s="26">
        <v>18.4</v>
      </c>
      <c r="T590" s="27" t="s">
        <v>419</v>
      </c>
      <c r="U590" s="24"/>
      <c r="V590" s="28"/>
      <c r="W590" s="29"/>
      <c r="X590" s="30"/>
      <c r="Y590" s="31"/>
      <c r="Z590" s="26">
        <f t="shared" si="5"/>
        <v>2.6</v>
      </c>
      <c r="AA590" s="26">
        <f t="shared" si="6"/>
        <v>6.5</v>
      </c>
      <c r="AB590" s="32">
        <f t="shared" si="7"/>
        <v>1.3</v>
      </c>
      <c r="AC590" s="32" t="str">
        <f t="shared" ref="AC590:AG590" si="594">IF(J590&lt;&gt;"", IF(AND($P590=FALSE, $A590=FALSE), -J590, IF(AND($P590=FALSE, $A590=TRUE), 0, IF($P590=TRUE, (J590 / $R590) * 100 * ($S590 / 100)-J590, ))), )</f>
        <v/>
      </c>
      <c r="AD590" s="32" t="str">
        <f t="shared" si="594"/>
        <v/>
      </c>
      <c r="AE590" s="32" t="str">
        <f t="shared" si="594"/>
        <v/>
      </c>
      <c r="AF590" s="32" t="str">
        <f t="shared" si="594"/>
        <v/>
      </c>
      <c r="AG590" s="32" t="str">
        <f t="shared" si="594"/>
        <v/>
      </c>
      <c r="AH590" s="33"/>
    </row>
    <row r="591" hidden="1" outlineLevel="3">
      <c r="A591" s="16" t="b">
        <v>0</v>
      </c>
      <c r="B591" s="17"/>
      <c r="C591" s="18"/>
      <c r="D591" s="34"/>
      <c r="E591" s="20"/>
      <c r="F591" s="19"/>
      <c r="G591" s="23"/>
      <c r="H591" s="23"/>
      <c r="I591" s="23"/>
      <c r="J591" s="23"/>
      <c r="K591" s="23"/>
      <c r="L591" s="23"/>
      <c r="M591" s="23"/>
      <c r="N591" s="23"/>
      <c r="O591" s="24"/>
      <c r="P591" s="16" t="b">
        <v>0</v>
      </c>
      <c r="Q591" s="24"/>
      <c r="R591" s="26"/>
      <c r="S591" s="26"/>
      <c r="T591" s="27"/>
      <c r="U591" s="24"/>
      <c r="V591" s="38" t="s">
        <v>29</v>
      </c>
      <c r="W591" s="29" t="s">
        <v>22</v>
      </c>
      <c r="X591" s="37" t="s">
        <v>482</v>
      </c>
      <c r="Y591" s="31"/>
      <c r="Z591" s="26" t="str">
        <f t="shared" si="5"/>
        <v/>
      </c>
      <c r="AA591" s="26" t="str">
        <f t="shared" si="6"/>
        <v/>
      </c>
      <c r="AB591" s="32" t="str">
        <f t="shared" si="7"/>
        <v/>
      </c>
      <c r="AC591" s="32" t="str">
        <f t="shared" ref="AC591:AG591" si="595">IF(J591&lt;&gt;"", IF(AND($P591=FALSE, $A591=FALSE), -J591, IF(AND($P591=FALSE, $A591=TRUE), 0, IF($P591=TRUE, (J591 / $R591) * 100 * ($S591 / 100)-J591, ))), )</f>
        <v/>
      </c>
      <c r="AD591" s="32" t="str">
        <f t="shared" si="595"/>
        <v/>
      </c>
      <c r="AE591" s="32" t="str">
        <f t="shared" si="595"/>
        <v/>
      </c>
      <c r="AF591" s="32" t="str">
        <f t="shared" si="595"/>
        <v/>
      </c>
      <c r="AG591" s="32" t="str">
        <f t="shared" si="595"/>
        <v/>
      </c>
      <c r="AH591" s="33"/>
    </row>
    <row r="592" hidden="1" outlineLevel="3">
      <c r="A592" s="16" t="b">
        <v>0</v>
      </c>
      <c r="B592" s="17"/>
      <c r="C592" s="18"/>
      <c r="D592" s="34"/>
      <c r="E592" s="20"/>
      <c r="F592" s="19"/>
      <c r="G592" s="23"/>
      <c r="H592" s="23"/>
      <c r="I592" s="23"/>
      <c r="J592" s="23"/>
      <c r="K592" s="23"/>
      <c r="L592" s="23"/>
      <c r="M592" s="23"/>
      <c r="N592" s="23"/>
      <c r="O592" s="24"/>
      <c r="P592" s="16" t="b">
        <v>0</v>
      </c>
      <c r="Q592" s="24"/>
      <c r="R592" s="26"/>
      <c r="S592" s="26"/>
      <c r="T592" s="27"/>
      <c r="U592" s="24"/>
      <c r="V592" s="38" t="s">
        <v>29</v>
      </c>
      <c r="W592" s="29" t="s">
        <v>22</v>
      </c>
      <c r="X592" s="37" t="s">
        <v>483</v>
      </c>
      <c r="Y592" s="31"/>
      <c r="Z592" s="26" t="str">
        <f t="shared" si="5"/>
        <v/>
      </c>
      <c r="AA592" s="26" t="str">
        <f t="shared" si="6"/>
        <v/>
      </c>
      <c r="AB592" s="32" t="str">
        <f t="shared" si="7"/>
        <v/>
      </c>
      <c r="AC592" s="32" t="str">
        <f t="shared" ref="AC592:AG592" si="596">IF(J592&lt;&gt;"", IF(AND($P592=FALSE, $A592=FALSE), -J592, IF(AND($P592=FALSE, $A592=TRUE), 0, IF($P592=TRUE, (J592 / $R592) * 100 * ($S592 / 100)-J592, ))), )</f>
        <v/>
      </c>
      <c r="AD592" s="32" t="str">
        <f t="shared" si="596"/>
        <v/>
      </c>
      <c r="AE592" s="32" t="str">
        <f t="shared" si="596"/>
        <v/>
      </c>
      <c r="AF592" s="32" t="str">
        <f t="shared" si="596"/>
        <v/>
      </c>
      <c r="AG592" s="32" t="str">
        <f t="shared" si="596"/>
        <v/>
      </c>
      <c r="AH592" s="33"/>
    </row>
    <row r="593" hidden="1" outlineLevel="3">
      <c r="A593" s="16" t="b">
        <v>0</v>
      </c>
      <c r="B593" s="17"/>
      <c r="C593" s="18"/>
      <c r="D593" s="34"/>
      <c r="E593" s="20"/>
      <c r="F593" s="19"/>
      <c r="G593" s="23"/>
      <c r="H593" s="23"/>
      <c r="I593" s="23"/>
      <c r="J593" s="23"/>
      <c r="K593" s="23"/>
      <c r="L593" s="23"/>
      <c r="M593" s="23"/>
      <c r="N593" s="23"/>
      <c r="O593" s="24"/>
      <c r="P593" s="16" t="b">
        <v>0</v>
      </c>
      <c r="Q593" s="24"/>
      <c r="R593" s="26"/>
      <c r="S593" s="26"/>
      <c r="T593" s="27"/>
      <c r="U593" s="24"/>
      <c r="V593" s="38" t="s">
        <v>29</v>
      </c>
      <c r="W593" s="29" t="s">
        <v>22</v>
      </c>
      <c r="X593" s="37" t="s">
        <v>484</v>
      </c>
      <c r="Y593" s="31"/>
      <c r="Z593" s="26" t="str">
        <f t="shared" si="5"/>
        <v/>
      </c>
      <c r="AA593" s="26" t="str">
        <f t="shared" si="6"/>
        <v/>
      </c>
      <c r="AB593" s="32" t="str">
        <f t="shared" si="7"/>
        <v/>
      </c>
      <c r="AC593" s="32" t="str">
        <f t="shared" ref="AC593:AG593" si="597">IF(J593&lt;&gt;"", IF(AND($P593=FALSE, $A593=FALSE), -J593, IF(AND($P593=FALSE, $A593=TRUE), 0, IF($P593=TRUE, (J593 / $R593) * 100 * ($S593 / 100)-J593, ))), )</f>
        <v/>
      </c>
      <c r="AD593" s="32" t="str">
        <f t="shared" si="597"/>
        <v/>
      </c>
      <c r="AE593" s="32" t="str">
        <f t="shared" si="597"/>
        <v/>
      </c>
      <c r="AF593" s="32" t="str">
        <f t="shared" si="597"/>
        <v/>
      </c>
      <c r="AG593" s="32" t="str">
        <f t="shared" si="597"/>
        <v/>
      </c>
      <c r="AH593" s="33"/>
    </row>
    <row r="594" hidden="1" outlineLevel="2" collapsed="1">
      <c r="A594" s="70" t="b">
        <v>0</v>
      </c>
      <c r="B594" s="17"/>
      <c r="C594" s="18"/>
      <c r="D594" s="67">
        <v>45253.0</v>
      </c>
      <c r="E594" s="43" t="s">
        <v>24</v>
      </c>
      <c r="F594" s="44" t="s">
        <v>481</v>
      </c>
      <c r="G594" s="48">
        <v>2.0</v>
      </c>
      <c r="H594" s="48">
        <v>1.0</v>
      </c>
      <c r="I594" s="45">
        <v>5.0</v>
      </c>
      <c r="J594" s="46"/>
      <c r="K594" s="46"/>
      <c r="L594" s="48"/>
      <c r="M594" s="46"/>
      <c r="N594" s="46"/>
      <c r="O594" s="47"/>
      <c r="P594" s="71" t="b">
        <v>1</v>
      </c>
      <c r="Q594" s="24"/>
      <c r="R594" s="48">
        <v>8.0</v>
      </c>
      <c r="S594" s="45">
        <v>17.56</v>
      </c>
      <c r="T594" s="49" t="s">
        <v>221</v>
      </c>
      <c r="U594" s="47"/>
      <c r="V594" s="28"/>
      <c r="W594" s="29"/>
      <c r="X594" s="30"/>
      <c r="Y594" s="72"/>
      <c r="Z594" s="26">
        <f t="shared" si="5"/>
        <v>2.39</v>
      </c>
      <c r="AA594" s="26">
        <f t="shared" si="6"/>
        <v>5.975</v>
      </c>
      <c r="AB594" s="32">
        <f t="shared" si="7"/>
        <v>1.195</v>
      </c>
      <c r="AC594" s="32" t="str">
        <f t="shared" ref="AC594:AG594" si="598">IF(J594&lt;&gt;"", IF(AND($P594=FALSE, $A594=FALSE), -J594, IF(AND($P594=FALSE, $A594=TRUE), 0, IF($P594=TRUE, (J594 / $R594) * 100 * ($S594 / 100)-J594, ))), )</f>
        <v/>
      </c>
      <c r="AD594" s="32" t="str">
        <f t="shared" si="598"/>
        <v/>
      </c>
      <c r="AE594" s="32" t="str">
        <f t="shared" si="598"/>
        <v/>
      </c>
      <c r="AF594" s="32" t="str">
        <f t="shared" si="598"/>
        <v/>
      </c>
      <c r="AG594" s="32" t="str">
        <f t="shared" si="598"/>
        <v/>
      </c>
      <c r="AH594" s="33"/>
    </row>
    <row r="595" hidden="1" outlineLevel="3">
      <c r="A595" s="16" t="b">
        <v>0</v>
      </c>
      <c r="B595" s="17"/>
      <c r="C595" s="18"/>
      <c r="D595" s="34"/>
      <c r="E595" s="20"/>
      <c r="F595" s="19"/>
      <c r="G595" s="23"/>
      <c r="H595" s="23"/>
      <c r="I595" s="23"/>
      <c r="J595" s="23"/>
      <c r="K595" s="23"/>
      <c r="L595" s="23"/>
      <c r="M595" s="23"/>
      <c r="N595" s="23"/>
      <c r="O595" s="24"/>
      <c r="P595" s="16" t="b">
        <v>0</v>
      </c>
      <c r="Q595" s="24"/>
      <c r="R595" s="26"/>
      <c r="S595" s="26"/>
      <c r="T595" s="27"/>
      <c r="U595" s="24"/>
      <c r="V595" s="38" t="s">
        <v>29</v>
      </c>
      <c r="W595" s="29" t="s">
        <v>22</v>
      </c>
      <c r="X595" s="37" t="s">
        <v>331</v>
      </c>
      <c r="Y595" s="31"/>
      <c r="Z595" s="26" t="str">
        <f t="shared" si="5"/>
        <v/>
      </c>
      <c r="AA595" s="26" t="str">
        <f t="shared" si="6"/>
        <v/>
      </c>
      <c r="AB595" s="32" t="str">
        <f t="shared" si="7"/>
        <v/>
      </c>
      <c r="AC595" s="32" t="str">
        <f t="shared" ref="AC595:AG595" si="599">IF(J595&lt;&gt;"", IF(AND($P595=FALSE, $A595=FALSE), -J595, IF(AND($P595=FALSE, $A595=TRUE), 0, IF($P595=TRUE, (J595 / $R595) * 100 * ($S595 / 100)-J595, ))), )</f>
        <v/>
      </c>
      <c r="AD595" s="32" t="str">
        <f t="shared" si="599"/>
        <v/>
      </c>
      <c r="AE595" s="32" t="str">
        <f t="shared" si="599"/>
        <v/>
      </c>
      <c r="AF595" s="32" t="str">
        <f t="shared" si="599"/>
        <v/>
      </c>
      <c r="AG595" s="32" t="str">
        <f t="shared" si="599"/>
        <v/>
      </c>
      <c r="AH595" s="33"/>
    </row>
    <row r="596" hidden="1" outlineLevel="3">
      <c r="A596" s="16" t="b">
        <v>0</v>
      </c>
      <c r="B596" s="17"/>
      <c r="C596" s="18"/>
      <c r="D596" s="34"/>
      <c r="E596" s="20"/>
      <c r="F596" s="19"/>
      <c r="G596" s="23"/>
      <c r="H596" s="23"/>
      <c r="I596" s="23"/>
      <c r="J596" s="23"/>
      <c r="K596" s="23"/>
      <c r="L596" s="23"/>
      <c r="M596" s="23"/>
      <c r="N596" s="23"/>
      <c r="O596" s="24"/>
      <c r="P596" s="16" t="b">
        <v>0</v>
      </c>
      <c r="Q596" s="24"/>
      <c r="R596" s="26"/>
      <c r="S596" s="26"/>
      <c r="T596" s="27"/>
      <c r="U596" s="24"/>
      <c r="V596" s="38" t="s">
        <v>29</v>
      </c>
      <c r="W596" s="29" t="s">
        <v>22</v>
      </c>
      <c r="X596" s="37" t="s">
        <v>381</v>
      </c>
      <c r="Y596" s="31"/>
      <c r="Z596" s="26" t="str">
        <f t="shared" si="5"/>
        <v/>
      </c>
      <c r="AA596" s="26" t="str">
        <f t="shared" si="6"/>
        <v/>
      </c>
      <c r="AB596" s="32" t="str">
        <f t="shared" si="7"/>
        <v/>
      </c>
      <c r="AC596" s="32" t="str">
        <f t="shared" ref="AC596:AG596" si="600">IF(J596&lt;&gt;"", IF(AND($P596=FALSE, $A596=FALSE), -J596, IF(AND($P596=FALSE, $A596=TRUE), 0, IF($P596=TRUE, (J596 / $R596) * 100 * ($S596 / 100)-J596, ))), )</f>
        <v/>
      </c>
      <c r="AD596" s="32" t="str">
        <f t="shared" si="600"/>
        <v/>
      </c>
      <c r="AE596" s="32" t="str">
        <f t="shared" si="600"/>
        <v/>
      </c>
      <c r="AF596" s="32" t="str">
        <f t="shared" si="600"/>
        <v/>
      </c>
      <c r="AG596" s="32" t="str">
        <f t="shared" si="600"/>
        <v/>
      </c>
      <c r="AH596" s="33"/>
    </row>
    <row r="597" hidden="1" outlineLevel="3">
      <c r="A597" s="16" t="b">
        <v>0</v>
      </c>
      <c r="B597" s="17"/>
      <c r="C597" s="18"/>
      <c r="D597" s="34"/>
      <c r="E597" s="20"/>
      <c r="F597" s="19"/>
      <c r="G597" s="23"/>
      <c r="H597" s="23"/>
      <c r="I597" s="23"/>
      <c r="J597" s="23"/>
      <c r="K597" s="23"/>
      <c r="L597" s="23"/>
      <c r="M597" s="23"/>
      <c r="N597" s="23"/>
      <c r="O597" s="24"/>
      <c r="P597" s="16" t="b">
        <v>0</v>
      </c>
      <c r="Q597" s="24"/>
      <c r="R597" s="26"/>
      <c r="S597" s="26"/>
      <c r="T597" s="27"/>
      <c r="U597" s="24"/>
      <c r="V597" s="38" t="s">
        <v>29</v>
      </c>
      <c r="W597" s="29" t="s">
        <v>22</v>
      </c>
      <c r="X597" s="37" t="s">
        <v>485</v>
      </c>
      <c r="Y597" s="31"/>
      <c r="Z597" s="26" t="str">
        <f t="shared" si="5"/>
        <v/>
      </c>
      <c r="AA597" s="26" t="str">
        <f t="shared" si="6"/>
        <v/>
      </c>
      <c r="AB597" s="32" t="str">
        <f t="shared" si="7"/>
        <v/>
      </c>
      <c r="AC597" s="32" t="str">
        <f t="shared" ref="AC597:AG597" si="601">IF(J597&lt;&gt;"", IF(AND($P597=FALSE, $A597=FALSE), -J597, IF(AND($P597=FALSE, $A597=TRUE), 0, IF($P597=TRUE, (J597 / $R597) * 100 * ($S597 / 100)-J597, ))), )</f>
        <v/>
      </c>
      <c r="AD597" s="32" t="str">
        <f t="shared" si="601"/>
        <v/>
      </c>
      <c r="AE597" s="32" t="str">
        <f t="shared" si="601"/>
        <v/>
      </c>
      <c r="AF597" s="32" t="str">
        <f t="shared" si="601"/>
        <v/>
      </c>
      <c r="AG597" s="32" t="str">
        <f t="shared" si="601"/>
        <v/>
      </c>
      <c r="AH597" s="33"/>
    </row>
    <row r="598" hidden="1" outlineLevel="3">
      <c r="A598" s="16" t="b">
        <v>0</v>
      </c>
      <c r="B598" s="17"/>
      <c r="C598" s="18"/>
      <c r="D598" s="34"/>
      <c r="E598" s="20"/>
      <c r="F598" s="19"/>
      <c r="G598" s="23"/>
      <c r="H598" s="23"/>
      <c r="I598" s="23"/>
      <c r="J598" s="23"/>
      <c r="K598" s="23"/>
      <c r="L598" s="23"/>
      <c r="M598" s="23"/>
      <c r="N598" s="23"/>
      <c r="O598" s="24"/>
      <c r="P598" s="16" t="b">
        <v>0</v>
      </c>
      <c r="Q598" s="24"/>
      <c r="R598" s="26"/>
      <c r="S598" s="26"/>
      <c r="T598" s="27"/>
      <c r="U598" s="24"/>
      <c r="V598" s="28"/>
      <c r="W598" s="29"/>
      <c r="X598" s="37"/>
      <c r="Y598" s="31"/>
      <c r="Z598" s="26" t="str">
        <f t="shared" si="5"/>
        <v/>
      </c>
      <c r="AA598" s="26" t="str">
        <f t="shared" si="6"/>
        <v/>
      </c>
      <c r="AB598" s="32" t="str">
        <f t="shared" si="7"/>
        <v/>
      </c>
      <c r="AC598" s="32" t="str">
        <f t="shared" ref="AC598:AG598" si="602">IF(J598&lt;&gt;"", IF(AND($P598=FALSE, $A598=FALSE), -J598, IF(AND($P598=FALSE, $A598=TRUE), 0, IF($P598=TRUE, (J598 / $R598) * 100 * ($S598 / 100)-J598, ))), )</f>
        <v/>
      </c>
      <c r="AD598" s="32" t="str">
        <f t="shared" si="602"/>
        <v/>
      </c>
      <c r="AE598" s="32" t="str">
        <f t="shared" si="602"/>
        <v/>
      </c>
      <c r="AF598" s="32" t="str">
        <f t="shared" si="602"/>
        <v/>
      </c>
      <c r="AG598" s="32" t="str">
        <f t="shared" si="602"/>
        <v/>
      </c>
      <c r="AH598" s="33"/>
    </row>
    <row r="599" hidden="1" outlineLevel="2" collapsed="1">
      <c r="A599" s="70" t="b">
        <v>0</v>
      </c>
      <c r="B599" s="17"/>
      <c r="C599" s="18"/>
      <c r="D599" s="67">
        <v>45253.0</v>
      </c>
      <c r="E599" s="43" t="s">
        <v>24</v>
      </c>
      <c r="F599" s="44" t="s">
        <v>481</v>
      </c>
      <c r="G599" s="48">
        <v>2.0</v>
      </c>
      <c r="H599" s="48">
        <v>1.0</v>
      </c>
      <c r="I599" s="45">
        <v>2.5</v>
      </c>
      <c r="J599" s="46"/>
      <c r="K599" s="46"/>
      <c r="L599" s="48"/>
      <c r="M599" s="46"/>
      <c r="N599" s="46"/>
      <c r="O599" s="47"/>
      <c r="P599" s="71" t="b">
        <v>1</v>
      </c>
      <c r="Q599" s="24"/>
      <c r="R599" s="48">
        <v>5.5</v>
      </c>
      <c r="S599" s="45">
        <v>13.1</v>
      </c>
      <c r="T599" s="49" t="s">
        <v>178</v>
      </c>
      <c r="U599" s="47"/>
      <c r="V599" s="28"/>
      <c r="W599" s="29"/>
      <c r="X599" s="30"/>
      <c r="Y599" s="72"/>
      <c r="Z599" s="26">
        <f t="shared" si="5"/>
        <v>2.763636364</v>
      </c>
      <c r="AA599" s="26">
        <f t="shared" si="6"/>
        <v>3.454545455</v>
      </c>
      <c r="AB599" s="32">
        <f t="shared" si="7"/>
        <v>1.381818182</v>
      </c>
      <c r="AC599" s="32" t="str">
        <f t="shared" ref="AC599:AG599" si="603">IF(J599&lt;&gt;"", IF(AND($P599=FALSE, $A599=FALSE), -J599, IF(AND($P599=FALSE, $A599=TRUE), 0, IF($P599=TRUE, (J599 / $R599) * 100 * ($S599 / 100)-J599, ))), )</f>
        <v/>
      </c>
      <c r="AD599" s="32" t="str">
        <f t="shared" si="603"/>
        <v/>
      </c>
      <c r="AE599" s="32" t="str">
        <f t="shared" si="603"/>
        <v/>
      </c>
      <c r="AF599" s="32" t="str">
        <f t="shared" si="603"/>
        <v/>
      </c>
      <c r="AG599" s="32" t="str">
        <f t="shared" si="603"/>
        <v/>
      </c>
      <c r="AH599" s="33"/>
    </row>
    <row r="600" hidden="1" outlineLevel="3">
      <c r="A600" s="16" t="b">
        <v>0</v>
      </c>
      <c r="B600" s="17"/>
      <c r="C600" s="18"/>
      <c r="D600" s="34"/>
      <c r="E600" s="20"/>
      <c r="F600" s="19"/>
      <c r="G600" s="23"/>
      <c r="H600" s="23"/>
      <c r="I600" s="23"/>
      <c r="J600" s="23"/>
      <c r="K600" s="23"/>
      <c r="L600" s="23"/>
      <c r="M600" s="23"/>
      <c r="N600" s="23"/>
      <c r="O600" s="24"/>
      <c r="P600" s="16" t="b">
        <v>0</v>
      </c>
      <c r="Q600" s="24"/>
      <c r="R600" s="26"/>
      <c r="S600" s="26"/>
      <c r="T600" s="27"/>
      <c r="U600" s="24"/>
      <c r="V600" s="38" t="s">
        <v>29</v>
      </c>
      <c r="W600" s="29" t="s">
        <v>22</v>
      </c>
      <c r="X600" s="37" t="s">
        <v>486</v>
      </c>
      <c r="Y600" s="31"/>
      <c r="Z600" s="26" t="str">
        <f t="shared" si="5"/>
        <v/>
      </c>
      <c r="AA600" s="26" t="str">
        <f t="shared" si="6"/>
        <v/>
      </c>
      <c r="AB600" s="32" t="str">
        <f t="shared" si="7"/>
        <v/>
      </c>
      <c r="AC600" s="32" t="str">
        <f t="shared" ref="AC600:AG600" si="604">IF(J600&lt;&gt;"", IF(AND($P600=FALSE, $A600=FALSE), -J600, IF(AND($P600=FALSE, $A600=TRUE), 0, IF($P600=TRUE, (J600 / $R600) * 100 * ($S600 / 100)-J600, ))), )</f>
        <v/>
      </c>
      <c r="AD600" s="32" t="str">
        <f t="shared" si="604"/>
        <v/>
      </c>
      <c r="AE600" s="32" t="str">
        <f t="shared" si="604"/>
        <v/>
      </c>
      <c r="AF600" s="32" t="str">
        <f t="shared" si="604"/>
        <v/>
      </c>
      <c r="AG600" s="32" t="str">
        <f t="shared" si="604"/>
        <v/>
      </c>
      <c r="AH600" s="33"/>
    </row>
    <row r="601" hidden="1" outlineLevel="3">
      <c r="A601" s="16" t="b">
        <v>0</v>
      </c>
      <c r="B601" s="17"/>
      <c r="C601" s="18"/>
      <c r="D601" s="34"/>
      <c r="E601" s="20"/>
      <c r="F601" s="19"/>
      <c r="G601" s="23"/>
      <c r="H601" s="23"/>
      <c r="I601" s="23"/>
      <c r="J601" s="23"/>
      <c r="K601" s="23"/>
      <c r="L601" s="23"/>
      <c r="M601" s="23"/>
      <c r="N601" s="23"/>
      <c r="O601" s="24"/>
      <c r="P601" s="16" t="b">
        <v>0</v>
      </c>
      <c r="Q601" s="24"/>
      <c r="R601" s="26"/>
      <c r="S601" s="26"/>
      <c r="T601" s="27"/>
      <c r="U601" s="24"/>
      <c r="V601" s="38" t="s">
        <v>29</v>
      </c>
      <c r="W601" s="29" t="s">
        <v>22</v>
      </c>
      <c r="X601" s="37" t="s">
        <v>487</v>
      </c>
      <c r="Y601" s="31"/>
      <c r="Z601" s="26" t="str">
        <f t="shared" si="5"/>
        <v/>
      </c>
      <c r="AA601" s="26" t="str">
        <f t="shared" si="6"/>
        <v/>
      </c>
      <c r="AB601" s="32" t="str">
        <f t="shared" si="7"/>
        <v/>
      </c>
      <c r="AC601" s="32" t="str">
        <f t="shared" ref="AC601:AG601" si="605">IF(J601&lt;&gt;"", IF(AND($P601=FALSE, $A601=FALSE), -J601, IF(AND($P601=FALSE, $A601=TRUE), 0, IF($P601=TRUE, (J601 / $R601) * 100 * ($S601 / 100)-J601, ))), )</f>
        <v/>
      </c>
      <c r="AD601" s="32" t="str">
        <f t="shared" si="605"/>
        <v/>
      </c>
      <c r="AE601" s="32" t="str">
        <f t="shared" si="605"/>
        <v/>
      </c>
      <c r="AF601" s="32" t="str">
        <f t="shared" si="605"/>
        <v/>
      </c>
      <c r="AG601" s="32" t="str">
        <f t="shared" si="605"/>
        <v/>
      </c>
      <c r="AH601" s="33"/>
    </row>
    <row r="602" hidden="1" outlineLevel="3">
      <c r="A602" s="16" t="b">
        <v>0</v>
      </c>
      <c r="B602" s="17"/>
      <c r="C602" s="18"/>
      <c r="D602" s="34"/>
      <c r="E602" s="20"/>
      <c r="F602" s="19"/>
      <c r="G602" s="23"/>
      <c r="H602" s="23"/>
      <c r="I602" s="23"/>
      <c r="J602" s="23"/>
      <c r="K602" s="23"/>
      <c r="L602" s="23"/>
      <c r="M602" s="23"/>
      <c r="N602" s="23"/>
      <c r="O602" s="24"/>
      <c r="P602" s="16" t="b">
        <v>0</v>
      </c>
      <c r="Q602" s="24"/>
      <c r="R602" s="26"/>
      <c r="S602" s="26"/>
      <c r="T602" s="27"/>
      <c r="U602" s="24"/>
      <c r="V602" s="38" t="s">
        <v>29</v>
      </c>
      <c r="W602" s="29" t="s">
        <v>22</v>
      </c>
      <c r="X602" s="37" t="s">
        <v>488</v>
      </c>
      <c r="Y602" s="31"/>
      <c r="Z602" s="26" t="str">
        <f t="shared" si="5"/>
        <v/>
      </c>
      <c r="AA602" s="26" t="str">
        <f t="shared" si="6"/>
        <v/>
      </c>
      <c r="AB602" s="32" t="str">
        <f t="shared" si="7"/>
        <v/>
      </c>
      <c r="AC602" s="32" t="str">
        <f t="shared" ref="AC602:AG602" si="606">IF(J602&lt;&gt;"", IF(AND($P602=FALSE, $A602=FALSE), -J602, IF(AND($P602=FALSE, $A602=TRUE), 0, IF($P602=TRUE, (J602 / $R602) * 100 * ($S602 / 100)-J602, ))), )</f>
        <v/>
      </c>
      <c r="AD602" s="32" t="str">
        <f t="shared" si="606"/>
        <v/>
      </c>
      <c r="AE602" s="32" t="str">
        <f t="shared" si="606"/>
        <v/>
      </c>
      <c r="AF602" s="32" t="str">
        <f t="shared" si="606"/>
        <v/>
      </c>
      <c r="AG602" s="32" t="str">
        <f t="shared" si="606"/>
        <v/>
      </c>
      <c r="AH602" s="33"/>
    </row>
    <row r="603" hidden="1" outlineLevel="2" collapsed="1">
      <c r="A603" s="70" t="b">
        <v>0</v>
      </c>
      <c r="B603" s="17"/>
      <c r="C603" s="18"/>
      <c r="D603" s="67">
        <v>45253.0</v>
      </c>
      <c r="E603" s="43" t="s">
        <v>24</v>
      </c>
      <c r="F603" s="44" t="s">
        <v>481</v>
      </c>
      <c r="G603" s="48">
        <v>2.0</v>
      </c>
      <c r="H603" s="48">
        <v>1.0</v>
      </c>
      <c r="I603" s="45">
        <v>5.0</v>
      </c>
      <c r="J603" s="46"/>
      <c r="K603" s="46"/>
      <c r="L603" s="48"/>
      <c r="M603" s="46"/>
      <c r="N603" s="46"/>
      <c r="O603" s="47"/>
      <c r="P603" s="70" t="b">
        <v>0</v>
      </c>
      <c r="Q603" s="24"/>
      <c r="R603" s="48">
        <v>8.0</v>
      </c>
      <c r="S603" s="45">
        <v>17.27</v>
      </c>
      <c r="T603" s="49" t="s">
        <v>489</v>
      </c>
      <c r="U603" s="47"/>
      <c r="V603" s="28"/>
      <c r="W603" s="29"/>
      <c r="X603" s="30"/>
      <c r="Y603" s="73"/>
      <c r="Z603" s="26">
        <f t="shared" si="5"/>
        <v>-2</v>
      </c>
      <c r="AA603" s="26">
        <f t="shared" si="6"/>
        <v>-5</v>
      </c>
      <c r="AB603" s="32">
        <f t="shared" si="7"/>
        <v>-1</v>
      </c>
      <c r="AC603" s="32" t="str">
        <f t="shared" ref="AC603:AG603" si="607">IF(J603&lt;&gt;"", IF(AND($P603=FALSE, $A603=FALSE), -J603, IF(AND($P603=FALSE, $A603=TRUE), 0, IF($P603=TRUE, (J603 / $R603) * 100 * ($S603 / 100)-J603, ))), )</f>
        <v/>
      </c>
      <c r="AD603" s="32" t="str">
        <f t="shared" si="607"/>
        <v/>
      </c>
      <c r="AE603" s="32" t="str">
        <f t="shared" si="607"/>
        <v/>
      </c>
      <c r="AF603" s="32" t="str">
        <f t="shared" si="607"/>
        <v/>
      </c>
      <c r="AG603" s="32" t="str">
        <f t="shared" si="607"/>
        <v/>
      </c>
      <c r="AH603" s="33"/>
    </row>
    <row r="604" hidden="1" outlineLevel="3">
      <c r="A604" s="16" t="b">
        <v>0</v>
      </c>
      <c r="B604" s="17"/>
      <c r="C604" s="18"/>
      <c r="D604" s="34"/>
      <c r="E604" s="20"/>
      <c r="F604" s="19"/>
      <c r="G604" s="23"/>
      <c r="H604" s="23"/>
      <c r="I604" s="23"/>
      <c r="J604" s="23"/>
      <c r="K604" s="23"/>
      <c r="L604" s="23"/>
      <c r="M604" s="23"/>
      <c r="N604" s="23"/>
      <c r="O604" s="24"/>
      <c r="P604" s="16" t="b">
        <v>0</v>
      </c>
      <c r="Q604" s="24"/>
      <c r="R604" s="26"/>
      <c r="S604" s="26"/>
      <c r="T604" s="27"/>
      <c r="U604" s="24"/>
      <c r="V604" s="28" t="s">
        <v>32</v>
      </c>
      <c r="W604" s="29" t="s">
        <v>22</v>
      </c>
      <c r="X604" s="37" t="s">
        <v>312</v>
      </c>
      <c r="Y604" s="31"/>
      <c r="Z604" s="26" t="str">
        <f t="shared" si="5"/>
        <v/>
      </c>
      <c r="AA604" s="26" t="str">
        <f t="shared" si="6"/>
        <v/>
      </c>
      <c r="AB604" s="32" t="str">
        <f t="shared" si="7"/>
        <v/>
      </c>
      <c r="AC604" s="32" t="str">
        <f t="shared" ref="AC604:AG604" si="608">IF(J604&lt;&gt;"", IF(AND($P604=FALSE, $A604=FALSE), -J604, IF(AND($P604=FALSE, $A604=TRUE), 0, IF($P604=TRUE, (J604 / $R604) * 100 * ($S604 / 100)-J604, ))), )</f>
        <v/>
      </c>
      <c r="AD604" s="32" t="str">
        <f t="shared" si="608"/>
        <v/>
      </c>
      <c r="AE604" s="32" t="str">
        <f t="shared" si="608"/>
        <v/>
      </c>
      <c r="AF604" s="32" t="str">
        <f t="shared" si="608"/>
        <v/>
      </c>
      <c r="AG604" s="32" t="str">
        <f t="shared" si="608"/>
        <v/>
      </c>
      <c r="AH604" s="33"/>
    </row>
    <row r="605" hidden="1" outlineLevel="3">
      <c r="A605" s="16" t="b">
        <v>0</v>
      </c>
      <c r="B605" s="17"/>
      <c r="C605" s="18"/>
      <c r="D605" s="34"/>
      <c r="E605" s="20"/>
      <c r="F605" s="19"/>
      <c r="G605" s="23"/>
      <c r="H605" s="23"/>
      <c r="I605" s="23"/>
      <c r="J605" s="23"/>
      <c r="K605" s="23"/>
      <c r="L605" s="23"/>
      <c r="M605" s="23"/>
      <c r="N605" s="23"/>
      <c r="O605" s="24"/>
      <c r="P605" s="16" t="b">
        <v>0</v>
      </c>
      <c r="Q605" s="24"/>
      <c r="R605" s="26"/>
      <c r="S605" s="26"/>
      <c r="T605" s="27"/>
      <c r="U605" s="24"/>
      <c r="V605" s="38" t="s">
        <v>29</v>
      </c>
      <c r="W605" s="29" t="s">
        <v>22</v>
      </c>
      <c r="X605" s="37" t="s">
        <v>490</v>
      </c>
      <c r="Y605" s="31"/>
      <c r="Z605" s="26" t="str">
        <f t="shared" si="5"/>
        <v/>
      </c>
      <c r="AA605" s="26" t="str">
        <f t="shared" si="6"/>
        <v/>
      </c>
      <c r="AB605" s="32" t="str">
        <f t="shared" si="7"/>
        <v/>
      </c>
      <c r="AC605" s="32" t="str">
        <f t="shared" ref="AC605:AG605" si="609">IF(J605&lt;&gt;"", IF(AND($P605=FALSE, $A605=FALSE), -J605, IF(AND($P605=FALSE, $A605=TRUE), 0, IF($P605=TRUE, (J605 / $R605) * 100 * ($S605 / 100)-J605, ))), )</f>
        <v/>
      </c>
      <c r="AD605" s="32" t="str">
        <f t="shared" si="609"/>
        <v/>
      </c>
      <c r="AE605" s="32" t="str">
        <f t="shared" si="609"/>
        <v/>
      </c>
      <c r="AF605" s="32" t="str">
        <f t="shared" si="609"/>
        <v/>
      </c>
      <c r="AG605" s="32" t="str">
        <f t="shared" si="609"/>
        <v/>
      </c>
      <c r="AH605" s="33"/>
    </row>
    <row r="606" hidden="1" outlineLevel="3">
      <c r="A606" s="16" t="b">
        <v>0</v>
      </c>
      <c r="B606" s="17"/>
      <c r="C606" s="18"/>
      <c r="D606" s="34"/>
      <c r="E606" s="20"/>
      <c r="F606" s="19"/>
      <c r="G606" s="23"/>
      <c r="H606" s="23"/>
      <c r="I606" s="23"/>
      <c r="J606" s="23"/>
      <c r="K606" s="23"/>
      <c r="L606" s="23"/>
      <c r="M606" s="23"/>
      <c r="N606" s="23"/>
      <c r="O606" s="24"/>
      <c r="P606" s="16" t="b">
        <v>0</v>
      </c>
      <c r="Q606" s="24"/>
      <c r="R606" s="26"/>
      <c r="S606" s="26"/>
      <c r="T606" s="27"/>
      <c r="U606" s="24"/>
      <c r="V606" s="38" t="s">
        <v>29</v>
      </c>
      <c r="W606" s="29" t="s">
        <v>22</v>
      </c>
      <c r="X606" s="37" t="s">
        <v>491</v>
      </c>
      <c r="Y606" s="31"/>
      <c r="Z606" s="26" t="str">
        <f t="shared" si="5"/>
        <v/>
      </c>
      <c r="AA606" s="26" t="str">
        <f t="shared" si="6"/>
        <v/>
      </c>
      <c r="AB606" s="32" t="str">
        <f t="shared" si="7"/>
        <v/>
      </c>
      <c r="AC606" s="32" t="str">
        <f t="shared" ref="AC606:AG606" si="610">IF(J606&lt;&gt;"", IF(AND($P606=FALSE, $A606=FALSE), -J606, IF(AND($P606=FALSE, $A606=TRUE), 0, IF($P606=TRUE, (J606 / $R606) * 100 * ($S606 / 100)-J606, ))), )</f>
        <v/>
      </c>
      <c r="AD606" s="32" t="str">
        <f t="shared" si="610"/>
        <v/>
      </c>
      <c r="AE606" s="32" t="str">
        <f t="shared" si="610"/>
        <v/>
      </c>
      <c r="AF606" s="32" t="str">
        <f t="shared" si="610"/>
        <v/>
      </c>
      <c r="AG606" s="32" t="str">
        <f t="shared" si="610"/>
        <v/>
      </c>
      <c r="AH606" s="33"/>
    </row>
    <row r="607" hidden="1" outlineLevel="2" collapsed="1">
      <c r="A607" s="71" t="b">
        <v>1</v>
      </c>
      <c r="B607" s="17"/>
      <c r="C607" s="18"/>
      <c r="D607" s="67">
        <v>45253.0</v>
      </c>
      <c r="E607" s="43" t="s">
        <v>24</v>
      </c>
      <c r="F607" s="44" t="s">
        <v>481</v>
      </c>
      <c r="G607" s="45">
        <v>3.0</v>
      </c>
      <c r="H607" s="45">
        <v>1.5</v>
      </c>
      <c r="I607" s="45">
        <v>5.5</v>
      </c>
      <c r="J607" s="46"/>
      <c r="K607" s="46"/>
      <c r="L607" s="45"/>
      <c r="M607" s="46"/>
      <c r="N607" s="46"/>
      <c r="O607" s="47"/>
      <c r="P607" s="70" t="b">
        <v>0</v>
      </c>
      <c r="Q607" s="24"/>
      <c r="R607" s="48">
        <v>10.0</v>
      </c>
      <c r="S607" s="45">
        <v>170.05</v>
      </c>
      <c r="T607" s="49" t="s">
        <v>492</v>
      </c>
      <c r="U607" s="47"/>
      <c r="V607" s="28"/>
      <c r="W607" s="29"/>
      <c r="X607" s="30"/>
      <c r="Y607" s="73"/>
      <c r="Z607" s="26">
        <f t="shared" si="5"/>
        <v>0</v>
      </c>
      <c r="AA607" s="26">
        <f t="shared" si="6"/>
        <v>0</v>
      </c>
      <c r="AB607" s="32">
        <f t="shared" si="7"/>
        <v>0</v>
      </c>
      <c r="AC607" s="32" t="str">
        <f t="shared" ref="AC607:AG607" si="611">IF(J607&lt;&gt;"", IF(AND($P607=FALSE, $A607=FALSE), -J607, IF(AND($P607=FALSE, $A607=TRUE), 0, IF($P607=TRUE, (J607 / $R607) * 100 * ($S607 / 100)-J607, ))), )</f>
        <v/>
      </c>
      <c r="AD607" s="32" t="str">
        <f t="shared" si="611"/>
        <v/>
      </c>
      <c r="AE607" s="32" t="str">
        <f t="shared" si="611"/>
        <v/>
      </c>
      <c r="AF607" s="32" t="str">
        <f t="shared" si="611"/>
        <v/>
      </c>
      <c r="AG607" s="32" t="str">
        <f t="shared" si="611"/>
        <v/>
      </c>
      <c r="AH607" s="33"/>
    </row>
    <row r="608" hidden="1" outlineLevel="3">
      <c r="A608" s="16" t="b">
        <v>0</v>
      </c>
      <c r="B608" s="17"/>
      <c r="C608" s="18"/>
      <c r="D608" s="34"/>
      <c r="E608" s="20"/>
      <c r="F608" s="19"/>
      <c r="G608" s="23"/>
      <c r="H608" s="23"/>
      <c r="I608" s="23"/>
      <c r="J608" s="23"/>
      <c r="K608" s="23"/>
      <c r="L608" s="23"/>
      <c r="M608" s="23"/>
      <c r="N608" s="23"/>
      <c r="O608" s="24"/>
      <c r="P608" s="16" t="b">
        <v>0</v>
      </c>
      <c r="Q608" s="24"/>
      <c r="R608" s="26"/>
      <c r="S608" s="26"/>
      <c r="T608" s="27"/>
      <c r="U608" s="24"/>
      <c r="V608" s="38" t="s">
        <v>29</v>
      </c>
      <c r="W608" s="29" t="s">
        <v>22</v>
      </c>
      <c r="X608" s="37" t="s">
        <v>493</v>
      </c>
      <c r="Y608" s="31"/>
      <c r="Z608" s="26" t="str">
        <f t="shared" si="5"/>
        <v/>
      </c>
      <c r="AA608" s="26" t="str">
        <f t="shared" si="6"/>
        <v/>
      </c>
      <c r="AB608" s="32" t="str">
        <f t="shared" si="7"/>
        <v/>
      </c>
      <c r="AC608" s="32" t="str">
        <f t="shared" ref="AC608:AG608" si="612">IF(J608&lt;&gt;"", IF(AND($P608=FALSE, $A608=FALSE), -J608, IF(AND($P608=FALSE, $A608=TRUE), 0, IF($P608=TRUE, (J608 / $R608) * 100 * ($S608 / 100)-J608, ))), )</f>
        <v/>
      </c>
      <c r="AD608" s="32" t="str">
        <f t="shared" si="612"/>
        <v/>
      </c>
      <c r="AE608" s="32" t="str">
        <f t="shared" si="612"/>
        <v/>
      </c>
      <c r="AF608" s="32" t="str">
        <f t="shared" si="612"/>
        <v/>
      </c>
      <c r="AG608" s="32" t="str">
        <f t="shared" si="612"/>
        <v/>
      </c>
      <c r="AH608" s="33"/>
    </row>
    <row r="609" hidden="1" outlineLevel="3">
      <c r="A609" s="16" t="b">
        <v>0</v>
      </c>
      <c r="B609" s="17"/>
      <c r="C609" s="18"/>
      <c r="D609" s="34"/>
      <c r="E609" s="20"/>
      <c r="F609" s="19"/>
      <c r="G609" s="23"/>
      <c r="H609" s="23"/>
      <c r="I609" s="23"/>
      <c r="J609" s="23"/>
      <c r="K609" s="23"/>
      <c r="L609" s="23"/>
      <c r="M609" s="23"/>
      <c r="N609" s="23"/>
      <c r="O609" s="24"/>
      <c r="P609" s="16" t="b">
        <v>0</v>
      </c>
      <c r="Q609" s="24"/>
      <c r="R609" s="26"/>
      <c r="S609" s="26"/>
      <c r="T609" s="27"/>
      <c r="U609" s="24"/>
      <c r="V609" s="28" t="s">
        <v>32</v>
      </c>
      <c r="W609" s="29" t="s">
        <v>22</v>
      </c>
      <c r="X609" s="37" t="s">
        <v>494</v>
      </c>
      <c r="Y609" s="31"/>
      <c r="Z609" s="26" t="str">
        <f t="shared" si="5"/>
        <v/>
      </c>
      <c r="AA609" s="26" t="str">
        <f t="shared" si="6"/>
        <v/>
      </c>
      <c r="AB609" s="32" t="str">
        <f t="shared" si="7"/>
        <v/>
      </c>
      <c r="AC609" s="32" t="str">
        <f t="shared" ref="AC609:AG609" si="613">IF(J609&lt;&gt;"", IF(AND($P609=FALSE, $A609=FALSE), -J609, IF(AND($P609=FALSE, $A609=TRUE), 0, IF($P609=TRUE, (J609 / $R609) * 100 * ($S609 / 100)-J609, ))), )</f>
        <v/>
      </c>
      <c r="AD609" s="32" t="str">
        <f t="shared" si="613"/>
        <v/>
      </c>
      <c r="AE609" s="32" t="str">
        <f t="shared" si="613"/>
        <v/>
      </c>
      <c r="AF609" s="32" t="str">
        <f t="shared" si="613"/>
        <v/>
      </c>
      <c r="AG609" s="32" t="str">
        <f t="shared" si="613"/>
        <v/>
      </c>
      <c r="AH609" s="33"/>
    </row>
    <row r="610" hidden="1" outlineLevel="3">
      <c r="A610" s="16" t="b">
        <v>0</v>
      </c>
      <c r="B610" s="17"/>
      <c r="C610" s="18"/>
      <c r="D610" s="34"/>
      <c r="E610" s="20"/>
      <c r="F610" s="19"/>
      <c r="G610" s="23"/>
      <c r="H610" s="23"/>
      <c r="I610" s="23"/>
      <c r="J610" s="23"/>
      <c r="K610" s="23"/>
      <c r="L610" s="23"/>
      <c r="M610" s="23"/>
      <c r="N610" s="23"/>
      <c r="O610" s="24"/>
      <c r="P610" s="16" t="b">
        <v>0</v>
      </c>
      <c r="Q610" s="24"/>
      <c r="R610" s="26"/>
      <c r="S610" s="26"/>
      <c r="T610" s="27"/>
      <c r="U610" s="24"/>
      <c r="V610" s="28" t="s">
        <v>32</v>
      </c>
      <c r="W610" s="29" t="s">
        <v>22</v>
      </c>
      <c r="X610" s="37" t="s">
        <v>495</v>
      </c>
      <c r="Y610" s="31"/>
      <c r="Z610" s="26" t="str">
        <f t="shared" si="5"/>
        <v/>
      </c>
      <c r="AA610" s="26" t="str">
        <f t="shared" si="6"/>
        <v/>
      </c>
      <c r="AB610" s="32" t="str">
        <f t="shared" si="7"/>
        <v/>
      </c>
      <c r="AC610" s="32" t="str">
        <f t="shared" ref="AC610:AG610" si="614">IF(J610&lt;&gt;"", IF(AND($P610=FALSE, $A610=FALSE), -J610, IF(AND($P610=FALSE, $A610=TRUE), 0, IF($P610=TRUE, (J610 / $R610) * 100 * ($S610 / 100)-J610, ))), )</f>
        <v/>
      </c>
      <c r="AD610" s="32" t="str">
        <f t="shared" si="614"/>
        <v/>
      </c>
      <c r="AE610" s="32" t="str">
        <f t="shared" si="614"/>
        <v/>
      </c>
      <c r="AF610" s="32" t="str">
        <f t="shared" si="614"/>
        <v/>
      </c>
      <c r="AG610" s="32" t="str">
        <f t="shared" si="614"/>
        <v/>
      </c>
      <c r="AH610" s="33"/>
    </row>
    <row r="611" hidden="1" outlineLevel="3">
      <c r="A611" s="16" t="b">
        <v>0</v>
      </c>
      <c r="B611" s="17"/>
      <c r="C611" s="18"/>
      <c r="D611" s="34"/>
      <c r="E611" s="20"/>
      <c r="F611" s="19"/>
      <c r="G611" s="23"/>
      <c r="H611" s="23"/>
      <c r="I611" s="23"/>
      <c r="J611" s="23"/>
      <c r="K611" s="23"/>
      <c r="L611" s="23"/>
      <c r="M611" s="23"/>
      <c r="N611" s="23"/>
      <c r="O611" s="24"/>
      <c r="P611" s="16" t="b">
        <v>0</v>
      </c>
      <c r="Q611" s="24"/>
      <c r="R611" s="26"/>
      <c r="S611" s="26"/>
      <c r="T611" s="27"/>
      <c r="U611" s="24"/>
      <c r="V611" s="38" t="s">
        <v>29</v>
      </c>
      <c r="W611" s="29" t="s">
        <v>22</v>
      </c>
      <c r="X611" s="37" t="s">
        <v>496</v>
      </c>
      <c r="Y611" s="31"/>
      <c r="Z611" s="26" t="str">
        <f t="shared" si="5"/>
        <v/>
      </c>
      <c r="AA611" s="26" t="str">
        <f t="shared" si="6"/>
        <v/>
      </c>
      <c r="AB611" s="32" t="str">
        <f t="shared" si="7"/>
        <v/>
      </c>
      <c r="AC611" s="32" t="str">
        <f t="shared" ref="AC611:AG611" si="615">IF(J611&lt;&gt;"", IF(AND($P611=FALSE, $A611=FALSE), -J611, IF(AND($P611=FALSE, $A611=TRUE), 0, IF($P611=TRUE, (J611 / $R611) * 100 * ($S611 / 100)-J611, ))), )</f>
        <v/>
      </c>
      <c r="AD611" s="32" t="str">
        <f t="shared" si="615"/>
        <v/>
      </c>
      <c r="AE611" s="32" t="str">
        <f t="shared" si="615"/>
        <v/>
      </c>
      <c r="AF611" s="32" t="str">
        <f t="shared" si="615"/>
        <v/>
      </c>
      <c r="AG611" s="32" t="str">
        <f t="shared" si="615"/>
        <v/>
      </c>
      <c r="AH611" s="33"/>
    </row>
    <row r="612" hidden="1" outlineLevel="3">
      <c r="A612" s="16" t="b">
        <v>0</v>
      </c>
      <c r="B612" s="17"/>
      <c r="C612" s="18"/>
      <c r="D612" s="34"/>
      <c r="E612" s="20"/>
      <c r="F612" s="19"/>
      <c r="G612" s="23"/>
      <c r="H612" s="23"/>
      <c r="I612" s="23"/>
      <c r="J612" s="23"/>
      <c r="K612" s="23"/>
      <c r="L612" s="23"/>
      <c r="M612" s="23"/>
      <c r="N612" s="23"/>
      <c r="O612" s="24"/>
      <c r="P612" s="16" t="b">
        <v>0</v>
      </c>
      <c r="Q612" s="24"/>
      <c r="R612" s="26"/>
      <c r="S612" s="26"/>
      <c r="T612" s="27"/>
      <c r="U612" s="24"/>
      <c r="V612" s="38" t="s">
        <v>29</v>
      </c>
      <c r="W612" s="29" t="s">
        <v>22</v>
      </c>
      <c r="X612" s="37" t="s">
        <v>315</v>
      </c>
      <c r="Y612" s="31"/>
      <c r="Z612" s="26" t="str">
        <f t="shared" si="5"/>
        <v/>
      </c>
      <c r="AA612" s="26" t="str">
        <f t="shared" si="6"/>
        <v/>
      </c>
      <c r="AB612" s="32" t="str">
        <f t="shared" si="7"/>
        <v/>
      </c>
      <c r="AC612" s="32" t="str">
        <f t="shared" ref="AC612:AG612" si="616">IF(J612&lt;&gt;"", IF(AND($P612=FALSE, $A612=FALSE), -J612, IF(AND($P612=FALSE, $A612=TRUE), 0, IF($P612=TRUE, (J612 / $R612) * 100 * ($S612 / 100)-J612, ))), )</f>
        <v/>
      </c>
      <c r="AD612" s="32" t="str">
        <f t="shared" si="616"/>
        <v/>
      </c>
      <c r="AE612" s="32" t="str">
        <f t="shared" si="616"/>
        <v/>
      </c>
      <c r="AF612" s="32" t="str">
        <f t="shared" si="616"/>
        <v/>
      </c>
      <c r="AG612" s="32" t="str">
        <f t="shared" si="616"/>
        <v/>
      </c>
      <c r="AH612" s="33"/>
    </row>
    <row r="613" hidden="1" outlineLevel="3">
      <c r="A613" s="16" t="b">
        <v>0</v>
      </c>
      <c r="B613" s="17"/>
      <c r="C613" s="18"/>
      <c r="D613" s="34"/>
      <c r="E613" s="20"/>
      <c r="F613" s="19"/>
      <c r="G613" s="23"/>
      <c r="H613" s="23"/>
      <c r="I613" s="23"/>
      <c r="J613" s="23"/>
      <c r="K613" s="23"/>
      <c r="L613" s="23"/>
      <c r="M613" s="23"/>
      <c r="N613" s="23"/>
      <c r="O613" s="24"/>
      <c r="P613" s="16" t="b">
        <v>0</v>
      </c>
      <c r="Q613" s="24"/>
      <c r="R613" s="26"/>
      <c r="S613" s="26"/>
      <c r="T613" s="27"/>
      <c r="U613" s="24"/>
      <c r="V613" s="38" t="s">
        <v>29</v>
      </c>
      <c r="W613" s="29" t="s">
        <v>22</v>
      </c>
      <c r="X613" s="37" t="s">
        <v>497</v>
      </c>
      <c r="Y613" s="31"/>
      <c r="Z613" s="26" t="str">
        <f t="shared" si="5"/>
        <v/>
      </c>
      <c r="AA613" s="26" t="str">
        <f t="shared" si="6"/>
        <v/>
      </c>
      <c r="AB613" s="32" t="str">
        <f t="shared" si="7"/>
        <v/>
      </c>
      <c r="AC613" s="32" t="str">
        <f t="shared" ref="AC613:AG613" si="617">IF(J613&lt;&gt;"", IF(AND($P613=FALSE, $A613=FALSE), -J613, IF(AND($P613=FALSE, $A613=TRUE), 0, IF($P613=TRUE, (J613 / $R613) * 100 * ($S613 / 100)-J613, ))), )</f>
        <v/>
      </c>
      <c r="AD613" s="32" t="str">
        <f t="shared" si="617"/>
        <v/>
      </c>
      <c r="AE613" s="32" t="str">
        <f t="shared" si="617"/>
        <v/>
      </c>
      <c r="AF613" s="32" t="str">
        <f t="shared" si="617"/>
        <v/>
      </c>
      <c r="AG613" s="32" t="str">
        <f t="shared" si="617"/>
        <v/>
      </c>
      <c r="AH613" s="33"/>
    </row>
    <row r="614" hidden="1" outlineLevel="3">
      <c r="A614" s="16" t="b">
        <v>0</v>
      </c>
      <c r="B614" s="17"/>
      <c r="C614" s="18"/>
      <c r="D614" s="34"/>
      <c r="E614" s="20"/>
      <c r="F614" s="19"/>
      <c r="G614" s="23"/>
      <c r="H614" s="23"/>
      <c r="I614" s="23"/>
      <c r="J614" s="23"/>
      <c r="K614" s="23"/>
      <c r="L614" s="23"/>
      <c r="M614" s="23"/>
      <c r="N614" s="23"/>
      <c r="O614" s="24"/>
      <c r="P614" s="16" t="b">
        <v>0</v>
      </c>
      <c r="Q614" s="24"/>
      <c r="R614" s="26"/>
      <c r="S614" s="26"/>
      <c r="T614" s="27"/>
      <c r="U614" s="24"/>
      <c r="V614" s="28" t="s">
        <v>32</v>
      </c>
      <c r="W614" s="29" t="s">
        <v>22</v>
      </c>
      <c r="X614" s="37" t="s">
        <v>498</v>
      </c>
      <c r="Y614" s="31"/>
      <c r="Z614" s="26" t="str">
        <f t="shared" si="5"/>
        <v/>
      </c>
      <c r="AA614" s="26" t="str">
        <f t="shared" si="6"/>
        <v/>
      </c>
      <c r="AB614" s="32" t="str">
        <f t="shared" si="7"/>
        <v/>
      </c>
      <c r="AC614" s="32" t="str">
        <f t="shared" ref="AC614:AG614" si="618">IF(J614&lt;&gt;"", IF(AND($P614=FALSE, $A614=FALSE), -J614, IF(AND($P614=FALSE, $A614=TRUE), 0, IF($P614=TRUE, (J614 / $R614) * 100 * ($S614 / 100)-J614, ))), )</f>
        <v/>
      </c>
      <c r="AD614" s="32" t="str">
        <f t="shared" si="618"/>
        <v/>
      </c>
      <c r="AE614" s="32" t="str">
        <f t="shared" si="618"/>
        <v/>
      </c>
      <c r="AF614" s="32" t="str">
        <f t="shared" si="618"/>
        <v/>
      </c>
      <c r="AG614" s="32" t="str">
        <f t="shared" si="618"/>
        <v/>
      </c>
      <c r="AH614" s="33"/>
    </row>
    <row r="615" hidden="1" outlineLevel="3">
      <c r="A615" s="16" t="b">
        <v>0</v>
      </c>
      <c r="B615" s="17"/>
      <c r="C615" s="18"/>
      <c r="D615" s="34"/>
      <c r="E615" s="20"/>
      <c r="F615" s="19"/>
      <c r="G615" s="23"/>
      <c r="H615" s="23"/>
      <c r="I615" s="23"/>
      <c r="J615" s="23"/>
      <c r="K615" s="23"/>
      <c r="L615" s="23"/>
      <c r="M615" s="23"/>
      <c r="N615" s="23"/>
      <c r="O615" s="24"/>
      <c r="P615" s="16" t="b">
        <v>0</v>
      </c>
      <c r="Q615" s="24"/>
      <c r="R615" s="26"/>
      <c r="S615" s="26"/>
      <c r="T615" s="27"/>
      <c r="U615" s="24"/>
      <c r="V615" s="38" t="s">
        <v>29</v>
      </c>
      <c r="W615" s="29" t="s">
        <v>22</v>
      </c>
      <c r="X615" s="37" t="s">
        <v>406</v>
      </c>
      <c r="Y615" s="31"/>
      <c r="Z615" s="26" t="str">
        <f t="shared" si="5"/>
        <v/>
      </c>
      <c r="AA615" s="26" t="str">
        <f t="shared" si="6"/>
        <v/>
      </c>
      <c r="AB615" s="32" t="str">
        <f t="shared" si="7"/>
        <v/>
      </c>
      <c r="AC615" s="32" t="str">
        <f t="shared" ref="AC615:AG615" si="619">IF(J615&lt;&gt;"", IF(AND($P615=FALSE, $A615=FALSE), -J615, IF(AND($P615=FALSE, $A615=TRUE), 0, IF($P615=TRUE, (J615 / $R615) * 100 * ($S615 / 100)-J615, ))), )</f>
        <v/>
      </c>
      <c r="AD615" s="32" t="str">
        <f t="shared" si="619"/>
        <v/>
      </c>
      <c r="AE615" s="32" t="str">
        <f t="shared" si="619"/>
        <v/>
      </c>
      <c r="AF615" s="32" t="str">
        <f t="shared" si="619"/>
        <v/>
      </c>
      <c r="AG615" s="32" t="str">
        <f t="shared" si="619"/>
        <v/>
      </c>
      <c r="AH615" s="33"/>
    </row>
    <row r="616" hidden="1" outlineLevel="3">
      <c r="A616" s="16" t="b">
        <v>0</v>
      </c>
      <c r="B616" s="17"/>
      <c r="C616" s="18"/>
      <c r="D616" s="34"/>
      <c r="E616" s="20"/>
      <c r="F616" s="19"/>
      <c r="G616" s="23"/>
      <c r="H616" s="23"/>
      <c r="I616" s="23"/>
      <c r="J616" s="23"/>
      <c r="K616" s="23"/>
      <c r="L616" s="23"/>
      <c r="M616" s="23"/>
      <c r="N616" s="23"/>
      <c r="O616" s="24"/>
      <c r="P616" s="16" t="b">
        <v>0</v>
      </c>
      <c r="Q616" s="24"/>
      <c r="R616" s="26"/>
      <c r="S616" s="26"/>
      <c r="T616" s="27"/>
      <c r="U616" s="24"/>
      <c r="V616" s="38" t="s">
        <v>29</v>
      </c>
      <c r="W616" s="29" t="s">
        <v>22</v>
      </c>
      <c r="X616" s="37" t="s">
        <v>499</v>
      </c>
      <c r="Y616" s="31"/>
      <c r="Z616" s="26" t="str">
        <f t="shared" si="5"/>
        <v/>
      </c>
      <c r="AA616" s="26" t="str">
        <f t="shared" si="6"/>
        <v/>
      </c>
      <c r="AB616" s="32" t="str">
        <f t="shared" si="7"/>
        <v/>
      </c>
      <c r="AC616" s="32" t="str">
        <f t="shared" ref="AC616:AG616" si="620">IF(J616&lt;&gt;"", IF(AND($P616=FALSE, $A616=FALSE), -J616, IF(AND($P616=FALSE, $A616=TRUE), 0, IF($P616=TRUE, (J616 / $R616) * 100 * ($S616 / 100)-J616, ))), )</f>
        <v/>
      </c>
      <c r="AD616" s="32" t="str">
        <f t="shared" si="620"/>
        <v/>
      </c>
      <c r="AE616" s="32" t="str">
        <f t="shared" si="620"/>
        <v/>
      </c>
      <c r="AF616" s="32" t="str">
        <f t="shared" si="620"/>
        <v/>
      </c>
      <c r="AG616" s="32" t="str">
        <f t="shared" si="620"/>
        <v/>
      </c>
      <c r="AH616" s="33"/>
    </row>
    <row r="617" hidden="1" outlineLevel="2" collapsed="1">
      <c r="A617" s="71" t="b">
        <v>0</v>
      </c>
      <c r="B617" s="17"/>
      <c r="C617" s="18"/>
      <c r="D617" s="67">
        <v>45253.0</v>
      </c>
      <c r="E617" s="43" t="s">
        <v>24</v>
      </c>
      <c r="F617" s="44" t="s">
        <v>481</v>
      </c>
      <c r="G617" s="45">
        <v>3.5</v>
      </c>
      <c r="H617" s="45">
        <v>1.5</v>
      </c>
      <c r="I617" s="45"/>
      <c r="J617" s="46"/>
      <c r="K617" s="46"/>
      <c r="L617" s="45"/>
      <c r="M617" s="46"/>
      <c r="N617" s="46"/>
      <c r="O617" s="47"/>
      <c r="P617" s="71" t="b">
        <v>1</v>
      </c>
      <c r="Q617" s="24"/>
      <c r="R617" s="48">
        <v>5.0</v>
      </c>
      <c r="S617" s="45">
        <v>10.0</v>
      </c>
      <c r="T617" s="49">
        <v>-100.0</v>
      </c>
      <c r="U617" s="47"/>
      <c r="V617" s="28"/>
      <c r="W617" s="29"/>
      <c r="X617" s="37"/>
      <c r="Y617" s="72"/>
      <c r="Z617" s="26">
        <f t="shared" si="5"/>
        <v>3.5</v>
      </c>
      <c r="AA617" s="26" t="str">
        <f t="shared" si="6"/>
        <v/>
      </c>
      <c r="AB617" s="32">
        <f t="shared" si="7"/>
        <v>1.5</v>
      </c>
      <c r="AC617" s="32" t="str">
        <f t="shared" ref="AC617:AG617" si="621">IF(J617&lt;&gt;"", IF(AND($P617=FALSE, $A617=FALSE), -J617, IF(AND($P617=FALSE, $A617=TRUE), 0, IF($P617=TRUE, (J617 / $R617) * 100 * ($S617 / 100)-J617, ))), )</f>
        <v/>
      </c>
      <c r="AD617" s="32" t="str">
        <f t="shared" si="621"/>
        <v/>
      </c>
      <c r="AE617" s="32" t="str">
        <f t="shared" si="621"/>
        <v/>
      </c>
      <c r="AF617" s="32" t="str">
        <f t="shared" si="621"/>
        <v/>
      </c>
      <c r="AG617" s="32" t="str">
        <f t="shared" si="621"/>
        <v/>
      </c>
      <c r="AH617" s="33"/>
    </row>
    <row r="618" hidden="1" outlineLevel="3">
      <c r="A618" s="16" t="b">
        <v>0</v>
      </c>
      <c r="B618" s="17"/>
      <c r="C618" s="18"/>
      <c r="D618" s="34"/>
      <c r="E618" s="20"/>
      <c r="F618" s="19"/>
      <c r="G618" s="23"/>
      <c r="H618" s="23"/>
      <c r="I618" s="23"/>
      <c r="J618" s="23"/>
      <c r="K618" s="23"/>
      <c r="L618" s="23"/>
      <c r="M618" s="23"/>
      <c r="N618" s="23"/>
      <c r="O618" s="24"/>
      <c r="P618" s="16" t="b">
        <v>0</v>
      </c>
      <c r="Q618" s="24"/>
      <c r="R618" s="26"/>
      <c r="S618" s="26"/>
      <c r="T618" s="27"/>
      <c r="U618" s="24"/>
      <c r="V618" s="38" t="s">
        <v>29</v>
      </c>
      <c r="W618" s="29" t="s">
        <v>22</v>
      </c>
      <c r="X618" s="37" t="s">
        <v>500</v>
      </c>
      <c r="Y618" s="31"/>
      <c r="Z618" s="26" t="str">
        <f t="shared" si="5"/>
        <v/>
      </c>
      <c r="AA618" s="26" t="str">
        <f t="shared" si="6"/>
        <v/>
      </c>
      <c r="AB618" s="32" t="str">
        <f t="shared" si="7"/>
        <v/>
      </c>
      <c r="AC618" s="32" t="str">
        <f t="shared" ref="AC618:AG618" si="622">IF(J618&lt;&gt;"", IF(AND($P618=FALSE, $A618=FALSE), -J618, IF(AND($P618=FALSE, $A618=TRUE), 0, IF($P618=TRUE, (J618 / $R618) * 100 * ($S618 / 100)-J618, ))), )</f>
        <v/>
      </c>
      <c r="AD618" s="32" t="str">
        <f t="shared" si="622"/>
        <v/>
      </c>
      <c r="AE618" s="32" t="str">
        <f t="shared" si="622"/>
        <v/>
      </c>
      <c r="AF618" s="32" t="str">
        <f t="shared" si="622"/>
        <v/>
      </c>
      <c r="AG618" s="32" t="str">
        <f t="shared" si="622"/>
        <v/>
      </c>
      <c r="AH618" s="33"/>
    </row>
    <row r="619" hidden="1" outlineLevel="2" collapsed="1">
      <c r="A619" s="71" t="b">
        <v>0</v>
      </c>
      <c r="B619" s="17"/>
      <c r="C619" s="18"/>
      <c r="D619" s="67">
        <v>45253.0</v>
      </c>
      <c r="E619" s="43" t="s">
        <v>24</v>
      </c>
      <c r="F619" s="44" t="s">
        <v>481</v>
      </c>
      <c r="G619" s="45">
        <v>2.0</v>
      </c>
      <c r="H619" s="45">
        <v>1.0</v>
      </c>
      <c r="I619" s="45"/>
      <c r="J619" s="46"/>
      <c r="K619" s="46"/>
      <c r="L619" s="45"/>
      <c r="M619" s="46"/>
      <c r="N619" s="46"/>
      <c r="O619" s="47"/>
      <c r="P619" s="70" t="b">
        <v>0</v>
      </c>
      <c r="Q619" s="24"/>
      <c r="R619" s="48">
        <v>3.0</v>
      </c>
      <c r="S619" s="45">
        <v>16.5</v>
      </c>
      <c r="T619" s="49" t="s">
        <v>501</v>
      </c>
      <c r="U619" s="47"/>
      <c r="V619" s="28"/>
      <c r="W619" s="29"/>
      <c r="X619" s="30"/>
      <c r="Y619" s="73"/>
      <c r="Z619" s="26">
        <f t="shared" si="5"/>
        <v>-2</v>
      </c>
      <c r="AA619" s="26" t="str">
        <f t="shared" si="6"/>
        <v/>
      </c>
      <c r="AB619" s="32">
        <f t="shared" si="7"/>
        <v>-1</v>
      </c>
      <c r="AC619" s="32" t="str">
        <f t="shared" ref="AC619:AG619" si="623">IF(J619&lt;&gt;"", IF(AND($P619=FALSE, $A619=FALSE), -J619, IF(AND($P619=FALSE, $A619=TRUE), 0, IF($P619=TRUE, (J619 / $R619) * 100 * ($S619 / 100)-J619, ))), )</f>
        <v/>
      </c>
      <c r="AD619" s="32" t="str">
        <f t="shared" si="623"/>
        <v/>
      </c>
      <c r="AE619" s="32" t="str">
        <f t="shared" si="623"/>
        <v/>
      </c>
      <c r="AF619" s="32" t="str">
        <f t="shared" si="623"/>
        <v/>
      </c>
      <c r="AG619" s="32" t="str">
        <f t="shared" si="623"/>
        <v/>
      </c>
      <c r="AH619" s="33"/>
    </row>
    <row r="620" hidden="1" outlineLevel="3">
      <c r="A620" s="16" t="b">
        <v>0</v>
      </c>
      <c r="B620" s="17"/>
      <c r="C620" s="18"/>
      <c r="D620" s="34"/>
      <c r="E620" s="20"/>
      <c r="F620" s="19"/>
      <c r="G620" s="23"/>
      <c r="H620" s="23"/>
      <c r="I620" s="23"/>
      <c r="J620" s="23"/>
      <c r="K620" s="23"/>
      <c r="L620" s="23"/>
      <c r="M620" s="23"/>
      <c r="N620" s="23"/>
      <c r="O620" s="24"/>
      <c r="P620" s="16" t="b">
        <v>0</v>
      </c>
      <c r="Q620" s="24"/>
      <c r="R620" s="26"/>
      <c r="S620" s="26"/>
      <c r="T620" s="27"/>
      <c r="U620" s="24"/>
      <c r="V620" s="28" t="s">
        <v>32</v>
      </c>
      <c r="W620" s="29" t="s">
        <v>22</v>
      </c>
      <c r="X620" s="37" t="s">
        <v>502</v>
      </c>
      <c r="Y620" s="31"/>
      <c r="Z620" s="26" t="str">
        <f t="shared" si="5"/>
        <v/>
      </c>
      <c r="AA620" s="26" t="str">
        <f t="shared" si="6"/>
        <v/>
      </c>
      <c r="AB620" s="32" t="str">
        <f t="shared" si="7"/>
        <v/>
      </c>
      <c r="AC620" s="32" t="str">
        <f t="shared" ref="AC620:AG620" si="624">IF(J620&lt;&gt;"", IF(AND($P620=FALSE, $A620=FALSE), -J620, IF(AND($P620=FALSE, $A620=TRUE), 0, IF($P620=TRUE, (J620 / $R620) * 100 * ($S620 / 100)-J620, ))), )</f>
        <v/>
      </c>
      <c r="AD620" s="32" t="str">
        <f t="shared" si="624"/>
        <v/>
      </c>
      <c r="AE620" s="32" t="str">
        <f t="shared" si="624"/>
        <v/>
      </c>
      <c r="AF620" s="32" t="str">
        <f t="shared" si="624"/>
        <v/>
      </c>
      <c r="AG620" s="32" t="str">
        <f t="shared" si="624"/>
        <v/>
      </c>
      <c r="AH620" s="33"/>
    </row>
    <row r="621" hidden="1" outlineLevel="2">
      <c r="A621" s="71" t="b">
        <v>0</v>
      </c>
      <c r="B621" s="17"/>
      <c r="C621" s="18"/>
      <c r="D621" s="67">
        <v>45253.0</v>
      </c>
      <c r="E621" s="43" t="s">
        <v>24</v>
      </c>
      <c r="F621" s="44" t="s">
        <v>481</v>
      </c>
      <c r="G621" s="45">
        <v>2.0</v>
      </c>
      <c r="H621" s="45">
        <v>1.0</v>
      </c>
      <c r="I621" s="45">
        <v>1.0</v>
      </c>
      <c r="J621" s="46"/>
      <c r="K621" s="46"/>
      <c r="L621" s="45"/>
      <c r="M621" s="46"/>
      <c r="N621" s="46"/>
      <c r="O621" s="47"/>
      <c r="P621" s="70" t="b">
        <v>0</v>
      </c>
      <c r="Q621" s="24"/>
      <c r="R621" s="48">
        <v>4.0</v>
      </c>
      <c r="S621" s="45">
        <v>52.03</v>
      </c>
      <c r="T621" s="49" t="s">
        <v>503</v>
      </c>
      <c r="U621" s="47"/>
      <c r="V621" s="28"/>
      <c r="W621" s="29"/>
      <c r="X621" s="30"/>
      <c r="Y621" s="73"/>
      <c r="Z621" s="26">
        <f t="shared" si="5"/>
        <v>-2</v>
      </c>
      <c r="AA621" s="26">
        <f t="shared" si="6"/>
        <v>-1</v>
      </c>
      <c r="AB621" s="32">
        <f t="shared" si="7"/>
        <v>-1</v>
      </c>
      <c r="AC621" s="32" t="str">
        <f t="shared" ref="AC621:AG621" si="625">IF(J621&lt;&gt;"", IF(AND($P621=FALSE, $A621=FALSE), -J621, IF(AND($P621=FALSE, $A621=TRUE), 0, IF($P621=TRUE, (J621 / $R621) * 100 * ($S621 / 100)-J621, ))), )</f>
        <v/>
      </c>
      <c r="AD621" s="32" t="str">
        <f t="shared" si="625"/>
        <v/>
      </c>
      <c r="AE621" s="32" t="str">
        <f t="shared" si="625"/>
        <v/>
      </c>
      <c r="AF621" s="32" t="str">
        <f t="shared" si="625"/>
        <v/>
      </c>
      <c r="AG621" s="32" t="str">
        <f t="shared" si="625"/>
        <v/>
      </c>
      <c r="AH621" s="33"/>
    </row>
    <row r="622" hidden="1" outlineLevel="3">
      <c r="A622" s="16" t="b">
        <v>0</v>
      </c>
      <c r="B622" s="17"/>
      <c r="C622" s="18"/>
      <c r="D622" s="34"/>
      <c r="E622" s="20"/>
      <c r="F622" s="19"/>
      <c r="G622" s="23"/>
      <c r="H622" s="23"/>
      <c r="I622" s="23"/>
      <c r="J622" s="23"/>
      <c r="K622" s="23"/>
      <c r="L622" s="23"/>
      <c r="M622" s="23"/>
      <c r="N622" s="23"/>
      <c r="O622" s="24"/>
      <c r="P622" s="16" t="b">
        <v>0</v>
      </c>
      <c r="Q622" s="24"/>
      <c r="R622" s="26"/>
      <c r="S622" s="26"/>
      <c r="T622" s="27"/>
      <c r="U622" s="24"/>
      <c r="V622" s="28" t="s">
        <v>32</v>
      </c>
      <c r="W622" s="29" t="s">
        <v>22</v>
      </c>
      <c r="X622" s="37" t="s">
        <v>504</v>
      </c>
      <c r="Y622" s="31"/>
      <c r="Z622" s="26" t="str">
        <f t="shared" si="5"/>
        <v/>
      </c>
      <c r="AA622" s="26" t="str">
        <f t="shared" si="6"/>
        <v/>
      </c>
      <c r="AB622" s="32" t="str">
        <f t="shared" si="7"/>
        <v/>
      </c>
      <c r="AC622" s="32" t="str">
        <f t="shared" ref="AC622:AG622" si="626">IF(J622&lt;&gt;"", IF(AND($P622=FALSE, $A622=FALSE), -J622, IF(AND($P622=FALSE, $A622=TRUE), 0, IF($P622=TRUE, (J622 / $R622) * 100 * ($S622 / 100)-J622, ))), )</f>
        <v/>
      </c>
      <c r="AD622" s="32" t="str">
        <f t="shared" si="626"/>
        <v/>
      </c>
      <c r="AE622" s="32" t="str">
        <f t="shared" si="626"/>
        <v/>
      </c>
      <c r="AF622" s="32" t="str">
        <f t="shared" si="626"/>
        <v/>
      </c>
      <c r="AG622" s="32" t="str">
        <f t="shared" si="626"/>
        <v/>
      </c>
      <c r="AH622" s="33"/>
    </row>
    <row r="623" hidden="1" outlineLevel="3">
      <c r="A623" s="16" t="b">
        <v>0</v>
      </c>
      <c r="B623" s="17"/>
      <c r="C623" s="18"/>
      <c r="D623" s="34"/>
      <c r="E623" s="20"/>
      <c r="F623" s="19"/>
      <c r="G623" s="23"/>
      <c r="H623" s="23"/>
      <c r="I623" s="23"/>
      <c r="J623" s="23"/>
      <c r="K623" s="23"/>
      <c r="L623" s="23"/>
      <c r="M623" s="23"/>
      <c r="N623" s="23"/>
      <c r="O623" s="24"/>
      <c r="P623" s="16" t="b">
        <v>0</v>
      </c>
      <c r="Q623" s="24"/>
      <c r="R623" s="26"/>
      <c r="S623" s="26"/>
      <c r="T623" s="27"/>
      <c r="U623" s="24"/>
      <c r="V623" s="28" t="s">
        <v>32</v>
      </c>
      <c r="W623" s="29" t="s">
        <v>22</v>
      </c>
      <c r="X623" s="37" t="s">
        <v>505</v>
      </c>
      <c r="Y623" s="31"/>
      <c r="Z623" s="26" t="str">
        <f t="shared" si="5"/>
        <v/>
      </c>
      <c r="AA623" s="26" t="str">
        <f t="shared" si="6"/>
        <v/>
      </c>
      <c r="AB623" s="32" t="str">
        <f t="shared" si="7"/>
        <v/>
      </c>
      <c r="AC623" s="32" t="str">
        <f t="shared" ref="AC623:AG623" si="627">IF(J623&lt;&gt;"", IF(AND($P623=FALSE, $A623=FALSE), -J623, IF(AND($P623=FALSE, $A623=TRUE), 0, IF($P623=TRUE, (J623 / $R623) * 100 * ($S623 / 100)-J623, ))), )</f>
        <v/>
      </c>
      <c r="AD623" s="32" t="str">
        <f t="shared" si="627"/>
        <v/>
      </c>
      <c r="AE623" s="32" t="str">
        <f t="shared" si="627"/>
        <v/>
      </c>
      <c r="AF623" s="32" t="str">
        <f t="shared" si="627"/>
        <v/>
      </c>
      <c r="AG623" s="32" t="str">
        <f t="shared" si="627"/>
        <v/>
      </c>
      <c r="AH623" s="33"/>
    </row>
    <row r="624" hidden="1" outlineLevel="3">
      <c r="A624" s="16" t="b">
        <v>0</v>
      </c>
      <c r="B624" s="17"/>
      <c r="C624" s="18"/>
      <c r="D624" s="34"/>
      <c r="E624" s="20"/>
      <c r="F624" s="19"/>
      <c r="G624" s="23"/>
      <c r="H624" s="23"/>
      <c r="I624" s="23"/>
      <c r="J624" s="23"/>
      <c r="K624" s="23"/>
      <c r="L624" s="23"/>
      <c r="M624" s="23"/>
      <c r="N624" s="23"/>
      <c r="O624" s="24"/>
      <c r="P624" s="16" t="b">
        <v>0</v>
      </c>
      <c r="Q624" s="24"/>
      <c r="R624" s="26"/>
      <c r="S624" s="26"/>
      <c r="T624" s="27"/>
      <c r="U624" s="24"/>
      <c r="V624" s="28" t="s">
        <v>32</v>
      </c>
      <c r="W624" s="29" t="s">
        <v>22</v>
      </c>
      <c r="X624" s="37" t="s">
        <v>506</v>
      </c>
      <c r="Y624" s="31"/>
      <c r="Z624" s="26" t="str">
        <f t="shared" si="5"/>
        <v/>
      </c>
      <c r="AA624" s="26" t="str">
        <f t="shared" si="6"/>
        <v/>
      </c>
      <c r="AB624" s="32" t="str">
        <f t="shared" si="7"/>
        <v/>
      </c>
      <c r="AC624" s="32" t="str">
        <f t="shared" ref="AC624:AG624" si="628">IF(J624&lt;&gt;"", IF(AND($P624=FALSE, $A624=FALSE), -J624, IF(AND($P624=FALSE, $A624=TRUE), 0, IF($P624=TRUE, (J624 / $R624) * 100 * ($S624 / 100)-J624, ))), )</f>
        <v/>
      </c>
      <c r="AD624" s="32" t="str">
        <f t="shared" si="628"/>
        <v/>
      </c>
      <c r="AE624" s="32" t="str">
        <f t="shared" si="628"/>
        <v/>
      </c>
      <c r="AF624" s="32" t="str">
        <f t="shared" si="628"/>
        <v/>
      </c>
      <c r="AG624" s="32" t="str">
        <f t="shared" si="628"/>
        <v/>
      </c>
      <c r="AH624" s="33"/>
    </row>
    <row r="625" hidden="1" outlineLevel="3">
      <c r="A625" s="16" t="b">
        <v>0</v>
      </c>
      <c r="B625" s="17"/>
      <c r="C625" s="18"/>
      <c r="D625" s="34"/>
      <c r="E625" s="20"/>
      <c r="F625" s="19"/>
      <c r="G625" s="23"/>
      <c r="H625" s="23"/>
      <c r="I625" s="23"/>
      <c r="J625" s="23"/>
      <c r="K625" s="23"/>
      <c r="L625" s="23"/>
      <c r="M625" s="23"/>
      <c r="N625" s="23"/>
      <c r="O625" s="24"/>
      <c r="P625" s="16" t="b">
        <v>0</v>
      </c>
      <c r="Q625" s="24"/>
      <c r="R625" s="26"/>
      <c r="S625" s="26"/>
      <c r="T625" s="27"/>
      <c r="U625" s="24"/>
      <c r="V625" s="28" t="s">
        <v>32</v>
      </c>
      <c r="W625" s="29" t="s">
        <v>22</v>
      </c>
      <c r="X625" s="37" t="s">
        <v>507</v>
      </c>
      <c r="Y625" s="31"/>
      <c r="Z625" s="26" t="str">
        <f t="shared" si="5"/>
        <v/>
      </c>
      <c r="AA625" s="26" t="str">
        <f t="shared" si="6"/>
        <v/>
      </c>
      <c r="AB625" s="32" t="str">
        <f t="shared" si="7"/>
        <v/>
      </c>
      <c r="AC625" s="32" t="str">
        <f t="shared" ref="AC625:AG625" si="629">IF(J625&lt;&gt;"", IF(AND($P625=FALSE, $A625=FALSE), -J625, IF(AND($P625=FALSE, $A625=TRUE), 0, IF($P625=TRUE, (J625 / $R625) * 100 * ($S625 / 100)-J625, ))), )</f>
        <v/>
      </c>
      <c r="AD625" s="32" t="str">
        <f t="shared" si="629"/>
        <v/>
      </c>
      <c r="AE625" s="32" t="str">
        <f t="shared" si="629"/>
        <v/>
      </c>
      <c r="AF625" s="32" t="str">
        <f t="shared" si="629"/>
        <v/>
      </c>
      <c r="AG625" s="32" t="str">
        <f t="shared" si="629"/>
        <v/>
      </c>
      <c r="AH625" s="33"/>
    </row>
    <row r="626" hidden="1" outlineLevel="1" collapsed="1">
      <c r="A626" s="71" t="b">
        <v>0</v>
      </c>
      <c r="B626" s="17"/>
      <c r="C626" s="18"/>
      <c r="D626" s="42">
        <v>45254.0</v>
      </c>
      <c r="E626" s="43" t="s">
        <v>24</v>
      </c>
      <c r="F626" s="44" t="s">
        <v>481</v>
      </c>
      <c r="G626" s="45">
        <v>2.0</v>
      </c>
      <c r="H626" s="45">
        <v>1.0</v>
      </c>
      <c r="I626" s="45"/>
      <c r="J626" s="46"/>
      <c r="K626" s="46"/>
      <c r="L626" s="45"/>
      <c r="M626" s="46"/>
      <c r="N626" s="46"/>
      <c r="O626" s="47"/>
      <c r="P626" s="70" t="b">
        <v>0</v>
      </c>
      <c r="Q626" s="24"/>
      <c r="R626" s="48">
        <v>3.0</v>
      </c>
      <c r="S626" s="45">
        <v>24.0</v>
      </c>
      <c r="T626" s="49" t="s">
        <v>508</v>
      </c>
      <c r="U626" s="47"/>
      <c r="V626" s="28"/>
      <c r="W626" s="29"/>
      <c r="X626" s="30"/>
      <c r="Y626" s="73"/>
      <c r="Z626" s="26">
        <f t="shared" si="5"/>
        <v>-2</v>
      </c>
      <c r="AA626" s="26" t="str">
        <f t="shared" si="6"/>
        <v/>
      </c>
      <c r="AB626" s="32">
        <f t="shared" si="7"/>
        <v>-1</v>
      </c>
      <c r="AC626" s="32" t="str">
        <f t="shared" ref="AC626:AG626" si="630">IF(J626&lt;&gt;"", IF(AND($P626=FALSE, $A626=FALSE), -J626, IF(AND($P626=FALSE, $A626=TRUE), 0, IF($P626=TRUE, (J626 / $R626) * 100 * ($S626 / 100)-J626, ))), )</f>
        <v/>
      </c>
      <c r="AD626" s="32" t="str">
        <f t="shared" si="630"/>
        <v/>
      </c>
      <c r="AE626" s="32" t="str">
        <f t="shared" si="630"/>
        <v/>
      </c>
      <c r="AF626" s="32" t="str">
        <f t="shared" si="630"/>
        <v/>
      </c>
      <c r="AG626" s="32" t="str">
        <f t="shared" si="630"/>
        <v/>
      </c>
      <c r="AH626" s="33"/>
    </row>
    <row r="627" hidden="1" outlineLevel="3">
      <c r="A627" s="16" t="b">
        <v>0</v>
      </c>
      <c r="B627" s="17"/>
      <c r="C627" s="18"/>
      <c r="D627" s="34"/>
      <c r="E627" s="20"/>
      <c r="F627" s="19"/>
      <c r="G627" s="23"/>
      <c r="H627" s="23"/>
      <c r="I627" s="23"/>
      <c r="J627" s="23"/>
      <c r="K627" s="23"/>
      <c r="L627" s="23"/>
      <c r="M627" s="23"/>
      <c r="N627" s="23"/>
      <c r="O627" s="24"/>
      <c r="P627" s="16" t="b">
        <v>0</v>
      </c>
      <c r="Q627" s="24"/>
      <c r="R627" s="26"/>
      <c r="S627" s="26"/>
      <c r="T627" s="27"/>
      <c r="U627" s="24"/>
      <c r="V627" s="38" t="s">
        <v>29</v>
      </c>
      <c r="W627" s="29" t="s">
        <v>22</v>
      </c>
      <c r="X627" s="37" t="s">
        <v>509</v>
      </c>
      <c r="Y627" s="31"/>
      <c r="Z627" s="26" t="str">
        <f t="shared" si="5"/>
        <v/>
      </c>
      <c r="AA627" s="26" t="str">
        <f t="shared" si="6"/>
        <v/>
      </c>
      <c r="AB627" s="32" t="str">
        <f t="shared" si="7"/>
        <v/>
      </c>
      <c r="AC627" s="32" t="str">
        <f t="shared" ref="AC627:AG627" si="631">IF(J627&lt;&gt;"", IF(AND($P627=FALSE, $A627=FALSE), -J627, IF(AND($P627=FALSE, $A627=TRUE), 0, IF($P627=TRUE, (J627 / $R627) * 100 * ($S627 / 100)-J627, ))), )</f>
        <v/>
      </c>
      <c r="AD627" s="32" t="str">
        <f t="shared" si="631"/>
        <v/>
      </c>
      <c r="AE627" s="32" t="str">
        <f t="shared" si="631"/>
        <v/>
      </c>
      <c r="AF627" s="32" t="str">
        <f t="shared" si="631"/>
        <v/>
      </c>
      <c r="AG627" s="32" t="str">
        <f t="shared" si="631"/>
        <v/>
      </c>
      <c r="AH627" s="33"/>
    </row>
    <row r="628" hidden="1" outlineLevel="3">
      <c r="A628" s="16" t="b">
        <v>0</v>
      </c>
      <c r="B628" s="17"/>
      <c r="C628" s="18"/>
      <c r="D628" s="34"/>
      <c r="E628" s="20"/>
      <c r="F628" s="19"/>
      <c r="G628" s="23"/>
      <c r="H628" s="23"/>
      <c r="I628" s="23"/>
      <c r="J628" s="23"/>
      <c r="K628" s="23"/>
      <c r="L628" s="23"/>
      <c r="M628" s="23"/>
      <c r="N628" s="23"/>
      <c r="O628" s="24"/>
      <c r="P628" s="16" t="b">
        <v>0</v>
      </c>
      <c r="Q628" s="24"/>
      <c r="R628" s="26"/>
      <c r="S628" s="26"/>
      <c r="T628" s="27"/>
      <c r="U628" s="24"/>
      <c r="V628" s="28" t="s">
        <v>32</v>
      </c>
      <c r="W628" s="29" t="s">
        <v>22</v>
      </c>
      <c r="X628" s="37" t="s">
        <v>510</v>
      </c>
      <c r="Y628" s="31"/>
      <c r="Z628" s="26" t="str">
        <f t="shared" si="5"/>
        <v/>
      </c>
      <c r="AA628" s="26" t="str">
        <f t="shared" si="6"/>
        <v/>
      </c>
      <c r="AB628" s="32" t="str">
        <f t="shared" si="7"/>
        <v/>
      </c>
      <c r="AC628" s="32" t="str">
        <f t="shared" ref="AC628:AG628" si="632">IF(J628&lt;&gt;"", IF(AND($P628=FALSE, $A628=FALSE), -J628, IF(AND($P628=FALSE, $A628=TRUE), 0, IF($P628=TRUE, (J628 / $R628) * 100 * ($S628 / 100)-J628, ))), )</f>
        <v/>
      </c>
      <c r="AD628" s="32" t="str">
        <f t="shared" si="632"/>
        <v/>
      </c>
      <c r="AE628" s="32" t="str">
        <f t="shared" si="632"/>
        <v/>
      </c>
      <c r="AF628" s="32" t="str">
        <f t="shared" si="632"/>
        <v/>
      </c>
      <c r="AG628" s="32" t="str">
        <f t="shared" si="632"/>
        <v/>
      </c>
      <c r="AH628" s="33"/>
    </row>
    <row r="629" hidden="1" outlineLevel="1" collapsed="1">
      <c r="A629" s="16" t="b">
        <v>0</v>
      </c>
      <c r="B629" s="17"/>
      <c r="C629" s="18"/>
      <c r="D629" s="41">
        <v>45255.0</v>
      </c>
      <c r="E629" s="20" t="s">
        <v>60</v>
      </c>
      <c r="F629" s="21" t="s">
        <v>61</v>
      </c>
      <c r="G629" s="23">
        <v>2.0</v>
      </c>
      <c r="H629" s="23">
        <v>1.0</v>
      </c>
      <c r="I629" s="23">
        <v>3.0</v>
      </c>
      <c r="J629" s="23"/>
      <c r="K629" s="23"/>
      <c r="L629" s="23"/>
      <c r="M629" s="23"/>
      <c r="N629" s="23"/>
      <c r="O629" s="24"/>
      <c r="P629" s="16" t="b">
        <v>0</v>
      </c>
      <c r="Q629" s="24"/>
      <c r="R629" s="26">
        <v>6.0</v>
      </c>
      <c r="S629" s="26">
        <v>18.03</v>
      </c>
      <c r="T629" s="27" t="s">
        <v>374</v>
      </c>
      <c r="U629" s="24"/>
      <c r="V629" s="28"/>
      <c r="W629" s="29"/>
      <c r="X629" s="30"/>
      <c r="Y629" s="31"/>
      <c r="Z629" s="26">
        <f t="shared" si="5"/>
        <v>-2</v>
      </c>
      <c r="AA629" s="26">
        <f t="shared" si="6"/>
        <v>-3</v>
      </c>
      <c r="AB629" s="32">
        <f t="shared" si="7"/>
        <v>-1</v>
      </c>
      <c r="AC629" s="32" t="str">
        <f t="shared" ref="AC629:AG629" si="633">IF(J629&lt;&gt;"", IF(AND($P629=FALSE, $A629=FALSE), -J629, IF(AND($P629=FALSE, $A629=TRUE), 0, IF($P629=TRUE, (J629 / $R629) * 100 * ($S629 / 100)-J629, ))), )</f>
        <v/>
      </c>
      <c r="AD629" s="32" t="str">
        <f t="shared" si="633"/>
        <v/>
      </c>
      <c r="AE629" s="32" t="str">
        <f t="shared" si="633"/>
        <v/>
      </c>
      <c r="AF629" s="32" t="str">
        <f t="shared" si="633"/>
        <v/>
      </c>
      <c r="AG629" s="32" t="str">
        <f t="shared" si="633"/>
        <v/>
      </c>
      <c r="AH629" s="33"/>
    </row>
    <row r="630" hidden="1" outlineLevel="3">
      <c r="A630" s="16" t="b">
        <v>0</v>
      </c>
      <c r="B630" s="17"/>
      <c r="C630" s="18"/>
      <c r="D630" s="34"/>
      <c r="E630" s="20"/>
      <c r="F630" s="19"/>
      <c r="G630" s="23"/>
      <c r="H630" s="23"/>
      <c r="I630" s="23"/>
      <c r="J630" s="23"/>
      <c r="K630" s="23"/>
      <c r="L630" s="23"/>
      <c r="M630" s="23"/>
      <c r="N630" s="23"/>
      <c r="O630" s="24"/>
      <c r="P630" s="16" t="b">
        <v>0</v>
      </c>
      <c r="Q630" s="24"/>
      <c r="R630" s="26"/>
      <c r="S630" s="26"/>
      <c r="T630" s="27"/>
      <c r="U630" s="24"/>
      <c r="V630" s="38" t="s">
        <v>29</v>
      </c>
      <c r="W630" s="29" t="s">
        <v>22</v>
      </c>
      <c r="X630" s="37" t="s">
        <v>63</v>
      </c>
      <c r="Y630" s="31"/>
      <c r="Z630" s="26" t="str">
        <f t="shared" si="5"/>
        <v/>
      </c>
      <c r="AA630" s="26" t="str">
        <f t="shared" si="6"/>
        <v/>
      </c>
      <c r="AB630" s="32" t="str">
        <f t="shared" si="7"/>
        <v/>
      </c>
      <c r="AC630" s="32" t="str">
        <f t="shared" ref="AC630:AG630" si="634">IF(J630&lt;&gt;"", IF(AND($P630=FALSE, $A630=FALSE), -J630, IF(AND($P630=FALSE, $A630=TRUE), 0, IF($P630=TRUE, (J630 / $R630) * 100 * ($S630 / 100)-J630, ))), )</f>
        <v/>
      </c>
      <c r="AD630" s="32" t="str">
        <f t="shared" si="634"/>
        <v/>
      </c>
      <c r="AE630" s="32" t="str">
        <f t="shared" si="634"/>
        <v/>
      </c>
      <c r="AF630" s="32" t="str">
        <f t="shared" si="634"/>
        <v/>
      </c>
      <c r="AG630" s="32" t="str">
        <f t="shared" si="634"/>
        <v/>
      </c>
      <c r="AH630" s="33"/>
    </row>
    <row r="631" hidden="1" outlineLevel="3">
      <c r="A631" s="16" t="b">
        <v>0</v>
      </c>
      <c r="B631" s="17"/>
      <c r="C631" s="18"/>
      <c r="D631" s="34"/>
      <c r="E631" s="20"/>
      <c r="F631" s="19"/>
      <c r="G631" s="23"/>
      <c r="H631" s="23"/>
      <c r="I631" s="23"/>
      <c r="J631" s="23"/>
      <c r="K631" s="23"/>
      <c r="L631" s="23"/>
      <c r="M631" s="23"/>
      <c r="N631" s="23"/>
      <c r="O631" s="24"/>
      <c r="P631" s="16" t="b">
        <v>0</v>
      </c>
      <c r="Q631" s="24"/>
      <c r="R631" s="26"/>
      <c r="S631" s="26"/>
      <c r="T631" s="27"/>
      <c r="U631" s="24"/>
      <c r="V631" s="28" t="s">
        <v>32</v>
      </c>
      <c r="W631" s="29" t="s">
        <v>22</v>
      </c>
      <c r="X631" s="37" t="s">
        <v>191</v>
      </c>
      <c r="Y631" s="31"/>
      <c r="Z631" s="26" t="str">
        <f t="shared" si="5"/>
        <v/>
      </c>
      <c r="AA631" s="26" t="str">
        <f t="shared" si="6"/>
        <v/>
      </c>
      <c r="AB631" s="32" t="str">
        <f t="shared" si="7"/>
        <v/>
      </c>
      <c r="AC631" s="32" t="str">
        <f t="shared" ref="AC631:AG631" si="635">IF(J631&lt;&gt;"", IF(AND($P631=FALSE, $A631=FALSE), -J631, IF(AND($P631=FALSE, $A631=TRUE), 0, IF($P631=TRUE, (J631 / $R631) * 100 * ($S631 / 100)-J631, ))), )</f>
        <v/>
      </c>
      <c r="AD631" s="32" t="str">
        <f t="shared" si="635"/>
        <v/>
      </c>
      <c r="AE631" s="32" t="str">
        <f t="shared" si="635"/>
        <v/>
      </c>
      <c r="AF631" s="32" t="str">
        <f t="shared" si="635"/>
        <v/>
      </c>
      <c r="AG631" s="32" t="str">
        <f t="shared" si="635"/>
        <v/>
      </c>
      <c r="AH631" s="33"/>
    </row>
    <row r="632" hidden="1" outlineLevel="3">
      <c r="A632" s="16" t="b">
        <v>0</v>
      </c>
      <c r="B632" s="17"/>
      <c r="C632" s="18"/>
      <c r="D632" s="34"/>
      <c r="E632" s="20"/>
      <c r="F632" s="19"/>
      <c r="G632" s="23"/>
      <c r="H632" s="23"/>
      <c r="I632" s="23"/>
      <c r="J632" s="23"/>
      <c r="K632" s="23"/>
      <c r="L632" s="23"/>
      <c r="M632" s="23"/>
      <c r="N632" s="23"/>
      <c r="O632" s="24"/>
      <c r="P632" s="16" t="b">
        <v>0</v>
      </c>
      <c r="Q632" s="24"/>
      <c r="R632" s="26"/>
      <c r="S632" s="26"/>
      <c r="T632" s="27"/>
      <c r="U632" s="24"/>
      <c r="V632" s="28" t="s">
        <v>32</v>
      </c>
      <c r="W632" s="29" t="s">
        <v>22</v>
      </c>
      <c r="X632" s="37" t="s">
        <v>236</v>
      </c>
      <c r="Y632" s="31"/>
      <c r="Z632" s="26" t="str">
        <f t="shared" si="5"/>
        <v/>
      </c>
      <c r="AA632" s="26" t="str">
        <f t="shared" si="6"/>
        <v/>
      </c>
      <c r="AB632" s="32" t="str">
        <f t="shared" si="7"/>
        <v/>
      </c>
      <c r="AC632" s="32" t="str">
        <f t="shared" ref="AC632:AG632" si="636">IF(J632&lt;&gt;"", IF(AND($P632=FALSE, $A632=FALSE), -J632, IF(AND($P632=FALSE, $A632=TRUE), 0, IF($P632=TRUE, (J632 / $R632) * 100 * ($S632 / 100)-J632, ))), )</f>
        <v/>
      </c>
      <c r="AD632" s="32" t="str">
        <f t="shared" si="636"/>
        <v/>
      </c>
      <c r="AE632" s="32" t="str">
        <f t="shared" si="636"/>
        <v/>
      </c>
      <c r="AF632" s="32" t="str">
        <f t="shared" si="636"/>
        <v/>
      </c>
      <c r="AG632" s="32" t="str">
        <f t="shared" si="636"/>
        <v/>
      </c>
      <c r="AH632" s="33"/>
    </row>
    <row r="633" hidden="1" outlineLevel="3">
      <c r="A633" s="16" t="b">
        <v>0</v>
      </c>
      <c r="B633" s="17"/>
      <c r="C633" s="18"/>
      <c r="D633" s="34"/>
      <c r="E633" s="20"/>
      <c r="F633" s="19"/>
      <c r="G633" s="23"/>
      <c r="H633" s="23"/>
      <c r="I633" s="23"/>
      <c r="J633" s="23"/>
      <c r="K633" s="23"/>
      <c r="L633" s="23"/>
      <c r="M633" s="23"/>
      <c r="N633" s="23"/>
      <c r="O633" s="24"/>
      <c r="P633" s="16" t="b">
        <v>0</v>
      </c>
      <c r="Q633" s="24"/>
      <c r="R633" s="26"/>
      <c r="S633" s="26"/>
      <c r="T633" s="27"/>
      <c r="U633" s="24"/>
      <c r="V633" s="28" t="s">
        <v>32</v>
      </c>
      <c r="W633" s="29" t="s">
        <v>22</v>
      </c>
      <c r="X633" s="37" t="s">
        <v>65</v>
      </c>
      <c r="Y633" s="31"/>
      <c r="Z633" s="26" t="str">
        <f t="shared" si="5"/>
        <v/>
      </c>
      <c r="AA633" s="26" t="str">
        <f t="shared" si="6"/>
        <v/>
      </c>
      <c r="AB633" s="32" t="str">
        <f t="shared" si="7"/>
        <v/>
      </c>
      <c r="AC633" s="32" t="str">
        <f t="shared" ref="AC633:AG633" si="637">IF(J633&lt;&gt;"", IF(AND($P633=FALSE, $A633=FALSE), -J633, IF(AND($P633=FALSE, $A633=TRUE), 0, IF($P633=TRUE, (J633 / $R633) * 100 * ($S633 / 100)-J633, ))), )</f>
        <v/>
      </c>
      <c r="AD633" s="32" t="str">
        <f t="shared" si="637"/>
        <v/>
      </c>
      <c r="AE633" s="32" t="str">
        <f t="shared" si="637"/>
        <v/>
      </c>
      <c r="AF633" s="32" t="str">
        <f t="shared" si="637"/>
        <v/>
      </c>
      <c r="AG633" s="32" t="str">
        <f t="shared" si="637"/>
        <v/>
      </c>
      <c r="AH633" s="33"/>
    </row>
    <row r="634" hidden="1" outlineLevel="1" collapsed="1">
      <c r="A634" s="71" t="b">
        <v>0</v>
      </c>
      <c r="B634" s="17"/>
      <c r="C634" s="18"/>
      <c r="D634" s="42">
        <v>45256.0</v>
      </c>
      <c r="E634" s="43" t="s">
        <v>24</v>
      </c>
      <c r="F634" s="44" t="s">
        <v>481</v>
      </c>
      <c r="G634" s="45">
        <v>3.0</v>
      </c>
      <c r="H634" s="45">
        <v>1.5</v>
      </c>
      <c r="I634" s="45">
        <v>4.0</v>
      </c>
      <c r="J634" s="46"/>
      <c r="K634" s="46"/>
      <c r="L634" s="45"/>
      <c r="M634" s="46"/>
      <c r="N634" s="46"/>
      <c r="O634" s="47"/>
      <c r="P634" s="71" t="b">
        <v>1</v>
      </c>
      <c r="Q634" s="24"/>
      <c r="R634" s="48">
        <v>8.5</v>
      </c>
      <c r="S634" s="45">
        <v>18.01</v>
      </c>
      <c r="T634" s="49" t="s">
        <v>511</v>
      </c>
      <c r="U634" s="47"/>
      <c r="V634" s="28"/>
      <c r="W634" s="29"/>
      <c r="X634" s="37"/>
      <c r="Y634" s="72"/>
      <c r="Z634" s="26">
        <f t="shared" si="5"/>
        <v>3.356470588</v>
      </c>
      <c r="AA634" s="26">
        <f t="shared" si="6"/>
        <v>4.475294118</v>
      </c>
      <c r="AB634" s="32">
        <f t="shared" si="7"/>
        <v>1.678235294</v>
      </c>
      <c r="AC634" s="32" t="str">
        <f t="shared" ref="AC634:AG634" si="638">IF(J634&lt;&gt;"", IF(AND($P634=FALSE, $A634=FALSE), -J634, IF(AND($P634=FALSE, $A634=TRUE), 0, IF($P634=TRUE, (J634 / $R634) * 100 * ($S634 / 100)-J634, ))), )</f>
        <v/>
      </c>
      <c r="AD634" s="32" t="str">
        <f t="shared" si="638"/>
        <v/>
      </c>
      <c r="AE634" s="32" t="str">
        <f t="shared" si="638"/>
        <v/>
      </c>
      <c r="AF634" s="32" t="str">
        <f t="shared" si="638"/>
        <v/>
      </c>
      <c r="AG634" s="32" t="str">
        <f t="shared" si="638"/>
        <v/>
      </c>
      <c r="AH634" s="33"/>
    </row>
    <row r="635" hidden="1" outlineLevel="3">
      <c r="A635" s="16" t="b">
        <v>0</v>
      </c>
      <c r="B635" s="17"/>
      <c r="C635" s="18"/>
      <c r="D635" s="34"/>
      <c r="E635" s="20"/>
      <c r="F635" s="19"/>
      <c r="G635" s="23"/>
      <c r="H635" s="23"/>
      <c r="I635" s="23"/>
      <c r="J635" s="23"/>
      <c r="K635" s="23"/>
      <c r="L635" s="23"/>
      <c r="M635" s="23"/>
      <c r="N635" s="23"/>
      <c r="O635" s="24"/>
      <c r="P635" s="16" t="b">
        <v>0</v>
      </c>
      <c r="Q635" s="24"/>
      <c r="R635" s="26"/>
      <c r="S635" s="26"/>
      <c r="T635" s="27"/>
      <c r="U635" s="24"/>
      <c r="V635" s="38" t="s">
        <v>29</v>
      </c>
      <c r="W635" s="29" t="s">
        <v>22</v>
      </c>
      <c r="X635" s="37" t="s">
        <v>512</v>
      </c>
      <c r="Y635" s="31"/>
      <c r="Z635" s="26" t="str">
        <f t="shared" si="5"/>
        <v/>
      </c>
      <c r="AA635" s="26" t="str">
        <f t="shared" si="6"/>
        <v/>
      </c>
      <c r="AB635" s="32" t="str">
        <f t="shared" si="7"/>
        <v/>
      </c>
      <c r="AC635" s="32" t="str">
        <f t="shared" ref="AC635:AG635" si="639">IF(J635&lt;&gt;"", IF(AND($P635=FALSE, $A635=FALSE), -J635, IF(AND($P635=FALSE, $A635=TRUE), 0, IF($P635=TRUE, (J635 / $R635) * 100 * ($S635 / 100)-J635, ))), )</f>
        <v/>
      </c>
      <c r="AD635" s="32" t="str">
        <f t="shared" si="639"/>
        <v/>
      </c>
      <c r="AE635" s="32" t="str">
        <f t="shared" si="639"/>
        <v/>
      </c>
      <c r="AF635" s="32" t="str">
        <f t="shared" si="639"/>
        <v/>
      </c>
      <c r="AG635" s="32" t="str">
        <f t="shared" si="639"/>
        <v/>
      </c>
      <c r="AH635" s="33"/>
    </row>
    <row r="636" hidden="1" outlineLevel="3">
      <c r="A636" s="16" t="b">
        <v>0</v>
      </c>
      <c r="B636" s="17"/>
      <c r="C636" s="18"/>
      <c r="D636" s="34"/>
      <c r="E636" s="20"/>
      <c r="F636" s="19"/>
      <c r="G636" s="23"/>
      <c r="H636" s="23"/>
      <c r="I636" s="23"/>
      <c r="J636" s="23"/>
      <c r="K636" s="23"/>
      <c r="L636" s="23"/>
      <c r="M636" s="23"/>
      <c r="N636" s="23"/>
      <c r="O636" s="24"/>
      <c r="P636" s="16" t="b">
        <v>0</v>
      </c>
      <c r="Q636" s="24"/>
      <c r="R636" s="26"/>
      <c r="S636" s="26"/>
      <c r="T636" s="27"/>
      <c r="U636" s="24"/>
      <c r="V636" s="38" t="s">
        <v>29</v>
      </c>
      <c r="W636" s="29" t="s">
        <v>22</v>
      </c>
      <c r="X636" s="37" t="s">
        <v>102</v>
      </c>
      <c r="Y636" s="31"/>
      <c r="Z636" s="26" t="str">
        <f t="shared" si="5"/>
        <v/>
      </c>
      <c r="AA636" s="26" t="str">
        <f t="shared" si="6"/>
        <v/>
      </c>
      <c r="AB636" s="32" t="str">
        <f t="shared" si="7"/>
        <v/>
      </c>
      <c r="AC636" s="32" t="str">
        <f t="shared" ref="AC636:AG636" si="640">IF(J636&lt;&gt;"", IF(AND($P636=FALSE, $A636=FALSE), -J636, IF(AND($P636=FALSE, $A636=TRUE), 0, IF($P636=TRUE, (J636 / $R636) * 100 * ($S636 / 100)-J636, ))), )</f>
        <v/>
      </c>
      <c r="AD636" s="32" t="str">
        <f t="shared" si="640"/>
        <v/>
      </c>
      <c r="AE636" s="32" t="str">
        <f t="shared" si="640"/>
        <v/>
      </c>
      <c r="AF636" s="32" t="str">
        <f t="shared" si="640"/>
        <v/>
      </c>
      <c r="AG636" s="32" t="str">
        <f t="shared" si="640"/>
        <v/>
      </c>
      <c r="AH636" s="33"/>
    </row>
    <row r="637" hidden="1" outlineLevel="3">
      <c r="A637" s="16" t="b">
        <v>0</v>
      </c>
      <c r="B637" s="17"/>
      <c r="C637" s="18"/>
      <c r="D637" s="34"/>
      <c r="E637" s="20"/>
      <c r="F637" s="19"/>
      <c r="G637" s="23"/>
      <c r="H637" s="23"/>
      <c r="I637" s="23"/>
      <c r="J637" s="23"/>
      <c r="K637" s="23"/>
      <c r="L637" s="23"/>
      <c r="M637" s="23"/>
      <c r="N637" s="23"/>
      <c r="O637" s="24"/>
      <c r="P637" s="16" t="b">
        <v>0</v>
      </c>
      <c r="Q637" s="24"/>
      <c r="R637" s="26"/>
      <c r="S637" s="26"/>
      <c r="T637" s="27"/>
      <c r="U637" s="24"/>
      <c r="V637" s="38" t="s">
        <v>29</v>
      </c>
      <c r="W637" s="29" t="s">
        <v>22</v>
      </c>
      <c r="X637" s="37" t="s">
        <v>513</v>
      </c>
      <c r="Y637" s="31"/>
      <c r="Z637" s="26" t="str">
        <f t="shared" si="5"/>
        <v/>
      </c>
      <c r="AA637" s="26" t="str">
        <f t="shared" si="6"/>
        <v/>
      </c>
      <c r="AB637" s="32" t="str">
        <f t="shared" si="7"/>
        <v/>
      </c>
      <c r="AC637" s="32" t="str">
        <f t="shared" ref="AC637:AG637" si="641">IF(J637&lt;&gt;"", IF(AND($P637=FALSE, $A637=FALSE), -J637, IF(AND($P637=FALSE, $A637=TRUE), 0, IF($P637=TRUE, (J637 / $R637) * 100 * ($S637 / 100)-J637, ))), )</f>
        <v/>
      </c>
      <c r="AD637" s="32" t="str">
        <f t="shared" si="641"/>
        <v/>
      </c>
      <c r="AE637" s="32" t="str">
        <f t="shared" si="641"/>
        <v/>
      </c>
      <c r="AF637" s="32" t="str">
        <f t="shared" si="641"/>
        <v/>
      </c>
      <c r="AG637" s="32" t="str">
        <f t="shared" si="641"/>
        <v/>
      </c>
      <c r="AH637" s="33"/>
    </row>
    <row r="638" hidden="1" outlineLevel="3">
      <c r="A638" s="16" t="b">
        <v>0</v>
      </c>
      <c r="B638" s="17"/>
      <c r="C638" s="18"/>
      <c r="D638" s="34"/>
      <c r="E638" s="20"/>
      <c r="F638" s="19"/>
      <c r="G638" s="23"/>
      <c r="H638" s="23"/>
      <c r="I638" s="23"/>
      <c r="J638" s="23"/>
      <c r="K638" s="23"/>
      <c r="L638" s="23"/>
      <c r="M638" s="23"/>
      <c r="N638" s="23"/>
      <c r="O638" s="24"/>
      <c r="P638" s="16" t="b">
        <v>0</v>
      </c>
      <c r="Q638" s="24"/>
      <c r="R638" s="26"/>
      <c r="S638" s="26"/>
      <c r="T638" s="27"/>
      <c r="U638" s="24"/>
      <c r="V638" s="38" t="s">
        <v>29</v>
      </c>
      <c r="W638" s="29" t="s">
        <v>22</v>
      </c>
      <c r="X638" s="37" t="s">
        <v>514</v>
      </c>
      <c r="Y638" s="31"/>
      <c r="Z638" s="26" t="str">
        <f t="shared" si="5"/>
        <v/>
      </c>
      <c r="AA638" s="26" t="str">
        <f t="shared" si="6"/>
        <v/>
      </c>
      <c r="AB638" s="32" t="str">
        <f t="shared" si="7"/>
        <v/>
      </c>
      <c r="AC638" s="32" t="str">
        <f t="shared" ref="AC638:AG638" si="642">IF(J638&lt;&gt;"", IF(AND($P638=FALSE, $A638=FALSE), -J638, IF(AND($P638=FALSE, $A638=TRUE), 0, IF($P638=TRUE, (J638 / $R638) * 100 * ($S638 / 100)-J638, ))), )</f>
        <v/>
      </c>
      <c r="AD638" s="32" t="str">
        <f t="shared" si="642"/>
        <v/>
      </c>
      <c r="AE638" s="32" t="str">
        <f t="shared" si="642"/>
        <v/>
      </c>
      <c r="AF638" s="32" t="str">
        <f t="shared" si="642"/>
        <v/>
      </c>
      <c r="AG638" s="32" t="str">
        <f t="shared" si="642"/>
        <v/>
      </c>
      <c r="AH638" s="33"/>
    </row>
    <row r="639" hidden="1" outlineLevel="2" collapsed="1">
      <c r="A639" s="71" t="b">
        <v>0</v>
      </c>
      <c r="B639" s="17"/>
      <c r="C639" s="18"/>
      <c r="D639" s="42">
        <v>45256.0</v>
      </c>
      <c r="E639" s="43" t="s">
        <v>24</v>
      </c>
      <c r="F639" s="44" t="s">
        <v>481</v>
      </c>
      <c r="G639" s="45">
        <v>3.0</v>
      </c>
      <c r="H639" s="45">
        <v>1.5</v>
      </c>
      <c r="I639" s="45"/>
      <c r="J639" s="46"/>
      <c r="K639" s="46"/>
      <c r="L639" s="45"/>
      <c r="M639" s="46"/>
      <c r="N639" s="46"/>
      <c r="O639" s="47"/>
      <c r="P639" s="71" t="b">
        <v>1</v>
      </c>
      <c r="Q639" s="24"/>
      <c r="R639" s="48">
        <v>4.5</v>
      </c>
      <c r="S639" s="45">
        <v>15.25</v>
      </c>
      <c r="T639" s="49" t="s">
        <v>515</v>
      </c>
      <c r="U639" s="47"/>
      <c r="V639" s="28"/>
      <c r="W639" s="29"/>
      <c r="X639" s="30"/>
      <c r="Y639" s="72"/>
      <c r="Z639" s="26">
        <f t="shared" si="5"/>
        <v>7.166666667</v>
      </c>
      <c r="AA639" s="26" t="str">
        <f t="shared" si="6"/>
        <v/>
      </c>
      <c r="AB639" s="32">
        <f t="shared" si="7"/>
        <v>3.583333333</v>
      </c>
      <c r="AC639" s="32" t="str">
        <f t="shared" ref="AC639:AG639" si="643">IF(J639&lt;&gt;"", IF(AND($P639=FALSE, $A639=FALSE), -J639, IF(AND($P639=FALSE, $A639=TRUE), 0, IF($P639=TRUE, (J639 / $R639) * 100 * ($S639 / 100)-J639, ))), )</f>
        <v/>
      </c>
      <c r="AD639" s="32" t="str">
        <f t="shared" si="643"/>
        <v/>
      </c>
      <c r="AE639" s="32" t="str">
        <f t="shared" si="643"/>
        <v/>
      </c>
      <c r="AF639" s="32" t="str">
        <f t="shared" si="643"/>
        <v/>
      </c>
      <c r="AG639" s="32" t="str">
        <f t="shared" si="643"/>
        <v/>
      </c>
      <c r="AH639" s="33"/>
    </row>
    <row r="640" hidden="1" outlineLevel="3">
      <c r="A640" s="16" t="b">
        <v>0</v>
      </c>
      <c r="B640" s="17"/>
      <c r="C640" s="18"/>
      <c r="D640" s="34"/>
      <c r="E640" s="20"/>
      <c r="F640" s="19"/>
      <c r="G640" s="23"/>
      <c r="H640" s="23"/>
      <c r="I640" s="23"/>
      <c r="J640" s="23"/>
      <c r="K640" s="23"/>
      <c r="L640" s="23"/>
      <c r="M640" s="23"/>
      <c r="N640" s="23"/>
      <c r="O640" s="24"/>
      <c r="P640" s="16" t="b">
        <v>0</v>
      </c>
      <c r="Q640" s="24"/>
      <c r="R640" s="26"/>
      <c r="S640" s="26"/>
      <c r="T640" s="27"/>
      <c r="U640" s="24"/>
      <c r="V640" s="38" t="s">
        <v>29</v>
      </c>
      <c r="W640" s="29" t="s">
        <v>22</v>
      </c>
      <c r="X640" s="37" t="s">
        <v>516</v>
      </c>
      <c r="Y640" s="31"/>
      <c r="Z640" s="26" t="str">
        <f t="shared" si="5"/>
        <v/>
      </c>
      <c r="AA640" s="26" t="str">
        <f t="shared" si="6"/>
        <v/>
      </c>
      <c r="AB640" s="32" t="str">
        <f t="shared" si="7"/>
        <v/>
      </c>
      <c r="AC640" s="32" t="str">
        <f t="shared" ref="AC640:AG640" si="644">IF(J640&lt;&gt;"", IF(AND($P640=FALSE, $A640=FALSE), -J640, IF(AND($P640=FALSE, $A640=TRUE), 0, IF($P640=TRUE, (J640 / $R640) * 100 * ($S640 / 100)-J640, ))), )</f>
        <v/>
      </c>
      <c r="AD640" s="32" t="str">
        <f t="shared" si="644"/>
        <v/>
      </c>
      <c r="AE640" s="32" t="str">
        <f t="shared" si="644"/>
        <v/>
      </c>
      <c r="AF640" s="32" t="str">
        <f t="shared" si="644"/>
        <v/>
      </c>
      <c r="AG640" s="32" t="str">
        <f t="shared" si="644"/>
        <v/>
      </c>
      <c r="AH640" s="33"/>
    </row>
    <row r="641" hidden="1" outlineLevel="3">
      <c r="A641" s="16" t="b">
        <v>0</v>
      </c>
      <c r="B641" s="17"/>
      <c r="C641" s="18"/>
      <c r="D641" s="34"/>
      <c r="E641" s="20"/>
      <c r="F641" s="19"/>
      <c r="G641" s="23"/>
      <c r="H641" s="23"/>
      <c r="I641" s="23"/>
      <c r="J641" s="23"/>
      <c r="K641" s="23"/>
      <c r="L641" s="23"/>
      <c r="M641" s="23"/>
      <c r="N641" s="23"/>
      <c r="O641" s="24"/>
      <c r="P641" s="16" t="b">
        <v>0</v>
      </c>
      <c r="Q641" s="24"/>
      <c r="R641" s="26"/>
      <c r="S641" s="26"/>
      <c r="T641" s="27"/>
      <c r="U641" s="24"/>
      <c r="V641" s="38" t="s">
        <v>29</v>
      </c>
      <c r="W641" s="29" t="s">
        <v>22</v>
      </c>
      <c r="X641" s="37" t="s">
        <v>388</v>
      </c>
      <c r="Y641" s="31"/>
      <c r="Z641" s="26" t="str">
        <f t="shared" si="5"/>
        <v/>
      </c>
      <c r="AA641" s="26" t="str">
        <f t="shared" si="6"/>
        <v/>
      </c>
      <c r="AB641" s="32" t="str">
        <f t="shared" si="7"/>
        <v/>
      </c>
      <c r="AC641" s="32" t="str">
        <f t="shared" ref="AC641:AG641" si="645">IF(J641&lt;&gt;"", IF(AND($P641=FALSE, $A641=FALSE), -J641, IF(AND($P641=FALSE, $A641=TRUE), 0, IF($P641=TRUE, (J641 / $R641) * 100 * ($S641 / 100)-J641, ))), )</f>
        <v/>
      </c>
      <c r="AD641" s="32" t="str">
        <f t="shared" si="645"/>
        <v/>
      </c>
      <c r="AE641" s="32" t="str">
        <f t="shared" si="645"/>
        <v/>
      </c>
      <c r="AF641" s="32" t="str">
        <f t="shared" si="645"/>
        <v/>
      </c>
      <c r="AG641" s="32" t="str">
        <f t="shared" si="645"/>
        <v/>
      </c>
      <c r="AH641" s="33"/>
    </row>
    <row r="642" hidden="1" outlineLevel="3">
      <c r="A642" s="16" t="b">
        <v>0</v>
      </c>
      <c r="B642" s="17"/>
      <c r="C642" s="18"/>
      <c r="D642" s="34"/>
      <c r="E642" s="20"/>
      <c r="F642" s="19"/>
      <c r="G642" s="23"/>
      <c r="H642" s="23"/>
      <c r="I642" s="23"/>
      <c r="J642" s="23"/>
      <c r="K642" s="23"/>
      <c r="L642" s="23"/>
      <c r="M642" s="23"/>
      <c r="N642" s="23"/>
      <c r="O642" s="24"/>
      <c r="P642" s="16" t="b">
        <v>0</v>
      </c>
      <c r="Q642" s="24"/>
      <c r="R642" s="26"/>
      <c r="S642" s="26"/>
      <c r="T642" s="27"/>
      <c r="U642" s="24"/>
      <c r="V642" s="38" t="s">
        <v>29</v>
      </c>
      <c r="W642" s="29" t="s">
        <v>22</v>
      </c>
      <c r="X642" s="37" t="s">
        <v>517</v>
      </c>
      <c r="Y642" s="31"/>
      <c r="Z642" s="26" t="str">
        <f t="shared" si="5"/>
        <v/>
      </c>
      <c r="AA642" s="26" t="str">
        <f t="shared" si="6"/>
        <v/>
      </c>
      <c r="AB642" s="32" t="str">
        <f t="shared" si="7"/>
        <v/>
      </c>
      <c r="AC642" s="32" t="str">
        <f t="shared" ref="AC642:AG642" si="646">IF(J642&lt;&gt;"", IF(AND($P642=FALSE, $A642=FALSE), -J642, IF(AND($P642=FALSE, $A642=TRUE), 0, IF($P642=TRUE, (J642 / $R642) * 100 * ($S642 / 100)-J642, ))), )</f>
        <v/>
      </c>
      <c r="AD642" s="32" t="str">
        <f t="shared" si="646"/>
        <v/>
      </c>
      <c r="AE642" s="32" t="str">
        <f t="shared" si="646"/>
        <v/>
      </c>
      <c r="AF642" s="32" t="str">
        <f t="shared" si="646"/>
        <v/>
      </c>
      <c r="AG642" s="32" t="str">
        <f t="shared" si="646"/>
        <v/>
      </c>
      <c r="AH642" s="33"/>
    </row>
    <row r="643" hidden="1" outlineLevel="3">
      <c r="A643" s="16" t="b">
        <v>0</v>
      </c>
      <c r="B643" s="17"/>
      <c r="C643" s="18"/>
      <c r="D643" s="34"/>
      <c r="E643" s="20"/>
      <c r="F643" s="19"/>
      <c r="G643" s="23"/>
      <c r="H643" s="23"/>
      <c r="I643" s="23"/>
      <c r="J643" s="23"/>
      <c r="K643" s="23"/>
      <c r="L643" s="23"/>
      <c r="M643" s="23"/>
      <c r="N643" s="23"/>
      <c r="O643" s="24"/>
      <c r="P643" s="16" t="b">
        <v>0</v>
      </c>
      <c r="Q643" s="24"/>
      <c r="R643" s="26"/>
      <c r="S643" s="26"/>
      <c r="T643" s="27"/>
      <c r="U643" s="24"/>
      <c r="V643" s="38" t="s">
        <v>29</v>
      </c>
      <c r="W643" s="29" t="s">
        <v>22</v>
      </c>
      <c r="X643" s="37" t="s">
        <v>518</v>
      </c>
      <c r="Y643" s="31"/>
      <c r="Z643" s="26" t="str">
        <f t="shared" si="5"/>
        <v/>
      </c>
      <c r="AA643" s="26" t="str">
        <f t="shared" si="6"/>
        <v/>
      </c>
      <c r="AB643" s="32" t="str">
        <f t="shared" si="7"/>
        <v/>
      </c>
      <c r="AC643" s="32" t="str">
        <f t="shared" ref="AC643:AG643" si="647">IF(J643&lt;&gt;"", IF(AND($P643=FALSE, $A643=FALSE), -J643, IF(AND($P643=FALSE, $A643=TRUE), 0, IF($P643=TRUE, (J643 / $R643) * 100 * ($S643 / 100)-J643, ))), )</f>
        <v/>
      </c>
      <c r="AD643" s="32" t="str">
        <f t="shared" si="647"/>
        <v/>
      </c>
      <c r="AE643" s="32" t="str">
        <f t="shared" si="647"/>
        <v/>
      </c>
      <c r="AF643" s="32" t="str">
        <f t="shared" si="647"/>
        <v/>
      </c>
      <c r="AG643" s="32" t="str">
        <f t="shared" si="647"/>
        <v/>
      </c>
      <c r="AH643" s="33"/>
    </row>
    <row r="644" hidden="1" outlineLevel="3">
      <c r="A644" s="50"/>
      <c r="B644" s="17"/>
      <c r="C644" s="18"/>
      <c r="D644" s="34"/>
      <c r="E644" s="29"/>
      <c r="F644" s="34"/>
      <c r="G644" s="34"/>
      <c r="H644" s="34"/>
      <c r="I644" s="34"/>
      <c r="J644" s="50"/>
      <c r="K644" s="50"/>
      <c r="L644" s="34"/>
      <c r="M644" s="50"/>
      <c r="N644" s="23"/>
      <c r="O644" s="24"/>
      <c r="P644" s="50"/>
      <c r="Q644" s="24"/>
      <c r="R644" s="26"/>
      <c r="S644" s="26"/>
      <c r="T644" s="63"/>
      <c r="U644" s="24"/>
      <c r="V644" s="38" t="s">
        <v>29</v>
      </c>
      <c r="W644" s="29" t="s">
        <v>22</v>
      </c>
      <c r="X644" s="37" t="s">
        <v>519</v>
      </c>
      <c r="Y644" s="56"/>
      <c r="Z644" s="26" t="str">
        <f t="shared" si="5"/>
        <v/>
      </c>
      <c r="AA644" s="26" t="str">
        <f t="shared" si="6"/>
        <v/>
      </c>
      <c r="AB644" s="32" t="str">
        <f t="shared" si="7"/>
        <v/>
      </c>
      <c r="AC644" s="32" t="str">
        <f t="shared" ref="AC644:AG644" si="648">IF(J644&lt;&gt;"", IF(AND($P644=FALSE, $A644=FALSE), -J644, IF(AND($P644=FALSE, $A644=TRUE), 0, IF($P644=TRUE, (J644 / $R644) * 100 * ($S644 / 100)-J644, ))), )</f>
        <v/>
      </c>
      <c r="AD644" s="32" t="str">
        <f t="shared" si="648"/>
        <v/>
      </c>
      <c r="AE644" s="32" t="str">
        <f t="shared" si="648"/>
        <v/>
      </c>
      <c r="AF644" s="32" t="str">
        <f t="shared" si="648"/>
        <v/>
      </c>
      <c r="AG644" s="32" t="str">
        <f t="shared" si="648"/>
        <v/>
      </c>
      <c r="AH644" s="33"/>
    </row>
    <row r="645" hidden="1" outlineLevel="2" collapsed="1">
      <c r="A645" s="71" t="b">
        <v>0</v>
      </c>
      <c r="B645" s="17"/>
      <c r="C645" s="18"/>
      <c r="D645" s="42">
        <v>45256.0</v>
      </c>
      <c r="E645" s="43" t="s">
        <v>24</v>
      </c>
      <c r="F645" s="44" t="s">
        <v>481</v>
      </c>
      <c r="G645" s="45">
        <v>2.0</v>
      </c>
      <c r="H645" s="45">
        <v>1.0</v>
      </c>
      <c r="I645" s="45">
        <v>2.0</v>
      </c>
      <c r="J645" s="46"/>
      <c r="K645" s="46"/>
      <c r="L645" s="45"/>
      <c r="M645" s="46"/>
      <c r="N645" s="46"/>
      <c r="O645" s="47"/>
      <c r="P645" s="71" t="b">
        <v>1</v>
      </c>
      <c r="Q645" s="24"/>
      <c r="R645" s="48">
        <v>5.0</v>
      </c>
      <c r="S645" s="45">
        <v>13.25</v>
      </c>
      <c r="T645" s="49" t="s">
        <v>133</v>
      </c>
      <c r="U645" s="47"/>
      <c r="V645" s="28"/>
      <c r="W645" s="29"/>
      <c r="X645" s="30"/>
      <c r="Y645" s="72"/>
      <c r="Z645" s="26">
        <f t="shared" si="5"/>
        <v>3.3</v>
      </c>
      <c r="AA645" s="26">
        <f t="shared" si="6"/>
        <v>3.3</v>
      </c>
      <c r="AB645" s="32">
        <f t="shared" si="7"/>
        <v>1.65</v>
      </c>
      <c r="AC645" s="32" t="str">
        <f t="shared" ref="AC645:AG645" si="649">IF(J645&lt;&gt;"", IF(AND($P645=FALSE, $A645=FALSE), -J645, IF(AND($P645=FALSE, $A645=TRUE), 0, IF($P645=TRUE, (J645 / $R645) * 100 * ($S645 / 100)-J645, ))), )</f>
        <v/>
      </c>
      <c r="AD645" s="32" t="str">
        <f t="shared" si="649"/>
        <v/>
      </c>
      <c r="AE645" s="32" t="str">
        <f t="shared" si="649"/>
        <v/>
      </c>
      <c r="AF645" s="32" t="str">
        <f t="shared" si="649"/>
        <v/>
      </c>
      <c r="AG645" s="32" t="str">
        <f t="shared" si="649"/>
        <v/>
      </c>
      <c r="AH645" s="33"/>
    </row>
    <row r="646" hidden="1" outlineLevel="3">
      <c r="A646" s="16" t="b">
        <v>0</v>
      </c>
      <c r="B646" s="17"/>
      <c r="C646" s="18"/>
      <c r="D646" s="34"/>
      <c r="E646" s="20"/>
      <c r="F646" s="19"/>
      <c r="G646" s="23"/>
      <c r="H646" s="23"/>
      <c r="I646" s="23"/>
      <c r="J646" s="23"/>
      <c r="K646" s="23"/>
      <c r="L646" s="23"/>
      <c r="M646" s="23"/>
      <c r="N646" s="23"/>
      <c r="O646" s="24"/>
      <c r="P646" s="16" t="b">
        <v>0</v>
      </c>
      <c r="Q646" s="24"/>
      <c r="R646" s="26"/>
      <c r="S646" s="26"/>
      <c r="T646" s="27"/>
      <c r="U646" s="24"/>
      <c r="V646" s="38" t="s">
        <v>29</v>
      </c>
      <c r="W646" s="29" t="s">
        <v>22</v>
      </c>
      <c r="X646" s="37" t="s">
        <v>520</v>
      </c>
      <c r="Y646" s="31"/>
      <c r="Z646" s="26" t="str">
        <f t="shared" si="5"/>
        <v/>
      </c>
      <c r="AA646" s="26" t="str">
        <f t="shared" si="6"/>
        <v/>
      </c>
      <c r="AB646" s="32" t="str">
        <f t="shared" si="7"/>
        <v/>
      </c>
      <c r="AC646" s="32" t="str">
        <f t="shared" ref="AC646:AG646" si="650">IF(J646&lt;&gt;"", IF(AND($P646=FALSE, $A646=FALSE), -J646, IF(AND($P646=FALSE, $A646=TRUE), 0, IF($P646=TRUE, (J646 / $R646) * 100 * ($S646 / 100)-J646, ))), )</f>
        <v/>
      </c>
      <c r="AD646" s="32" t="str">
        <f t="shared" si="650"/>
        <v/>
      </c>
      <c r="AE646" s="32" t="str">
        <f t="shared" si="650"/>
        <v/>
      </c>
      <c r="AF646" s="32" t="str">
        <f t="shared" si="650"/>
        <v/>
      </c>
      <c r="AG646" s="32" t="str">
        <f t="shared" si="650"/>
        <v/>
      </c>
      <c r="AH646" s="33"/>
    </row>
    <row r="647" hidden="1" outlineLevel="2" collapsed="1">
      <c r="A647" s="71" t="b">
        <v>0</v>
      </c>
      <c r="B647" s="17"/>
      <c r="C647" s="18"/>
      <c r="D647" s="42">
        <v>45256.0</v>
      </c>
      <c r="E647" s="43" t="s">
        <v>24</v>
      </c>
      <c r="F647" s="44" t="s">
        <v>481</v>
      </c>
      <c r="G647" s="45">
        <v>3.0</v>
      </c>
      <c r="H647" s="45">
        <v>1.5</v>
      </c>
      <c r="I647" s="45">
        <v>4.0</v>
      </c>
      <c r="J647" s="46"/>
      <c r="K647" s="46"/>
      <c r="L647" s="45"/>
      <c r="M647" s="46"/>
      <c r="N647" s="46"/>
      <c r="O647" s="47"/>
      <c r="P647" s="70" t="b">
        <v>0</v>
      </c>
      <c r="Q647" s="24"/>
      <c r="R647" s="48">
        <v>8.5</v>
      </c>
      <c r="S647" s="45">
        <v>21.98</v>
      </c>
      <c r="T647" s="49" t="s">
        <v>182</v>
      </c>
      <c r="U647" s="47"/>
      <c r="V647" s="28"/>
      <c r="W647" s="29"/>
      <c r="X647" s="30"/>
      <c r="Y647" s="73"/>
      <c r="Z647" s="26">
        <f t="shared" si="5"/>
        <v>-3</v>
      </c>
      <c r="AA647" s="26">
        <f t="shared" si="6"/>
        <v>-4</v>
      </c>
      <c r="AB647" s="32">
        <f t="shared" si="7"/>
        <v>-1.5</v>
      </c>
      <c r="AC647" s="32" t="str">
        <f t="shared" ref="AC647:AG647" si="651">IF(J647&lt;&gt;"", IF(AND($P647=FALSE, $A647=FALSE), -J647, IF(AND($P647=FALSE, $A647=TRUE), 0, IF($P647=TRUE, (J647 / $R647) * 100 * ($S647 / 100)-J647, ))), )</f>
        <v/>
      </c>
      <c r="AD647" s="32" t="str">
        <f t="shared" si="651"/>
        <v/>
      </c>
      <c r="AE647" s="32" t="str">
        <f t="shared" si="651"/>
        <v/>
      </c>
      <c r="AF647" s="32" t="str">
        <f t="shared" si="651"/>
        <v/>
      </c>
      <c r="AG647" s="32" t="str">
        <f t="shared" si="651"/>
        <v/>
      </c>
      <c r="AH647" s="33"/>
    </row>
    <row r="648" hidden="1" outlineLevel="3">
      <c r="A648" s="16" t="b">
        <v>0</v>
      </c>
      <c r="B648" s="17"/>
      <c r="C648" s="18"/>
      <c r="D648" s="34"/>
      <c r="E648" s="20"/>
      <c r="F648" s="19"/>
      <c r="G648" s="23"/>
      <c r="H648" s="23"/>
      <c r="I648" s="23"/>
      <c r="J648" s="23"/>
      <c r="K648" s="23"/>
      <c r="L648" s="23"/>
      <c r="M648" s="23"/>
      <c r="N648" s="23"/>
      <c r="O648" s="24"/>
      <c r="P648" s="16" t="b">
        <v>0</v>
      </c>
      <c r="Q648" s="24"/>
      <c r="R648" s="26"/>
      <c r="S648" s="26"/>
      <c r="T648" s="27"/>
      <c r="U648" s="24"/>
      <c r="V648" s="28" t="s">
        <v>32</v>
      </c>
      <c r="W648" s="29" t="s">
        <v>22</v>
      </c>
      <c r="X648" s="37" t="s">
        <v>90</v>
      </c>
      <c r="Y648" s="31"/>
      <c r="Z648" s="26" t="str">
        <f t="shared" si="5"/>
        <v/>
      </c>
      <c r="AA648" s="26" t="str">
        <f t="shared" si="6"/>
        <v/>
      </c>
      <c r="AB648" s="32" t="str">
        <f t="shared" si="7"/>
        <v/>
      </c>
      <c r="AC648" s="32" t="str">
        <f t="shared" ref="AC648:AG648" si="652">IF(J648&lt;&gt;"", IF(AND($P648=FALSE, $A648=FALSE), -J648, IF(AND($P648=FALSE, $A648=TRUE), 0, IF($P648=TRUE, (J648 / $R648) * 100 * ($S648 / 100)-J648, ))), )</f>
        <v/>
      </c>
      <c r="AD648" s="32" t="str">
        <f t="shared" si="652"/>
        <v/>
      </c>
      <c r="AE648" s="32" t="str">
        <f t="shared" si="652"/>
        <v/>
      </c>
      <c r="AF648" s="32" t="str">
        <f t="shared" si="652"/>
        <v/>
      </c>
      <c r="AG648" s="32" t="str">
        <f t="shared" si="652"/>
        <v/>
      </c>
      <c r="AH648" s="33"/>
    </row>
    <row r="649" hidden="1" outlineLevel="3">
      <c r="A649" s="16" t="b">
        <v>0</v>
      </c>
      <c r="B649" s="17"/>
      <c r="C649" s="18"/>
      <c r="D649" s="34"/>
      <c r="E649" s="20"/>
      <c r="F649" s="19"/>
      <c r="G649" s="23"/>
      <c r="H649" s="23"/>
      <c r="I649" s="23"/>
      <c r="J649" s="23"/>
      <c r="K649" s="23"/>
      <c r="L649" s="23"/>
      <c r="M649" s="23"/>
      <c r="N649" s="23"/>
      <c r="O649" s="24"/>
      <c r="P649" s="16" t="b">
        <v>0</v>
      </c>
      <c r="Q649" s="24"/>
      <c r="R649" s="26"/>
      <c r="S649" s="26"/>
      <c r="T649" s="27"/>
      <c r="U649" s="24"/>
      <c r="V649" s="38" t="s">
        <v>29</v>
      </c>
      <c r="W649" s="29" t="s">
        <v>22</v>
      </c>
      <c r="X649" s="37" t="s">
        <v>323</v>
      </c>
      <c r="Y649" s="31"/>
      <c r="Z649" s="26" t="str">
        <f t="shared" si="5"/>
        <v/>
      </c>
      <c r="AA649" s="26" t="str">
        <f t="shared" si="6"/>
        <v/>
      </c>
      <c r="AB649" s="32" t="str">
        <f t="shared" si="7"/>
        <v/>
      </c>
      <c r="AC649" s="32" t="str">
        <f t="shared" ref="AC649:AG649" si="653">IF(J649&lt;&gt;"", IF(AND($P649=FALSE, $A649=FALSE), -J649, IF(AND($P649=FALSE, $A649=TRUE), 0, IF($P649=TRUE, (J649 / $R649) * 100 * ($S649 / 100)-J649, ))), )</f>
        <v/>
      </c>
      <c r="AD649" s="32" t="str">
        <f t="shared" si="653"/>
        <v/>
      </c>
      <c r="AE649" s="32" t="str">
        <f t="shared" si="653"/>
        <v/>
      </c>
      <c r="AF649" s="32" t="str">
        <f t="shared" si="653"/>
        <v/>
      </c>
      <c r="AG649" s="32" t="str">
        <f t="shared" si="653"/>
        <v/>
      </c>
      <c r="AH649" s="33"/>
    </row>
    <row r="650" hidden="1" outlineLevel="3">
      <c r="A650" s="16" t="b">
        <v>0</v>
      </c>
      <c r="B650" s="17"/>
      <c r="C650" s="18"/>
      <c r="D650" s="34"/>
      <c r="E650" s="20"/>
      <c r="F650" s="19"/>
      <c r="G650" s="23"/>
      <c r="H650" s="23"/>
      <c r="I650" s="23"/>
      <c r="J650" s="23"/>
      <c r="K650" s="23"/>
      <c r="L650" s="23"/>
      <c r="M650" s="23"/>
      <c r="N650" s="23"/>
      <c r="O650" s="24"/>
      <c r="P650" s="16" t="b">
        <v>0</v>
      </c>
      <c r="Q650" s="24"/>
      <c r="R650" s="26"/>
      <c r="S650" s="26"/>
      <c r="T650" s="27"/>
      <c r="U650" s="24"/>
      <c r="V650" s="38" t="s">
        <v>29</v>
      </c>
      <c r="W650" s="29" t="s">
        <v>22</v>
      </c>
      <c r="X650" s="37" t="s">
        <v>521</v>
      </c>
      <c r="Y650" s="31"/>
      <c r="Z650" s="26" t="str">
        <f t="shared" si="5"/>
        <v/>
      </c>
      <c r="AA650" s="26" t="str">
        <f t="shared" si="6"/>
        <v/>
      </c>
      <c r="AB650" s="32" t="str">
        <f t="shared" si="7"/>
        <v/>
      </c>
      <c r="AC650" s="32" t="str">
        <f t="shared" ref="AC650:AG650" si="654">IF(J650&lt;&gt;"", IF(AND($P650=FALSE, $A650=FALSE), -J650, IF(AND($P650=FALSE, $A650=TRUE), 0, IF($P650=TRUE, (J650 / $R650) * 100 * ($S650 / 100)-J650, ))), )</f>
        <v/>
      </c>
      <c r="AD650" s="32" t="str">
        <f t="shared" si="654"/>
        <v/>
      </c>
      <c r="AE650" s="32" t="str">
        <f t="shared" si="654"/>
        <v/>
      </c>
      <c r="AF650" s="32" t="str">
        <f t="shared" si="654"/>
        <v/>
      </c>
      <c r="AG650" s="32" t="str">
        <f t="shared" si="654"/>
        <v/>
      </c>
      <c r="AH650" s="33"/>
    </row>
    <row r="651" hidden="1" outlineLevel="3">
      <c r="A651" s="16" t="b">
        <v>0</v>
      </c>
      <c r="B651" s="17"/>
      <c r="C651" s="18"/>
      <c r="D651" s="34"/>
      <c r="E651" s="20"/>
      <c r="F651" s="19"/>
      <c r="G651" s="23"/>
      <c r="H651" s="23"/>
      <c r="I651" s="23"/>
      <c r="J651" s="23"/>
      <c r="K651" s="23"/>
      <c r="L651" s="23"/>
      <c r="M651" s="23"/>
      <c r="N651" s="23"/>
      <c r="O651" s="24"/>
      <c r="P651" s="16" t="b">
        <v>0</v>
      </c>
      <c r="Q651" s="24"/>
      <c r="R651" s="26"/>
      <c r="S651" s="26"/>
      <c r="T651" s="27"/>
      <c r="U651" s="24"/>
      <c r="V651" s="38" t="s">
        <v>29</v>
      </c>
      <c r="W651" s="29" t="s">
        <v>22</v>
      </c>
      <c r="X651" s="37" t="s">
        <v>522</v>
      </c>
      <c r="Y651" s="31"/>
      <c r="Z651" s="26" t="str">
        <f t="shared" si="5"/>
        <v/>
      </c>
      <c r="AA651" s="26" t="str">
        <f t="shared" si="6"/>
        <v/>
      </c>
      <c r="AB651" s="32" t="str">
        <f t="shared" si="7"/>
        <v/>
      </c>
      <c r="AC651" s="32" t="str">
        <f t="shared" ref="AC651:AG651" si="655">IF(J651&lt;&gt;"", IF(AND($P651=FALSE, $A651=FALSE), -J651, IF(AND($P651=FALSE, $A651=TRUE), 0, IF($P651=TRUE, (J651 / $R651) * 100 * ($S651 / 100)-J651, ))), )</f>
        <v/>
      </c>
      <c r="AD651" s="32" t="str">
        <f t="shared" si="655"/>
        <v/>
      </c>
      <c r="AE651" s="32" t="str">
        <f t="shared" si="655"/>
        <v/>
      </c>
      <c r="AF651" s="32" t="str">
        <f t="shared" si="655"/>
        <v/>
      </c>
      <c r="AG651" s="32" t="str">
        <f t="shared" si="655"/>
        <v/>
      </c>
      <c r="AH651" s="33"/>
    </row>
    <row r="652" hidden="1" outlineLevel="2" collapsed="1">
      <c r="A652" s="71" t="b">
        <v>0</v>
      </c>
      <c r="B652" s="17"/>
      <c r="C652" s="18"/>
      <c r="D652" s="42">
        <v>45256.0</v>
      </c>
      <c r="E652" s="43" t="s">
        <v>24</v>
      </c>
      <c r="F652" s="44" t="s">
        <v>481</v>
      </c>
      <c r="G652" s="45">
        <v>3.0</v>
      </c>
      <c r="H652" s="45">
        <v>1.5</v>
      </c>
      <c r="I652" s="45">
        <v>2.0</v>
      </c>
      <c r="J652" s="46"/>
      <c r="K652" s="46"/>
      <c r="L652" s="45"/>
      <c r="M652" s="46"/>
      <c r="N652" s="46"/>
      <c r="O652" s="47"/>
      <c r="P652" s="70" t="b">
        <v>0</v>
      </c>
      <c r="Q652" s="24"/>
      <c r="R652" s="48">
        <v>6.5</v>
      </c>
      <c r="S652" s="45">
        <v>17.88</v>
      </c>
      <c r="T652" s="49" t="s">
        <v>110</v>
      </c>
      <c r="U652" s="47"/>
      <c r="V652" s="28"/>
      <c r="W652" s="29"/>
      <c r="X652" s="30"/>
      <c r="Y652" s="73"/>
      <c r="Z652" s="26">
        <f t="shared" si="5"/>
        <v>-3</v>
      </c>
      <c r="AA652" s="26">
        <f t="shared" si="6"/>
        <v>-2</v>
      </c>
      <c r="AB652" s="32">
        <f t="shared" si="7"/>
        <v>-1.5</v>
      </c>
      <c r="AC652" s="32" t="str">
        <f t="shared" ref="AC652:AG652" si="656">IF(J652&lt;&gt;"", IF(AND($P652=FALSE, $A652=FALSE), -J652, IF(AND($P652=FALSE, $A652=TRUE), 0, IF($P652=TRUE, (J652 / $R652) * 100 * ($S652 / 100)-J652, ))), )</f>
        <v/>
      </c>
      <c r="AD652" s="32" t="str">
        <f t="shared" si="656"/>
        <v/>
      </c>
      <c r="AE652" s="32" t="str">
        <f t="shared" si="656"/>
        <v/>
      </c>
      <c r="AF652" s="32" t="str">
        <f t="shared" si="656"/>
        <v/>
      </c>
      <c r="AG652" s="32" t="str">
        <f t="shared" si="656"/>
        <v/>
      </c>
      <c r="AH652" s="33"/>
    </row>
    <row r="653" hidden="1" outlineLevel="3">
      <c r="A653" s="16" t="b">
        <v>0</v>
      </c>
      <c r="B653" s="17"/>
      <c r="C653" s="18"/>
      <c r="D653" s="34"/>
      <c r="E653" s="20"/>
      <c r="F653" s="19"/>
      <c r="G653" s="23"/>
      <c r="H653" s="23"/>
      <c r="I653" s="23"/>
      <c r="J653" s="23"/>
      <c r="K653" s="23"/>
      <c r="L653" s="23"/>
      <c r="M653" s="23"/>
      <c r="N653" s="23"/>
      <c r="O653" s="24"/>
      <c r="P653" s="16" t="b">
        <v>0</v>
      </c>
      <c r="Q653" s="24"/>
      <c r="R653" s="26"/>
      <c r="S653" s="26"/>
      <c r="T653" s="27"/>
      <c r="U653" s="24"/>
      <c r="V653" s="38" t="s">
        <v>29</v>
      </c>
      <c r="W653" s="29" t="s">
        <v>22</v>
      </c>
      <c r="X653" s="37" t="s">
        <v>523</v>
      </c>
      <c r="Y653" s="31"/>
      <c r="Z653" s="26" t="str">
        <f t="shared" si="5"/>
        <v/>
      </c>
      <c r="AA653" s="26" t="str">
        <f t="shared" si="6"/>
        <v/>
      </c>
      <c r="AB653" s="32" t="str">
        <f t="shared" si="7"/>
        <v/>
      </c>
      <c r="AC653" s="32" t="str">
        <f t="shared" ref="AC653:AG653" si="657">IF(J653&lt;&gt;"", IF(AND($P653=FALSE, $A653=FALSE), -J653, IF(AND($P653=FALSE, $A653=TRUE), 0, IF($P653=TRUE, (J653 / $R653) * 100 * ($S653 / 100)-J653, ))), )</f>
        <v/>
      </c>
      <c r="AD653" s="32" t="str">
        <f t="shared" si="657"/>
        <v/>
      </c>
      <c r="AE653" s="32" t="str">
        <f t="shared" si="657"/>
        <v/>
      </c>
      <c r="AF653" s="32" t="str">
        <f t="shared" si="657"/>
        <v/>
      </c>
      <c r="AG653" s="32" t="str">
        <f t="shared" si="657"/>
        <v/>
      </c>
      <c r="AH653" s="33"/>
    </row>
    <row r="654" hidden="1" outlineLevel="3">
      <c r="A654" s="16" t="b">
        <v>0</v>
      </c>
      <c r="B654" s="17"/>
      <c r="C654" s="18"/>
      <c r="D654" s="34"/>
      <c r="E654" s="20"/>
      <c r="F654" s="19"/>
      <c r="G654" s="23"/>
      <c r="H654" s="23"/>
      <c r="I654" s="23"/>
      <c r="J654" s="23"/>
      <c r="K654" s="23"/>
      <c r="L654" s="23"/>
      <c r="M654" s="23"/>
      <c r="N654" s="23"/>
      <c r="O654" s="24"/>
      <c r="P654" s="16" t="b">
        <v>0</v>
      </c>
      <c r="Q654" s="24"/>
      <c r="R654" s="26"/>
      <c r="S654" s="26"/>
      <c r="T654" s="27"/>
      <c r="U654" s="24"/>
      <c r="V654" s="28" t="s">
        <v>32</v>
      </c>
      <c r="W654" s="29" t="s">
        <v>22</v>
      </c>
      <c r="X654" s="37" t="s">
        <v>524</v>
      </c>
      <c r="Y654" s="31"/>
      <c r="Z654" s="26" t="str">
        <f t="shared" si="5"/>
        <v/>
      </c>
      <c r="AA654" s="26" t="str">
        <f t="shared" si="6"/>
        <v/>
      </c>
      <c r="AB654" s="32" t="str">
        <f t="shared" si="7"/>
        <v/>
      </c>
      <c r="AC654" s="32" t="str">
        <f t="shared" ref="AC654:AG654" si="658">IF(J654&lt;&gt;"", IF(AND($P654=FALSE, $A654=FALSE), -J654, IF(AND($P654=FALSE, $A654=TRUE), 0, IF($P654=TRUE, (J654 / $R654) * 100 * ($S654 / 100)-J654, ))), )</f>
        <v/>
      </c>
      <c r="AD654" s="32" t="str">
        <f t="shared" si="658"/>
        <v/>
      </c>
      <c r="AE654" s="32" t="str">
        <f t="shared" si="658"/>
        <v/>
      </c>
      <c r="AF654" s="32" t="str">
        <f t="shared" si="658"/>
        <v/>
      </c>
      <c r="AG654" s="32" t="str">
        <f t="shared" si="658"/>
        <v/>
      </c>
      <c r="AH654" s="33"/>
    </row>
    <row r="655" hidden="1" outlineLevel="2" collapsed="1">
      <c r="A655" s="71" t="b">
        <v>0</v>
      </c>
      <c r="B655" s="17"/>
      <c r="C655" s="18"/>
      <c r="D655" s="42">
        <v>45256.0</v>
      </c>
      <c r="E655" s="43" t="s">
        <v>24</v>
      </c>
      <c r="F655" s="44" t="s">
        <v>481</v>
      </c>
      <c r="G655" s="45">
        <v>3.0</v>
      </c>
      <c r="H655" s="45">
        <v>1.5</v>
      </c>
      <c r="I655" s="45">
        <v>3.0</v>
      </c>
      <c r="J655" s="46"/>
      <c r="K655" s="46"/>
      <c r="L655" s="45"/>
      <c r="M655" s="46"/>
      <c r="N655" s="46"/>
      <c r="O655" s="47"/>
      <c r="P655" s="70" t="b">
        <v>0</v>
      </c>
      <c r="Q655" s="24"/>
      <c r="R655" s="48">
        <v>7.5</v>
      </c>
      <c r="S655" s="45">
        <v>17.29</v>
      </c>
      <c r="T655" s="49" t="s">
        <v>525</v>
      </c>
      <c r="U655" s="47"/>
      <c r="V655" s="28"/>
      <c r="W655" s="29"/>
      <c r="X655" s="30"/>
      <c r="Y655" s="73"/>
      <c r="Z655" s="26">
        <f t="shared" si="5"/>
        <v>-3</v>
      </c>
      <c r="AA655" s="26">
        <f t="shared" si="6"/>
        <v>-3</v>
      </c>
      <c r="AB655" s="32">
        <f t="shared" si="7"/>
        <v>-1.5</v>
      </c>
      <c r="AC655" s="32" t="str">
        <f t="shared" ref="AC655:AG655" si="659">IF(J655&lt;&gt;"", IF(AND($P655=FALSE, $A655=FALSE), -J655, IF(AND($P655=FALSE, $A655=TRUE), 0, IF($P655=TRUE, (J655 / $R655) * 100 * ($S655 / 100)-J655, ))), )</f>
        <v/>
      </c>
      <c r="AD655" s="32" t="str">
        <f t="shared" si="659"/>
        <v/>
      </c>
      <c r="AE655" s="32" t="str">
        <f t="shared" si="659"/>
        <v/>
      </c>
      <c r="AF655" s="32" t="str">
        <f t="shared" si="659"/>
        <v/>
      </c>
      <c r="AG655" s="32" t="str">
        <f t="shared" si="659"/>
        <v/>
      </c>
      <c r="AH655" s="33"/>
    </row>
    <row r="656" hidden="1" outlineLevel="3">
      <c r="A656" s="16" t="b">
        <v>0</v>
      </c>
      <c r="B656" s="17"/>
      <c r="C656" s="18"/>
      <c r="D656" s="34"/>
      <c r="E656" s="20"/>
      <c r="F656" s="19"/>
      <c r="G656" s="23"/>
      <c r="H656" s="23"/>
      <c r="I656" s="23"/>
      <c r="J656" s="23"/>
      <c r="K656" s="23"/>
      <c r="L656" s="23"/>
      <c r="M656" s="23"/>
      <c r="N656" s="23"/>
      <c r="O656" s="24"/>
      <c r="P656" s="16" t="b">
        <v>0</v>
      </c>
      <c r="Q656" s="24"/>
      <c r="R656" s="26"/>
      <c r="S656" s="26"/>
      <c r="T656" s="27"/>
      <c r="U656" s="24"/>
      <c r="V656" s="28" t="s">
        <v>32</v>
      </c>
      <c r="W656" s="29" t="s">
        <v>22</v>
      </c>
      <c r="X656" s="37" t="s">
        <v>526</v>
      </c>
      <c r="Y656" s="31"/>
      <c r="Z656" s="26" t="str">
        <f t="shared" si="5"/>
        <v/>
      </c>
      <c r="AA656" s="26" t="str">
        <f t="shared" si="6"/>
        <v/>
      </c>
      <c r="AB656" s="32" t="str">
        <f t="shared" si="7"/>
        <v/>
      </c>
      <c r="AC656" s="32" t="str">
        <f t="shared" ref="AC656:AG656" si="660">IF(J656&lt;&gt;"", IF(AND($P656=FALSE, $A656=FALSE), -J656, IF(AND($P656=FALSE, $A656=TRUE), 0, IF($P656=TRUE, (J656 / $R656) * 100 * ($S656 / 100)-J656, ))), )</f>
        <v/>
      </c>
      <c r="AD656" s="32" t="str">
        <f t="shared" si="660"/>
        <v/>
      </c>
      <c r="AE656" s="32" t="str">
        <f t="shared" si="660"/>
        <v/>
      </c>
      <c r="AF656" s="32" t="str">
        <f t="shared" si="660"/>
        <v/>
      </c>
      <c r="AG656" s="32" t="str">
        <f t="shared" si="660"/>
        <v/>
      </c>
      <c r="AH656" s="33"/>
    </row>
    <row r="657" hidden="1" outlineLevel="3">
      <c r="A657" s="16" t="b">
        <v>0</v>
      </c>
      <c r="B657" s="17"/>
      <c r="C657" s="18"/>
      <c r="D657" s="34"/>
      <c r="E657" s="20"/>
      <c r="F657" s="19"/>
      <c r="G657" s="23"/>
      <c r="H657" s="23"/>
      <c r="I657" s="23"/>
      <c r="J657" s="23"/>
      <c r="K657" s="23"/>
      <c r="L657" s="23"/>
      <c r="M657" s="23"/>
      <c r="N657" s="23"/>
      <c r="O657" s="24"/>
      <c r="P657" s="16" t="b">
        <v>0</v>
      </c>
      <c r="Q657" s="24"/>
      <c r="R657" s="26"/>
      <c r="S657" s="26"/>
      <c r="T657" s="27"/>
      <c r="U657" s="24"/>
      <c r="V657" s="28" t="s">
        <v>32</v>
      </c>
      <c r="W657" s="29" t="s">
        <v>22</v>
      </c>
      <c r="X657" s="37" t="s">
        <v>527</v>
      </c>
      <c r="Y657" s="31"/>
      <c r="Z657" s="26" t="str">
        <f t="shared" si="5"/>
        <v/>
      </c>
      <c r="AA657" s="26" t="str">
        <f t="shared" si="6"/>
        <v/>
      </c>
      <c r="AB657" s="32" t="str">
        <f t="shared" si="7"/>
        <v/>
      </c>
      <c r="AC657" s="32" t="str">
        <f t="shared" ref="AC657:AG657" si="661">IF(J657&lt;&gt;"", IF(AND($P657=FALSE, $A657=FALSE), -J657, IF(AND($P657=FALSE, $A657=TRUE), 0, IF($P657=TRUE, (J657 / $R657) * 100 * ($S657 / 100)-J657, ))), )</f>
        <v/>
      </c>
      <c r="AD657" s="32" t="str">
        <f t="shared" si="661"/>
        <v/>
      </c>
      <c r="AE657" s="32" t="str">
        <f t="shared" si="661"/>
        <v/>
      </c>
      <c r="AF657" s="32" t="str">
        <f t="shared" si="661"/>
        <v/>
      </c>
      <c r="AG657" s="32" t="str">
        <f t="shared" si="661"/>
        <v/>
      </c>
      <c r="AH657" s="33"/>
    </row>
    <row r="658" hidden="1" outlineLevel="3">
      <c r="A658" s="16" t="b">
        <v>0</v>
      </c>
      <c r="B658" s="17"/>
      <c r="C658" s="18"/>
      <c r="D658" s="34"/>
      <c r="E658" s="20"/>
      <c r="F658" s="19"/>
      <c r="G658" s="23"/>
      <c r="H658" s="23"/>
      <c r="I658" s="23"/>
      <c r="J658" s="23"/>
      <c r="K658" s="23"/>
      <c r="L658" s="23"/>
      <c r="M658" s="23"/>
      <c r="N658" s="23"/>
      <c r="O658" s="24"/>
      <c r="P658" s="16" t="b">
        <v>0</v>
      </c>
      <c r="Q658" s="24"/>
      <c r="R658" s="26"/>
      <c r="S658" s="26"/>
      <c r="T658" s="27"/>
      <c r="U658" s="24"/>
      <c r="V658" s="38" t="s">
        <v>29</v>
      </c>
      <c r="W658" s="29" t="s">
        <v>22</v>
      </c>
      <c r="X658" s="37" t="s">
        <v>322</v>
      </c>
      <c r="Y658" s="31"/>
      <c r="Z658" s="26" t="str">
        <f t="shared" si="5"/>
        <v/>
      </c>
      <c r="AA658" s="26" t="str">
        <f t="shared" si="6"/>
        <v/>
      </c>
      <c r="AB658" s="32" t="str">
        <f t="shared" si="7"/>
        <v/>
      </c>
      <c r="AC658" s="32" t="str">
        <f t="shared" ref="AC658:AG658" si="662">IF(J658&lt;&gt;"", IF(AND($P658=FALSE, $A658=FALSE), -J658, IF(AND($P658=FALSE, $A658=TRUE), 0, IF($P658=TRUE, (J658 / $R658) * 100 * ($S658 / 100)-J658, ))), )</f>
        <v/>
      </c>
      <c r="AD658" s="32" t="str">
        <f t="shared" si="662"/>
        <v/>
      </c>
      <c r="AE658" s="32" t="str">
        <f t="shared" si="662"/>
        <v/>
      </c>
      <c r="AF658" s="32" t="str">
        <f t="shared" si="662"/>
        <v/>
      </c>
      <c r="AG658" s="32" t="str">
        <f t="shared" si="662"/>
        <v/>
      </c>
      <c r="AH658" s="33"/>
    </row>
    <row r="659" hidden="1" outlineLevel="3">
      <c r="A659" s="16" t="b">
        <v>0</v>
      </c>
      <c r="B659" s="17"/>
      <c r="C659" s="18"/>
      <c r="D659" s="34"/>
      <c r="E659" s="20"/>
      <c r="F659" s="19"/>
      <c r="G659" s="23"/>
      <c r="H659" s="23"/>
      <c r="I659" s="23"/>
      <c r="J659" s="23"/>
      <c r="K659" s="23"/>
      <c r="L659" s="23"/>
      <c r="M659" s="23"/>
      <c r="N659" s="23"/>
      <c r="O659" s="24"/>
      <c r="P659" s="16" t="b">
        <v>0</v>
      </c>
      <c r="Q659" s="24"/>
      <c r="R659" s="26"/>
      <c r="S659" s="26"/>
      <c r="T659" s="27"/>
      <c r="U659" s="24"/>
      <c r="V659" s="38" t="s">
        <v>29</v>
      </c>
      <c r="W659" s="29" t="s">
        <v>22</v>
      </c>
      <c r="X659" s="37" t="s">
        <v>528</v>
      </c>
      <c r="Y659" s="31"/>
      <c r="Z659" s="26" t="str">
        <f t="shared" si="5"/>
        <v/>
      </c>
      <c r="AA659" s="26" t="str">
        <f t="shared" si="6"/>
        <v/>
      </c>
      <c r="AB659" s="32" t="str">
        <f t="shared" si="7"/>
        <v/>
      </c>
      <c r="AC659" s="32" t="str">
        <f t="shared" ref="AC659:AG659" si="663">IF(J659&lt;&gt;"", IF(AND($P659=FALSE, $A659=FALSE), -J659, IF(AND($P659=FALSE, $A659=TRUE), 0, IF($P659=TRUE, (J659 / $R659) * 100 * ($S659 / 100)-J659, ))), )</f>
        <v/>
      </c>
      <c r="AD659" s="32" t="str">
        <f t="shared" si="663"/>
        <v/>
      </c>
      <c r="AE659" s="32" t="str">
        <f t="shared" si="663"/>
        <v/>
      </c>
      <c r="AF659" s="32" t="str">
        <f t="shared" si="663"/>
        <v/>
      </c>
      <c r="AG659" s="32" t="str">
        <f t="shared" si="663"/>
        <v/>
      </c>
      <c r="AH659" s="33"/>
    </row>
    <row r="660" hidden="1" outlineLevel="2" collapsed="1">
      <c r="A660" s="71" t="b">
        <v>0</v>
      </c>
      <c r="B660" s="17"/>
      <c r="C660" s="18"/>
      <c r="D660" s="42">
        <v>45256.0</v>
      </c>
      <c r="E660" s="43" t="s">
        <v>24</v>
      </c>
      <c r="F660" s="44" t="s">
        <v>481</v>
      </c>
      <c r="G660" s="45">
        <v>3.0</v>
      </c>
      <c r="H660" s="45">
        <v>1.5</v>
      </c>
      <c r="I660" s="45">
        <v>3.0</v>
      </c>
      <c r="J660" s="46"/>
      <c r="K660" s="46"/>
      <c r="L660" s="45"/>
      <c r="M660" s="46"/>
      <c r="N660" s="46"/>
      <c r="O660" s="47"/>
      <c r="P660" s="71" t="b">
        <v>1</v>
      </c>
      <c r="Q660" s="24"/>
      <c r="R660" s="48">
        <v>7.5</v>
      </c>
      <c r="S660" s="45">
        <v>15.75</v>
      </c>
      <c r="T660" s="49" t="s">
        <v>529</v>
      </c>
      <c r="U660" s="47"/>
      <c r="V660" s="28"/>
      <c r="W660" s="29"/>
      <c r="X660" s="30"/>
      <c r="Y660" s="72"/>
      <c r="Z660" s="26">
        <f t="shared" si="5"/>
        <v>3.3</v>
      </c>
      <c r="AA660" s="26">
        <f t="shared" si="6"/>
        <v>3.3</v>
      </c>
      <c r="AB660" s="32">
        <f t="shared" si="7"/>
        <v>1.65</v>
      </c>
      <c r="AC660" s="32" t="str">
        <f t="shared" ref="AC660:AG660" si="664">IF(J660&lt;&gt;"", IF(AND($P660=FALSE, $A660=FALSE), -J660, IF(AND($P660=FALSE, $A660=TRUE), 0, IF($P660=TRUE, (J660 / $R660) * 100 * ($S660 / 100)-J660, ))), )</f>
        <v/>
      </c>
      <c r="AD660" s="32" t="str">
        <f t="shared" si="664"/>
        <v/>
      </c>
      <c r="AE660" s="32" t="str">
        <f t="shared" si="664"/>
        <v/>
      </c>
      <c r="AF660" s="32" t="str">
        <f t="shared" si="664"/>
        <v/>
      </c>
      <c r="AG660" s="32" t="str">
        <f t="shared" si="664"/>
        <v/>
      </c>
      <c r="AH660" s="33"/>
    </row>
    <row r="661" hidden="1" outlineLevel="3">
      <c r="A661" s="16" t="b">
        <v>0</v>
      </c>
      <c r="B661" s="17"/>
      <c r="C661" s="18"/>
      <c r="D661" s="34"/>
      <c r="E661" s="20"/>
      <c r="F661" s="19"/>
      <c r="G661" s="23"/>
      <c r="H661" s="23"/>
      <c r="I661" s="23"/>
      <c r="J661" s="23"/>
      <c r="K661" s="23"/>
      <c r="L661" s="23"/>
      <c r="M661" s="23"/>
      <c r="N661" s="23"/>
      <c r="O661" s="24"/>
      <c r="P661" s="16" t="b">
        <v>0</v>
      </c>
      <c r="Q661" s="24"/>
      <c r="R661" s="26"/>
      <c r="S661" s="26"/>
      <c r="T661" s="27"/>
      <c r="U661" s="24"/>
      <c r="V661" s="38" t="s">
        <v>29</v>
      </c>
      <c r="W661" s="29" t="s">
        <v>22</v>
      </c>
      <c r="X661" s="37" t="s">
        <v>530</v>
      </c>
      <c r="Y661" s="31"/>
      <c r="Z661" s="26" t="str">
        <f t="shared" si="5"/>
        <v/>
      </c>
      <c r="AA661" s="26" t="str">
        <f t="shared" si="6"/>
        <v/>
      </c>
      <c r="AB661" s="32" t="str">
        <f t="shared" si="7"/>
        <v/>
      </c>
      <c r="AC661" s="32" t="str">
        <f t="shared" ref="AC661:AG661" si="665">IF(J661&lt;&gt;"", IF(AND($P661=FALSE, $A661=FALSE), -J661, IF(AND($P661=FALSE, $A661=TRUE), 0, IF($P661=TRUE, (J661 / $R661) * 100 * ($S661 / 100)-J661, ))), )</f>
        <v/>
      </c>
      <c r="AD661" s="32" t="str">
        <f t="shared" si="665"/>
        <v/>
      </c>
      <c r="AE661" s="32" t="str">
        <f t="shared" si="665"/>
        <v/>
      </c>
      <c r="AF661" s="32" t="str">
        <f t="shared" si="665"/>
        <v/>
      </c>
      <c r="AG661" s="32" t="str">
        <f t="shared" si="665"/>
        <v/>
      </c>
      <c r="AH661" s="33"/>
    </row>
    <row r="662" hidden="1" outlineLevel="2" collapsed="1">
      <c r="A662" s="71" t="b">
        <v>0</v>
      </c>
      <c r="B662" s="17"/>
      <c r="C662" s="18"/>
      <c r="D662" s="42">
        <v>45256.0</v>
      </c>
      <c r="E662" s="43" t="s">
        <v>24</v>
      </c>
      <c r="F662" s="44" t="s">
        <v>481</v>
      </c>
      <c r="G662" s="45">
        <v>3.0</v>
      </c>
      <c r="H662" s="45">
        <v>1.5</v>
      </c>
      <c r="I662" s="45">
        <v>3.0</v>
      </c>
      <c r="J662" s="46"/>
      <c r="K662" s="46"/>
      <c r="L662" s="45"/>
      <c r="M662" s="46"/>
      <c r="N662" s="46"/>
      <c r="O662" s="47"/>
      <c r="P662" s="70" t="b">
        <v>0</v>
      </c>
      <c r="Q662" s="24"/>
      <c r="R662" s="48">
        <v>7.5</v>
      </c>
      <c r="S662" s="45">
        <v>17.26</v>
      </c>
      <c r="T662" s="49" t="s">
        <v>419</v>
      </c>
      <c r="U662" s="47"/>
      <c r="V662" s="28"/>
      <c r="W662" s="29"/>
      <c r="X662" s="30"/>
      <c r="Y662" s="73"/>
      <c r="Z662" s="26">
        <f t="shared" si="5"/>
        <v>-3</v>
      </c>
      <c r="AA662" s="26">
        <f t="shared" si="6"/>
        <v>-3</v>
      </c>
      <c r="AB662" s="32">
        <f t="shared" si="7"/>
        <v>-1.5</v>
      </c>
      <c r="AC662" s="32" t="str">
        <f t="shared" ref="AC662:AG662" si="666">IF(J662&lt;&gt;"", IF(AND($P662=FALSE, $A662=FALSE), -J662, IF(AND($P662=FALSE, $A662=TRUE), 0, IF($P662=TRUE, (J662 / $R662) * 100 * ($S662 / 100)-J662, ))), )</f>
        <v/>
      </c>
      <c r="AD662" s="32" t="str">
        <f t="shared" si="666"/>
        <v/>
      </c>
      <c r="AE662" s="32" t="str">
        <f t="shared" si="666"/>
        <v/>
      </c>
      <c r="AF662" s="32" t="str">
        <f t="shared" si="666"/>
        <v/>
      </c>
      <c r="AG662" s="32" t="str">
        <f t="shared" si="666"/>
        <v/>
      </c>
      <c r="AH662" s="33"/>
    </row>
    <row r="663" hidden="1" outlineLevel="3">
      <c r="A663" s="16" t="b">
        <v>0</v>
      </c>
      <c r="B663" s="17"/>
      <c r="C663" s="18"/>
      <c r="D663" s="34"/>
      <c r="E663" s="20"/>
      <c r="F663" s="19"/>
      <c r="G663" s="23"/>
      <c r="H663" s="23"/>
      <c r="I663" s="23"/>
      <c r="J663" s="23"/>
      <c r="K663" s="23"/>
      <c r="L663" s="23"/>
      <c r="M663" s="23"/>
      <c r="N663" s="23"/>
      <c r="O663" s="24"/>
      <c r="P663" s="16" t="b">
        <v>0</v>
      </c>
      <c r="Q663" s="24"/>
      <c r="R663" s="26"/>
      <c r="S663" s="26"/>
      <c r="T663" s="27"/>
      <c r="U663" s="24"/>
      <c r="V663" s="28" t="s">
        <v>32</v>
      </c>
      <c r="W663" s="29" t="s">
        <v>22</v>
      </c>
      <c r="X663" s="37" t="s">
        <v>86</v>
      </c>
      <c r="Y663" s="31"/>
      <c r="Z663" s="26" t="str">
        <f t="shared" si="5"/>
        <v/>
      </c>
      <c r="AA663" s="26" t="str">
        <f t="shared" si="6"/>
        <v/>
      </c>
      <c r="AB663" s="32" t="str">
        <f t="shared" si="7"/>
        <v/>
      </c>
      <c r="AC663" s="32" t="str">
        <f t="shared" ref="AC663:AG663" si="667">IF(J663&lt;&gt;"", IF(AND($P663=FALSE, $A663=FALSE), -J663, IF(AND($P663=FALSE, $A663=TRUE), 0, IF($P663=TRUE, (J663 / $R663) * 100 * ($S663 / 100)-J663, ))), )</f>
        <v/>
      </c>
      <c r="AD663" s="32" t="str">
        <f t="shared" si="667"/>
        <v/>
      </c>
      <c r="AE663" s="32" t="str">
        <f t="shared" si="667"/>
        <v/>
      </c>
      <c r="AF663" s="32" t="str">
        <f t="shared" si="667"/>
        <v/>
      </c>
      <c r="AG663" s="32" t="str">
        <f t="shared" si="667"/>
        <v/>
      </c>
      <c r="AH663" s="33"/>
    </row>
    <row r="664" hidden="1" outlineLevel="3">
      <c r="A664" s="16" t="b">
        <v>0</v>
      </c>
      <c r="B664" s="17"/>
      <c r="C664" s="18"/>
      <c r="D664" s="34"/>
      <c r="E664" s="20"/>
      <c r="F664" s="19"/>
      <c r="G664" s="23"/>
      <c r="H664" s="23"/>
      <c r="I664" s="23"/>
      <c r="J664" s="23"/>
      <c r="K664" s="23"/>
      <c r="L664" s="23"/>
      <c r="M664" s="23"/>
      <c r="N664" s="23"/>
      <c r="O664" s="24"/>
      <c r="P664" s="16" t="b">
        <v>0</v>
      </c>
      <c r="Q664" s="24"/>
      <c r="R664" s="26"/>
      <c r="S664" s="26"/>
      <c r="T664" s="27"/>
      <c r="U664" s="24"/>
      <c r="V664" s="28" t="s">
        <v>32</v>
      </c>
      <c r="W664" s="29" t="s">
        <v>22</v>
      </c>
      <c r="X664" s="37" t="s">
        <v>531</v>
      </c>
      <c r="Y664" s="31"/>
      <c r="Z664" s="26" t="str">
        <f t="shared" si="5"/>
        <v/>
      </c>
      <c r="AA664" s="26" t="str">
        <f t="shared" si="6"/>
        <v/>
      </c>
      <c r="AB664" s="32" t="str">
        <f t="shared" si="7"/>
        <v/>
      </c>
      <c r="AC664" s="32" t="str">
        <f t="shared" ref="AC664:AG664" si="668">IF(J664&lt;&gt;"", IF(AND($P664=FALSE, $A664=FALSE), -J664, IF(AND($P664=FALSE, $A664=TRUE), 0, IF($P664=TRUE, (J664 / $R664) * 100 * ($S664 / 100)-J664, ))), )</f>
        <v/>
      </c>
      <c r="AD664" s="32" t="str">
        <f t="shared" si="668"/>
        <v/>
      </c>
      <c r="AE664" s="32" t="str">
        <f t="shared" si="668"/>
        <v/>
      </c>
      <c r="AF664" s="32" t="str">
        <f t="shared" si="668"/>
        <v/>
      </c>
      <c r="AG664" s="32" t="str">
        <f t="shared" si="668"/>
        <v/>
      </c>
      <c r="AH664" s="33"/>
    </row>
    <row r="665" hidden="1" outlineLevel="3">
      <c r="A665" s="16" t="b">
        <v>0</v>
      </c>
      <c r="B665" s="17"/>
      <c r="C665" s="18"/>
      <c r="D665" s="34"/>
      <c r="E665" s="20"/>
      <c r="F665" s="19"/>
      <c r="G665" s="23"/>
      <c r="H665" s="23"/>
      <c r="I665" s="23"/>
      <c r="J665" s="23"/>
      <c r="K665" s="23"/>
      <c r="L665" s="23"/>
      <c r="M665" s="23"/>
      <c r="N665" s="23"/>
      <c r="O665" s="24"/>
      <c r="P665" s="16" t="b">
        <v>0</v>
      </c>
      <c r="Q665" s="24"/>
      <c r="R665" s="26"/>
      <c r="S665" s="26"/>
      <c r="T665" s="27"/>
      <c r="U665" s="24"/>
      <c r="V665" s="28" t="s">
        <v>32</v>
      </c>
      <c r="W665" s="29" t="s">
        <v>22</v>
      </c>
      <c r="X665" s="37" t="s">
        <v>532</v>
      </c>
      <c r="Y665" s="31"/>
      <c r="Z665" s="26" t="str">
        <f t="shared" si="5"/>
        <v/>
      </c>
      <c r="AA665" s="26" t="str">
        <f t="shared" si="6"/>
        <v/>
      </c>
      <c r="AB665" s="32" t="str">
        <f t="shared" si="7"/>
        <v/>
      </c>
      <c r="AC665" s="32" t="str">
        <f t="shared" ref="AC665:AG665" si="669">IF(J665&lt;&gt;"", IF(AND($P665=FALSE, $A665=FALSE), -J665, IF(AND($P665=FALSE, $A665=TRUE), 0, IF($P665=TRUE, (J665 / $R665) * 100 * ($S665 / 100)-J665, ))), )</f>
        <v/>
      </c>
      <c r="AD665" s="32" t="str">
        <f t="shared" si="669"/>
        <v/>
      </c>
      <c r="AE665" s="32" t="str">
        <f t="shared" si="669"/>
        <v/>
      </c>
      <c r="AF665" s="32" t="str">
        <f t="shared" si="669"/>
        <v/>
      </c>
      <c r="AG665" s="32" t="str">
        <f t="shared" si="669"/>
        <v/>
      </c>
      <c r="AH665" s="33"/>
    </row>
    <row r="666" hidden="1" outlineLevel="3">
      <c r="A666" s="16" t="b">
        <v>0</v>
      </c>
      <c r="B666" s="17"/>
      <c r="C666" s="18"/>
      <c r="D666" s="34"/>
      <c r="E666" s="20"/>
      <c r="F666" s="19"/>
      <c r="G666" s="23"/>
      <c r="H666" s="23"/>
      <c r="I666" s="23"/>
      <c r="J666" s="23"/>
      <c r="K666" s="23"/>
      <c r="L666" s="23"/>
      <c r="M666" s="23"/>
      <c r="N666" s="23"/>
      <c r="O666" s="24"/>
      <c r="P666" s="16" t="b">
        <v>0</v>
      </c>
      <c r="Q666" s="24"/>
      <c r="R666" s="26"/>
      <c r="S666" s="26"/>
      <c r="T666" s="27"/>
      <c r="U666" s="24"/>
      <c r="V666" s="38" t="s">
        <v>29</v>
      </c>
      <c r="W666" s="29" t="s">
        <v>22</v>
      </c>
      <c r="X666" s="37" t="s">
        <v>533</v>
      </c>
      <c r="Y666" s="31"/>
      <c r="Z666" s="26" t="str">
        <f t="shared" si="5"/>
        <v/>
      </c>
      <c r="AA666" s="26" t="str">
        <f t="shared" si="6"/>
        <v/>
      </c>
      <c r="AB666" s="32" t="str">
        <f t="shared" si="7"/>
        <v/>
      </c>
      <c r="AC666" s="32" t="str">
        <f t="shared" ref="AC666:AG666" si="670">IF(J666&lt;&gt;"", IF(AND($P666=FALSE, $A666=FALSE), -J666, IF(AND($P666=FALSE, $A666=TRUE), 0, IF($P666=TRUE, (J666 / $R666) * 100 * ($S666 / 100)-J666, ))), )</f>
        <v/>
      </c>
      <c r="AD666" s="32" t="str">
        <f t="shared" si="670"/>
        <v/>
      </c>
      <c r="AE666" s="32" t="str">
        <f t="shared" si="670"/>
        <v/>
      </c>
      <c r="AF666" s="32" t="str">
        <f t="shared" si="670"/>
        <v/>
      </c>
      <c r="AG666" s="32" t="str">
        <f t="shared" si="670"/>
        <v/>
      </c>
      <c r="AH666" s="33"/>
    </row>
    <row r="667" hidden="1" outlineLevel="2" collapsed="1">
      <c r="A667" s="71" t="b">
        <v>0</v>
      </c>
      <c r="B667" s="17"/>
      <c r="C667" s="18"/>
      <c r="D667" s="42">
        <v>45256.0</v>
      </c>
      <c r="E667" s="43" t="s">
        <v>24</v>
      </c>
      <c r="F667" s="44" t="s">
        <v>481</v>
      </c>
      <c r="G667" s="45">
        <v>3.0</v>
      </c>
      <c r="H667" s="45">
        <v>1.5</v>
      </c>
      <c r="I667" s="45">
        <v>3.0</v>
      </c>
      <c r="J667" s="46"/>
      <c r="K667" s="46"/>
      <c r="L667" s="45"/>
      <c r="M667" s="46"/>
      <c r="N667" s="46"/>
      <c r="O667" s="47"/>
      <c r="P667" s="70" t="b">
        <v>0</v>
      </c>
      <c r="Q667" s="24"/>
      <c r="R667" s="48">
        <v>7.5</v>
      </c>
      <c r="S667" s="45">
        <v>27.13</v>
      </c>
      <c r="T667" s="49" t="s">
        <v>534</v>
      </c>
      <c r="U667" s="47"/>
      <c r="V667" s="28"/>
      <c r="W667" s="29"/>
      <c r="X667" s="30"/>
      <c r="Y667" s="73"/>
      <c r="Z667" s="26">
        <f t="shared" si="5"/>
        <v>-3</v>
      </c>
      <c r="AA667" s="26">
        <f t="shared" si="6"/>
        <v>-3</v>
      </c>
      <c r="AB667" s="32">
        <f t="shared" si="7"/>
        <v>-1.5</v>
      </c>
      <c r="AC667" s="32" t="str">
        <f t="shared" ref="AC667:AG667" si="671">IF(J667&lt;&gt;"", IF(AND($P667=FALSE, $A667=FALSE), -J667, IF(AND($P667=FALSE, $A667=TRUE), 0, IF($P667=TRUE, (J667 / $R667) * 100 * ($S667 / 100)-J667, ))), )</f>
        <v/>
      </c>
      <c r="AD667" s="32" t="str">
        <f t="shared" si="671"/>
        <v/>
      </c>
      <c r="AE667" s="32" t="str">
        <f t="shared" si="671"/>
        <v/>
      </c>
      <c r="AF667" s="32" t="str">
        <f t="shared" si="671"/>
        <v/>
      </c>
      <c r="AG667" s="32" t="str">
        <f t="shared" si="671"/>
        <v/>
      </c>
      <c r="AH667" s="33"/>
    </row>
    <row r="668" hidden="1" outlineLevel="3">
      <c r="A668" s="16" t="b">
        <v>0</v>
      </c>
      <c r="B668" s="17"/>
      <c r="C668" s="18"/>
      <c r="D668" s="34"/>
      <c r="E668" s="20"/>
      <c r="F668" s="19"/>
      <c r="G668" s="23"/>
      <c r="H668" s="23"/>
      <c r="I668" s="23"/>
      <c r="J668" s="23"/>
      <c r="K668" s="23"/>
      <c r="L668" s="23"/>
      <c r="M668" s="23"/>
      <c r="N668" s="23"/>
      <c r="O668" s="24"/>
      <c r="P668" s="16" t="b">
        <v>0</v>
      </c>
      <c r="Q668" s="24"/>
      <c r="R668" s="26"/>
      <c r="S668" s="26"/>
      <c r="T668" s="27"/>
      <c r="U668" s="24"/>
      <c r="V668" s="38" t="s">
        <v>29</v>
      </c>
      <c r="W668" s="29" t="s">
        <v>22</v>
      </c>
      <c r="X668" s="37" t="s">
        <v>535</v>
      </c>
      <c r="Y668" s="31"/>
      <c r="Z668" s="26" t="str">
        <f t="shared" si="5"/>
        <v/>
      </c>
      <c r="AA668" s="26" t="str">
        <f t="shared" si="6"/>
        <v/>
      </c>
      <c r="AB668" s="32" t="str">
        <f t="shared" si="7"/>
        <v/>
      </c>
      <c r="AC668" s="32" t="str">
        <f t="shared" ref="AC668:AG668" si="672">IF(J668&lt;&gt;"", IF(AND($P668=FALSE, $A668=FALSE), -J668, IF(AND($P668=FALSE, $A668=TRUE), 0, IF($P668=TRUE, (J668 / $R668) * 100 * ($S668 / 100)-J668, ))), )</f>
        <v/>
      </c>
      <c r="AD668" s="32" t="str">
        <f t="shared" si="672"/>
        <v/>
      </c>
      <c r="AE668" s="32" t="str">
        <f t="shared" si="672"/>
        <v/>
      </c>
      <c r="AF668" s="32" t="str">
        <f t="shared" si="672"/>
        <v/>
      </c>
      <c r="AG668" s="32" t="str">
        <f t="shared" si="672"/>
        <v/>
      </c>
      <c r="AH668" s="33"/>
    </row>
    <row r="669" hidden="1" outlineLevel="3">
      <c r="A669" s="16" t="b">
        <v>0</v>
      </c>
      <c r="B669" s="17"/>
      <c r="C669" s="18"/>
      <c r="D669" s="34"/>
      <c r="E669" s="20"/>
      <c r="F669" s="19"/>
      <c r="G669" s="23"/>
      <c r="H669" s="23"/>
      <c r="I669" s="23"/>
      <c r="J669" s="23"/>
      <c r="K669" s="23"/>
      <c r="L669" s="23"/>
      <c r="M669" s="23"/>
      <c r="N669" s="23"/>
      <c r="O669" s="24"/>
      <c r="P669" s="16" t="b">
        <v>0</v>
      </c>
      <c r="Q669" s="24"/>
      <c r="R669" s="26"/>
      <c r="S669" s="26"/>
      <c r="T669" s="27"/>
      <c r="U669" s="24"/>
      <c r="V669" s="28" t="s">
        <v>32</v>
      </c>
      <c r="W669" s="29" t="s">
        <v>22</v>
      </c>
      <c r="X669" s="37" t="s">
        <v>536</v>
      </c>
      <c r="Y669" s="31"/>
      <c r="Z669" s="26" t="str">
        <f t="shared" si="5"/>
        <v/>
      </c>
      <c r="AA669" s="26" t="str">
        <f t="shared" si="6"/>
        <v/>
      </c>
      <c r="AB669" s="32" t="str">
        <f t="shared" si="7"/>
        <v/>
      </c>
      <c r="AC669" s="32" t="str">
        <f t="shared" ref="AC669:AG669" si="673">IF(J669&lt;&gt;"", IF(AND($P669=FALSE, $A669=FALSE), -J669, IF(AND($P669=FALSE, $A669=TRUE), 0, IF($P669=TRUE, (J669 / $R669) * 100 * ($S669 / 100)-J669, ))), )</f>
        <v/>
      </c>
      <c r="AD669" s="32" t="str">
        <f t="shared" si="673"/>
        <v/>
      </c>
      <c r="AE669" s="32" t="str">
        <f t="shared" si="673"/>
        <v/>
      </c>
      <c r="AF669" s="32" t="str">
        <f t="shared" si="673"/>
        <v/>
      </c>
      <c r="AG669" s="32" t="str">
        <f t="shared" si="673"/>
        <v/>
      </c>
      <c r="AH669" s="33"/>
    </row>
    <row r="670" hidden="1" outlineLevel="3">
      <c r="A670" s="16" t="b">
        <v>0</v>
      </c>
      <c r="B670" s="17"/>
      <c r="C670" s="18"/>
      <c r="D670" s="34"/>
      <c r="E670" s="20"/>
      <c r="F670" s="19"/>
      <c r="G670" s="23"/>
      <c r="H670" s="23"/>
      <c r="I670" s="23"/>
      <c r="J670" s="23"/>
      <c r="K670" s="23"/>
      <c r="L670" s="23"/>
      <c r="M670" s="23"/>
      <c r="N670" s="23"/>
      <c r="O670" s="24"/>
      <c r="P670" s="16" t="b">
        <v>0</v>
      </c>
      <c r="Q670" s="24"/>
      <c r="R670" s="26"/>
      <c r="S670" s="26"/>
      <c r="T670" s="27"/>
      <c r="U670" s="24"/>
      <c r="V670" s="38" t="s">
        <v>29</v>
      </c>
      <c r="W670" s="29" t="s">
        <v>22</v>
      </c>
      <c r="X670" s="37" t="s">
        <v>537</v>
      </c>
      <c r="Y670" s="31"/>
      <c r="Z670" s="26" t="str">
        <f t="shared" si="5"/>
        <v/>
      </c>
      <c r="AA670" s="26" t="str">
        <f t="shared" si="6"/>
        <v/>
      </c>
      <c r="AB670" s="32" t="str">
        <f t="shared" si="7"/>
        <v/>
      </c>
      <c r="AC670" s="32" t="str">
        <f t="shared" ref="AC670:AG670" si="674">IF(J670&lt;&gt;"", IF(AND($P670=FALSE, $A670=FALSE), -J670, IF(AND($P670=FALSE, $A670=TRUE), 0, IF($P670=TRUE, (J670 / $R670) * 100 * ($S670 / 100)-J670, ))), )</f>
        <v/>
      </c>
      <c r="AD670" s="32" t="str">
        <f t="shared" si="674"/>
        <v/>
      </c>
      <c r="AE670" s="32" t="str">
        <f t="shared" si="674"/>
        <v/>
      </c>
      <c r="AF670" s="32" t="str">
        <f t="shared" si="674"/>
        <v/>
      </c>
      <c r="AG670" s="32" t="str">
        <f t="shared" si="674"/>
        <v/>
      </c>
      <c r="AH670" s="33"/>
    </row>
    <row r="671" hidden="1" outlineLevel="3">
      <c r="A671" s="16" t="b">
        <v>0</v>
      </c>
      <c r="B671" s="17"/>
      <c r="C671" s="18"/>
      <c r="D671" s="34"/>
      <c r="E671" s="20"/>
      <c r="F671" s="19"/>
      <c r="G671" s="23"/>
      <c r="H671" s="23"/>
      <c r="I671" s="23"/>
      <c r="J671" s="23"/>
      <c r="K671" s="23"/>
      <c r="L671" s="23"/>
      <c r="M671" s="23"/>
      <c r="N671" s="23"/>
      <c r="O671" s="24"/>
      <c r="P671" s="16" t="b">
        <v>0</v>
      </c>
      <c r="Q671" s="24"/>
      <c r="R671" s="26"/>
      <c r="S671" s="26"/>
      <c r="T671" s="27"/>
      <c r="U671" s="24"/>
      <c r="V671" s="38" t="s">
        <v>29</v>
      </c>
      <c r="W671" s="29" t="s">
        <v>22</v>
      </c>
      <c r="X671" s="37" t="s">
        <v>538</v>
      </c>
      <c r="Y671" s="31"/>
      <c r="Z671" s="26" t="str">
        <f t="shared" si="5"/>
        <v/>
      </c>
      <c r="AA671" s="26" t="str">
        <f t="shared" si="6"/>
        <v/>
      </c>
      <c r="AB671" s="32" t="str">
        <f t="shared" si="7"/>
        <v/>
      </c>
      <c r="AC671" s="32" t="str">
        <f t="shared" ref="AC671:AG671" si="675">IF(J671&lt;&gt;"", IF(AND($P671=FALSE, $A671=FALSE), -J671, IF(AND($P671=FALSE, $A671=TRUE), 0, IF($P671=TRUE, (J671 / $R671) * 100 * ($S671 / 100)-J671, ))), )</f>
        <v/>
      </c>
      <c r="AD671" s="32" t="str">
        <f t="shared" si="675"/>
        <v/>
      </c>
      <c r="AE671" s="32" t="str">
        <f t="shared" si="675"/>
        <v/>
      </c>
      <c r="AF671" s="32" t="str">
        <f t="shared" si="675"/>
        <v/>
      </c>
      <c r="AG671" s="32" t="str">
        <f t="shared" si="675"/>
        <v/>
      </c>
      <c r="AH671" s="33"/>
    </row>
    <row r="672" hidden="1" outlineLevel="3">
      <c r="A672" s="16" t="b">
        <v>0</v>
      </c>
      <c r="B672" s="17"/>
      <c r="C672" s="18"/>
      <c r="D672" s="34"/>
      <c r="E672" s="20"/>
      <c r="F672" s="19"/>
      <c r="G672" s="23"/>
      <c r="H672" s="23"/>
      <c r="I672" s="23"/>
      <c r="J672" s="23"/>
      <c r="K672" s="23"/>
      <c r="L672" s="23"/>
      <c r="M672" s="23"/>
      <c r="N672" s="23"/>
      <c r="O672" s="24"/>
      <c r="P672" s="16" t="b">
        <v>0</v>
      </c>
      <c r="Q672" s="24"/>
      <c r="R672" s="26"/>
      <c r="S672" s="26"/>
      <c r="T672" s="27"/>
      <c r="U672" s="24"/>
      <c r="V672" s="38" t="s">
        <v>29</v>
      </c>
      <c r="W672" s="29" t="s">
        <v>22</v>
      </c>
      <c r="X672" s="37" t="s">
        <v>539</v>
      </c>
      <c r="Y672" s="31"/>
      <c r="Z672" s="26" t="str">
        <f t="shared" si="5"/>
        <v/>
      </c>
      <c r="AA672" s="26" t="str">
        <f t="shared" si="6"/>
        <v/>
      </c>
      <c r="AB672" s="32" t="str">
        <f t="shared" si="7"/>
        <v/>
      </c>
      <c r="AC672" s="32" t="str">
        <f t="shared" ref="AC672:AG672" si="676">IF(J672&lt;&gt;"", IF(AND($P672=FALSE, $A672=FALSE), -J672, IF(AND($P672=FALSE, $A672=TRUE), 0, IF($P672=TRUE, (J672 / $R672) * 100 * ($S672 / 100)-J672, ))), )</f>
        <v/>
      </c>
      <c r="AD672" s="32" t="str">
        <f t="shared" si="676"/>
        <v/>
      </c>
      <c r="AE672" s="32" t="str">
        <f t="shared" si="676"/>
        <v/>
      </c>
      <c r="AF672" s="32" t="str">
        <f t="shared" si="676"/>
        <v/>
      </c>
      <c r="AG672" s="32" t="str">
        <f t="shared" si="676"/>
        <v/>
      </c>
      <c r="AH672" s="33"/>
    </row>
    <row r="673" hidden="1" outlineLevel="2" collapsed="1">
      <c r="A673" s="71" t="b">
        <v>0</v>
      </c>
      <c r="B673" s="17"/>
      <c r="C673" s="18"/>
      <c r="D673" s="42">
        <v>45256.0</v>
      </c>
      <c r="E673" s="43" t="s">
        <v>24</v>
      </c>
      <c r="F673" s="44" t="s">
        <v>481</v>
      </c>
      <c r="G673" s="45">
        <v>3.0</v>
      </c>
      <c r="H673" s="45">
        <v>1.5</v>
      </c>
      <c r="I673" s="45">
        <v>3.0</v>
      </c>
      <c r="J673" s="46"/>
      <c r="K673" s="46"/>
      <c r="L673" s="45"/>
      <c r="M673" s="46"/>
      <c r="N673" s="46"/>
      <c r="O673" s="47"/>
      <c r="P673" s="71" t="b">
        <v>1</v>
      </c>
      <c r="Q673" s="24"/>
      <c r="R673" s="48">
        <v>7.5</v>
      </c>
      <c r="S673" s="45">
        <v>23.56</v>
      </c>
      <c r="T673" s="49" t="s">
        <v>540</v>
      </c>
      <c r="U673" s="47"/>
      <c r="V673" s="28"/>
      <c r="W673" s="29"/>
      <c r="X673" s="30"/>
      <c r="Y673" s="72"/>
      <c r="Z673" s="26">
        <f t="shared" si="5"/>
        <v>6.424</v>
      </c>
      <c r="AA673" s="26">
        <f t="shared" si="6"/>
        <v>6.424</v>
      </c>
      <c r="AB673" s="32">
        <f t="shared" si="7"/>
        <v>3.212</v>
      </c>
      <c r="AC673" s="32" t="str">
        <f t="shared" ref="AC673:AG673" si="677">IF(J673&lt;&gt;"", IF(AND($P673=FALSE, $A673=FALSE), -J673, IF(AND($P673=FALSE, $A673=TRUE), 0, IF($P673=TRUE, (J673 / $R673) * 100 * ($S673 / 100)-J673, ))), )</f>
        <v/>
      </c>
      <c r="AD673" s="32" t="str">
        <f t="shared" si="677"/>
        <v/>
      </c>
      <c r="AE673" s="32" t="str">
        <f t="shared" si="677"/>
        <v/>
      </c>
      <c r="AF673" s="32" t="str">
        <f t="shared" si="677"/>
        <v/>
      </c>
      <c r="AG673" s="32" t="str">
        <f t="shared" si="677"/>
        <v/>
      </c>
      <c r="AH673" s="33"/>
    </row>
    <row r="674" hidden="1" outlineLevel="3">
      <c r="A674" s="16" t="b">
        <v>0</v>
      </c>
      <c r="B674" s="17"/>
      <c r="C674" s="18"/>
      <c r="D674" s="34"/>
      <c r="E674" s="20"/>
      <c r="F674" s="19"/>
      <c r="G674" s="23"/>
      <c r="H674" s="23"/>
      <c r="I674" s="23"/>
      <c r="J674" s="23"/>
      <c r="K674" s="23"/>
      <c r="L674" s="23"/>
      <c r="M674" s="23"/>
      <c r="N674" s="23"/>
      <c r="O674" s="24"/>
      <c r="P674" s="16" t="b">
        <v>0</v>
      </c>
      <c r="Q674" s="24"/>
      <c r="R674" s="26"/>
      <c r="S674" s="26"/>
      <c r="T674" s="27"/>
      <c r="U674" s="24"/>
      <c r="V674" s="38" t="s">
        <v>29</v>
      </c>
      <c r="W674" s="29" t="s">
        <v>22</v>
      </c>
      <c r="X674" s="37" t="s">
        <v>541</v>
      </c>
      <c r="Y674" s="31"/>
      <c r="Z674" s="26" t="str">
        <f t="shared" si="5"/>
        <v/>
      </c>
      <c r="AA674" s="26" t="str">
        <f t="shared" si="6"/>
        <v/>
      </c>
      <c r="AB674" s="32" t="str">
        <f t="shared" si="7"/>
        <v/>
      </c>
      <c r="AC674" s="32" t="str">
        <f t="shared" ref="AC674:AG674" si="678">IF(J674&lt;&gt;"", IF(AND($P674=FALSE, $A674=FALSE), -J674, IF(AND($P674=FALSE, $A674=TRUE), 0, IF($P674=TRUE, (J674 / $R674) * 100 * ($S674 / 100)-J674, ))), )</f>
        <v/>
      </c>
      <c r="AD674" s="32" t="str">
        <f t="shared" si="678"/>
        <v/>
      </c>
      <c r="AE674" s="32" t="str">
        <f t="shared" si="678"/>
        <v/>
      </c>
      <c r="AF674" s="32" t="str">
        <f t="shared" si="678"/>
        <v/>
      </c>
      <c r="AG674" s="32" t="str">
        <f t="shared" si="678"/>
        <v/>
      </c>
      <c r="AH674" s="33"/>
    </row>
    <row r="675" hidden="1" outlineLevel="3">
      <c r="A675" s="16" t="b">
        <v>0</v>
      </c>
      <c r="B675" s="17"/>
      <c r="C675" s="18"/>
      <c r="D675" s="34"/>
      <c r="E675" s="20"/>
      <c r="F675" s="19"/>
      <c r="G675" s="23"/>
      <c r="H675" s="23"/>
      <c r="I675" s="23"/>
      <c r="J675" s="23"/>
      <c r="K675" s="23"/>
      <c r="L675" s="23"/>
      <c r="M675" s="23"/>
      <c r="N675" s="23"/>
      <c r="O675" s="24"/>
      <c r="P675" s="16" t="b">
        <v>0</v>
      </c>
      <c r="Q675" s="24"/>
      <c r="R675" s="26"/>
      <c r="S675" s="26"/>
      <c r="T675" s="27"/>
      <c r="U675" s="24"/>
      <c r="V675" s="38" t="s">
        <v>29</v>
      </c>
      <c r="W675" s="29" t="s">
        <v>22</v>
      </c>
      <c r="X675" s="37" t="s">
        <v>80</v>
      </c>
      <c r="Y675" s="31"/>
      <c r="Z675" s="26" t="str">
        <f t="shared" si="5"/>
        <v/>
      </c>
      <c r="AA675" s="26" t="str">
        <f t="shared" si="6"/>
        <v/>
      </c>
      <c r="AB675" s="32" t="str">
        <f t="shared" si="7"/>
        <v/>
      </c>
      <c r="AC675" s="32" t="str">
        <f t="shared" ref="AC675:AG675" si="679">IF(J675&lt;&gt;"", IF(AND($P675=FALSE, $A675=FALSE), -J675, IF(AND($P675=FALSE, $A675=TRUE), 0, IF($P675=TRUE, (J675 / $R675) * 100 * ($S675 / 100)-J675, ))), )</f>
        <v/>
      </c>
      <c r="AD675" s="32" t="str">
        <f t="shared" si="679"/>
        <v/>
      </c>
      <c r="AE675" s="32" t="str">
        <f t="shared" si="679"/>
        <v/>
      </c>
      <c r="AF675" s="32" t="str">
        <f t="shared" si="679"/>
        <v/>
      </c>
      <c r="AG675" s="32" t="str">
        <f t="shared" si="679"/>
        <v/>
      </c>
      <c r="AH675" s="33"/>
    </row>
    <row r="676" hidden="1" outlineLevel="3">
      <c r="A676" s="16" t="b">
        <v>0</v>
      </c>
      <c r="B676" s="17"/>
      <c r="C676" s="18"/>
      <c r="D676" s="34"/>
      <c r="E676" s="20"/>
      <c r="F676" s="19"/>
      <c r="G676" s="23"/>
      <c r="H676" s="23"/>
      <c r="I676" s="23"/>
      <c r="J676" s="23"/>
      <c r="K676" s="23"/>
      <c r="L676" s="23"/>
      <c r="M676" s="23"/>
      <c r="N676" s="23"/>
      <c r="O676" s="24"/>
      <c r="P676" s="16" t="b">
        <v>0</v>
      </c>
      <c r="Q676" s="24"/>
      <c r="R676" s="26"/>
      <c r="S676" s="26"/>
      <c r="T676" s="27"/>
      <c r="U676" s="24"/>
      <c r="V676" s="38" t="s">
        <v>29</v>
      </c>
      <c r="W676" s="29" t="s">
        <v>22</v>
      </c>
      <c r="X676" s="37" t="s">
        <v>542</v>
      </c>
      <c r="Y676" s="31"/>
      <c r="Z676" s="26" t="str">
        <f t="shared" si="5"/>
        <v/>
      </c>
      <c r="AA676" s="26" t="str">
        <f t="shared" si="6"/>
        <v/>
      </c>
      <c r="AB676" s="32" t="str">
        <f t="shared" si="7"/>
        <v/>
      </c>
      <c r="AC676" s="32" t="str">
        <f t="shared" ref="AC676:AG676" si="680">IF(J676&lt;&gt;"", IF(AND($P676=FALSE, $A676=FALSE), -J676, IF(AND($P676=FALSE, $A676=TRUE), 0, IF($P676=TRUE, (J676 / $R676) * 100 * ($S676 / 100)-J676, ))), )</f>
        <v/>
      </c>
      <c r="AD676" s="32" t="str">
        <f t="shared" si="680"/>
        <v/>
      </c>
      <c r="AE676" s="32" t="str">
        <f t="shared" si="680"/>
        <v/>
      </c>
      <c r="AF676" s="32" t="str">
        <f t="shared" si="680"/>
        <v/>
      </c>
      <c r="AG676" s="32" t="str">
        <f t="shared" si="680"/>
        <v/>
      </c>
      <c r="AH676" s="33"/>
    </row>
    <row r="677" hidden="1" outlineLevel="3">
      <c r="A677" s="16" t="b">
        <v>0</v>
      </c>
      <c r="B677" s="17"/>
      <c r="C677" s="18"/>
      <c r="D677" s="34"/>
      <c r="E677" s="20"/>
      <c r="F677" s="19"/>
      <c r="G677" s="23"/>
      <c r="H677" s="23"/>
      <c r="I677" s="23"/>
      <c r="J677" s="23"/>
      <c r="K677" s="23"/>
      <c r="L677" s="23"/>
      <c r="M677" s="23"/>
      <c r="N677" s="23"/>
      <c r="O677" s="24"/>
      <c r="P677" s="16" t="b">
        <v>0</v>
      </c>
      <c r="Q677" s="24"/>
      <c r="R677" s="26"/>
      <c r="S677" s="26"/>
      <c r="T677" s="27"/>
      <c r="U677" s="24"/>
      <c r="V677" s="38" t="s">
        <v>29</v>
      </c>
      <c r="W677" s="29" t="s">
        <v>22</v>
      </c>
      <c r="X677" s="37" t="s">
        <v>543</v>
      </c>
      <c r="Y677" s="31"/>
      <c r="Z677" s="26" t="str">
        <f t="shared" si="5"/>
        <v/>
      </c>
      <c r="AA677" s="26" t="str">
        <f t="shared" si="6"/>
        <v/>
      </c>
      <c r="AB677" s="32" t="str">
        <f t="shared" si="7"/>
        <v/>
      </c>
      <c r="AC677" s="32" t="str">
        <f t="shared" ref="AC677:AG677" si="681">IF(J677&lt;&gt;"", IF(AND($P677=FALSE, $A677=FALSE), -J677, IF(AND($P677=FALSE, $A677=TRUE), 0, IF($P677=TRUE, (J677 / $R677) * 100 * ($S677 / 100)-J677, ))), )</f>
        <v/>
      </c>
      <c r="AD677" s="32" t="str">
        <f t="shared" si="681"/>
        <v/>
      </c>
      <c r="AE677" s="32" t="str">
        <f t="shared" si="681"/>
        <v/>
      </c>
      <c r="AF677" s="32" t="str">
        <f t="shared" si="681"/>
        <v/>
      </c>
      <c r="AG677" s="32" t="str">
        <f t="shared" si="681"/>
        <v/>
      </c>
      <c r="AH677" s="33"/>
    </row>
    <row r="678" hidden="1" outlineLevel="2" collapsed="1">
      <c r="A678" s="71" t="b">
        <v>0</v>
      </c>
      <c r="B678" s="17"/>
      <c r="C678" s="18"/>
      <c r="D678" s="42">
        <v>45256.0</v>
      </c>
      <c r="E678" s="43" t="s">
        <v>24</v>
      </c>
      <c r="F678" s="44" t="s">
        <v>481</v>
      </c>
      <c r="G678" s="45">
        <v>3.0</v>
      </c>
      <c r="H678" s="45">
        <v>1.5</v>
      </c>
      <c r="I678" s="45">
        <v>2.0</v>
      </c>
      <c r="J678" s="46"/>
      <c r="K678" s="46"/>
      <c r="L678" s="45"/>
      <c r="M678" s="46"/>
      <c r="N678" s="46"/>
      <c r="O678" s="47"/>
      <c r="P678" s="71" t="b">
        <v>0</v>
      </c>
      <c r="Q678" s="24"/>
      <c r="R678" s="48">
        <v>6.5</v>
      </c>
      <c r="S678" s="45">
        <v>32.83</v>
      </c>
      <c r="T678" s="49" t="s">
        <v>544</v>
      </c>
      <c r="U678" s="47"/>
      <c r="V678" s="28"/>
      <c r="W678" s="29"/>
      <c r="X678" s="30"/>
      <c r="Y678" s="72"/>
      <c r="Z678" s="26">
        <f t="shared" si="5"/>
        <v>-3</v>
      </c>
      <c r="AA678" s="26">
        <f t="shared" si="6"/>
        <v>-2</v>
      </c>
      <c r="AB678" s="32">
        <f t="shared" si="7"/>
        <v>-1.5</v>
      </c>
      <c r="AC678" s="32" t="str">
        <f t="shared" ref="AC678:AG678" si="682">IF(J678&lt;&gt;"", IF(AND($P678=FALSE, $A678=FALSE), -J678, IF(AND($P678=FALSE, $A678=TRUE), 0, IF($P678=TRUE, (J678 / $R678) * 100 * ($S678 / 100)-J678, ))), )</f>
        <v/>
      </c>
      <c r="AD678" s="32" t="str">
        <f t="shared" si="682"/>
        <v/>
      </c>
      <c r="AE678" s="32" t="str">
        <f t="shared" si="682"/>
        <v/>
      </c>
      <c r="AF678" s="32" t="str">
        <f t="shared" si="682"/>
        <v/>
      </c>
      <c r="AG678" s="32" t="str">
        <f t="shared" si="682"/>
        <v/>
      </c>
      <c r="AH678" s="33"/>
    </row>
    <row r="679" hidden="1" outlineLevel="3">
      <c r="A679" s="16" t="b">
        <v>0</v>
      </c>
      <c r="B679" s="17"/>
      <c r="C679" s="18"/>
      <c r="D679" s="34"/>
      <c r="E679" s="20"/>
      <c r="F679" s="19"/>
      <c r="G679" s="23"/>
      <c r="H679" s="23"/>
      <c r="I679" s="23"/>
      <c r="J679" s="23"/>
      <c r="K679" s="23"/>
      <c r="L679" s="23"/>
      <c r="M679" s="23"/>
      <c r="N679" s="23"/>
      <c r="O679" s="24"/>
      <c r="P679" s="16" t="b">
        <v>0</v>
      </c>
      <c r="Q679" s="24"/>
      <c r="R679" s="26"/>
      <c r="S679" s="26"/>
      <c r="T679" s="27"/>
      <c r="U679" s="24"/>
      <c r="V679" s="38" t="s">
        <v>29</v>
      </c>
      <c r="W679" s="29" t="s">
        <v>22</v>
      </c>
      <c r="X679" s="37" t="s">
        <v>134</v>
      </c>
      <c r="Y679" s="31"/>
      <c r="Z679" s="26" t="str">
        <f t="shared" si="5"/>
        <v/>
      </c>
      <c r="AA679" s="26" t="str">
        <f t="shared" si="6"/>
        <v/>
      </c>
      <c r="AB679" s="32" t="str">
        <f t="shared" si="7"/>
        <v/>
      </c>
      <c r="AC679" s="32" t="str">
        <f t="shared" ref="AC679:AG679" si="683">IF(J679&lt;&gt;"", IF(AND($P679=FALSE, $A679=FALSE), -J679, IF(AND($P679=FALSE, $A679=TRUE), 0, IF($P679=TRUE, (J679 / $R679) * 100 * ($S679 / 100)-J679, ))), )</f>
        <v/>
      </c>
      <c r="AD679" s="32" t="str">
        <f t="shared" si="683"/>
        <v/>
      </c>
      <c r="AE679" s="32" t="str">
        <f t="shared" si="683"/>
        <v/>
      </c>
      <c r="AF679" s="32" t="str">
        <f t="shared" si="683"/>
        <v/>
      </c>
      <c r="AG679" s="32" t="str">
        <f t="shared" si="683"/>
        <v/>
      </c>
      <c r="AH679" s="33"/>
    </row>
    <row r="680" hidden="1" outlineLevel="3">
      <c r="A680" s="16" t="b">
        <v>0</v>
      </c>
      <c r="B680" s="17"/>
      <c r="C680" s="18"/>
      <c r="D680" s="34"/>
      <c r="E680" s="20"/>
      <c r="F680" s="19"/>
      <c r="G680" s="23"/>
      <c r="H680" s="23"/>
      <c r="I680" s="23"/>
      <c r="J680" s="23"/>
      <c r="K680" s="23"/>
      <c r="L680" s="23"/>
      <c r="M680" s="23"/>
      <c r="N680" s="23"/>
      <c r="O680" s="24"/>
      <c r="P680" s="16" t="b">
        <v>0</v>
      </c>
      <c r="Q680" s="24"/>
      <c r="R680" s="26"/>
      <c r="S680" s="26"/>
      <c r="T680" s="27"/>
      <c r="U680" s="24"/>
      <c r="V680" s="38" t="s">
        <v>29</v>
      </c>
      <c r="W680" s="29" t="s">
        <v>22</v>
      </c>
      <c r="X680" s="37" t="s">
        <v>440</v>
      </c>
      <c r="Y680" s="31"/>
      <c r="Z680" s="26" t="str">
        <f t="shared" si="5"/>
        <v/>
      </c>
      <c r="AA680" s="26" t="str">
        <f t="shared" si="6"/>
        <v/>
      </c>
      <c r="AB680" s="32" t="str">
        <f t="shared" si="7"/>
        <v/>
      </c>
      <c r="AC680" s="32" t="str">
        <f t="shared" ref="AC680:AG680" si="684">IF(J680&lt;&gt;"", IF(AND($P680=FALSE, $A680=FALSE), -J680, IF(AND($P680=FALSE, $A680=TRUE), 0, IF($P680=TRUE, (J680 / $R680) * 100 * ($S680 / 100)-J680, ))), )</f>
        <v/>
      </c>
      <c r="AD680" s="32" t="str">
        <f t="shared" si="684"/>
        <v/>
      </c>
      <c r="AE680" s="32" t="str">
        <f t="shared" si="684"/>
        <v/>
      </c>
      <c r="AF680" s="32" t="str">
        <f t="shared" si="684"/>
        <v/>
      </c>
      <c r="AG680" s="32" t="str">
        <f t="shared" si="684"/>
        <v/>
      </c>
      <c r="AH680" s="33"/>
    </row>
    <row r="681" hidden="1" outlineLevel="3">
      <c r="A681" s="16" t="b">
        <v>0</v>
      </c>
      <c r="B681" s="17"/>
      <c r="C681" s="18"/>
      <c r="D681" s="34"/>
      <c r="E681" s="20"/>
      <c r="F681" s="19"/>
      <c r="G681" s="23"/>
      <c r="H681" s="23"/>
      <c r="I681" s="23"/>
      <c r="J681" s="23"/>
      <c r="K681" s="23"/>
      <c r="L681" s="23"/>
      <c r="M681" s="23"/>
      <c r="N681" s="23"/>
      <c r="O681" s="24"/>
      <c r="P681" s="16" t="b">
        <v>0</v>
      </c>
      <c r="Q681" s="24"/>
      <c r="R681" s="26"/>
      <c r="S681" s="26"/>
      <c r="T681" s="27"/>
      <c r="U681" s="24"/>
      <c r="V681" s="38" t="s">
        <v>29</v>
      </c>
      <c r="W681" s="29" t="s">
        <v>22</v>
      </c>
      <c r="X681" s="37" t="s">
        <v>438</v>
      </c>
      <c r="Y681" s="31"/>
      <c r="Z681" s="26" t="str">
        <f t="shared" si="5"/>
        <v/>
      </c>
      <c r="AA681" s="26" t="str">
        <f t="shared" si="6"/>
        <v/>
      </c>
      <c r="AB681" s="32" t="str">
        <f t="shared" si="7"/>
        <v/>
      </c>
      <c r="AC681" s="32" t="str">
        <f t="shared" ref="AC681:AG681" si="685">IF(J681&lt;&gt;"", IF(AND($P681=FALSE, $A681=FALSE), -J681, IF(AND($P681=FALSE, $A681=TRUE), 0, IF($P681=TRUE, (J681 / $R681) * 100 * ($S681 / 100)-J681, ))), )</f>
        <v/>
      </c>
      <c r="AD681" s="32" t="str">
        <f t="shared" si="685"/>
        <v/>
      </c>
      <c r="AE681" s="32" t="str">
        <f t="shared" si="685"/>
        <v/>
      </c>
      <c r="AF681" s="32" t="str">
        <f t="shared" si="685"/>
        <v/>
      </c>
      <c r="AG681" s="32" t="str">
        <f t="shared" si="685"/>
        <v/>
      </c>
      <c r="AH681" s="33"/>
    </row>
    <row r="682" hidden="1" outlineLevel="3">
      <c r="A682" s="16" t="b">
        <v>0</v>
      </c>
      <c r="B682" s="17"/>
      <c r="C682" s="18"/>
      <c r="D682" s="34"/>
      <c r="E682" s="20"/>
      <c r="F682" s="19"/>
      <c r="G682" s="23"/>
      <c r="H682" s="23"/>
      <c r="I682" s="23"/>
      <c r="J682" s="23"/>
      <c r="K682" s="23"/>
      <c r="L682" s="23"/>
      <c r="M682" s="23"/>
      <c r="N682" s="23"/>
      <c r="O682" s="24"/>
      <c r="P682" s="16" t="b">
        <v>0</v>
      </c>
      <c r="Q682" s="24"/>
      <c r="R682" s="26"/>
      <c r="S682" s="26"/>
      <c r="T682" s="27"/>
      <c r="U682" s="24"/>
      <c r="V682" s="38" t="s">
        <v>29</v>
      </c>
      <c r="W682" s="29" t="s">
        <v>22</v>
      </c>
      <c r="X682" s="37" t="s">
        <v>437</v>
      </c>
      <c r="Y682" s="31"/>
      <c r="Z682" s="26" t="str">
        <f t="shared" si="5"/>
        <v/>
      </c>
      <c r="AA682" s="26" t="str">
        <f t="shared" si="6"/>
        <v/>
      </c>
      <c r="AB682" s="32" t="str">
        <f t="shared" si="7"/>
        <v/>
      </c>
      <c r="AC682" s="32" t="str">
        <f t="shared" ref="AC682:AG682" si="686">IF(J682&lt;&gt;"", IF(AND($P682=FALSE, $A682=FALSE), -J682, IF(AND($P682=FALSE, $A682=TRUE), 0, IF($P682=TRUE, (J682 / $R682) * 100 * ($S682 / 100)-J682, ))), )</f>
        <v/>
      </c>
      <c r="AD682" s="32" t="str">
        <f t="shared" si="686"/>
        <v/>
      </c>
      <c r="AE682" s="32" t="str">
        <f t="shared" si="686"/>
        <v/>
      </c>
      <c r="AF682" s="32" t="str">
        <f t="shared" si="686"/>
        <v/>
      </c>
      <c r="AG682" s="32" t="str">
        <f t="shared" si="686"/>
        <v/>
      </c>
      <c r="AH682" s="33"/>
    </row>
    <row r="683" hidden="1" outlineLevel="3">
      <c r="A683" s="16" t="b">
        <v>0</v>
      </c>
      <c r="B683" s="17"/>
      <c r="C683" s="18"/>
      <c r="D683" s="34"/>
      <c r="E683" s="20"/>
      <c r="F683" s="19"/>
      <c r="G683" s="23"/>
      <c r="H683" s="23"/>
      <c r="I683" s="23"/>
      <c r="J683" s="23"/>
      <c r="K683" s="23"/>
      <c r="L683" s="23"/>
      <c r="M683" s="23"/>
      <c r="N683" s="23"/>
      <c r="O683" s="24"/>
      <c r="P683" s="16" t="b">
        <v>0</v>
      </c>
      <c r="Q683" s="24"/>
      <c r="R683" s="26"/>
      <c r="S683" s="26"/>
      <c r="T683" s="27"/>
      <c r="U683" s="24"/>
      <c r="V683" s="28" t="s">
        <v>32</v>
      </c>
      <c r="W683" s="29" t="s">
        <v>22</v>
      </c>
      <c r="X683" s="37" t="s">
        <v>545</v>
      </c>
      <c r="Y683" s="31"/>
      <c r="Z683" s="26" t="str">
        <f t="shared" si="5"/>
        <v/>
      </c>
      <c r="AA683" s="26" t="str">
        <f t="shared" si="6"/>
        <v/>
      </c>
      <c r="AB683" s="32" t="str">
        <f t="shared" si="7"/>
        <v/>
      </c>
      <c r="AC683" s="32" t="str">
        <f t="shared" ref="AC683:AG683" si="687">IF(J683&lt;&gt;"", IF(AND($P683=FALSE, $A683=FALSE), -J683, IF(AND($P683=FALSE, $A683=TRUE), 0, IF($P683=TRUE, (J683 / $R683) * 100 * ($S683 / 100)-J683, ))), )</f>
        <v/>
      </c>
      <c r="AD683" s="32" t="str">
        <f t="shared" si="687"/>
        <v/>
      </c>
      <c r="AE683" s="32" t="str">
        <f t="shared" si="687"/>
        <v/>
      </c>
      <c r="AF683" s="32" t="str">
        <f t="shared" si="687"/>
        <v/>
      </c>
      <c r="AG683" s="32" t="str">
        <f t="shared" si="687"/>
        <v/>
      </c>
      <c r="AH683" s="33"/>
    </row>
    <row r="684" hidden="1" outlineLevel="3">
      <c r="A684" s="16" t="b">
        <v>0</v>
      </c>
      <c r="B684" s="17"/>
      <c r="C684" s="18"/>
      <c r="D684" s="34"/>
      <c r="E684" s="20"/>
      <c r="F684" s="19"/>
      <c r="G684" s="23"/>
      <c r="H684" s="23"/>
      <c r="I684" s="23"/>
      <c r="J684" s="23"/>
      <c r="K684" s="23"/>
      <c r="L684" s="23"/>
      <c r="M684" s="23"/>
      <c r="N684" s="23"/>
      <c r="O684" s="24"/>
      <c r="P684" s="16" t="b">
        <v>0</v>
      </c>
      <c r="Q684" s="24"/>
      <c r="R684" s="26"/>
      <c r="S684" s="26"/>
      <c r="T684" s="27"/>
      <c r="U684" s="24"/>
      <c r="V684" s="38" t="s">
        <v>29</v>
      </c>
      <c r="W684" s="29" t="s">
        <v>22</v>
      </c>
      <c r="X684" s="37" t="s">
        <v>136</v>
      </c>
      <c r="Y684" s="31"/>
      <c r="Z684" s="26" t="str">
        <f t="shared" si="5"/>
        <v/>
      </c>
      <c r="AA684" s="26" t="str">
        <f t="shared" si="6"/>
        <v/>
      </c>
      <c r="AB684" s="32" t="str">
        <f t="shared" si="7"/>
        <v/>
      </c>
      <c r="AC684" s="32" t="str">
        <f t="shared" ref="AC684:AG684" si="688">IF(J684&lt;&gt;"", IF(AND($P684=FALSE, $A684=FALSE), -J684, IF(AND($P684=FALSE, $A684=TRUE), 0, IF($P684=TRUE, (J684 / $R684) * 100 * ($S684 / 100)-J684, ))), )</f>
        <v/>
      </c>
      <c r="AD684" s="32" t="str">
        <f t="shared" si="688"/>
        <v/>
      </c>
      <c r="AE684" s="32" t="str">
        <f t="shared" si="688"/>
        <v/>
      </c>
      <c r="AF684" s="32" t="str">
        <f t="shared" si="688"/>
        <v/>
      </c>
      <c r="AG684" s="32" t="str">
        <f t="shared" si="688"/>
        <v/>
      </c>
      <c r="AH684" s="33"/>
    </row>
    <row r="685" hidden="1" outlineLevel="2" collapsed="1">
      <c r="A685" s="71" t="b">
        <v>0</v>
      </c>
      <c r="B685" s="17"/>
      <c r="C685" s="18"/>
      <c r="D685" s="42">
        <v>45256.0</v>
      </c>
      <c r="E685" s="43" t="s">
        <v>24</v>
      </c>
      <c r="F685" s="44" t="s">
        <v>481</v>
      </c>
      <c r="G685" s="45">
        <v>3.0</v>
      </c>
      <c r="H685" s="45">
        <v>1.5</v>
      </c>
      <c r="I685" s="45">
        <v>3.0</v>
      </c>
      <c r="J685" s="46"/>
      <c r="K685" s="46"/>
      <c r="L685" s="45"/>
      <c r="M685" s="46"/>
      <c r="N685" s="46"/>
      <c r="O685" s="47"/>
      <c r="P685" s="70" t="b">
        <v>0</v>
      </c>
      <c r="Q685" s="24"/>
      <c r="R685" s="48">
        <v>7.5</v>
      </c>
      <c r="S685" s="45">
        <v>20.17</v>
      </c>
      <c r="T685" s="49" t="s">
        <v>546</v>
      </c>
      <c r="U685" s="47"/>
      <c r="V685" s="28"/>
      <c r="W685" s="29"/>
      <c r="X685" s="30"/>
      <c r="Y685" s="73"/>
      <c r="Z685" s="26">
        <f t="shared" si="5"/>
        <v>-3</v>
      </c>
      <c r="AA685" s="26">
        <f t="shared" si="6"/>
        <v>-3</v>
      </c>
      <c r="AB685" s="32">
        <f t="shared" si="7"/>
        <v>-1.5</v>
      </c>
      <c r="AC685" s="32" t="str">
        <f t="shared" ref="AC685:AG685" si="689">IF(J685&lt;&gt;"", IF(AND($P685=FALSE, $A685=FALSE), -J685, IF(AND($P685=FALSE, $A685=TRUE), 0, IF($P685=TRUE, (J685 / $R685) * 100 * ($S685 / 100)-J685, ))), )</f>
        <v/>
      </c>
      <c r="AD685" s="32" t="str">
        <f t="shared" si="689"/>
        <v/>
      </c>
      <c r="AE685" s="32" t="str">
        <f t="shared" si="689"/>
        <v/>
      </c>
      <c r="AF685" s="32" t="str">
        <f t="shared" si="689"/>
        <v/>
      </c>
      <c r="AG685" s="32" t="str">
        <f t="shared" si="689"/>
        <v/>
      </c>
      <c r="AH685" s="33"/>
    </row>
    <row r="686" hidden="1" outlineLevel="3">
      <c r="A686" s="16" t="b">
        <v>0</v>
      </c>
      <c r="B686" s="17"/>
      <c r="C686" s="18"/>
      <c r="D686" s="34"/>
      <c r="E686" s="20"/>
      <c r="F686" s="19"/>
      <c r="G686" s="23"/>
      <c r="H686" s="23"/>
      <c r="I686" s="23"/>
      <c r="J686" s="23"/>
      <c r="K686" s="23"/>
      <c r="L686" s="23"/>
      <c r="M686" s="23"/>
      <c r="N686" s="23"/>
      <c r="O686" s="24"/>
      <c r="P686" s="16" t="b">
        <v>0</v>
      </c>
      <c r="Q686" s="24"/>
      <c r="R686" s="26"/>
      <c r="S686" s="26"/>
      <c r="T686" s="27"/>
      <c r="U686" s="24"/>
      <c r="V686" s="38" t="s">
        <v>29</v>
      </c>
      <c r="W686" s="29" t="s">
        <v>22</v>
      </c>
      <c r="X686" s="37" t="s">
        <v>547</v>
      </c>
      <c r="Y686" s="31"/>
      <c r="Z686" s="26" t="str">
        <f t="shared" si="5"/>
        <v/>
      </c>
      <c r="AA686" s="26" t="str">
        <f t="shared" si="6"/>
        <v/>
      </c>
      <c r="AB686" s="32" t="str">
        <f t="shared" si="7"/>
        <v/>
      </c>
      <c r="AC686" s="32" t="str">
        <f t="shared" ref="AC686:AG686" si="690">IF(J686&lt;&gt;"", IF(AND($P686=FALSE, $A686=FALSE), -J686, IF(AND($P686=FALSE, $A686=TRUE), 0, IF($P686=TRUE, (J686 / $R686) * 100 * ($S686 / 100)-J686, ))), )</f>
        <v/>
      </c>
      <c r="AD686" s="32" t="str">
        <f t="shared" si="690"/>
        <v/>
      </c>
      <c r="AE686" s="32" t="str">
        <f t="shared" si="690"/>
        <v/>
      </c>
      <c r="AF686" s="32" t="str">
        <f t="shared" si="690"/>
        <v/>
      </c>
      <c r="AG686" s="32" t="str">
        <f t="shared" si="690"/>
        <v/>
      </c>
      <c r="AH686" s="33"/>
    </row>
    <row r="687" hidden="1" outlineLevel="3">
      <c r="A687" s="16" t="b">
        <v>0</v>
      </c>
      <c r="B687" s="17"/>
      <c r="C687" s="18"/>
      <c r="D687" s="34"/>
      <c r="E687" s="20"/>
      <c r="F687" s="19"/>
      <c r="G687" s="23"/>
      <c r="H687" s="23"/>
      <c r="I687" s="23"/>
      <c r="J687" s="23"/>
      <c r="K687" s="23"/>
      <c r="L687" s="23"/>
      <c r="M687" s="23"/>
      <c r="N687" s="23"/>
      <c r="O687" s="24"/>
      <c r="P687" s="16" t="b">
        <v>0</v>
      </c>
      <c r="Q687" s="24"/>
      <c r="R687" s="26"/>
      <c r="S687" s="26"/>
      <c r="T687" s="27"/>
      <c r="U687" s="24"/>
      <c r="V687" s="28" t="s">
        <v>32</v>
      </c>
      <c r="W687" s="29" t="s">
        <v>22</v>
      </c>
      <c r="X687" s="37" t="s">
        <v>548</v>
      </c>
      <c r="Y687" s="31"/>
      <c r="Z687" s="26" t="str">
        <f t="shared" si="5"/>
        <v/>
      </c>
      <c r="AA687" s="26" t="str">
        <f t="shared" si="6"/>
        <v/>
      </c>
      <c r="AB687" s="32" t="str">
        <f t="shared" si="7"/>
        <v/>
      </c>
      <c r="AC687" s="32" t="str">
        <f t="shared" ref="AC687:AG687" si="691">IF(J687&lt;&gt;"", IF(AND($P687=FALSE, $A687=FALSE), -J687, IF(AND($P687=FALSE, $A687=TRUE), 0, IF($P687=TRUE, (J687 / $R687) * 100 * ($S687 / 100)-J687, ))), )</f>
        <v/>
      </c>
      <c r="AD687" s="32" t="str">
        <f t="shared" si="691"/>
        <v/>
      </c>
      <c r="AE687" s="32" t="str">
        <f t="shared" si="691"/>
        <v/>
      </c>
      <c r="AF687" s="32" t="str">
        <f t="shared" si="691"/>
        <v/>
      </c>
      <c r="AG687" s="32" t="str">
        <f t="shared" si="691"/>
        <v/>
      </c>
      <c r="AH687" s="33"/>
    </row>
    <row r="688" hidden="1" outlineLevel="3">
      <c r="A688" s="16" t="b">
        <v>0</v>
      </c>
      <c r="B688" s="17"/>
      <c r="C688" s="18"/>
      <c r="D688" s="34"/>
      <c r="E688" s="20"/>
      <c r="F688" s="19"/>
      <c r="G688" s="23"/>
      <c r="H688" s="23"/>
      <c r="I688" s="23"/>
      <c r="J688" s="23"/>
      <c r="K688" s="23"/>
      <c r="L688" s="23"/>
      <c r="M688" s="23"/>
      <c r="N688" s="23"/>
      <c r="O688" s="24"/>
      <c r="P688" s="16" t="b">
        <v>0</v>
      </c>
      <c r="Q688" s="24"/>
      <c r="R688" s="26"/>
      <c r="S688" s="26"/>
      <c r="T688" s="27"/>
      <c r="U688" s="24"/>
      <c r="V688" s="38" t="s">
        <v>29</v>
      </c>
      <c r="W688" s="29" t="s">
        <v>22</v>
      </c>
      <c r="X688" s="37" t="s">
        <v>549</v>
      </c>
      <c r="Y688" s="31"/>
      <c r="Z688" s="26" t="str">
        <f t="shared" si="5"/>
        <v/>
      </c>
      <c r="AA688" s="26" t="str">
        <f t="shared" si="6"/>
        <v/>
      </c>
      <c r="AB688" s="32" t="str">
        <f t="shared" si="7"/>
        <v/>
      </c>
      <c r="AC688" s="32" t="str">
        <f t="shared" ref="AC688:AG688" si="692">IF(J688&lt;&gt;"", IF(AND($P688=FALSE, $A688=FALSE), -J688, IF(AND($P688=FALSE, $A688=TRUE), 0, IF($P688=TRUE, (J688 / $R688) * 100 * ($S688 / 100)-J688, ))), )</f>
        <v/>
      </c>
      <c r="AD688" s="32" t="str">
        <f t="shared" si="692"/>
        <v/>
      </c>
      <c r="AE688" s="32" t="str">
        <f t="shared" si="692"/>
        <v/>
      </c>
      <c r="AF688" s="32" t="str">
        <f t="shared" si="692"/>
        <v/>
      </c>
      <c r="AG688" s="32" t="str">
        <f t="shared" si="692"/>
        <v/>
      </c>
      <c r="AH688" s="33"/>
    </row>
    <row r="689" hidden="1" outlineLevel="2" collapsed="1">
      <c r="A689" s="71" t="b">
        <v>0</v>
      </c>
      <c r="B689" s="17"/>
      <c r="C689" s="18"/>
      <c r="D689" s="42">
        <v>45256.0</v>
      </c>
      <c r="E689" s="43" t="s">
        <v>24</v>
      </c>
      <c r="F689" s="44" t="s">
        <v>481</v>
      </c>
      <c r="G689" s="45">
        <v>3.0</v>
      </c>
      <c r="H689" s="45">
        <v>1.5</v>
      </c>
      <c r="I689" s="45">
        <v>3.0</v>
      </c>
      <c r="J689" s="46"/>
      <c r="K689" s="46"/>
      <c r="L689" s="45"/>
      <c r="M689" s="46"/>
      <c r="N689" s="46"/>
      <c r="O689" s="47"/>
      <c r="P689" s="70" t="b">
        <v>0</v>
      </c>
      <c r="Q689" s="24"/>
      <c r="R689" s="48">
        <v>7.5</v>
      </c>
      <c r="S689" s="45">
        <v>24.93</v>
      </c>
      <c r="T689" s="49" t="s">
        <v>105</v>
      </c>
      <c r="U689" s="47"/>
      <c r="V689" s="28"/>
      <c r="W689" s="29"/>
      <c r="X689" s="30"/>
      <c r="Y689" s="73"/>
      <c r="Z689" s="26">
        <f t="shared" si="5"/>
        <v>-3</v>
      </c>
      <c r="AA689" s="26">
        <f t="shared" si="6"/>
        <v>-3</v>
      </c>
      <c r="AB689" s="32">
        <f t="shared" si="7"/>
        <v>-1.5</v>
      </c>
      <c r="AC689" s="32" t="str">
        <f t="shared" ref="AC689:AG689" si="693">IF(J689&lt;&gt;"", IF(AND($P689=FALSE, $A689=FALSE), -J689, IF(AND($P689=FALSE, $A689=TRUE), 0, IF($P689=TRUE, (J689 / $R689) * 100 * ($S689 / 100)-J689, ))), )</f>
        <v/>
      </c>
      <c r="AD689" s="32" t="str">
        <f t="shared" si="693"/>
        <v/>
      </c>
      <c r="AE689" s="32" t="str">
        <f t="shared" si="693"/>
        <v/>
      </c>
      <c r="AF689" s="32" t="str">
        <f t="shared" si="693"/>
        <v/>
      </c>
      <c r="AG689" s="32" t="str">
        <f t="shared" si="693"/>
        <v/>
      </c>
      <c r="AH689" s="33"/>
    </row>
    <row r="690" hidden="1" outlineLevel="3">
      <c r="A690" s="16" t="b">
        <v>0</v>
      </c>
      <c r="B690" s="17"/>
      <c r="C690" s="18"/>
      <c r="D690" s="34"/>
      <c r="E690" s="20"/>
      <c r="F690" s="19"/>
      <c r="G690" s="23"/>
      <c r="H690" s="23"/>
      <c r="I690" s="23"/>
      <c r="J690" s="23"/>
      <c r="K690" s="23"/>
      <c r="L690" s="23"/>
      <c r="M690" s="23"/>
      <c r="N690" s="23"/>
      <c r="O690" s="24"/>
      <c r="P690" s="16" t="b">
        <v>0</v>
      </c>
      <c r="Q690" s="24"/>
      <c r="R690" s="26"/>
      <c r="S690" s="26"/>
      <c r="T690" s="27"/>
      <c r="U690" s="24"/>
      <c r="V690" s="28" t="s">
        <v>32</v>
      </c>
      <c r="W690" s="29" t="s">
        <v>22</v>
      </c>
      <c r="X690" s="37" t="s">
        <v>550</v>
      </c>
      <c r="Y690" s="31"/>
      <c r="Z690" s="26" t="str">
        <f t="shared" si="5"/>
        <v/>
      </c>
      <c r="AA690" s="26" t="str">
        <f t="shared" si="6"/>
        <v/>
      </c>
      <c r="AB690" s="32" t="str">
        <f t="shared" si="7"/>
        <v/>
      </c>
      <c r="AC690" s="32" t="str">
        <f t="shared" ref="AC690:AG690" si="694">IF(J690&lt;&gt;"", IF(AND($P690=FALSE, $A690=FALSE), -J690, IF(AND($P690=FALSE, $A690=TRUE), 0, IF($P690=TRUE, (J690 / $R690) * 100 * ($S690 / 100)-J690, ))), )</f>
        <v/>
      </c>
      <c r="AD690" s="32" t="str">
        <f t="shared" si="694"/>
        <v/>
      </c>
      <c r="AE690" s="32" t="str">
        <f t="shared" si="694"/>
        <v/>
      </c>
      <c r="AF690" s="32" t="str">
        <f t="shared" si="694"/>
        <v/>
      </c>
      <c r="AG690" s="32" t="str">
        <f t="shared" si="694"/>
        <v/>
      </c>
      <c r="AH690" s="33"/>
    </row>
    <row r="691" hidden="1" outlineLevel="3">
      <c r="A691" s="16" t="b">
        <v>0</v>
      </c>
      <c r="B691" s="17"/>
      <c r="C691" s="18"/>
      <c r="D691" s="34"/>
      <c r="E691" s="20"/>
      <c r="F691" s="19"/>
      <c r="G691" s="23"/>
      <c r="H691" s="23"/>
      <c r="I691" s="23"/>
      <c r="J691" s="23"/>
      <c r="K691" s="23"/>
      <c r="L691" s="23"/>
      <c r="M691" s="23"/>
      <c r="N691" s="23"/>
      <c r="O691" s="24"/>
      <c r="P691" s="16" t="b">
        <v>0</v>
      </c>
      <c r="Q691" s="24"/>
      <c r="R691" s="26"/>
      <c r="S691" s="26"/>
      <c r="T691" s="27"/>
      <c r="U691" s="24"/>
      <c r="V691" s="38" t="s">
        <v>29</v>
      </c>
      <c r="W691" s="29" t="s">
        <v>22</v>
      </c>
      <c r="X691" s="37" t="s">
        <v>373</v>
      </c>
      <c r="Y691" s="31"/>
      <c r="Z691" s="26" t="str">
        <f t="shared" si="5"/>
        <v/>
      </c>
      <c r="AA691" s="26" t="str">
        <f t="shared" si="6"/>
        <v/>
      </c>
      <c r="AB691" s="32" t="str">
        <f t="shared" si="7"/>
        <v/>
      </c>
      <c r="AC691" s="32" t="str">
        <f t="shared" ref="AC691:AG691" si="695">IF(J691&lt;&gt;"", IF(AND($P691=FALSE, $A691=FALSE), -J691, IF(AND($P691=FALSE, $A691=TRUE), 0, IF($P691=TRUE, (J691 / $R691) * 100 * ($S691 / 100)-J691, ))), )</f>
        <v/>
      </c>
      <c r="AD691" s="32" t="str">
        <f t="shared" si="695"/>
        <v/>
      </c>
      <c r="AE691" s="32" t="str">
        <f t="shared" si="695"/>
        <v/>
      </c>
      <c r="AF691" s="32" t="str">
        <f t="shared" si="695"/>
        <v/>
      </c>
      <c r="AG691" s="32" t="str">
        <f t="shared" si="695"/>
        <v/>
      </c>
      <c r="AH691" s="33"/>
    </row>
    <row r="692" hidden="1" outlineLevel="3">
      <c r="A692" s="16" t="b">
        <v>0</v>
      </c>
      <c r="B692" s="17"/>
      <c r="C692" s="18"/>
      <c r="D692" s="34"/>
      <c r="E692" s="20"/>
      <c r="F692" s="19"/>
      <c r="G692" s="23"/>
      <c r="H692" s="23"/>
      <c r="I692" s="23"/>
      <c r="J692" s="23"/>
      <c r="K692" s="23"/>
      <c r="L692" s="23"/>
      <c r="M692" s="23"/>
      <c r="N692" s="23"/>
      <c r="O692" s="24"/>
      <c r="P692" s="16" t="b">
        <v>0</v>
      </c>
      <c r="Q692" s="24"/>
      <c r="R692" s="26"/>
      <c r="S692" s="26"/>
      <c r="T692" s="27"/>
      <c r="U692" s="24"/>
      <c r="V692" s="38" t="s">
        <v>29</v>
      </c>
      <c r="W692" s="29" t="s">
        <v>22</v>
      </c>
      <c r="X692" s="37" t="s">
        <v>164</v>
      </c>
      <c r="Y692" s="31"/>
      <c r="Z692" s="26" t="str">
        <f t="shared" si="5"/>
        <v/>
      </c>
      <c r="AA692" s="26" t="str">
        <f t="shared" si="6"/>
        <v/>
      </c>
      <c r="AB692" s="32" t="str">
        <f t="shared" si="7"/>
        <v/>
      </c>
      <c r="AC692" s="32" t="str">
        <f t="shared" ref="AC692:AG692" si="696">IF(J692&lt;&gt;"", IF(AND($P692=FALSE, $A692=FALSE), -J692, IF(AND($P692=FALSE, $A692=TRUE), 0, IF($P692=TRUE, (J692 / $R692) * 100 * ($S692 / 100)-J692, ))), )</f>
        <v/>
      </c>
      <c r="AD692" s="32" t="str">
        <f t="shared" si="696"/>
        <v/>
      </c>
      <c r="AE692" s="32" t="str">
        <f t="shared" si="696"/>
        <v/>
      </c>
      <c r="AF692" s="32" t="str">
        <f t="shared" si="696"/>
        <v/>
      </c>
      <c r="AG692" s="32" t="str">
        <f t="shared" si="696"/>
        <v/>
      </c>
      <c r="AH692" s="33"/>
    </row>
    <row r="693" hidden="1" outlineLevel="3">
      <c r="A693" s="16" t="b">
        <v>0</v>
      </c>
      <c r="B693" s="17"/>
      <c r="C693" s="18"/>
      <c r="D693" s="34"/>
      <c r="E693" s="20"/>
      <c r="F693" s="19"/>
      <c r="G693" s="23"/>
      <c r="H693" s="23"/>
      <c r="I693" s="23"/>
      <c r="J693" s="23"/>
      <c r="K693" s="23"/>
      <c r="L693" s="23"/>
      <c r="M693" s="23"/>
      <c r="N693" s="23"/>
      <c r="O693" s="24"/>
      <c r="P693" s="16" t="b">
        <v>0</v>
      </c>
      <c r="Q693" s="24"/>
      <c r="R693" s="26"/>
      <c r="S693" s="26"/>
      <c r="T693" s="27"/>
      <c r="U693" s="24"/>
      <c r="V693" s="38" t="s">
        <v>29</v>
      </c>
      <c r="W693" s="29" t="s">
        <v>22</v>
      </c>
      <c r="X693" s="37" t="s">
        <v>551</v>
      </c>
      <c r="Y693" s="31"/>
      <c r="Z693" s="26" t="str">
        <f t="shared" si="5"/>
        <v/>
      </c>
      <c r="AA693" s="26" t="str">
        <f t="shared" si="6"/>
        <v/>
      </c>
      <c r="AB693" s="32" t="str">
        <f t="shared" si="7"/>
        <v/>
      </c>
      <c r="AC693" s="32" t="str">
        <f t="shared" ref="AC693:AG693" si="697">IF(J693&lt;&gt;"", IF(AND($P693=FALSE, $A693=FALSE), -J693, IF(AND($P693=FALSE, $A693=TRUE), 0, IF($P693=TRUE, (J693 / $R693) * 100 * ($S693 / 100)-J693, ))), )</f>
        <v/>
      </c>
      <c r="AD693" s="32" t="str">
        <f t="shared" si="697"/>
        <v/>
      </c>
      <c r="AE693" s="32" t="str">
        <f t="shared" si="697"/>
        <v/>
      </c>
      <c r="AF693" s="32" t="str">
        <f t="shared" si="697"/>
        <v/>
      </c>
      <c r="AG693" s="32" t="str">
        <f t="shared" si="697"/>
        <v/>
      </c>
      <c r="AH693" s="33"/>
    </row>
    <row r="694" hidden="1" outlineLevel="3">
      <c r="A694" s="16" t="b">
        <v>0</v>
      </c>
      <c r="B694" s="17"/>
      <c r="C694" s="18"/>
      <c r="D694" s="34"/>
      <c r="E694" s="20"/>
      <c r="F694" s="19"/>
      <c r="G694" s="23"/>
      <c r="H694" s="23"/>
      <c r="I694" s="23"/>
      <c r="J694" s="23"/>
      <c r="K694" s="23"/>
      <c r="L694" s="23"/>
      <c r="M694" s="23"/>
      <c r="N694" s="23"/>
      <c r="O694" s="24"/>
      <c r="P694" s="16" t="b">
        <v>0</v>
      </c>
      <c r="Q694" s="24"/>
      <c r="R694" s="26"/>
      <c r="S694" s="26"/>
      <c r="T694" s="27"/>
      <c r="U694" s="24"/>
      <c r="V694" s="38" t="s">
        <v>29</v>
      </c>
      <c r="W694" s="29" t="s">
        <v>22</v>
      </c>
      <c r="X694" s="37" t="s">
        <v>552</v>
      </c>
      <c r="Y694" s="31"/>
      <c r="Z694" s="26" t="str">
        <f t="shared" si="5"/>
        <v/>
      </c>
      <c r="AA694" s="26" t="str">
        <f t="shared" si="6"/>
        <v/>
      </c>
      <c r="AB694" s="32" t="str">
        <f t="shared" si="7"/>
        <v/>
      </c>
      <c r="AC694" s="32" t="str">
        <f t="shared" ref="AC694:AG694" si="698">IF(J694&lt;&gt;"", IF(AND($P694=FALSE, $A694=FALSE), -J694, IF(AND($P694=FALSE, $A694=TRUE), 0, IF($P694=TRUE, (J694 / $R694) * 100 * ($S694 / 100)-J694, ))), )</f>
        <v/>
      </c>
      <c r="AD694" s="32" t="str">
        <f t="shared" si="698"/>
        <v/>
      </c>
      <c r="AE694" s="32" t="str">
        <f t="shared" si="698"/>
        <v/>
      </c>
      <c r="AF694" s="32" t="str">
        <f t="shared" si="698"/>
        <v/>
      </c>
      <c r="AG694" s="32" t="str">
        <f t="shared" si="698"/>
        <v/>
      </c>
      <c r="AH694" s="33"/>
    </row>
    <row r="695" hidden="1" outlineLevel="2">
      <c r="A695" s="16" t="b">
        <v>0</v>
      </c>
      <c r="B695" s="17"/>
      <c r="C695" s="18"/>
      <c r="D695" s="41">
        <v>45255.0</v>
      </c>
      <c r="E695" s="20" t="s">
        <v>60</v>
      </c>
      <c r="F695" s="21" t="s">
        <v>61</v>
      </c>
      <c r="G695" s="23">
        <v>2.0</v>
      </c>
      <c r="H695" s="23">
        <v>1.0</v>
      </c>
      <c r="I695" s="23">
        <v>3.0</v>
      </c>
      <c r="J695" s="23"/>
      <c r="K695" s="23"/>
      <c r="L695" s="23"/>
      <c r="M695" s="23"/>
      <c r="N695" s="23"/>
      <c r="O695" s="24"/>
      <c r="P695" s="16" t="b">
        <v>0</v>
      </c>
      <c r="Q695" s="24"/>
      <c r="R695" s="26">
        <v>6.0</v>
      </c>
      <c r="S695" s="26">
        <v>16.33</v>
      </c>
      <c r="T695" s="27" t="s">
        <v>439</v>
      </c>
      <c r="U695" s="24"/>
      <c r="V695" s="28"/>
      <c r="W695" s="29"/>
      <c r="X695" s="30"/>
      <c r="Y695" s="31"/>
      <c r="Z695" s="26">
        <f t="shared" si="5"/>
        <v>-2</v>
      </c>
      <c r="AA695" s="26">
        <f t="shared" si="6"/>
        <v>-3</v>
      </c>
      <c r="AB695" s="32">
        <f t="shared" si="7"/>
        <v>-1</v>
      </c>
      <c r="AC695" s="32" t="str">
        <f t="shared" ref="AC695:AG695" si="699">IF(J695&lt;&gt;"", IF(AND($P695=FALSE, $A695=FALSE), -J695, IF(AND($P695=FALSE, $A695=TRUE), 0, IF($P695=TRUE, (J695 / $R695) * 100 * ($S695 / 100)-J695, ))), )</f>
        <v/>
      </c>
      <c r="AD695" s="32" t="str">
        <f t="shared" si="699"/>
        <v/>
      </c>
      <c r="AE695" s="32" t="str">
        <f t="shared" si="699"/>
        <v/>
      </c>
      <c r="AF695" s="32" t="str">
        <f t="shared" si="699"/>
        <v/>
      </c>
      <c r="AG695" s="32" t="str">
        <f t="shared" si="699"/>
        <v/>
      </c>
      <c r="AH695" s="33"/>
    </row>
    <row r="696" hidden="1" outlineLevel="3">
      <c r="A696" s="16" t="b">
        <v>0</v>
      </c>
      <c r="B696" s="17"/>
      <c r="C696" s="18"/>
      <c r="D696" s="34"/>
      <c r="E696" s="20"/>
      <c r="F696" s="19"/>
      <c r="G696" s="23"/>
      <c r="H696" s="23"/>
      <c r="I696" s="23"/>
      <c r="J696" s="23"/>
      <c r="K696" s="23"/>
      <c r="L696" s="23"/>
      <c r="M696" s="23"/>
      <c r="N696" s="23"/>
      <c r="O696" s="24"/>
      <c r="P696" s="16" t="b">
        <v>0</v>
      </c>
      <c r="Q696" s="24"/>
      <c r="R696" s="26"/>
      <c r="S696" s="26"/>
      <c r="T696" s="27"/>
      <c r="U696" s="24"/>
      <c r="V696" s="28" t="s">
        <v>32</v>
      </c>
      <c r="W696" s="29" t="s">
        <v>22</v>
      </c>
      <c r="X696" s="37" t="s">
        <v>465</v>
      </c>
      <c r="Y696" s="31"/>
      <c r="Z696" s="26" t="str">
        <f t="shared" si="5"/>
        <v/>
      </c>
      <c r="AA696" s="26" t="str">
        <f t="shared" si="6"/>
        <v/>
      </c>
      <c r="AB696" s="32" t="str">
        <f t="shared" si="7"/>
        <v/>
      </c>
      <c r="AC696" s="32" t="str">
        <f t="shared" ref="AC696:AG696" si="700">IF(J696&lt;&gt;"", IF(AND($P696=FALSE, $A696=FALSE), -J696, IF(AND($P696=FALSE, $A696=TRUE), 0, IF($P696=TRUE, (J696 / $R696) * 100 * ($S696 / 100)-J696, ))), )</f>
        <v/>
      </c>
      <c r="AD696" s="32" t="str">
        <f t="shared" si="700"/>
        <v/>
      </c>
      <c r="AE696" s="32" t="str">
        <f t="shared" si="700"/>
        <v/>
      </c>
      <c r="AF696" s="32" t="str">
        <f t="shared" si="700"/>
        <v/>
      </c>
      <c r="AG696" s="32" t="str">
        <f t="shared" si="700"/>
        <v/>
      </c>
      <c r="AH696" s="33"/>
    </row>
    <row r="697" hidden="1" outlineLevel="3">
      <c r="A697" s="16" t="b">
        <v>0</v>
      </c>
      <c r="B697" s="17"/>
      <c r="C697" s="18"/>
      <c r="D697" s="34"/>
      <c r="E697" s="20"/>
      <c r="F697" s="19"/>
      <c r="G697" s="23"/>
      <c r="H697" s="23"/>
      <c r="I697" s="23"/>
      <c r="J697" s="23"/>
      <c r="K697" s="23"/>
      <c r="L697" s="23"/>
      <c r="M697" s="23"/>
      <c r="N697" s="23"/>
      <c r="O697" s="24"/>
      <c r="P697" s="16" t="b">
        <v>0</v>
      </c>
      <c r="Q697" s="24"/>
      <c r="R697" s="26"/>
      <c r="S697" s="26"/>
      <c r="T697" s="27"/>
      <c r="U697" s="24"/>
      <c r="V697" s="28" t="s">
        <v>32</v>
      </c>
      <c r="W697" s="29" t="s">
        <v>22</v>
      </c>
      <c r="X697" s="37" t="s">
        <v>553</v>
      </c>
      <c r="Y697" s="31"/>
      <c r="Z697" s="26" t="str">
        <f t="shared" si="5"/>
        <v/>
      </c>
      <c r="AA697" s="26" t="str">
        <f t="shared" si="6"/>
        <v/>
      </c>
      <c r="AB697" s="32" t="str">
        <f t="shared" si="7"/>
        <v/>
      </c>
      <c r="AC697" s="32" t="str">
        <f t="shared" ref="AC697:AG697" si="701">IF(J697&lt;&gt;"", IF(AND($P697=FALSE, $A697=FALSE), -J697, IF(AND($P697=FALSE, $A697=TRUE), 0, IF($P697=TRUE, (J697 / $R697) * 100 * ($S697 / 100)-J697, ))), )</f>
        <v/>
      </c>
      <c r="AD697" s="32" t="str">
        <f t="shared" si="701"/>
        <v/>
      </c>
      <c r="AE697" s="32" t="str">
        <f t="shared" si="701"/>
        <v/>
      </c>
      <c r="AF697" s="32" t="str">
        <f t="shared" si="701"/>
        <v/>
      </c>
      <c r="AG697" s="32" t="str">
        <f t="shared" si="701"/>
        <v/>
      </c>
      <c r="AH697" s="33"/>
    </row>
    <row r="698" hidden="1" outlineLevel="3">
      <c r="A698" s="16" t="b">
        <v>0</v>
      </c>
      <c r="B698" s="17"/>
      <c r="C698" s="18"/>
      <c r="D698" s="34"/>
      <c r="E698" s="20"/>
      <c r="F698" s="19"/>
      <c r="G698" s="23"/>
      <c r="H698" s="23"/>
      <c r="I698" s="23"/>
      <c r="J698" s="23"/>
      <c r="K698" s="23"/>
      <c r="L698" s="23"/>
      <c r="M698" s="23"/>
      <c r="N698" s="23"/>
      <c r="O698" s="24"/>
      <c r="P698" s="16" t="b">
        <v>0</v>
      </c>
      <c r="Q698" s="24"/>
      <c r="R698" s="26"/>
      <c r="S698" s="26"/>
      <c r="T698" s="27"/>
      <c r="U698" s="24"/>
      <c r="V698" s="28" t="s">
        <v>32</v>
      </c>
      <c r="W698" s="29" t="s">
        <v>22</v>
      </c>
      <c r="X698" s="37" t="s">
        <v>554</v>
      </c>
      <c r="Y698" s="31"/>
      <c r="Z698" s="26" t="str">
        <f t="shared" si="5"/>
        <v/>
      </c>
      <c r="AA698" s="26" t="str">
        <f t="shared" si="6"/>
        <v/>
      </c>
      <c r="AB698" s="32" t="str">
        <f t="shared" si="7"/>
        <v/>
      </c>
      <c r="AC698" s="32" t="str">
        <f t="shared" ref="AC698:AG698" si="702">IF(J698&lt;&gt;"", IF(AND($P698=FALSE, $A698=FALSE), -J698, IF(AND($P698=FALSE, $A698=TRUE), 0, IF($P698=TRUE, (J698 / $R698) * 100 * ($S698 / 100)-J698, ))), )</f>
        <v/>
      </c>
      <c r="AD698" s="32" t="str">
        <f t="shared" si="702"/>
        <v/>
      </c>
      <c r="AE698" s="32" t="str">
        <f t="shared" si="702"/>
        <v/>
      </c>
      <c r="AF698" s="32" t="str">
        <f t="shared" si="702"/>
        <v/>
      </c>
      <c r="AG698" s="32" t="str">
        <f t="shared" si="702"/>
        <v/>
      </c>
      <c r="AH698" s="33"/>
    </row>
    <row r="699" hidden="1" outlineLevel="1" collapsed="1">
      <c r="A699" s="71" t="b">
        <v>0</v>
      </c>
      <c r="B699" s="17"/>
      <c r="C699" s="18"/>
      <c r="D699" s="42">
        <v>45257.0</v>
      </c>
      <c r="E699" s="43" t="s">
        <v>24</v>
      </c>
      <c r="F699" s="44" t="s">
        <v>481</v>
      </c>
      <c r="G699" s="45">
        <v>3.0</v>
      </c>
      <c r="H699" s="45">
        <v>1.5</v>
      </c>
      <c r="I699" s="45">
        <v>3.0</v>
      </c>
      <c r="J699" s="46"/>
      <c r="K699" s="46"/>
      <c r="L699" s="45"/>
      <c r="M699" s="46"/>
      <c r="N699" s="46"/>
      <c r="O699" s="47"/>
      <c r="P699" s="71" t="b">
        <v>1</v>
      </c>
      <c r="Q699" s="24"/>
      <c r="R699" s="48">
        <v>7.5</v>
      </c>
      <c r="S699" s="45">
        <v>21.74</v>
      </c>
      <c r="T699" s="49" t="s">
        <v>340</v>
      </c>
      <c r="U699" s="47"/>
      <c r="V699" s="28"/>
      <c r="W699" s="29"/>
      <c r="X699" s="30"/>
      <c r="Y699" s="72"/>
      <c r="Z699" s="26">
        <f t="shared" si="5"/>
        <v>5.696</v>
      </c>
      <c r="AA699" s="26">
        <f t="shared" si="6"/>
        <v>5.696</v>
      </c>
      <c r="AB699" s="32">
        <f t="shared" si="7"/>
        <v>2.848</v>
      </c>
      <c r="AC699" s="32" t="str">
        <f t="shared" ref="AC699:AG699" si="703">IF(J699&lt;&gt;"", IF(AND($P699=FALSE, $A699=FALSE), -J699, IF(AND($P699=FALSE, $A699=TRUE), 0, IF($P699=TRUE, (J699 / $R699) * 100 * ($S699 / 100)-J699, ))), )</f>
        <v/>
      </c>
      <c r="AD699" s="32" t="str">
        <f t="shared" si="703"/>
        <v/>
      </c>
      <c r="AE699" s="32" t="str">
        <f t="shared" si="703"/>
        <v/>
      </c>
      <c r="AF699" s="32" t="str">
        <f t="shared" si="703"/>
        <v/>
      </c>
      <c r="AG699" s="32" t="str">
        <f t="shared" si="703"/>
        <v/>
      </c>
      <c r="AH699" s="33"/>
    </row>
    <row r="700" hidden="1" outlineLevel="3">
      <c r="A700" s="16" t="b">
        <v>0</v>
      </c>
      <c r="B700" s="17"/>
      <c r="C700" s="18"/>
      <c r="D700" s="34"/>
      <c r="E700" s="20"/>
      <c r="F700" s="19"/>
      <c r="G700" s="23"/>
      <c r="H700" s="23"/>
      <c r="I700" s="23"/>
      <c r="J700" s="23"/>
      <c r="K700" s="23"/>
      <c r="L700" s="23"/>
      <c r="M700" s="23"/>
      <c r="N700" s="23"/>
      <c r="O700" s="24"/>
      <c r="P700" s="16" t="b">
        <v>0</v>
      </c>
      <c r="Q700" s="24"/>
      <c r="R700" s="26"/>
      <c r="S700" s="26"/>
      <c r="T700" s="27"/>
      <c r="U700" s="24"/>
      <c r="V700" s="38" t="s">
        <v>29</v>
      </c>
      <c r="W700" s="29" t="s">
        <v>22</v>
      </c>
      <c r="X700" s="37" t="s">
        <v>555</v>
      </c>
      <c r="Y700" s="31"/>
      <c r="Z700" s="26" t="str">
        <f t="shared" si="5"/>
        <v/>
      </c>
      <c r="AA700" s="26" t="str">
        <f t="shared" si="6"/>
        <v/>
      </c>
      <c r="AB700" s="32" t="str">
        <f t="shared" si="7"/>
        <v/>
      </c>
      <c r="AC700" s="32" t="str">
        <f t="shared" ref="AC700:AG700" si="704">IF(J700&lt;&gt;"", IF(AND($P700=FALSE, $A700=FALSE), -J700, IF(AND($P700=FALSE, $A700=TRUE), 0, IF($P700=TRUE, (J700 / $R700) * 100 * ($S700 / 100)-J700, ))), )</f>
        <v/>
      </c>
      <c r="AD700" s="32" t="str">
        <f t="shared" si="704"/>
        <v/>
      </c>
      <c r="AE700" s="32" t="str">
        <f t="shared" si="704"/>
        <v/>
      </c>
      <c r="AF700" s="32" t="str">
        <f t="shared" si="704"/>
        <v/>
      </c>
      <c r="AG700" s="32" t="str">
        <f t="shared" si="704"/>
        <v/>
      </c>
      <c r="AH700" s="33"/>
    </row>
    <row r="701" hidden="1" outlineLevel="3">
      <c r="A701" s="16" t="b">
        <v>0</v>
      </c>
      <c r="B701" s="17"/>
      <c r="C701" s="18"/>
      <c r="D701" s="34"/>
      <c r="E701" s="20"/>
      <c r="F701" s="19"/>
      <c r="G701" s="23"/>
      <c r="H701" s="23"/>
      <c r="I701" s="23"/>
      <c r="J701" s="23"/>
      <c r="K701" s="23"/>
      <c r="L701" s="23"/>
      <c r="M701" s="23"/>
      <c r="N701" s="23"/>
      <c r="O701" s="24"/>
      <c r="P701" s="16" t="b">
        <v>0</v>
      </c>
      <c r="Q701" s="24"/>
      <c r="R701" s="26"/>
      <c r="S701" s="26"/>
      <c r="T701" s="27"/>
      <c r="U701" s="24"/>
      <c r="V701" s="38" t="s">
        <v>29</v>
      </c>
      <c r="W701" s="29" t="s">
        <v>22</v>
      </c>
      <c r="X701" s="37" t="s">
        <v>556</v>
      </c>
      <c r="Y701" s="31"/>
      <c r="Z701" s="26" t="str">
        <f t="shared" si="5"/>
        <v/>
      </c>
      <c r="AA701" s="26" t="str">
        <f t="shared" si="6"/>
        <v/>
      </c>
      <c r="AB701" s="32" t="str">
        <f t="shared" si="7"/>
        <v/>
      </c>
      <c r="AC701" s="32" t="str">
        <f t="shared" ref="AC701:AG701" si="705">IF(J701&lt;&gt;"", IF(AND($P701=FALSE, $A701=FALSE), -J701, IF(AND($P701=FALSE, $A701=TRUE), 0, IF($P701=TRUE, (J701 / $R701) * 100 * ($S701 / 100)-J701, ))), )</f>
        <v/>
      </c>
      <c r="AD701" s="32" t="str">
        <f t="shared" si="705"/>
        <v/>
      </c>
      <c r="AE701" s="32" t="str">
        <f t="shared" si="705"/>
        <v/>
      </c>
      <c r="AF701" s="32" t="str">
        <f t="shared" si="705"/>
        <v/>
      </c>
      <c r="AG701" s="32" t="str">
        <f t="shared" si="705"/>
        <v/>
      </c>
      <c r="AH701" s="33"/>
    </row>
    <row r="702" hidden="1" outlineLevel="3">
      <c r="A702" s="16" t="b">
        <v>0</v>
      </c>
      <c r="B702" s="17"/>
      <c r="C702" s="18"/>
      <c r="D702" s="34"/>
      <c r="E702" s="20"/>
      <c r="F702" s="19"/>
      <c r="G702" s="23"/>
      <c r="H702" s="23"/>
      <c r="I702" s="23"/>
      <c r="J702" s="23"/>
      <c r="K702" s="23"/>
      <c r="L702" s="23"/>
      <c r="M702" s="23"/>
      <c r="N702" s="23"/>
      <c r="O702" s="24"/>
      <c r="P702" s="16" t="b">
        <v>0</v>
      </c>
      <c r="Q702" s="24"/>
      <c r="R702" s="26"/>
      <c r="S702" s="26"/>
      <c r="T702" s="27"/>
      <c r="U702" s="24"/>
      <c r="V702" s="38" t="s">
        <v>29</v>
      </c>
      <c r="W702" s="29" t="s">
        <v>22</v>
      </c>
      <c r="X702" s="37" t="s">
        <v>557</v>
      </c>
      <c r="Y702" s="31"/>
      <c r="Z702" s="26" t="str">
        <f t="shared" si="5"/>
        <v/>
      </c>
      <c r="AA702" s="26" t="str">
        <f t="shared" si="6"/>
        <v/>
      </c>
      <c r="AB702" s="32" t="str">
        <f t="shared" si="7"/>
        <v/>
      </c>
      <c r="AC702" s="32" t="str">
        <f t="shared" ref="AC702:AG702" si="706">IF(J702&lt;&gt;"", IF(AND($P702=FALSE, $A702=FALSE), -J702, IF(AND($P702=FALSE, $A702=TRUE), 0, IF($P702=TRUE, (J702 / $R702) * 100 * ($S702 / 100)-J702, ))), )</f>
        <v/>
      </c>
      <c r="AD702" s="32" t="str">
        <f t="shared" si="706"/>
        <v/>
      </c>
      <c r="AE702" s="32" t="str">
        <f t="shared" si="706"/>
        <v/>
      </c>
      <c r="AF702" s="32" t="str">
        <f t="shared" si="706"/>
        <v/>
      </c>
      <c r="AG702" s="32" t="str">
        <f t="shared" si="706"/>
        <v/>
      </c>
      <c r="AH702" s="33"/>
    </row>
    <row r="703" hidden="1" outlineLevel="3">
      <c r="A703" s="16" t="b">
        <v>0</v>
      </c>
      <c r="B703" s="17"/>
      <c r="C703" s="18"/>
      <c r="D703" s="34"/>
      <c r="E703" s="20"/>
      <c r="F703" s="19"/>
      <c r="G703" s="23"/>
      <c r="H703" s="23"/>
      <c r="I703" s="23"/>
      <c r="J703" s="23"/>
      <c r="K703" s="23"/>
      <c r="L703" s="23"/>
      <c r="M703" s="23"/>
      <c r="N703" s="23"/>
      <c r="O703" s="24"/>
      <c r="P703" s="16" t="b">
        <v>0</v>
      </c>
      <c r="Q703" s="24"/>
      <c r="R703" s="26"/>
      <c r="S703" s="26"/>
      <c r="T703" s="27"/>
      <c r="U703" s="24"/>
      <c r="V703" s="38" t="s">
        <v>29</v>
      </c>
      <c r="W703" s="29" t="s">
        <v>22</v>
      </c>
      <c r="X703" s="37" t="s">
        <v>109</v>
      </c>
      <c r="Y703" s="31"/>
      <c r="Z703" s="26" t="str">
        <f t="shared" si="5"/>
        <v/>
      </c>
      <c r="AA703" s="26" t="str">
        <f t="shared" si="6"/>
        <v/>
      </c>
      <c r="AB703" s="32" t="str">
        <f t="shared" si="7"/>
        <v/>
      </c>
      <c r="AC703" s="32" t="str">
        <f t="shared" ref="AC703:AG703" si="707">IF(J703&lt;&gt;"", IF(AND($P703=FALSE, $A703=FALSE), -J703, IF(AND($P703=FALSE, $A703=TRUE), 0, IF($P703=TRUE, (J703 / $R703) * 100 * ($S703 / 100)-J703, ))), )</f>
        <v/>
      </c>
      <c r="AD703" s="32" t="str">
        <f t="shared" si="707"/>
        <v/>
      </c>
      <c r="AE703" s="32" t="str">
        <f t="shared" si="707"/>
        <v/>
      </c>
      <c r="AF703" s="32" t="str">
        <f t="shared" si="707"/>
        <v/>
      </c>
      <c r="AG703" s="32" t="str">
        <f t="shared" si="707"/>
        <v/>
      </c>
      <c r="AH703" s="33"/>
    </row>
    <row r="704" hidden="1" outlineLevel="2" collapsed="1">
      <c r="A704" s="71" t="b">
        <v>0</v>
      </c>
      <c r="B704" s="17"/>
      <c r="C704" s="18"/>
      <c r="D704" s="42">
        <v>45257.0</v>
      </c>
      <c r="E704" s="43" t="s">
        <v>24</v>
      </c>
      <c r="F704" s="44" t="s">
        <v>481</v>
      </c>
      <c r="G704" s="45">
        <v>2.0</v>
      </c>
      <c r="H704" s="45">
        <v>1.0</v>
      </c>
      <c r="I704" s="45">
        <v>3.0</v>
      </c>
      <c r="J704" s="46"/>
      <c r="K704" s="46"/>
      <c r="L704" s="45"/>
      <c r="M704" s="46"/>
      <c r="N704" s="46"/>
      <c r="O704" s="47"/>
      <c r="P704" s="71" t="b">
        <v>0</v>
      </c>
      <c r="Q704" s="24"/>
      <c r="R704" s="48">
        <v>6.0</v>
      </c>
      <c r="S704" s="45">
        <v>44.58</v>
      </c>
      <c r="T704" s="49" t="s">
        <v>558</v>
      </c>
      <c r="U704" s="47"/>
      <c r="V704" s="28"/>
      <c r="W704" s="29"/>
      <c r="X704" s="30"/>
      <c r="Y704" s="72"/>
      <c r="Z704" s="26">
        <f t="shared" si="5"/>
        <v>-2</v>
      </c>
      <c r="AA704" s="26">
        <f t="shared" si="6"/>
        <v>-3</v>
      </c>
      <c r="AB704" s="32">
        <f t="shared" si="7"/>
        <v>-1</v>
      </c>
      <c r="AC704" s="32" t="str">
        <f t="shared" ref="AC704:AG704" si="708">IF(J704&lt;&gt;"", IF(AND($P704=FALSE, $A704=FALSE), -J704, IF(AND($P704=FALSE, $A704=TRUE), 0, IF($P704=TRUE, (J704 / $R704) * 100 * ($S704 / 100)-J704, ))), )</f>
        <v/>
      </c>
      <c r="AD704" s="32" t="str">
        <f t="shared" si="708"/>
        <v/>
      </c>
      <c r="AE704" s="32" t="str">
        <f t="shared" si="708"/>
        <v/>
      </c>
      <c r="AF704" s="32" t="str">
        <f t="shared" si="708"/>
        <v/>
      </c>
      <c r="AG704" s="32" t="str">
        <f t="shared" si="708"/>
        <v/>
      </c>
      <c r="AH704" s="33"/>
    </row>
    <row r="705" hidden="1" outlineLevel="3">
      <c r="A705" s="16" t="b">
        <v>0</v>
      </c>
      <c r="B705" s="17"/>
      <c r="C705" s="18"/>
      <c r="D705" s="34"/>
      <c r="E705" s="20"/>
      <c r="F705" s="19"/>
      <c r="G705" s="23"/>
      <c r="H705" s="23"/>
      <c r="I705" s="23"/>
      <c r="J705" s="23"/>
      <c r="K705" s="23"/>
      <c r="L705" s="23"/>
      <c r="M705" s="23"/>
      <c r="N705" s="23"/>
      <c r="O705" s="24"/>
      <c r="P705" s="16" t="b">
        <v>0</v>
      </c>
      <c r="Q705" s="24"/>
      <c r="R705" s="26"/>
      <c r="S705" s="26"/>
      <c r="T705" s="27"/>
      <c r="U705" s="24"/>
      <c r="V705" s="28" t="s">
        <v>32</v>
      </c>
      <c r="W705" s="29" t="s">
        <v>22</v>
      </c>
      <c r="X705" s="37" t="s">
        <v>559</v>
      </c>
      <c r="Y705" s="31"/>
      <c r="Z705" s="26" t="str">
        <f t="shared" si="5"/>
        <v/>
      </c>
      <c r="AA705" s="26" t="str">
        <f t="shared" si="6"/>
        <v/>
      </c>
      <c r="AB705" s="32" t="str">
        <f t="shared" si="7"/>
        <v/>
      </c>
      <c r="AC705" s="32" t="str">
        <f t="shared" ref="AC705:AG705" si="709">IF(J705&lt;&gt;"", IF(AND($P705=FALSE, $A705=FALSE), -J705, IF(AND($P705=FALSE, $A705=TRUE), 0, IF($P705=TRUE, (J705 / $R705) * 100 * ($S705 / 100)-J705, ))), )</f>
        <v/>
      </c>
      <c r="AD705" s="32" t="str">
        <f t="shared" si="709"/>
        <v/>
      </c>
      <c r="AE705" s="32" t="str">
        <f t="shared" si="709"/>
        <v/>
      </c>
      <c r="AF705" s="32" t="str">
        <f t="shared" si="709"/>
        <v/>
      </c>
      <c r="AG705" s="32" t="str">
        <f t="shared" si="709"/>
        <v/>
      </c>
      <c r="AH705" s="33"/>
    </row>
    <row r="706" hidden="1" outlineLevel="3">
      <c r="A706" s="16" t="b">
        <v>0</v>
      </c>
      <c r="B706" s="17"/>
      <c r="C706" s="18"/>
      <c r="D706" s="34"/>
      <c r="E706" s="20"/>
      <c r="F706" s="19"/>
      <c r="G706" s="23"/>
      <c r="H706" s="23"/>
      <c r="I706" s="23"/>
      <c r="J706" s="23"/>
      <c r="K706" s="23"/>
      <c r="L706" s="23"/>
      <c r="M706" s="23"/>
      <c r="N706" s="23"/>
      <c r="O706" s="24"/>
      <c r="P706" s="16" t="b">
        <v>0</v>
      </c>
      <c r="Q706" s="24"/>
      <c r="R706" s="26"/>
      <c r="S706" s="26"/>
      <c r="T706" s="27"/>
      <c r="U706" s="24"/>
      <c r="V706" s="38" t="s">
        <v>29</v>
      </c>
      <c r="W706" s="29" t="s">
        <v>22</v>
      </c>
      <c r="X706" s="37" t="s">
        <v>560</v>
      </c>
      <c r="Y706" s="31"/>
      <c r="Z706" s="26" t="str">
        <f t="shared" si="5"/>
        <v/>
      </c>
      <c r="AA706" s="26" t="str">
        <f t="shared" si="6"/>
        <v/>
      </c>
      <c r="AB706" s="32" t="str">
        <f t="shared" si="7"/>
        <v/>
      </c>
      <c r="AC706" s="32" t="str">
        <f t="shared" ref="AC706:AG706" si="710">IF(J706&lt;&gt;"", IF(AND($P706=FALSE, $A706=FALSE), -J706, IF(AND($P706=FALSE, $A706=TRUE), 0, IF($P706=TRUE, (J706 / $R706) * 100 * ($S706 / 100)-J706, ))), )</f>
        <v/>
      </c>
      <c r="AD706" s="32" t="str">
        <f t="shared" si="710"/>
        <v/>
      </c>
      <c r="AE706" s="32" t="str">
        <f t="shared" si="710"/>
        <v/>
      </c>
      <c r="AF706" s="32" t="str">
        <f t="shared" si="710"/>
        <v/>
      </c>
      <c r="AG706" s="32" t="str">
        <f t="shared" si="710"/>
        <v/>
      </c>
      <c r="AH706" s="33"/>
    </row>
    <row r="707" hidden="1" outlineLevel="3">
      <c r="A707" s="16" t="b">
        <v>0</v>
      </c>
      <c r="B707" s="17"/>
      <c r="C707" s="18"/>
      <c r="D707" s="34"/>
      <c r="E707" s="20"/>
      <c r="F707" s="19"/>
      <c r="G707" s="23"/>
      <c r="H707" s="23"/>
      <c r="I707" s="23"/>
      <c r="J707" s="23"/>
      <c r="K707" s="23"/>
      <c r="L707" s="23"/>
      <c r="M707" s="23"/>
      <c r="N707" s="23"/>
      <c r="O707" s="24"/>
      <c r="P707" s="16" t="b">
        <v>0</v>
      </c>
      <c r="Q707" s="24"/>
      <c r="R707" s="26"/>
      <c r="S707" s="26"/>
      <c r="T707" s="27"/>
      <c r="U707" s="24"/>
      <c r="V707" s="38" t="s">
        <v>29</v>
      </c>
      <c r="W707" s="29" t="s">
        <v>22</v>
      </c>
      <c r="X707" s="37" t="s">
        <v>561</v>
      </c>
      <c r="Y707" s="31"/>
      <c r="Z707" s="26" t="str">
        <f t="shared" si="5"/>
        <v/>
      </c>
      <c r="AA707" s="26" t="str">
        <f t="shared" si="6"/>
        <v/>
      </c>
      <c r="AB707" s="32" t="str">
        <f t="shared" si="7"/>
        <v/>
      </c>
      <c r="AC707" s="32" t="str">
        <f t="shared" ref="AC707:AG707" si="711">IF(J707&lt;&gt;"", IF(AND($P707=FALSE, $A707=FALSE), -J707, IF(AND($P707=FALSE, $A707=TRUE), 0, IF($P707=TRUE, (J707 / $R707) * 100 * ($S707 / 100)-J707, ))), )</f>
        <v/>
      </c>
      <c r="AD707" s="32" t="str">
        <f t="shared" si="711"/>
        <v/>
      </c>
      <c r="AE707" s="32" t="str">
        <f t="shared" si="711"/>
        <v/>
      </c>
      <c r="AF707" s="32" t="str">
        <f t="shared" si="711"/>
        <v/>
      </c>
      <c r="AG707" s="32" t="str">
        <f t="shared" si="711"/>
        <v/>
      </c>
      <c r="AH707" s="33"/>
    </row>
    <row r="708" hidden="1" outlineLevel="3">
      <c r="A708" s="16" t="b">
        <v>0</v>
      </c>
      <c r="B708" s="17"/>
      <c r="C708" s="18"/>
      <c r="D708" s="34"/>
      <c r="E708" s="20"/>
      <c r="F708" s="19"/>
      <c r="G708" s="23"/>
      <c r="H708" s="23"/>
      <c r="I708" s="23"/>
      <c r="J708" s="23"/>
      <c r="K708" s="23"/>
      <c r="L708" s="23"/>
      <c r="M708" s="23"/>
      <c r="N708" s="23"/>
      <c r="O708" s="24"/>
      <c r="P708" s="16" t="b">
        <v>0</v>
      </c>
      <c r="Q708" s="24"/>
      <c r="R708" s="50"/>
      <c r="S708" s="34"/>
      <c r="T708" s="27"/>
      <c r="U708" s="24"/>
      <c r="V708" s="38" t="s">
        <v>29</v>
      </c>
      <c r="W708" s="29" t="s">
        <v>22</v>
      </c>
      <c r="X708" s="37" t="s">
        <v>562</v>
      </c>
      <c r="Y708" s="31"/>
      <c r="Z708" s="26" t="str">
        <f t="shared" si="5"/>
        <v/>
      </c>
      <c r="AA708" s="26" t="str">
        <f t="shared" si="6"/>
        <v/>
      </c>
      <c r="AB708" s="32" t="str">
        <f t="shared" si="7"/>
        <v/>
      </c>
      <c r="AC708" s="32" t="str">
        <f t="shared" ref="AC708:AG708" si="712">IF(J708&lt;&gt;"", IF(AND($P708=FALSE, $A708=FALSE), -J708, IF(AND($P708=FALSE, $A708=TRUE), 0, IF($P708=TRUE, (J708 / $R708) * 100 * ($S708 / 100)-J708, ))), )</f>
        <v/>
      </c>
      <c r="AD708" s="32" t="str">
        <f t="shared" si="712"/>
        <v/>
      </c>
      <c r="AE708" s="32" t="str">
        <f t="shared" si="712"/>
        <v/>
      </c>
      <c r="AF708" s="32" t="str">
        <f t="shared" si="712"/>
        <v/>
      </c>
      <c r="AG708" s="32" t="str">
        <f t="shared" si="712"/>
        <v/>
      </c>
      <c r="AH708" s="33"/>
    </row>
    <row r="709" hidden="1" outlineLevel="2" collapsed="1">
      <c r="A709" s="71" t="b">
        <v>0</v>
      </c>
      <c r="B709" s="17"/>
      <c r="C709" s="18"/>
      <c r="D709" s="42">
        <v>45257.0</v>
      </c>
      <c r="E709" s="43" t="s">
        <v>24</v>
      </c>
      <c r="F709" s="44" t="s">
        <v>481</v>
      </c>
      <c r="G709" s="45">
        <v>2.0</v>
      </c>
      <c r="H709" s="45">
        <v>1.0</v>
      </c>
      <c r="I709" s="45">
        <v>3.0</v>
      </c>
      <c r="J709" s="46"/>
      <c r="K709" s="46"/>
      <c r="L709" s="45"/>
      <c r="M709" s="46"/>
      <c r="N709" s="46"/>
      <c r="O709" s="47"/>
      <c r="P709" s="71" t="b">
        <v>0</v>
      </c>
      <c r="Q709" s="24"/>
      <c r="R709" s="48">
        <v>6.0</v>
      </c>
      <c r="S709" s="45">
        <v>18.0</v>
      </c>
      <c r="T709" s="49" t="s">
        <v>55</v>
      </c>
      <c r="U709" s="47"/>
      <c r="V709" s="28"/>
      <c r="W709" s="29"/>
      <c r="X709" s="37"/>
      <c r="Y709" s="72"/>
      <c r="Z709" s="26">
        <f t="shared" si="5"/>
        <v>-2</v>
      </c>
      <c r="AA709" s="26">
        <f t="shared" si="6"/>
        <v>-3</v>
      </c>
      <c r="AB709" s="32">
        <f t="shared" si="7"/>
        <v>-1</v>
      </c>
      <c r="AC709" s="32" t="str">
        <f t="shared" ref="AC709:AG709" si="713">IF(J709&lt;&gt;"", IF(AND($P709=FALSE, $A709=FALSE), -J709, IF(AND($P709=FALSE, $A709=TRUE), 0, IF($P709=TRUE, (J709 / $R709) * 100 * ($S709 / 100)-J709, ))), )</f>
        <v/>
      </c>
      <c r="AD709" s="32" t="str">
        <f t="shared" si="713"/>
        <v/>
      </c>
      <c r="AE709" s="32" t="str">
        <f t="shared" si="713"/>
        <v/>
      </c>
      <c r="AF709" s="32" t="str">
        <f t="shared" si="713"/>
        <v/>
      </c>
      <c r="AG709" s="32" t="str">
        <f t="shared" si="713"/>
        <v/>
      </c>
      <c r="AH709" s="33"/>
    </row>
    <row r="710" hidden="1" outlineLevel="3">
      <c r="A710" s="16" t="b">
        <v>0</v>
      </c>
      <c r="B710" s="17"/>
      <c r="C710" s="18"/>
      <c r="D710" s="34"/>
      <c r="E710" s="20"/>
      <c r="F710" s="19"/>
      <c r="G710" s="23"/>
      <c r="H710" s="23"/>
      <c r="I710" s="23"/>
      <c r="J710" s="23"/>
      <c r="K710" s="23"/>
      <c r="L710" s="23"/>
      <c r="M710" s="23"/>
      <c r="N710" s="23"/>
      <c r="O710" s="24"/>
      <c r="P710" s="16" t="b">
        <v>0</v>
      </c>
      <c r="Q710" s="24"/>
      <c r="R710" s="50"/>
      <c r="S710" s="34"/>
      <c r="T710" s="27"/>
      <c r="U710" s="24"/>
      <c r="V710" s="38" t="s">
        <v>29</v>
      </c>
      <c r="W710" s="29" t="s">
        <v>22</v>
      </c>
      <c r="X710" s="37" t="s">
        <v>563</v>
      </c>
      <c r="Y710" s="31"/>
      <c r="Z710" s="26" t="str">
        <f t="shared" si="5"/>
        <v/>
      </c>
      <c r="AA710" s="26" t="str">
        <f t="shared" si="6"/>
        <v/>
      </c>
      <c r="AB710" s="32" t="str">
        <f t="shared" si="7"/>
        <v/>
      </c>
      <c r="AC710" s="32" t="str">
        <f t="shared" ref="AC710:AG710" si="714">IF(J710&lt;&gt;"", IF(AND($P710=FALSE, $A710=FALSE), -J710, IF(AND($P710=FALSE, $A710=TRUE), 0, IF($P710=TRUE, (J710 / $R710) * 100 * ($S710 / 100)-J710, ))), )</f>
        <v/>
      </c>
      <c r="AD710" s="32" t="str">
        <f t="shared" si="714"/>
        <v/>
      </c>
      <c r="AE710" s="32" t="str">
        <f t="shared" si="714"/>
        <v/>
      </c>
      <c r="AF710" s="32" t="str">
        <f t="shared" si="714"/>
        <v/>
      </c>
      <c r="AG710" s="32" t="str">
        <f t="shared" si="714"/>
        <v/>
      </c>
      <c r="AH710" s="33"/>
    </row>
    <row r="711" hidden="1" outlineLevel="3">
      <c r="A711" s="16" t="b">
        <v>0</v>
      </c>
      <c r="B711" s="17"/>
      <c r="C711" s="18"/>
      <c r="D711" s="34"/>
      <c r="E711" s="20"/>
      <c r="F711" s="19"/>
      <c r="G711" s="23"/>
      <c r="H711" s="23"/>
      <c r="I711" s="23"/>
      <c r="J711" s="23"/>
      <c r="K711" s="23"/>
      <c r="L711" s="23"/>
      <c r="M711" s="23"/>
      <c r="N711" s="23"/>
      <c r="O711" s="24"/>
      <c r="P711" s="16" t="b">
        <v>0</v>
      </c>
      <c r="Q711" s="24"/>
      <c r="R711" s="50"/>
      <c r="S711" s="34"/>
      <c r="T711" s="27"/>
      <c r="U711" s="24"/>
      <c r="V711" s="28" t="s">
        <v>32</v>
      </c>
      <c r="W711" s="29" t="s">
        <v>22</v>
      </c>
      <c r="X711" s="37" t="s">
        <v>564</v>
      </c>
      <c r="Y711" s="31"/>
      <c r="Z711" s="26" t="str">
        <f t="shared" si="5"/>
        <v/>
      </c>
      <c r="AA711" s="26" t="str">
        <f t="shared" si="6"/>
        <v/>
      </c>
      <c r="AB711" s="32" t="str">
        <f t="shared" si="7"/>
        <v/>
      </c>
      <c r="AC711" s="32" t="str">
        <f t="shared" ref="AC711:AG711" si="715">IF(J711&lt;&gt;"", IF(AND($P711=FALSE, $A711=FALSE), -J711, IF(AND($P711=FALSE, $A711=TRUE), 0, IF($P711=TRUE, (J711 / $R711) * 100 * ($S711 / 100)-J711, ))), )</f>
        <v/>
      </c>
      <c r="AD711" s="32" t="str">
        <f t="shared" si="715"/>
        <v/>
      </c>
      <c r="AE711" s="32" t="str">
        <f t="shared" si="715"/>
        <v/>
      </c>
      <c r="AF711" s="32" t="str">
        <f t="shared" si="715"/>
        <v/>
      </c>
      <c r="AG711" s="32" t="str">
        <f t="shared" si="715"/>
        <v/>
      </c>
      <c r="AH711" s="33"/>
    </row>
    <row r="712" hidden="1" outlineLevel="3">
      <c r="A712" s="16" t="b">
        <v>0</v>
      </c>
      <c r="B712" s="17"/>
      <c r="C712" s="18"/>
      <c r="D712" s="34"/>
      <c r="E712" s="20"/>
      <c r="F712" s="19"/>
      <c r="G712" s="23"/>
      <c r="H712" s="23"/>
      <c r="I712" s="23"/>
      <c r="J712" s="23"/>
      <c r="K712" s="23"/>
      <c r="L712" s="23"/>
      <c r="M712" s="23"/>
      <c r="N712" s="23"/>
      <c r="O712" s="24"/>
      <c r="P712" s="16" t="b">
        <v>0</v>
      </c>
      <c r="Q712" s="24"/>
      <c r="R712" s="50"/>
      <c r="S712" s="34"/>
      <c r="T712" s="27"/>
      <c r="U712" s="24"/>
      <c r="V712" s="28" t="s">
        <v>32</v>
      </c>
      <c r="W712" s="29" t="s">
        <v>22</v>
      </c>
      <c r="X712" s="37" t="s">
        <v>565</v>
      </c>
      <c r="Y712" s="31"/>
      <c r="Z712" s="26" t="str">
        <f t="shared" si="5"/>
        <v/>
      </c>
      <c r="AA712" s="26" t="str">
        <f t="shared" si="6"/>
        <v/>
      </c>
      <c r="AB712" s="32" t="str">
        <f t="shared" si="7"/>
        <v/>
      </c>
      <c r="AC712" s="32" t="str">
        <f t="shared" ref="AC712:AG712" si="716">IF(J712&lt;&gt;"", IF(AND($P712=FALSE, $A712=FALSE), -J712, IF(AND($P712=FALSE, $A712=TRUE), 0, IF($P712=TRUE, (J712 / $R712) * 100 * ($S712 / 100)-J712, ))), )</f>
        <v/>
      </c>
      <c r="AD712" s="32" t="str">
        <f t="shared" si="716"/>
        <v/>
      </c>
      <c r="AE712" s="32" t="str">
        <f t="shared" si="716"/>
        <v/>
      </c>
      <c r="AF712" s="32" t="str">
        <f t="shared" si="716"/>
        <v/>
      </c>
      <c r="AG712" s="32" t="str">
        <f t="shared" si="716"/>
        <v/>
      </c>
      <c r="AH712" s="33"/>
    </row>
    <row r="713" hidden="1" outlineLevel="3">
      <c r="A713" s="16" t="b">
        <v>0</v>
      </c>
      <c r="B713" s="17"/>
      <c r="C713" s="18"/>
      <c r="D713" s="34"/>
      <c r="E713" s="20"/>
      <c r="F713" s="19"/>
      <c r="G713" s="23"/>
      <c r="H713" s="23"/>
      <c r="I713" s="23"/>
      <c r="J713" s="23"/>
      <c r="K713" s="23"/>
      <c r="L713" s="23"/>
      <c r="M713" s="23"/>
      <c r="N713" s="23"/>
      <c r="O713" s="24"/>
      <c r="P713" s="16" t="b">
        <v>0</v>
      </c>
      <c r="Q713" s="24"/>
      <c r="R713" s="50"/>
      <c r="S713" s="34"/>
      <c r="T713" s="27"/>
      <c r="U713" s="24"/>
      <c r="V713" s="38" t="s">
        <v>29</v>
      </c>
      <c r="W713" s="29" t="s">
        <v>22</v>
      </c>
      <c r="X713" s="37" t="s">
        <v>566</v>
      </c>
      <c r="Y713" s="31"/>
      <c r="Z713" s="26" t="str">
        <f t="shared" si="5"/>
        <v/>
      </c>
      <c r="AA713" s="26" t="str">
        <f t="shared" si="6"/>
        <v/>
      </c>
      <c r="AB713" s="32" t="str">
        <f t="shared" si="7"/>
        <v/>
      </c>
      <c r="AC713" s="32" t="str">
        <f t="shared" ref="AC713:AG713" si="717">IF(J713&lt;&gt;"", IF(AND($P713=FALSE, $A713=FALSE), -J713, IF(AND($P713=FALSE, $A713=TRUE), 0, IF($P713=TRUE, (J713 / $R713) * 100 * ($S713 / 100)-J713, ))), )</f>
        <v/>
      </c>
      <c r="AD713" s="32" t="str">
        <f t="shared" si="717"/>
        <v/>
      </c>
      <c r="AE713" s="32" t="str">
        <f t="shared" si="717"/>
        <v/>
      </c>
      <c r="AF713" s="32" t="str">
        <f t="shared" si="717"/>
        <v/>
      </c>
      <c r="AG713" s="32" t="str">
        <f t="shared" si="717"/>
        <v/>
      </c>
      <c r="AH713" s="33"/>
    </row>
    <row r="714" hidden="1" outlineLevel="2" collapsed="1">
      <c r="A714" s="16" t="b">
        <v>0</v>
      </c>
      <c r="B714" s="17"/>
      <c r="C714" s="18"/>
      <c r="D714" s="42">
        <v>45257.0</v>
      </c>
      <c r="E714" s="20" t="s">
        <v>60</v>
      </c>
      <c r="F714" s="21" t="s">
        <v>61</v>
      </c>
      <c r="G714" s="23">
        <v>2.0</v>
      </c>
      <c r="H714" s="23">
        <v>1.0</v>
      </c>
      <c r="I714" s="23">
        <v>3.0</v>
      </c>
      <c r="J714" s="23"/>
      <c r="K714" s="23"/>
      <c r="L714" s="23"/>
      <c r="M714" s="23"/>
      <c r="N714" s="23"/>
      <c r="O714" s="24"/>
      <c r="P714" s="16" t="b">
        <v>0</v>
      </c>
      <c r="Q714" s="24"/>
      <c r="R714" s="26">
        <v>6.0</v>
      </c>
      <c r="S714" s="26">
        <v>12.8</v>
      </c>
      <c r="T714" s="27" t="s">
        <v>567</v>
      </c>
      <c r="U714" s="24"/>
      <c r="V714" s="28"/>
      <c r="W714" s="29"/>
      <c r="X714" s="30"/>
      <c r="Y714" s="31"/>
      <c r="Z714" s="26">
        <f t="shared" si="5"/>
        <v>-2</v>
      </c>
      <c r="AA714" s="26">
        <f t="shared" si="6"/>
        <v>-3</v>
      </c>
      <c r="AB714" s="32">
        <f t="shared" si="7"/>
        <v>-1</v>
      </c>
      <c r="AC714" s="32" t="str">
        <f t="shared" ref="AC714:AG714" si="718">IF(J714&lt;&gt;"", IF(AND($P714=FALSE, $A714=FALSE), -J714, IF(AND($P714=FALSE, $A714=TRUE), 0, IF($P714=TRUE, (J714 / $R714) * 100 * ($S714 / 100)-J714, ))), )</f>
        <v/>
      </c>
      <c r="AD714" s="32" t="str">
        <f t="shared" si="718"/>
        <v/>
      </c>
      <c r="AE714" s="32" t="str">
        <f t="shared" si="718"/>
        <v/>
      </c>
      <c r="AF714" s="32" t="str">
        <f t="shared" si="718"/>
        <v/>
      </c>
      <c r="AG714" s="32" t="str">
        <f t="shared" si="718"/>
        <v/>
      </c>
      <c r="AH714" s="33"/>
    </row>
    <row r="715" hidden="1" outlineLevel="3">
      <c r="A715" s="16" t="b">
        <v>0</v>
      </c>
      <c r="B715" s="17"/>
      <c r="C715" s="18"/>
      <c r="D715" s="34"/>
      <c r="E715" s="20"/>
      <c r="F715" s="19"/>
      <c r="G715" s="23"/>
      <c r="H715" s="23"/>
      <c r="I715" s="23"/>
      <c r="J715" s="23"/>
      <c r="K715" s="23"/>
      <c r="L715" s="23"/>
      <c r="M715" s="23"/>
      <c r="N715" s="23"/>
      <c r="O715" s="24"/>
      <c r="P715" s="16" t="b">
        <v>0</v>
      </c>
      <c r="Q715" s="24"/>
      <c r="R715" s="50"/>
      <c r="S715" s="34"/>
      <c r="T715" s="27"/>
      <c r="U715" s="24"/>
      <c r="V715" s="38" t="s">
        <v>29</v>
      </c>
      <c r="W715" s="29" t="s">
        <v>22</v>
      </c>
      <c r="X715" s="37" t="s">
        <v>568</v>
      </c>
      <c r="Y715" s="31"/>
      <c r="Z715" s="26" t="str">
        <f t="shared" si="5"/>
        <v/>
      </c>
      <c r="AA715" s="26" t="str">
        <f t="shared" si="6"/>
        <v/>
      </c>
      <c r="AB715" s="32" t="str">
        <f t="shared" si="7"/>
        <v/>
      </c>
      <c r="AC715" s="32" t="str">
        <f t="shared" ref="AC715:AG715" si="719">IF(J715&lt;&gt;"", IF(AND($P715=FALSE, $A715=FALSE), -J715, IF(AND($P715=FALSE, $A715=TRUE), 0, IF($P715=TRUE, (J715 / $R715) * 100 * ($S715 / 100)-J715, ))), )</f>
        <v/>
      </c>
      <c r="AD715" s="32" t="str">
        <f t="shared" si="719"/>
        <v/>
      </c>
      <c r="AE715" s="32" t="str">
        <f t="shared" si="719"/>
        <v/>
      </c>
      <c r="AF715" s="32" t="str">
        <f t="shared" si="719"/>
        <v/>
      </c>
      <c r="AG715" s="32" t="str">
        <f t="shared" si="719"/>
        <v/>
      </c>
      <c r="AH715" s="33"/>
    </row>
    <row r="716" hidden="1" outlineLevel="3">
      <c r="A716" s="16" t="b">
        <v>0</v>
      </c>
      <c r="B716" s="17"/>
      <c r="C716" s="18"/>
      <c r="D716" s="34"/>
      <c r="E716" s="20"/>
      <c r="F716" s="19"/>
      <c r="G716" s="23"/>
      <c r="H716" s="23"/>
      <c r="I716" s="23"/>
      <c r="J716" s="23"/>
      <c r="K716" s="23"/>
      <c r="L716" s="23"/>
      <c r="M716" s="23"/>
      <c r="N716" s="23"/>
      <c r="O716" s="24"/>
      <c r="P716" s="16" t="b">
        <v>0</v>
      </c>
      <c r="Q716" s="24"/>
      <c r="R716" s="50"/>
      <c r="S716" s="34"/>
      <c r="T716" s="27"/>
      <c r="U716" s="24"/>
      <c r="V716" s="38" t="s">
        <v>29</v>
      </c>
      <c r="W716" s="29" t="s">
        <v>22</v>
      </c>
      <c r="X716" s="37" t="s">
        <v>569</v>
      </c>
      <c r="Y716" s="31"/>
      <c r="Z716" s="26" t="str">
        <f t="shared" si="5"/>
        <v/>
      </c>
      <c r="AA716" s="26" t="str">
        <f t="shared" si="6"/>
        <v/>
      </c>
      <c r="AB716" s="32" t="str">
        <f t="shared" si="7"/>
        <v/>
      </c>
      <c r="AC716" s="32" t="str">
        <f t="shared" ref="AC716:AG716" si="720">IF(J716&lt;&gt;"", IF(AND($P716=FALSE, $A716=FALSE), -J716, IF(AND($P716=FALSE, $A716=TRUE), 0, IF($P716=TRUE, (J716 / $R716) * 100 * ($S716 / 100)-J716, ))), )</f>
        <v/>
      </c>
      <c r="AD716" s="32" t="str">
        <f t="shared" si="720"/>
        <v/>
      </c>
      <c r="AE716" s="32" t="str">
        <f t="shared" si="720"/>
        <v/>
      </c>
      <c r="AF716" s="32" t="str">
        <f t="shared" si="720"/>
        <v/>
      </c>
      <c r="AG716" s="32" t="str">
        <f t="shared" si="720"/>
        <v/>
      </c>
      <c r="AH716" s="33"/>
    </row>
    <row r="717" hidden="1" outlineLevel="3">
      <c r="A717" s="16" t="b">
        <v>0</v>
      </c>
      <c r="B717" s="17"/>
      <c r="C717" s="18"/>
      <c r="D717" s="34"/>
      <c r="E717" s="20"/>
      <c r="F717" s="19"/>
      <c r="G717" s="23"/>
      <c r="H717" s="23"/>
      <c r="I717" s="23"/>
      <c r="J717" s="23"/>
      <c r="K717" s="23"/>
      <c r="L717" s="23"/>
      <c r="M717" s="23"/>
      <c r="N717" s="23"/>
      <c r="O717" s="24"/>
      <c r="P717" s="16" t="b">
        <v>0</v>
      </c>
      <c r="Q717" s="24"/>
      <c r="R717" s="50"/>
      <c r="S717" s="34"/>
      <c r="T717" s="27"/>
      <c r="U717" s="24"/>
      <c r="V717" s="28" t="s">
        <v>32</v>
      </c>
      <c r="W717" s="29" t="s">
        <v>22</v>
      </c>
      <c r="X717" s="37" t="s">
        <v>185</v>
      </c>
      <c r="Y717" s="31"/>
      <c r="Z717" s="26" t="str">
        <f t="shared" si="5"/>
        <v/>
      </c>
      <c r="AA717" s="26" t="str">
        <f t="shared" si="6"/>
        <v/>
      </c>
      <c r="AB717" s="32" t="str">
        <f t="shared" si="7"/>
        <v/>
      </c>
      <c r="AC717" s="32" t="str">
        <f t="shared" ref="AC717:AG717" si="721">IF(J717&lt;&gt;"", IF(AND($P717=FALSE, $A717=FALSE), -J717, IF(AND($P717=FALSE, $A717=TRUE), 0, IF($P717=TRUE, (J717 / $R717) * 100 * ($S717 / 100)-J717, ))), )</f>
        <v/>
      </c>
      <c r="AD717" s="32" t="str">
        <f t="shared" si="721"/>
        <v/>
      </c>
      <c r="AE717" s="32" t="str">
        <f t="shared" si="721"/>
        <v/>
      </c>
      <c r="AF717" s="32" t="str">
        <f t="shared" si="721"/>
        <v/>
      </c>
      <c r="AG717" s="32" t="str">
        <f t="shared" si="721"/>
        <v/>
      </c>
      <c r="AH717" s="33"/>
    </row>
    <row r="718" hidden="1" outlineLevel="2" collapsed="1">
      <c r="A718" s="16" t="b">
        <v>0</v>
      </c>
      <c r="B718" s="17"/>
      <c r="C718" s="18"/>
      <c r="D718" s="42">
        <v>45257.0</v>
      </c>
      <c r="E718" s="20" t="s">
        <v>60</v>
      </c>
      <c r="F718" s="21" t="s">
        <v>61</v>
      </c>
      <c r="G718" s="23">
        <v>2.0</v>
      </c>
      <c r="H718" s="23">
        <v>1.0</v>
      </c>
      <c r="I718" s="23">
        <v>3.0</v>
      </c>
      <c r="J718" s="23"/>
      <c r="K718" s="23"/>
      <c r="L718" s="23"/>
      <c r="M718" s="23"/>
      <c r="N718" s="23"/>
      <c r="O718" s="24"/>
      <c r="P718" s="16" t="b">
        <v>0</v>
      </c>
      <c r="Q718" s="24"/>
      <c r="R718" s="26">
        <v>6.0</v>
      </c>
      <c r="S718" s="26">
        <v>14.01</v>
      </c>
      <c r="T718" s="27" t="s">
        <v>139</v>
      </c>
      <c r="U718" s="24"/>
      <c r="V718" s="28"/>
      <c r="W718" s="29"/>
      <c r="X718" s="30"/>
      <c r="Y718" s="31"/>
      <c r="Z718" s="26">
        <f t="shared" si="5"/>
        <v>-2</v>
      </c>
      <c r="AA718" s="26">
        <f t="shared" si="6"/>
        <v>-3</v>
      </c>
      <c r="AB718" s="32">
        <f t="shared" si="7"/>
        <v>-1</v>
      </c>
      <c r="AC718" s="32" t="str">
        <f t="shared" ref="AC718:AG718" si="722">IF(J718&lt;&gt;"", IF(AND($P718=FALSE, $A718=FALSE), -J718, IF(AND($P718=FALSE, $A718=TRUE), 0, IF($P718=TRUE, (J718 / $R718) * 100 * ($S718 / 100)-J718, ))), )</f>
        <v/>
      </c>
      <c r="AD718" s="32" t="str">
        <f t="shared" si="722"/>
        <v/>
      </c>
      <c r="AE718" s="32" t="str">
        <f t="shared" si="722"/>
        <v/>
      </c>
      <c r="AF718" s="32" t="str">
        <f t="shared" si="722"/>
        <v/>
      </c>
      <c r="AG718" s="32" t="str">
        <f t="shared" si="722"/>
        <v/>
      </c>
      <c r="AH718" s="33"/>
    </row>
    <row r="719" hidden="1" outlineLevel="3">
      <c r="A719" s="16" t="b">
        <v>0</v>
      </c>
      <c r="B719" s="17"/>
      <c r="C719" s="18"/>
      <c r="D719" s="34"/>
      <c r="E719" s="20"/>
      <c r="F719" s="19"/>
      <c r="G719" s="23"/>
      <c r="H719" s="23"/>
      <c r="I719" s="23"/>
      <c r="J719" s="23"/>
      <c r="K719" s="23"/>
      <c r="L719" s="23"/>
      <c r="M719" s="23"/>
      <c r="N719" s="23"/>
      <c r="O719" s="24"/>
      <c r="P719" s="16" t="b">
        <v>0</v>
      </c>
      <c r="Q719" s="24"/>
      <c r="R719" s="50"/>
      <c r="S719" s="34"/>
      <c r="T719" s="27"/>
      <c r="U719" s="24"/>
      <c r="V719" s="38" t="s">
        <v>29</v>
      </c>
      <c r="W719" s="29" t="s">
        <v>22</v>
      </c>
      <c r="X719" s="37" t="s">
        <v>180</v>
      </c>
      <c r="Y719" s="31"/>
      <c r="Z719" s="26" t="str">
        <f t="shared" si="5"/>
        <v/>
      </c>
      <c r="AA719" s="26" t="str">
        <f t="shared" si="6"/>
        <v/>
      </c>
      <c r="AB719" s="32" t="str">
        <f t="shared" si="7"/>
        <v/>
      </c>
      <c r="AC719" s="32" t="str">
        <f t="shared" ref="AC719:AG719" si="723">IF(J719&lt;&gt;"", IF(AND($P719=FALSE, $A719=FALSE), -J719, IF(AND($P719=FALSE, $A719=TRUE), 0, IF($P719=TRUE, (J719 / $R719) * 100 * ($S719 / 100)-J719, ))), )</f>
        <v/>
      </c>
      <c r="AD719" s="32" t="str">
        <f t="shared" si="723"/>
        <v/>
      </c>
      <c r="AE719" s="32" t="str">
        <f t="shared" si="723"/>
        <v/>
      </c>
      <c r="AF719" s="32" t="str">
        <f t="shared" si="723"/>
        <v/>
      </c>
      <c r="AG719" s="32" t="str">
        <f t="shared" si="723"/>
        <v/>
      </c>
      <c r="AH719" s="33"/>
    </row>
    <row r="720" hidden="1" outlineLevel="3">
      <c r="A720" s="16" t="b">
        <v>0</v>
      </c>
      <c r="B720" s="17"/>
      <c r="C720" s="18"/>
      <c r="D720" s="34"/>
      <c r="E720" s="20"/>
      <c r="F720" s="19"/>
      <c r="G720" s="23"/>
      <c r="H720" s="23"/>
      <c r="I720" s="23"/>
      <c r="J720" s="23"/>
      <c r="K720" s="23"/>
      <c r="L720" s="23"/>
      <c r="M720" s="23"/>
      <c r="N720" s="23"/>
      <c r="O720" s="24"/>
      <c r="P720" s="16" t="b">
        <v>0</v>
      </c>
      <c r="Q720" s="24"/>
      <c r="R720" s="50"/>
      <c r="S720" s="34"/>
      <c r="T720" s="27"/>
      <c r="U720" s="24"/>
      <c r="V720" s="38" t="s">
        <v>29</v>
      </c>
      <c r="W720" s="29" t="s">
        <v>22</v>
      </c>
      <c r="X720" s="37" t="s">
        <v>179</v>
      </c>
      <c r="Y720" s="31"/>
      <c r="Z720" s="26" t="str">
        <f t="shared" si="5"/>
        <v/>
      </c>
      <c r="AA720" s="26" t="str">
        <f t="shared" si="6"/>
        <v/>
      </c>
      <c r="AB720" s="32" t="str">
        <f t="shared" si="7"/>
        <v/>
      </c>
      <c r="AC720" s="32" t="str">
        <f t="shared" ref="AC720:AG720" si="724">IF(J720&lt;&gt;"", IF(AND($P720=FALSE, $A720=FALSE), -J720, IF(AND($P720=FALSE, $A720=TRUE), 0, IF($P720=TRUE, (J720 / $R720) * 100 * ($S720 / 100)-J720, ))), )</f>
        <v/>
      </c>
      <c r="AD720" s="32" t="str">
        <f t="shared" si="724"/>
        <v/>
      </c>
      <c r="AE720" s="32" t="str">
        <f t="shared" si="724"/>
        <v/>
      </c>
      <c r="AF720" s="32" t="str">
        <f t="shared" si="724"/>
        <v/>
      </c>
      <c r="AG720" s="32" t="str">
        <f t="shared" si="724"/>
        <v/>
      </c>
      <c r="AH720" s="33"/>
    </row>
    <row r="721" hidden="1" outlineLevel="3">
      <c r="A721" s="16" t="b">
        <v>0</v>
      </c>
      <c r="B721" s="17"/>
      <c r="C721" s="18"/>
      <c r="D721" s="34"/>
      <c r="E721" s="20"/>
      <c r="F721" s="19"/>
      <c r="G721" s="23"/>
      <c r="H721" s="23"/>
      <c r="I721" s="23"/>
      <c r="J721" s="23"/>
      <c r="K721" s="23"/>
      <c r="L721" s="23"/>
      <c r="M721" s="23"/>
      <c r="N721" s="23"/>
      <c r="O721" s="24"/>
      <c r="P721" s="16" t="b">
        <v>0</v>
      </c>
      <c r="Q721" s="24"/>
      <c r="R721" s="50"/>
      <c r="S721" s="34"/>
      <c r="T721" s="27"/>
      <c r="U721" s="24"/>
      <c r="V721" s="28" t="s">
        <v>32</v>
      </c>
      <c r="W721" s="29" t="s">
        <v>22</v>
      </c>
      <c r="X721" s="37" t="s">
        <v>195</v>
      </c>
      <c r="Y721" s="31"/>
      <c r="Z721" s="26" t="str">
        <f t="shared" si="5"/>
        <v/>
      </c>
      <c r="AA721" s="26" t="str">
        <f t="shared" si="6"/>
        <v/>
      </c>
      <c r="AB721" s="32" t="str">
        <f t="shared" si="7"/>
        <v/>
      </c>
      <c r="AC721" s="32" t="str">
        <f t="shared" ref="AC721:AG721" si="725">IF(J721&lt;&gt;"", IF(AND($P721=FALSE, $A721=FALSE), -J721, IF(AND($P721=FALSE, $A721=TRUE), 0, IF($P721=TRUE, (J721 / $R721) * 100 * ($S721 / 100)-J721, ))), )</f>
        <v/>
      </c>
      <c r="AD721" s="32" t="str">
        <f t="shared" si="725"/>
        <v/>
      </c>
      <c r="AE721" s="32" t="str">
        <f t="shared" si="725"/>
        <v/>
      </c>
      <c r="AF721" s="32" t="str">
        <f t="shared" si="725"/>
        <v/>
      </c>
      <c r="AG721" s="32" t="str">
        <f t="shared" si="725"/>
        <v/>
      </c>
      <c r="AH721" s="33"/>
    </row>
    <row r="722" hidden="1" outlineLevel="3">
      <c r="A722" s="16" t="b">
        <v>0</v>
      </c>
      <c r="B722" s="17"/>
      <c r="C722" s="18"/>
      <c r="D722" s="34"/>
      <c r="E722" s="20"/>
      <c r="F722" s="19"/>
      <c r="G722" s="23"/>
      <c r="H722" s="23"/>
      <c r="I722" s="23"/>
      <c r="J722" s="23"/>
      <c r="K722" s="23"/>
      <c r="L722" s="23"/>
      <c r="M722" s="23"/>
      <c r="N722" s="23"/>
      <c r="O722" s="24"/>
      <c r="P722" s="16" t="b">
        <v>0</v>
      </c>
      <c r="Q722" s="24"/>
      <c r="R722" s="50"/>
      <c r="S722" s="34"/>
      <c r="T722" s="27"/>
      <c r="U722" s="24"/>
      <c r="V722" s="38" t="s">
        <v>29</v>
      </c>
      <c r="W722" s="29" t="s">
        <v>22</v>
      </c>
      <c r="X722" s="37" t="s">
        <v>198</v>
      </c>
      <c r="Y722" s="31"/>
      <c r="Z722" s="26" t="str">
        <f t="shared" si="5"/>
        <v/>
      </c>
      <c r="AA722" s="26" t="str">
        <f t="shared" si="6"/>
        <v/>
      </c>
      <c r="AB722" s="32" t="str">
        <f t="shared" si="7"/>
        <v/>
      </c>
      <c r="AC722" s="32" t="str">
        <f t="shared" ref="AC722:AG722" si="726">IF(J722&lt;&gt;"", IF(AND($P722=FALSE, $A722=FALSE), -J722, IF(AND($P722=FALSE, $A722=TRUE), 0, IF($P722=TRUE, (J722 / $R722) * 100 * ($S722 / 100)-J722, ))), )</f>
        <v/>
      </c>
      <c r="AD722" s="32" t="str">
        <f t="shared" si="726"/>
        <v/>
      </c>
      <c r="AE722" s="32" t="str">
        <f t="shared" si="726"/>
        <v/>
      </c>
      <c r="AF722" s="32" t="str">
        <f t="shared" si="726"/>
        <v/>
      </c>
      <c r="AG722" s="32" t="str">
        <f t="shared" si="726"/>
        <v/>
      </c>
      <c r="AH722" s="33"/>
    </row>
    <row r="723" hidden="1" outlineLevel="2" collapsed="1">
      <c r="A723" s="16" t="b">
        <v>0</v>
      </c>
      <c r="B723" s="17"/>
      <c r="C723" s="18"/>
      <c r="D723" s="67">
        <v>45257.0</v>
      </c>
      <c r="E723" s="43" t="s">
        <v>60</v>
      </c>
      <c r="F723" s="53" t="s">
        <v>61</v>
      </c>
      <c r="G723" s="48">
        <v>1.5</v>
      </c>
      <c r="H723" s="48">
        <v>0.5</v>
      </c>
      <c r="I723" s="45">
        <v>2.5</v>
      </c>
      <c r="J723" s="46"/>
      <c r="K723" s="46"/>
      <c r="L723" s="48"/>
      <c r="M723" s="46"/>
      <c r="N723" s="46"/>
      <c r="O723" s="47"/>
      <c r="P723" s="16" t="b">
        <v>1</v>
      </c>
      <c r="Q723" s="24"/>
      <c r="R723" s="48">
        <v>4.5</v>
      </c>
      <c r="S723" s="45">
        <v>10.98</v>
      </c>
      <c r="T723" s="49" t="s">
        <v>570</v>
      </c>
      <c r="U723" s="47"/>
      <c r="V723" s="28"/>
      <c r="W723" s="29"/>
      <c r="X723" s="30"/>
      <c r="Y723" s="31"/>
      <c r="Z723" s="26">
        <f t="shared" si="5"/>
        <v>2.16</v>
      </c>
      <c r="AA723" s="26">
        <f t="shared" si="6"/>
        <v>3.6</v>
      </c>
      <c r="AB723" s="32">
        <f t="shared" si="7"/>
        <v>0.72</v>
      </c>
      <c r="AC723" s="32" t="str">
        <f t="shared" ref="AC723:AG723" si="727">IF(J723&lt;&gt;"", IF(AND($P723=FALSE, $A723=FALSE), -J723, IF(AND($P723=FALSE, $A723=TRUE), 0, IF($P723=TRUE, (J723 / $R723) * 100 * ($S723 / 100)-J723, ))), )</f>
        <v/>
      </c>
      <c r="AD723" s="32" t="str">
        <f t="shared" si="727"/>
        <v/>
      </c>
      <c r="AE723" s="32" t="str">
        <f t="shared" si="727"/>
        <v/>
      </c>
      <c r="AF723" s="32" t="str">
        <f t="shared" si="727"/>
        <v/>
      </c>
      <c r="AG723" s="32" t="str">
        <f t="shared" si="727"/>
        <v/>
      </c>
      <c r="AH723" s="33"/>
    </row>
    <row r="724" hidden="1" outlineLevel="3">
      <c r="A724" s="16" t="b">
        <v>0</v>
      </c>
      <c r="B724" s="17"/>
      <c r="C724" s="18"/>
      <c r="D724" s="34"/>
      <c r="E724" s="20"/>
      <c r="F724" s="19"/>
      <c r="G724" s="23"/>
      <c r="H724" s="23"/>
      <c r="I724" s="23"/>
      <c r="J724" s="23"/>
      <c r="K724" s="23"/>
      <c r="L724" s="23"/>
      <c r="M724" s="23"/>
      <c r="N724" s="23"/>
      <c r="O724" s="24"/>
      <c r="P724" s="16" t="b">
        <v>0</v>
      </c>
      <c r="Q724" s="24"/>
      <c r="R724" s="50"/>
      <c r="S724" s="34"/>
      <c r="T724" s="27"/>
      <c r="U724" s="24"/>
      <c r="V724" s="38" t="s">
        <v>29</v>
      </c>
      <c r="W724" s="29" t="s">
        <v>22</v>
      </c>
      <c r="X724" s="37" t="s">
        <v>188</v>
      </c>
      <c r="Y724" s="31"/>
      <c r="Z724" s="26" t="str">
        <f t="shared" si="5"/>
        <v/>
      </c>
      <c r="AA724" s="26" t="str">
        <f t="shared" si="6"/>
        <v/>
      </c>
      <c r="AB724" s="32" t="str">
        <f t="shared" si="7"/>
        <v/>
      </c>
      <c r="AC724" s="32" t="str">
        <f t="shared" ref="AC724:AG724" si="728">IF(J724&lt;&gt;"", IF(AND($P724=FALSE, $A724=FALSE), -J724, IF(AND($P724=FALSE, $A724=TRUE), 0, IF($P724=TRUE, (J724 / $R724) * 100 * ($S724 / 100)-J724, ))), )</f>
        <v/>
      </c>
      <c r="AD724" s="32" t="str">
        <f t="shared" si="728"/>
        <v/>
      </c>
      <c r="AE724" s="32" t="str">
        <f t="shared" si="728"/>
        <v/>
      </c>
      <c r="AF724" s="32" t="str">
        <f t="shared" si="728"/>
        <v/>
      </c>
      <c r="AG724" s="32" t="str">
        <f t="shared" si="728"/>
        <v/>
      </c>
      <c r="AH724" s="33"/>
    </row>
    <row r="725" hidden="1" outlineLevel="3">
      <c r="A725" s="16" t="b">
        <v>0</v>
      </c>
      <c r="B725" s="17"/>
      <c r="C725" s="18"/>
      <c r="D725" s="34"/>
      <c r="E725" s="20"/>
      <c r="F725" s="19"/>
      <c r="G725" s="23"/>
      <c r="H725" s="23"/>
      <c r="I725" s="23"/>
      <c r="J725" s="23"/>
      <c r="K725" s="23"/>
      <c r="L725" s="23"/>
      <c r="M725" s="23"/>
      <c r="N725" s="23"/>
      <c r="O725" s="24"/>
      <c r="P725" s="16" t="b">
        <v>0</v>
      </c>
      <c r="Q725" s="24"/>
      <c r="R725" s="50"/>
      <c r="S725" s="34"/>
      <c r="T725" s="27"/>
      <c r="U725" s="24"/>
      <c r="V725" s="38" t="s">
        <v>29</v>
      </c>
      <c r="W725" s="29" t="s">
        <v>22</v>
      </c>
      <c r="X725" s="37" t="s">
        <v>571</v>
      </c>
      <c r="Y725" s="31"/>
      <c r="Z725" s="26" t="str">
        <f t="shared" si="5"/>
        <v/>
      </c>
      <c r="AA725" s="26" t="str">
        <f t="shared" si="6"/>
        <v/>
      </c>
      <c r="AB725" s="32" t="str">
        <f t="shared" si="7"/>
        <v/>
      </c>
      <c r="AC725" s="32" t="str">
        <f t="shared" ref="AC725:AG725" si="729">IF(J725&lt;&gt;"", IF(AND($P725=FALSE, $A725=FALSE), -J725, IF(AND($P725=FALSE, $A725=TRUE), 0, IF($P725=TRUE, (J725 / $R725) * 100 * ($S725 / 100)-J725, ))), )</f>
        <v/>
      </c>
      <c r="AD725" s="32" t="str">
        <f t="shared" si="729"/>
        <v/>
      </c>
      <c r="AE725" s="32" t="str">
        <f t="shared" si="729"/>
        <v/>
      </c>
      <c r="AF725" s="32" t="str">
        <f t="shared" si="729"/>
        <v/>
      </c>
      <c r="AG725" s="32" t="str">
        <f t="shared" si="729"/>
        <v/>
      </c>
      <c r="AH725" s="33"/>
    </row>
    <row r="726" hidden="1" outlineLevel="3">
      <c r="A726" s="16" t="b">
        <v>0</v>
      </c>
      <c r="B726" s="17"/>
      <c r="C726" s="18"/>
      <c r="D726" s="34"/>
      <c r="E726" s="20"/>
      <c r="F726" s="19"/>
      <c r="G726" s="23"/>
      <c r="H726" s="23"/>
      <c r="I726" s="23"/>
      <c r="J726" s="23"/>
      <c r="K726" s="23"/>
      <c r="L726" s="23"/>
      <c r="M726" s="23"/>
      <c r="N726" s="23"/>
      <c r="O726" s="24"/>
      <c r="P726" s="16" t="b">
        <v>0</v>
      </c>
      <c r="Q726" s="24"/>
      <c r="R726" s="50"/>
      <c r="S726" s="34"/>
      <c r="T726" s="27"/>
      <c r="U726" s="24"/>
      <c r="V726" s="38" t="s">
        <v>29</v>
      </c>
      <c r="W726" s="29" t="s">
        <v>22</v>
      </c>
      <c r="X726" s="37" t="s">
        <v>572</v>
      </c>
      <c r="Y726" s="31"/>
      <c r="Z726" s="26" t="str">
        <f t="shared" si="5"/>
        <v/>
      </c>
      <c r="AA726" s="26" t="str">
        <f t="shared" si="6"/>
        <v/>
      </c>
      <c r="AB726" s="32" t="str">
        <f t="shared" si="7"/>
        <v/>
      </c>
      <c r="AC726" s="32" t="str">
        <f t="shared" ref="AC726:AG726" si="730">IF(J726&lt;&gt;"", IF(AND($P726=FALSE, $A726=FALSE), -J726, IF(AND($P726=FALSE, $A726=TRUE), 0, IF($P726=TRUE, (J726 / $R726) * 100 * ($S726 / 100)-J726, ))), )</f>
        <v/>
      </c>
      <c r="AD726" s="32" t="str">
        <f t="shared" si="730"/>
        <v/>
      </c>
      <c r="AE726" s="32" t="str">
        <f t="shared" si="730"/>
        <v/>
      </c>
      <c r="AF726" s="32" t="str">
        <f t="shared" si="730"/>
        <v/>
      </c>
      <c r="AG726" s="32" t="str">
        <f t="shared" si="730"/>
        <v/>
      </c>
      <c r="AH726" s="33"/>
    </row>
    <row r="727" hidden="1" outlineLevel="2" collapsed="1">
      <c r="A727" s="16" t="b">
        <v>0</v>
      </c>
      <c r="B727" s="17"/>
      <c r="C727" s="18"/>
      <c r="D727" s="67">
        <v>45257.0</v>
      </c>
      <c r="E727" s="43" t="s">
        <v>60</v>
      </c>
      <c r="F727" s="53" t="s">
        <v>61</v>
      </c>
      <c r="G727" s="23">
        <v>2.0</v>
      </c>
      <c r="H727" s="23">
        <v>1.0</v>
      </c>
      <c r="I727" s="23">
        <v>3.0</v>
      </c>
      <c r="J727" s="46"/>
      <c r="K727" s="46"/>
      <c r="L727" s="23"/>
      <c r="M727" s="46"/>
      <c r="N727" s="46"/>
      <c r="O727" s="47"/>
      <c r="P727" s="16" t="b">
        <v>0</v>
      </c>
      <c r="Q727" s="24"/>
      <c r="R727" s="48">
        <v>6.0</v>
      </c>
      <c r="S727" s="45">
        <v>8.87</v>
      </c>
      <c r="T727" s="49">
        <v>-209.0</v>
      </c>
      <c r="U727" s="47"/>
      <c r="V727" s="28"/>
      <c r="W727" s="29"/>
      <c r="X727" s="30"/>
      <c r="Y727" s="31"/>
      <c r="Z727" s="26">
        <f t="shared" si="5"/>
        <v>-2</v>
      </c>
      <c r="AA727" s="26">
        <f t="shared" si="6"/>
        <v>-3</v>
      </c>
      <c r="AB727" s="32">
        <f t="shared" si="7"/>
        <v>-1</v>
      </c>
      <c r="AC727" s="32" t="str">
        <f t="shared" ref="AC727:AG727" si="731">IF(J727&lt;&gt;"", IF(AND($P727=FALSE, $A727=FALSE), -J727, IF(AND($P727=FALSE, $A727=TRUE), 0, IF($P727=TRUE, (J727 / $R727) * 100 * ($S727 / 100)-J727, ))), )</f>
        <v/>
      </c>
      <c r="AD727" s="32" t="str">
        <f t="shared" si="731"/>
        <v/>
      </c>
      <c r="AE727" s="32" t="str">
        <f t="shared" si="731"/>
        <v/>
      </c>
      <c r="AF727" s="32" t="str">
        <f t="shared" si="731"/>
        <v/>
      </c>
      <c r="AG727" s="32" t="str">
        <f t="shared" si="731"/>
        <v/>
      </c>
      <c r="AH727" s="33"/>
    </row>
    <row r="728" hidden="1" outlineLevel="3">
      <c r="A728" s="16" t="b">
        <v>0</v>
      </c>
      <c r="B728" s="17"/>
      <c r="C728" s="18"/>
      <c r="D728" s="34"/>
      <c r="E728" s="20"/>
      <c r="F728" s="19"/>
      <c r="G728" s="23"/>
      <c r="H728" s="23"/>
      <c r="I728" s="23"/>
      <c r="J728" s="23"/>
      <c r="K728" s="23"/>
      <c r="L728" s="23"/>
      <c r="M728" s="23"/>
      <c r="N728" s="23"/>
      <c r="O728" s="24"/>
      <c r="P728" s="16" t="b">
        <v>0</v>
      </c>
      <c r="Q728" s="24"/>
      <c r="R728" s="50"/>
      <c r="S728" s="34"/>
      <c r="T728" s="27"/>
      <c r="U728" s="24"/>
      <c r="V728" s="28" t="s">
        <v>32</v>
      </c>
      <c r="W728" s="29" t="s">
        <v>22</v>
      </c>
      <c r="X728" s="37" t="s">
        <v>573</v>
      </c>
      <c r="Y728" s="31"/>
      <c r="Z728" s="26" t="str">
        <f t="shared" si="5"/>
        <v/>
      </c>
      <c r="AA728" s="26" t="str">
        <f t="shared" si="6"/>
        <v/>
      </c>
      <c r="AB728" s="32" t="str">
        <f t="shared" si="7"/>
        <v/>
      </c>
      <c r="AC728" s="32" t="str">
        <f t="shared" ref="AC728:AG728" si="732">IF(J728&lt;&gt;"", IF(AND($P728=FALSE, $A728=FALSE), -J728, IF(AND($P728=FALSE, $A728=TRUE), 0, IF($P728=TRUE, (J728 / $R728) * 100 * ($S728 / 100)-J728, ))), )</f>
        <v/>
      </c>
      <c r="AD728" s="32" t="str">
        <f t="shared" si="732"/>
        <v/>
      </c>
      <c r="AE728" s="32" t="str">
        <f t="shared" si="732"/>
        <v/>
      </c>
      <c r="AF728" s="32" t="str">
        <f t="shared" si="732"/>
        <v/>
      </c>
      <c r="AG728" s="32" t="str">
        <f t="shared" si="732"/>
        <v/>
      </c>
      <c r="AH728" s="33"/>
    </row>
    <row r="729" hidden="1" outlineLevel="3">
      <c r="A729" s="16" t="b">
        <v>0</v>
      </c>
      <c r="B729" s="17"/>
      <c r="C729" s="18"/>
      <c r="D729" s="34"/>
      <c r="E729" s="20"/>
      <c r="F729" s="19"/>
      <c r="G729" s="23"/>
      <c r="H729" s="23"/>
      <c r="I729" s="23"/>
      <c r="J729" s="23"/>
      <c r="K729" s="23"/>
      <c r="L729" s="23"/>
      <c r="M729" s="23"/>
      <c r="N729" s="23"/>
      <c r="O729" s="24"/>
      <c r="P729" s="16" t="b">
        <v>0</v>
      </c>
      <c r="Q729" s="24"/>
      <c r="R729" s="50"/>
      <c r="S729" s="34"/>
      <c r="T729" s="27"/>
      <c r="U729" s="24"/>
      <c r="V729" s="28" t="s">
        <v>32</v>
      </c>
      <c r="W729" s="29" t="s">
        <v>22</v>
      </c>
      <c r="X729" s="37" t="s">
        <v>574</v>
      </c>
      <c r="Y729" s="31"/>
      <c r="Z729" s="26" t="str">
        <f t="shared" si="5"/>
        <v/>
      </c>
      <c r="AA729" s="26" t="str">
        <f t="shared" si="6"/>
        <v/>
      </c>
      <c r="AB729" s="32" t="str">
        <f t="shared" si="7"/>
        <v/>
      </c>
      <c r="AC729" s="32" t="str">
        <f t="shared" ref="AC729:AG729" si="733">IF(J729&lt;&gt;"", IF(AND($P729=FALSE, $A729=FALSE), -J729, IF(AND($P729=FALSE, $A729=TRUE), 0, IF($P729=TRUE, (J729 / $R729) * 100 * ($S729 / 100)-J729, ))), )</f>
        <v/>
      </c>
      <c r="AD729" s="32" t="str">
        <f t="shared" si="733"/>
        <v/>
      </c>
      <c r="AE729" s="32" t="str">
        <f t="shared" si="733"/>
        <v/>
      </c>
      <c r="AF729" s="32" t="str">
        <f t="shared" si="733"/>
        <v/>
      </c>
      <c r="AG729" s="32" t="str">
        <f t="shared" si="733"/>
        <v/>
      </c>
      <c r="AH729" s="33"/>
    </row>
    <row r="730" hidden="1" outlineLevel="2">
      <c r="A730" s="16" t="b">
        <v>0</v>
      </c>
      <c r="B730" s="17"/>
      <c r="C730" s="18"/>
      <c r="D730" s="67">
        <v>45257.0</v>
      </c>
      <c r="E730" s="43" t="s">
        <v>60</v>
      </c>
      <c r="F730" s="53" t="s">
        <v>61</v>
      </c>
      <c r="G730" s="23">
        <v>3.33</v>
      </c>
      <c r="H730" s="23">
        <v>3.33</v>
      </c>
      <c r="I730" s="23">
        <v>3.34</v>
      </c>
      <c r="J730" s="46"/>
      <c r="K730" s="46"/>
      <c r="L730" s="23"/>
      <c r="M730" s="46"/>
      <c r="N730" s="46"/>
      <c r="O730" s="47"/>
      <c r="P730" s="16" t="b">
        <v>1</v>
      </c>
      <c r="Q730" s="24"/>
      <c r="R730" s="48">
        <v>10.0</v>
      </c>
      <c r="S730" s="45">
        <v>13.0</v>
      </c>
      <c r="T730" s="49">
        <v>-333.0</v>
      </c>
      <c r="U730" s="47"/>
      <c r="V730" s="28"/>
      <c r="W730" s="29"/>
      <c r="X730" s="30"/>
      <c r="Y730" s="31"/>
      <c r="Z730" s="26">
        <f t="shared" si="5"/>
        <v>0.999</v>
      </c>
      <c r="AA730" s="26">
        <f t="shared" si="6"/>
        <v>1.002</v>
      </c>
      <c r="AB730" s="32">
        <f t="shared" si="7"/>
        <v>0.999</v>
      </c>
      <c r="AC730" s="32" t="str">
        <f t="shared" ref="AC730:AG730" si="734">IF(J730&lt;&gt;"", IF(AND($P730=FALSE, $A730=FALSE), -J730, IF(AND($P730=FALSE, $A730=TRUE), 0, IF($P730=TRUE, (J730 / $R730) * 100 * ($S730 / 100)-J730, ))), )</f>
        <v/>
      </c>
      <c r="AD730" s="32" t="str">
        <f t="shared" si="734"/>
        <v/>
      </c>
      <c r="AE730" s="32" t="str">
        <f t="shared" si="734"/>
        <v/>
      </c>
      <c r="AF730" s="32" t="str">
        <f t="shared" si="734"/>
        <v/>
      </c>
      <c r="AG730" s="32" t="str">
        <f t="shared" si="734"/>
        <v/>
      </c>
      <c r="AH730" s="33"/>
    </row>
    <row r="731" hidden="1" outlineLevel="3">
      <c r="A731" s="16" t="b">
        <v>0</v>
      </c>
      <c r="B731" s="17"/>
      <c r="C731" s="18"/>
      <c r="D731" s="34"/>
      <c r="E731" s="74"/>
      <c r="F731" s="16"/>
      <c r="G731" s="23"/>
      <c r="H731" s="23"/>
      <c r="I731" s="23"/>
      <c r="J731" s="23"/>
      <c r="K731" s="23"/>
      <c r="L731" s="23"/>
      <c r="M731" s="23"/>
      <c r="N731" s="23"/>
      <c r="O731" s="24"/>
      <c r="P731" s="16" t="b">
        <v>1</v>
      </c>
      <c r="Q731" s="24"/>
      <c r="R731" s="50"/>
      <c r="S731" s="34"/>
      <c r="T731" s="27"/>
      <c r="U731" s="24"/>
      <c r="V731" s="38" t="s">
        <v>29</v>
      </c>
      <c r="W731" s="29" t="s">
        <v>22</v>
      </c>
      <c r="X731" s="37" t="s">
        <v>568</v>
      </c>
      <c r="Y731" s="31"/>
      <c r="Z731" s="26" t="str">
        <f t="shared" si="5"/>
        <v/>
      </c>
      <c r="AA731" s="26" t="str">
        <f t="shared" si="6"/>
        <v/>
      </c>
      <c r="AB731" s="32" t="str">
        <f t="shared" si="7"/>
        <v/>
      </c>
      <c r="AC731" s="32" t="str">
        <f t="shared" ref="AC731:AG731" si="735">IF(J731&lt;&gt;"", IF(AND($P731=FALSE, $A731=FALSE), -J731, IF(AND($P731=FALSE, $A731=TRUE), 0, IF($P731=TRUE, (J731 / $R731) * 100 * ($S731 / 100)-J731, ))), )</f>
        <v/>
      </c>
      <c r="AD731" s="32" t="str">
        <f t="shared" si="735"/>
        <v/>
      </c>
      <c r="AE731" s="32" t="str">
        <f t="shared" si="735"/>
        <v/>
      </c>
      <c r="AF731" s="32" t="str">
        <f t="shared" si="735"/>
        <v/>
      </c>
      <c r="AG731" s="32" t="str">
        <f t="shared" si="735"/>
        <v/>
      </c>
      <c r="AH731" s="33"/>
    </row>
    <row r="732" hidden="1" outlineLevel="3">
      <c r="A732" s="16" t="b">
        <v>0</v>
      </c>
      <c r="B732" s="17"/>
      <c r="C732" s="18"/>
      <c r="D732" s="34"/>
      <c r="E732" s="74"/>
      <c r="F732" s="16"/>
      <c r="G732" s="23"/>
      <c r="H732" s="23"/>
      <c r="I732" s="23"/>
      <c r="J732" s="23"/>
      <c r="K732" s="23"/>
      <c r="L732" s="23"/>
      <c r="M732" s="23"/>
      <c r="N732" s="23"/>
      <c r="O732" s="24"/>
      <c r="P732" s="16" t="b">
        <v>0</v>
      </c>
      <c r="Q732" s="24"/>
      <c r="R732" s="50"/>
      <c r="S732" s="34"/>
      <c r="T732" s="27"/>
      <c r="U732" s="24"/>
      <c r="V732" s="38" t="s">
        <v>29</v>
      </c>
      <c r="W732" s="29" t="s">
        <v>22</v>
      </c>
      <c r="X732" s="37" t="s">
        <v>179</v>
      </c>
      <c r="Y732" s="31"/>
      <c r="Z732" s="26" t="str">
        <f t="shared" si="5"/>
        <v/>
      </c>
      <c r="AA732" s="26" t="str">
        <f t="shared" si="6"/>
        <v/>
      </c>
      <c r="AB732" s="32" t="str">
        <f t="shared" si="7"/>
        <v/>
      </c>
      <c r="AC732" s="32" t="str">
        <f t="shared" ref="AC732:AG732" si="736">IF(J732&lt;&gt;"", IF(AND($P732=FALSE, $A732=FALSE), -J732, IF(AND($P732=FALSE, $A732=TRUE), 0, IF($P732=TRUE, (J732 / $R732) * 100 * ($S732 / 100)-J732, ))), )</f>
        <v/>
      </c>
      <c r="AD732" s="32" t="str">
        <f t="shared" si="736"/>
        <v/>
      </c>
      <c r="AE732" s="32" t="str">
        <f t="shared" si="736"/>
        <v/>
      </c>
      <c r="AF732" s="32" t="str">
        <f t="shared" si="736"/>
        <v/>
      </c>
      <c r="AG732" s="32" t="str">
        <f t="shared" si="736"/>
        <v/>
      </c>
      <c r="AH732" s="33"/>
    </row>
    <row r="733" hidden="1" outlineLevel="3">
      <c r="A733" s="16" t="b">
        <v>0</v>
      </c>
      <c r="B733" s="17"/>
      <c r="C733" s="18"/>
      <c r="D733" s="34"/>
      <c r="E733" s="74"/>
      <c r="F733" s="16"/>
      <c r="G733" s="23"/>
      <c r="H733" s="23"/>
      <c r="I733" s="23"/>
      <c r="J733" s="23"/>
      <c r="K733" s="23"/>
      <c r="L733" s="23"/>
      <c r="M733" s="23"/>
      <c r="N733" s="23"/>
      <c r="O733" s="24"/>
      <c r="P733" s="16" t="b">
        <v>0</v>
      </c>
      <c r="Q733" s="24"/>
      <c r="R733" s="50"/>
      <c r="S733" s="34"/>
      <c r="T733" s="27"/>
      <c r="U733" s="24"/>
      <c r="V733" s="38" t="s">
        <v>29</v>
      </c>
      <c r="W733" s="29" t="s">
        <v>22</v>
      </c>
      <c r="X733" s="37" t="s">
        <v>279</v>
      </c>
      <c r="Y733" s="31"/>
      <c r="Z733" s="26" t="str">
        <f t="shared" si="5"/>
        <v/>
      </c>
      <c r="AA733" s="26" t="str">
        <f t="shared" si="6"/>
        <v/>
      </c>
      <c r="AB733" s="32" t="str">
        <f t="shared" si="7"/>
        <v/>
      </c>
      <c r="AC733" s="32" t="str">
        <f t="shared" ref="AC733:AG733" si="737">IF(J733&lt;&gt;"", IF(AND($P733=FALSE, $A733=FALSE), -J733, IF(AND($P733=FALSE, $A733=TRUE), 0, IF($P733=TRUE, (J733 / $R733) * 100 * ($S733 / 100)-J733, ))), )</f>
        <v/>
      </c>
      <c r="AD733" s="32" t="str">
        <f t="shared" si="737"/>
        <v/>
      </c>
      <c r="AE733" s="32" t="str">
        <f t="shared" si="737"/>
        <v/>
      </c>
      <c r="AF733" s="32" t="str">
        <f t="shared" si="737"/>
        <v/>
      </c>
      <c r="AG733" s="32" t="str">
        <f t="shared" si="737"/>
        <v/>
      </c>
      <c r="AH733" s="33"/>
    </row>
    <row r="734" hidden="1" outlineLevel="1" collapsed="1">
      <c r="A734" s="16" t="b">
        <v>0</v>
      </c>
      <c r="B734" s="17"/>
      <c r="C734" s="18"/>
      <c r="D734" s="42">
        <v>45258.0</v>
      </c>
      <c r="E734" s="74" t="s">
        <v>60</v>
      </c>
      <c r="F734" s="16" t="s">
        <v>61</v>
      </c>
      <c r="G734" s="48">
        <v>2.0</v>
      </c>
      <c r="H734" s="48">
        <v>1.0</v>
      </c>
      <c r="I734" s="48">
        <v>3.0</v>
      </c>
      <c r="J734" s="46"/>
      <c r="K734" s="46"/>
      <c r="L734" s="48"/>
      <c r="M734" s="46"/>
      <c r="N734" s="46"/>
      <c r="O734" s="47"/>
      <c r="P734" s="16" t="b">
        <v>0</v>
      </c>
      <c r="Q734" s="24"/>
      <c r="R734" s="48">
        <v>6.0</v>
      </c>
      <c r="S734" s="45">
        <v>13.32</v>
      </c>
      <c r="T734" s="49" t="s">
        <v>231</v>
      </c>
      <c r="U734" s="47"/>
      <c r="V734" s="28"/>
      <c r="W734" s="29"/>
      <c r="X734" s="30"/>
      <c r="Y734" s="31"/>
      <c r="Z734" s="26">
        <f t="shared" si="5"/>
        <v>-2</v>
      </c>
      <c r="AA734" s="26">
        <f t="shared" si="6"/>
        <v>-3</v>
      </c>
      <c r="AB734" s="32">
        <f t="shared" si="7"/>
        <v>-1</v>
      </c>
      <c r="AC734" s="32" t="str">
        <f t="shared" ref="AC734:AG734" si="738">IF(J734&lt;&gt;"", IF(AND($P734=FALSE, $A734=FALSE), -J734, IF(AND($P734=FALSE, $A734=TRUE), 0, IF($P734=TRUE, (J734 / $R734) * 100 * ($S734 / 100)-J734, ))), )</f>
        <v/>
      </c>
      <c r="AD734" s="32" t="str">
        <f t="shared" si="738"/>
        <v/>
      </c>
      <c r="AE734" s="32" t="str">
        <f t="shared" si="738"/>
        <v/>
      </c>
      <c r="AF734" s="32" t="str">
        <f t="shared" si="738"/>
        <v/>
      </c>
      <c r="AG734" s="32" t="str">
        <f t="shared" si="738"/>
        <v/>
      </c>
      <c r="AH734" s="33"/>
    </row>
    <row r="735" hidden="1" outlineLevel="3">
      <c r="A735" s="16" t="b">
        <v>0</v>
      </c>
      <c r="B735" s="17"/>
      <c r="C735" s="18"/>
      <c r="D735" s="34"/>
      <c r="E735" s="74"/>
      <c r="F735" s="16"/>
      <c r="G735" s="23"/>
      <c r="H735" s="23"/>
      <c r="I735" s="23"/>
      <c r="J735" s="23"/>
      <c r="K735" s="23"/>
      <c r="L735" s="23"/>
      <c r="M735" s="23"/>
      <c r="N735" s="23"/>
      <c r="O735" s="24"/>
      <c r="P735" s="16" t="b">
        <v>0</v>
      </c>
      <c r="Q735" s="24"/>
      <c r="R735" s="50"/>
      <c r="S735" s="34"/>
      <c r="T735" s="27"/>
      <c r="U735" s="24"/>
      <c r="V735" s="28" t="s">
        <v>32</v>
      </c>
      <c r="W735" s="29" t="s">
        <v>22</v>
      </c>
      <c r="X735" s="37" t="s">
        <v>425</v>
      </c>
      <c r="Y735" s="31"/>
      <c r="Z735" s="26" t="str">
        <f t="shared" si="5"/>
        <v/>
      </c>
      <c r="AA735" s="26" t="str">
        <f t="shared" si="6"/>
        <v/>
      </c>
      <c r="AB735" s="32" t="str">
        <f t="shared" si="7"/>
        <v/>
      </c>
      <c r="AC735" s="32" t="str">
        <f t="shared" ref="AC735:AG735" si="739">IF(J735&lt;&gt;"", IF(AND($P735=FALSE, $A735=FALSE), -J735, IF(AND($P735=FALSE, $A735=TRUE), 0, IF($P735=TRUE, (J735 / $R735) * 100 * ($S735 / 100)-J735, ))), )</f>
        <v/>
      </c>
      <c r="AD735" s="32" t="str">
        <f t="shared" si="739"/>
        <v/>
      </c>
      <c r="AE735" s="32" t="str">
        <f t="shared" si="739"/>
        <v/>
      </c>
      <c r="AF735" s="32" t="str">
        <f t="shared" si="739"/>
        <v/>
      </c>
      <c r="AG735" s="32" t="str">
        <f t="shared" si="739"/>
        <v/>
      </c>
      <c r="AH735" s="33"/>
    </row>
    <row r="736" hidden="1" outlineLevel="3">
      <c r="A736" s="16" t="b">
        <v>0</v>
      </c>
      <c r="B736" s="17"/>
      <c r="C736" s="18"/>
      <c r="D736" s="34"/>
      <c r="E736" s="74"/>
      <c r="F736" s="16"/>
      <c r="G736" s="23"/>
      <c r="H736" s="23"/>
      <c r="I736" s="23"/>
      <c r="J736" s="23"/>
      <c r="K736" s="23"/>
      <c r="L736" s="23"/>
      <c r="M736" s="23"/>
      <c r="N736" s="23"/>
      <c r="O736" s="24"/>
      <c r="P736" s="16" t="b">
        <v>0</v>
      </c>
      <c r="Q736" s="24"/>
      <c r="R736" s="50"/>
      <c r="S736" s="34"/>
      <c r="T736" s="27"/>
      <c r="U736" s="24"/>
      <c r="V736" s="38" t="s">
        <v>29</v>
      </c>
      <c r="W736" s="29" t="s">
        <v>22</v>
      </c>
      <c r="X736" s="37" t="s">
        <v>575</v>
      </c>
      <c r="Y736" s="31"/>
      <c r="Z736" s="26" t="str">
        <f t="shared" si="5"/>
        <v/>
      </c>
      <c r="AA736" s="26" t="str">
        <f t="shared" si="6"/>
        <v/>
      </c>
      <c r="AB736" s="32" t="str">
        <f t="shared" si="7"/>
        <v/>
      </c>
      <c r="AC736" s="32" t="str">
        <f t="shared" ref="AC736:AG736" si="740">IF(J736&lt;&gt;"", IF(AND($P736=FALSE, $A736=FALSE), -J736, IF(AND($P736=FALSE, $A736=TRUE), 0, IF($P736=TRUE, (J736 / $R736) * 100 * ($S736 / 100)-J736, ))), )</f>
        <v/>
      </c>
      <c r="AD736" s="32" t="str">
        <f t="shared" si="740"/>
        <v/>
      </c>
      <c r="AE736" s="32" t="str">
        <f t="shared" si="740"/>
        <v/>
      </c>
      <c r="AF736" s="32" t="str">
        <f t="shared" si="740"/>
        <v/>
      </c>
      <c r="AG736" s="32" t="str">
        <f t="shared" si="740"/>
        <v/>
      </c>
      <c r="AH736" s="33"/>
    </row>
    <row r="737" hidden="1" outlineLevel="3">
      <c r="A737" s="16" t="b">
        <v>0</v>
      </c>
      <c r="B737" s="17"/>
      <c r="C737" s="18"/>
      <c r="D737" s="34"/>
      <c r="E737" s="20"/>
      <c r="F737" s="19"/>
      <c r="G737" s="23"/>
      <c r="H737" s="23"/>
      <c r="I737" s="23"/>
      <c r="J737" s="23"/>
      <c r="K737" s="23"/>
      <c r="L737" s="23"/>
      <c r="M737" s="23"/>
      <c r="N737" s="23"/>
      <c r="O737" s="24"/>
      <c r="P737" s="16" t="b">
        <v>0</v>
      </c>
      <c r="Q737" s="24"/>
      <c r="R737" s="50"/>
      <c r="S737" s="34"/>
      <c r="T737" s="27"/>
      <c r="U737" s="24"/>
      <c r="V737" s="28" t="s">
        <v>32</v>
      </c>
      <c r="W737" s="29" t="s">
        <v>22</v>
      </c>
      <c r="X737" s="37" t="s">
        <v>576</v>
      </c>
      <c r="Y737" s="31"/>
      <c r="Z737" s="26" t="str">
        <f t="shared" si="5"/>
        <v/>
      </c>
      <c r="AA737" s="26" t="str">
        <f t="shared" si="6"/>
        <v/>
      </c>
      <c r="AB737" s="32" t="str">
        <f t="shared" si="7"/>
        <v/>
      </c>
      <c r="AC737" s="32" t="str">
        <f t="shared" ref="AC737:AG737" si="741">IF(J737&lt;&gt;"", IF(AND($P737=FALSE, $A737=FALSE), -J737, IF(AND($P737=FALSE, $A737=TRUE), 0, IF($P737=TRUE, (J737 / $R737) * 100 * ($S737 / 100)-J737, ))), )</f>
        <v/>
      </c>
      <c r="AD737" s="32" t="str">
        <f t="shared" si="741"/>
        <v/>
      </c>
      <c r="AE737" s="32" t="str">
        <f t="shared" si="741"/>
        <v/>
      </c>
      <c r="AF737" s="32" t="str">
        <f t="shared" si="741"/>
        <v/>
      </c>
      <c r="AG737" s="32" t="str">
        <f t="shared" si="741"/>
        <v/>
      </c>
      <c r="AH737" s="33"/>
    </row>
    <row r="738" hidden="1" outlineLevel="2" collapsed="1">
      <c r="A738" s="16" t="b">
        <v>0</v>
      </c>
      <c r="B738" s="17"/>
      <c r="C738" s="18"/>
      <c r="D738" s="42">
        <v>45258.0</v>
      </c>
      <c r="E738" s="43" t="s">
        <v>60</v>
      </c>
      <c r="F738" s="53" t="s">
        <v>61</v>
      </c>
      <c r="G738" s="45">
        <v>1.5</v>
      </c>
      <c r="H738" s="45">
        <v>0.5</v>
      </c>
      <c r="I738" s="45">
        <v>4.0</v>
      </c>
      <c r="J738" s="46"/>
      <c r="K738" s="46"/>
      <c r="L738" s="45"/>
      <c r="M738" s="46"/>
      <c r="N738" s="46"/>
      <c r="O738" s="47"/>
      <c r="P738" s="16" t="b">
        <v>0</v>
      </c>
      <c r="Q738" s="24"/>
      <c r="R738" s="48">
        <v>6.0</v>
      </c>
      <c r="S738" s="45">
        <v>13.74</v>
      </c>
      <c r="T738" s="49" t="s">
        <v>245</v>
      </c>
      <c r="U738" s="47"/>
      <c r="V738" s="28"/>
      <c r="W738" s="29"/>
      <c r="X738" s="30"/>
      <c r="Y738" s="31"/>
      <c r="Z738" s="26">
        <f t="shared" si="5"/>
        <v>-1.5</v>
      </c>
      <c r="AA738" s="26">
        <f t="shared" si="6"/>
        <v>-4</v>
      </c>
      <c r="AB738" s="32">
        <f t="shared" si="7"/>
        <v>-0.5</v>
      </c>
      <c r="AC738" s="32" t="str">
        <f t="shared" ref="AC738:AG738" si="742">IF(J738&lt;&gt;"", IF(AND($P738=FALSE, $A738=FALSE), -J738, IF(AND($P738=FALSE, $A738=TRUE), 0, IF($P738=TRUE, (J738 / $R738) * 100 * ($S738 / 100)-J738, ))), )</f>
        <v/>
      </c>
      <c r="AD738" s="32" t="str">
        <f t="shared" si="742"/>
        <v/>
      </c>
      <c r="AE738" s="32" t="str">
        <f t="shared" si="742"/>
        <v/>
      </c>
      <c r="AF738" s="32" t="str">
        <f t="shared" si="742"/>
        <v/>
      </c>
      <c r="AG738" s="32" t="str">
        <f t="shared" si="742"/>
        <v/>
      </c>
      <c r="AH738" s="33"/>
    </row>
    <row r="739" hidden="1" outlineLevel="3">
      <c r="A739" s="16" t="b">
        <v>0</v>
      </c>
      <c r="B739" s="17"/>
      <c r="C739" s="18"/>
      <c r="D739" s="34"/>
      <c r="E739" s="20"/>
      <c r="F739" s="19"/>
      <c r="G739" s="23"/>
      <c r="H739" s="23"/>
      <c r="I739" s="23"/>
      <c r="J739" s="23"/>
      <c r="K739" s="23"/>
      <c r="L739" s="23"/>
      <c r="M739" s="23"/>
      <c r="N739" s="23"/>
      <c r="O739" s="24"/>
      <c r="P739" s="16" t="b">
        <v>0</v>
      </c>
      <c r="Q739" s="24"/>
      <c r="R739" s="50"/>
      <c r="S739" s="34"/>
      <c r="T739" s="27"/>
      <c r="U739" s="24"/>
      <c r="V739" s="28" t="s">
        <v>32</v>
      </c>
      <c r="W739" s="29" t="s">
        <v>22</v>
      </c>
      <c r="X739" s="37" t="s">
        <v>204</v>
      </c>
      <c r="Y739" s="31"/>
      <c r="Z739" s="26" t="str">
        <f t="shared" si="5"/>
        <v/>
      </c>
      <c r="AA739" s="26" t="str">
        <f t="shared" si="6"/>
        <v/>
      </c>
      <c r="AB739" s="32" t="str">
        <f t="shared" si="7"/>
        <v/>
      </c>
      <c r="AC739" s="32" t="str">
        <f t="shared" ref="AC739:AG739" si="743">IF(J739&lt;&gt;"", IF(AND($P739=FALSE, $A739=FALSE), -J739, IF(AND($P739=FALSE, $A739=TRUE), 0, IF($P739=TRUE, (J739 / $R739) * 100 * ($S739 / 100)-J739, ))), )</f>
        <v/>
      </c>
      <c r="AD739" s="32" t="str">
        <f t="shared" si="743"/>
        <v/>
      </c>
      <c r="AE739" s="32" t="str">
        <f t="shared" si="743"/>
        <v/>
      </c>
      <c r="AF739" s="32" t="str">
        <f t="shared" si="743"/>
        <v/>
      </c>
      <c r="AG739" s="32" t="str">
        <f t="shared" si="743"/>
        <v/>
      </c>
      <c r="AH739" s="33"/>
    </row>
    <row r="740" hidden="1" outlineLevel="3">
      <c r="A740" s="16" t="b">
        <v>0</v>
      </c>
      <c r="B740" s="17"/>
      <c r="C740" s="18"/>
      <c r="D740" s="34"/>
      <c r="E740" s="20"/>
      <c r="F740" s="19"/>
      <c r="G740" s="23"/>
      <c r="H740" s="23"/>
      <c r="I740" s="23"/>
      <c r="J740" s="23"/>
      <c r="K740" s="23"/>
      <c r="L740" s="23"/>
      <c r="M740" s="23"/>
      <c r="N740" s="23"/>
      <c r="O740" s="24"/>
      <c r="P740" s="16" t="b">
        <v>0</v>
      </c>
      <c r="Q740" s="24"/>
      <c r="R740" s="50"/>
      <c r="S740" s="34"/>
      <c r="T740" s="27"/>
      <c r="U740" s="24"/>
      <c r="V740" s="38" t="s">
        <v>29</v>
      </c>
      <c r="W740" s="29" t="s">
        <v>22</v>
      </c>
      <c r="X740" s="37" t="s">
        <v>233</v>
      </c>
      <c r="Y740" s="31"/>
      <c r="Z740" s="26" t="str">
        <f t="shared" si="5"/>
        <v/>
      </c>
      <c r="AA740" s="26" t="str">
        <f t="shared" si="6"/>
        <v/>
      </c>
      <c r="AB740" s="32" t="str">
        <f t="shared" si="7"/>
        <v/>
      </c>
      <c r="AC740" s="32" t="str">
        <f t="shared" ref="AC740:AG740" si="744">IF(J740&lt;&gt;"", IF(AND($P740=FALSE, $A740=FALSE), -J740, IF(AND($P740=FALSE, $A740=TRUE), 0, IF($P740=TRUE, (J740 / $R740) * 100 * ($S740 / 100)-J740, ))), )</f>
        <v/>
      </c>
      <c r="AD740" s="32" t="str">
        <f t="shared" si="744"/>
        <v/>
      </c>
      <c r="AE740" s="32" t="str">
        <f t="shared" si="744"/>
        <v/>
      </c>
      <c r="AF740" s="32" t="str">
        <f t="shared" si="744"/>
        <v/>
      </c>
      <c r="AG740" s="32" t="str">
        <f t="shared" si="744"/>
        <v/>
      </c>
      <c r="AH740" s="33"/>
    </row>
    <row r="741" hidden="1" outlineLevel="3">
      <c r="A741" s="16" t="b">
        <v>0</v>
      </c>
      <c r="B741" s="17"/>
      <c r="C741" s="18"/>
      <c r="D741" s="34"/>
      <c r="E741" s="20"/>
      <c r="F741" s="19"/>
      <c r="G741" s="23"/>
      <c r="H741" s="23"/>
      <c r="I741" s="23"/>
      <c r="J741" s="23"/>
      <c r="K741" s="23"/>
      <c r="L741" s="23"/>
      <c r="M741" s="23"/>
      <c r="N741" s="23"/>
      <c r="O741" s="24"/>
      <c r="P741" s="16" t="b">
        <v>0</v>
      </c>
      <c r="Q741" s="24"/>
      <c r="R741" s="50"/>
      <c r="S741" s="34"/>
      <c r="T741" s="27"/>
      <c r="U741" s="24"/>
      <c r="V741" s="38" t="s">
        <v>29</v>
      </c>
      <c r="W741" s="29" t="s">
        <v>22</v>
      </c>
      <c r="X741" s="37" t="s">
        <v>421</v>
      </c>
      <c r="Y741" s="31"/>
      <c r="Z741" s="26" t="str">
        <f t="shared" si="5"/>
        <v/>
      </c>
      <c r="AA741" s="26" t="str">
        <f t="shared" si="6"/>
        <v/>
      </c>
      <c r="AB741" s="32" t="str">
        <f t="shared" si="7"/>
        <v/>
      </c>
      <c r="AC741" s="32" t="str">
        <f t="shared" ref="AC741:AG741" si="745">IF(J741&lt;&gt;"", IF(AND($P741=FALSE, $A741=FALSE), -J741, IF(AND($P741=FALSE, $A741=TRUE), 0, IF($P741=TRUE, (J741 / $R741) * 100 * ($S741 / 100)-J741, ))), )</f>
        <v/>
      </c>
      <c r="AD741" s="32" t="str">
        <f t="shared" si="745"/>
        <v/>
      </c>
      <c r="AE741" s="32" t="str">
        <f t="shared" si="745"/>
        <v/>
      </c>
      <c r="AF741" s="32" t="str">
        <f t="shared" si="745"/>
        <v/>
      </c>
      <c r="AG741" s="32" t="str">
        <f t="shared" si="745"/>
        <v/>
      </c>
      <c r="AH741" s="33"/>
    </row>
    <row r="742" hidden="1" outlineLevel="2" collapsed="1">
      <c r="A742" s="16" t="b">
        <v>0</v>
      </c>
      <c r="B742" s="17"/>
      <c r="C742" s="18"/>
      <c r="D742" s="42">
        <v>45258.0</v>
      </c>
      <c r="E742" s="43" t="s">
        <v>60</v>
      </c>
      <c r="F742" s="53" t="s">
        <v>61</v>
      </c>
      <c r="G742" s="45">
        <v>3.0</v>
      </c>
      <c r="H742" s="45">
        <v>1.5</v>
      </c>
      <c r="I742" s="45">
        <v>4.0</v>
      </c>
      <c r="J742" s="46"/>
      <c r="K742" s="46"/>
      <c r="L742" s="45"/>
      <c r="M742" s="46"/>
      <c r="N742" s="46"/>
      <c r="O742" s="47"/>
      <c r="P742" s="16" t="b">
        <v>1</v>
      </c>
      <c r="Q742" s="24"/>
      <c r="R742" s="48">
        <v>8.5</v>
      </c>
      <c r="S742" s="45">
        <v>18.36</v>
      </c>
      <c r="T742" s="49" t="s">
        <v>489</v>
      </c>
      <c r="U742" s="47"/>
      <c r="V742" s="28"/>
      <c r="W742" s="29"/>
      <c r="X742" s="30"/>
      <c r="Y742" s="31"/>
      <c r="Z742" s="26">
        <f t="shared" si="5"/>
        <v>3.48</v>
      </c>
      <c r="AA742" s="26">
        <f t="shared" si="6"/>
        <v>4.64</v>
      </c>
      <c r="AB742" s="32">
        <f t="shared" si="7"/>
        <v>1.74</v>
      </c>
      <c r="AC742" s="32" t="str">
        <f t="shared" ref="AC742:AG742" si="746">IF(J742&lt;&gt;"", IF(AND($P742=FALSE, $A742=FALSE), -J742, IF(AND($P742=FALSE, $A742=TRUE), 0, IF($P742=TRUE, (J742 / $R742) * 100 * ($S742 / 100)-J742, ))), )</f>
        <v/>
      </c>
      <c r="AD742" s="32" t="str">
        <f t="shared" si="746"/>
        <v/>
      </c>
      <c r="AE742" s="32" t="str">
        <f t="shared" si="746"/>
        <v/>
      </c>
      <c r="AF742" s="32" t="str">
        <f t="shared" si="746"/>
        <v/>
      </c>
      <c r="AG742" s="32" t="str">
        <f t="shared" si="746"/>
        <v/>
      </c>
      <c r="AH742" s="33"/>
    </row>
    <row r="743" hidden="1" outlineLevel="3">
      <c r="A743" s="16" t="b">
        <v>0</v>
      </c>
      <c r="B743" s="17"/>
      <c r="C743" s="18"/>
      <c r="D743" s="34"/>
      <c r="E743" s="20"/>
      <c r="F743" s="19"/>
      <c r="G743" s="23"/>
      <c r="H743" s="23"/>
      <c r="I743" s="23"/>
      <c r="J743" s="23"/>
      <c r="K743" s="23"/>
      <c r="L743" s="23"/>
      <c r="M743" s="23"/>
      <c r="N743" s="23"/>
      <c r="O743" s="24"/>
      <c r="P743" s="16" t="b">
        <v>0</v>
      </c>
      <c r="Q743" s="24"/>
      <c r="R743" s="50"/>
      <c r="S743" s="34"/>
      <c r="T743" s="27"/>
      <c r="U743" s="24"/>
      <c r="V743" s="38" t="s">
        <v>29</v>
      </c>
      <c r="W743" s="29" t="s">
        <v>22</v>
      </c>
      <c r="X743" s="37" t="s">
        <v>577</v>
      </c>
      <c r="Y743" s="31"/>
      <c r="Z743" s="26" t="str">
        <f t="shared" si="5"/>
        <v/>
      </c>
      <c r="AA743" s="26" t="str">
        <f t="shared" si="6"/>
        <v/>
      </c>
      <c r="AB743" s="32" t="str">
        <f t="shared" si="7"/>
        <v/>
      </c>
      <c r="AC743" s="32" t="str">
        <f t="shared" ref="AC743:AG743" si="747">IF(J743&lt;&gt;"", IF(AND($P743=FALSE, $A743=FALSE), -J743, IF(AND($P743=FALSE, $A743=TRUE), 0, IF($P743=TRUE, (J743 / $R743) * 100 * ($S743 / 100)-J743, ))), )</f>
        <v/>
      </c>
      <c r="AD743" s="32" t="str">
        <f t="shared" si="747"/>
        <v/>
      </c>
      <c r="AE743" s="32" t="str">
        <f t="shared" si="747"/>
        <v/>
      </c>
      <c r="AF743" s="32" t="str">
        <f t="shared" si="747"/>
        <v/>
      </c>
      <c r="AG743" s="32" t="str">
        <f t="shared" si="747"/>
        <v/>
      </c>
      <c r="AH743" s="33"/>
    </row>
    <row r="744" hidden="1" outlineLevel="3">
      <c r="A744" s="16" t="b">
        <v>0</v>
      </c>
      <c r="B744" s="17"/>
      <c r="C744" s="18"/>
      <c r="D744" s="34"/>
      <c r="E744" s="20"/>
      <c r="F744" s="19"/>
      <c r="G744" s="23"/>
      <c r="H744" s="23"/>
      <c r="I744" s="23"/>
      <c r="J744" s="23"/>
      <c r="K744" s="23"/>
      <c r="L744" s="23"/>
      <c r="M744" s="23"/>
      <c r="N744" s="23"/>
      <c r="O744" s="24"/>
      <c r="P744" s="16" t="b">
        <v>0</v>
      </c>
      <c r="Q744" s="24"/>
      <c r="R744" s="50"/>
      <c r="S744" s="34"/>
      <c r="T744" s="27"/>
      <c r="U744" s="24"/>
      <c r="V744" s="38" t="s">
        <v>29</v>
      </c>
      <c r="W744" s="29" t="s">
        <v>22</v>
      </c>
      <c r="X744" s="37" t="s">
        <v>578</v>
      </c>
      <c r="Y744" s="31"/>
      <c r="Z744" s="26" t="str">
        <f t="shared" si="5"/>
        <v/>
      </c>
      <c r="AA744" s="26" t="str">
        <f t="shared" si="6"/>
        <v/>
      </c>
      <c r="AB744" s="32" t="str">
        <f t="shared" si="7"/>
        <v/>
      </c>
      <c r="AC744" s="32" t="str">
        <f t="shared" ref="AC744:AG744" si="748">IF(J744&lt;&gt;"", IF(AND($P744=FALSE, $A744=FALSE), -J744, IF(AND($P744=FALSE, $A744=TRUE), 0, IF($P744=TRUE, (J744 / $R744) * 100 * ($S744 / 100)-J744, ))), )</f>
        <v/>
      </c>
      <c r="AD744" s="32" t="str">
        <f t="shared" si="748"/>
        <v/>
      </c>
      <c r="AE744" s="32" t="str">
        <f t="shared" si="748"/>
        <v/>
      </c>
      <c r="AF744" s="32" t="str">
        <f t="shared" si="748"/>
        <v/>
      </c>
      <c r="AG744" s="32" t="str">
        <f t="shared" si="748"/>
        <v/>
      </c>
      <c r="AH744" s="33"/>
    </row>
    <row r="745" hidden="1" outlineLevel="3">
      <c r="A745" s="16" t="b">
        <v>0</v>
      </c>
      <c r="B745" s="17"/>
      <c r="C745" s="18"/>
      <c r="D745" s="34"/>
      <c r="E745" s="20"/>
      <c r="F745" s="19"/>
      <c r="G745" s="23"/>
      <c r="H745" s="23"/>
      <c r="I745" s="23"/>
      <c r="J745" s="23"/>
      <c r="K745" s="23"/>
      <c r="L745" s="23"/>
      <c r="M745" s="23"/>
      <c r="N745" s="23"/>
      <c r="O745" s="24"/>
      <c r="P745" s="16" t="b">
        <v>0</v>
      </c>
      <c r="Q745" s="24"/>
      <c r="R745" s="50"/>
      <c r="S745" s="34"/>
      <c r="T745" s="27"/>
      <c r="U745" s="24"/>
      <c r="V745" s="38" t="s">
        <v>29</v>
      </c>
      <c r="W745" s="29" t="s">
        <v>22</v>
      </c>
      <c r="X745" s="37" t="s">
        <v>226</v>
      </c>
      <c r="Y745" s="31"/>
      <c r="Z745" s="26" t="str">
        <f t="shared" si="5"/>
        <v/>
      </c>
      <c r="AA745" s="26" t="str">
        <f t="shared" si="6"/>
        <v/>
      </c>
      <c r="AB745" s="32" t="str">
        <f t="shared" si="7"/>
        <v/>
      </c>
      <c r="AC745" s="32" t="str">
        <f t="shared" ref="AC745:AG745" si="749">IF(J745&lt;&gt;"", IF(AND($P745=FALSE, $A745=FALSE), -J745, IF(AND($P745=FALSE, $A745=TRUE), 0, IF($P745=TRUE, (J745 / $R745) * 100 * ($S745 / 100)-J745, ))), )</f>
        <v/>
      </c>
      <c r="AD745" s="32" t="str">
        <f t="shared" si="749"/>
        <v/>
      </c>
      <c r="AE745" s="32" t="str">
        <f t="shared" si="749"/>
        <v/>
      </c>
      <c r="AF745" s="32" t="str">
        <f t="shared" si="749"/>
        <v/>
      </c>
      <c r="AG745" s="32" t="str">
        <f t="shared" si="749"/>
        <v/>
      </c>
      <c r="AH745" s="33"/>
    </row>
    <row r="746" hidden="1" outlineLevel="2" collapsed="1">
      <c r="A746" s="16" t="b">
        <v>0</v>
      </c>
      <c r="B746" s="17"/>
      <c r="C746" s="18"/>
      <c r="D746" s="42">
        <v>45258.0</v>
      </c>
      <c r="E746" s="43" t="s">
        <v>60</v>
      </c>
      <c r="F746" s="53" t="s">
        <v>61</v>
      </c>
      <c r="G746" s="48">
        <v>2.0</v>
      </c>
      <c r="H746" s="48">
        <v>1.0</v>
      </c>
      <c r="I746" s="48">
        <v>3.0</v>
      </c>
      <c r="J746" s="46"/>
      <c r="K746" s="46"/>
      <c r="L746" s="48"/>
      <c r="M746" s="46"/>
      <c r="N746" s="46"/>
      <c r="O746" s="47"/>
      <c r="P746" s="16" t="b">
        <v>1</v>
      </c>
      <c r="Q746" s="24"/>
      <c r="R746" s="48">
        <v>6.0</v>
      </c>
      <c r="S746" s="45">
        <v>13.49</v>
      </c>
      <c r="T746" s="49" t="s">
        <v>579</v>
      </c>
      <c r="U746" s="47"/>
      <c r="V746" s="28"/>
      <c r="W746" s="29"/>
      <c r="X746" s="30"/>
      <c r="Y746" s="31"/>
      <c r="Z746" s="26">
        <f t="shared" si="5"/>
        <v>2.496666667</v>
      </c>
      <c r="AA746" s="26">
        <f t="shared" si="6"/>
        <v>3.745</v>
      </c>
      <c r="AB746" s="32">
        <f t="shared" si="7"/>
        <v>1.248333333</v>
      </c>
      <c r="AC746" s="32" t="str">
        <f t="shared" ref="AC746:AG746" si="750">IF(J746&lt;&gt;"", IF(AND($P746=FALSE, $A746=FALSE), -J746, IF(AND($P746=FALSE, $A746=TRUE), 0, IF($P746=TRUE, (J746 / $R746) * 100 * ($S746 / 100)-J746, ))), )</f>
        <v/>
      </c>
      <c r="AD746" s="32" t="str">
        <f t="shared" si="750"/>
        <v/>
      </c>
      <c r="AE746" s="32" t="str">
        <f t="shared" si="750"/>
        <v/>
      </c>
      <c r="AF746" s="32" t="str">
        <f t="shared" si="750"/>
        <v/>
      </c>
      <c r="AG746" s="32" t="str">
        <f t="shared" si="750"/>
        <v/>
      </c>
      <c r="AH746" s="33"/>
    </row>
    <row r="747" hidden="1" outlineLevel="3">
      <c r="A747" s="16" t="b">
        <v>0</v>
      </c>
      <c r="B747" s="17"/>
      <c r="C747" s="18"/>
      <c r="D747" s="34"/>
      <c r="E747" s="20"/>
      <c r="F747" s="19"/>
      <c r="G747" s="23"/>
      <c r="H747" s="23"/>
      <c r="I747" s="23"/>
      <c r="J747" s="23"/>
      <c r="K747" s="23"/>
      <c r="L747" s="23"/>
      <c r="M747" s="23"/>
      <c r="N747" s="23"/>
      <c r="O747" s="24"/>
      <c r="P747" s="16" t="b">
        <v>0</v>
      </c>
      <c r="Q747" s="24"/>
      <c r="R747" s="50"/>
      <c r="S747" s="34"/>
      <c r="T747" s="27"/>
      <c r="U747" s="24"/>
      <c r="V747" s="38" t="s">
        <v>29</v>
      </c>
      <c r="W747" s="29" t="s">
        <v>22</v>
      </c>
      <c r="X747" s="37" t="s">
        <v>230</v>
      </c>
      <c r="Y747" s="31"/>
      <c r="Z747" s="26" t="str">
        <f t="shared" si="5"/>
        <v/>
      </c>
      <c r="AA747" s="26" t="str">
        <f t="shared" si="6"/>
        <v/>
      </c>
      <c r="AB747" s="32" t="str">
        <f t="shared" si="7"/>
        <v/>
      </c>
      <c r="AC747" s="32" t="str">
        <f t="shared" ref="AC747:AG747" si="751">IF(J747&lt;&gt;"", IF(AND($P747=FALSE, $A747=FALSE), -J747, IF(AND($P747=FALSE, $A747=TRUE), 0, IF($P747=TRUE, (J747 / $R747) * 100 * ($S747 / 100)-J747, ))), )</f>
        <v/>
      </c>
      <c r="AD747" s="32" t="str">
        <f t="shared" si="751"/>
        <v/>
      </c>
      <c r="AE747" s="32" t="str">
        <f t="shared" si="751"/>
        <v/>
      </c>
      <c r="AF747" s="32" t="str">
        <f t="shared" si="751"/>
        <v/>
      </c>
      <c r="AG747" s="32" t="str">
        <f t="shared" si="751"/>
        <v/>
      </c>
      <c r="AH747" s="33"/>
    </row>
    <row r="748" hidden="1" outlineLevel="3">
      <c r="A748" s="16" t="b">
        <v>0</v>
      </c>
      <c r="B748" s="17"/>
      <c r="C748" s="18"/>
      <c r="D748" s="34"/>
      <c r="E748" s="20"/>
      <c r="F748" s="19"/>
      <c r="G748" s="23"/>
      <c r="H748" s="23"/>
      <c r="I748" s="23"/>
      <c r="J748" s="23"/>
      <c r="K748" s="23"/>
      <c r="L748" s="23"/>
      <c r="M748" s="23"/>
      <c r="N748" s="23"/>
      <c r="O748" s="24"/>
      <c r="P748" s="16" t="b">
        <v>0</v>
      </c>
      <c r="Q748" s="24"/>
      <c r="R748" s="50"/>
      <c r="S748" s="34"/>
      <c r="T748" s="27"/>
      <c r="U748" s="24"/>
      <c r="V748" s="38" t="s">
        <v>29</v>
      </c>
      <c r="W748" s="29" t="s">
        <v>22</v>
      </c>
      <c r="X748" s="37" t="s">
        <v>580</v>
      </c>
      <c r="Y748" s="31"/>
      <c r="Z748" s="26" t="str">
        <f t="shared" si="5"/>
        <v/>
      </c>
      <c r="AA748" s="26" t="str">
        <f t="shared" si="6"/>
        <v/>
      </c>
      <c r="AB748" s="32" t="str">
        <f t="shared" si="7"/>
        <v/>
      </c>
      <c r="AC748" s="32" t="str">
        <f t="shared" ref="AC748:AG748" si="752">IF(J748&lt;&gt;"", IF(AND($P748=FALSE, $A748=FALSE), -J748, IF(AND($P748=FALSE, $A748=TRUE), 0, IF($P748=TRUE, (J748 / $R748) * 100 * ($S748 / 100)-J748, ))), )</f>
        <v/>
      </c>
      <c r="AD748" s="32" t="str">
        <f t="shared" si="752"/>
        <v/>
      </c>
      <c r="AE748" s="32" t="str">
        <f t="shared" si="752"/>
        <v/>
      </c>
      <c r="AF748" s="32" t="str">
        <f t="shared" si="752"/>
        <v/>
      </c>
      <c r="AG748" s="32" t="str">
        <f t="shared" si="752"/>
        <v/>
      </c>
      <c r="AH748" s="33"/>
    </row>
    <row r="749" hidden="1" outlineLevel="3">
      <c r="A749" s="16" t="b">
        <v>0</v>
      </c>
      <c r="B749" s="17"/>
      <c r="C749" s="18"/>
      <c r="D749" s="34"/>
      <c r="E749" s="20"/>
      <c r="F749" s="19"/>
      <c r="G749" s="23"/>
      <c r="H749" s="23"/>
      <c r="I749" s="23"/>
      <c r="J749" s="23"/>
      <c r="K749" s="23"/>
      <c r="L749" s="23"/>
      <c r="M749" s="23"/>
      <c r="N749" s="23"/>
      <c r="O749" s="24"/>
      <c r="P749" s="16" t="b">
        <v>0</v>
      </c>
      <c r="Q749" s="24"/>
      <c r="R749" s="50"/>
      <c r="S749" s="34"/>
      <c r="T749" s="27"/>
      <c r="U749" s="24"/>
      <c r="V749" s="38" t="s">
        <v>29</v>
      </c>
      <c r="W749" s="29" t="s">
        <v>22</v>
      </c>
      <c r="X749" s="37" t="s">
        <v>286</v>
      </c>
      <c r="Y749" s="31"/>
      <c r="Z749" s="26" t="str">
        <f t="shared" si="5"/>
        <v/>
      </c>
      <c r="AA749" s="26" t="str">
        <f t="shared" si="6"/>
        <v/>
      </c>
      <c r="AB749" s="32" t="str">
        <f t="shared" si="7"/>
        <v/>
      </c>
      <c r="AC749" s="32" t="str">
        <f t="shared" ref="AC749:AG749" si="753">IF(J749&lt;&gt;"", IF(AND($P749=FALSE, $A749=FALSE), -J749, IF(AND($P749=FALSE, $A749=TRUE), 0, IF($P749=TRUE, (J749 / $R749) * 100 * ($S749 / 100)-J749, ))), )</f>
        <v/>
      </c>
      <c r="AD749" s="32" t="str">
        <f t="shared" si="753"/>
        <v/>
      </c>
      <c r="AE749" s="32" t="str">
        <f t="shared" si="753"/>
        <v/>
      </c>
      <c r="AF749" s="32" t="str">
        <f t="shared" si="753"/>
        <v/>
      </c>
      <c r="AG749" s="32" t="str">
        <f t="shared" si="753"/>
        <v/>
      </c>
      <c r="AH749" s="33"/>
    </row>
    <row r="750" hidden="1" outlineLevel="2" collapsed="1">
      <c r="A750" s="16" t="b">
        <v>0</v>
      </c>
      <c r="B750" s="17"/>
      <c r="C750" s="18"/>
      <c r="D750" s="42">
        <v>45258.0</v>
      </c>
      <c r="E750" s="43" t="s">
        <v>60</v>
      </c>
      <c r="F750" s="53" t="s">
        <v>61</v>
      </c>
      <c r="G750" s="48">
        <v>2.0</v>
      </c>
      <c r="H750" s="48">
        <v>1.0</v>
      </c>
      <c r="I750" s="48">
        <v>3.0</v>
      </c>
      <c r="J750" s="46"/>
      <c r="K750" s="46"/>
      <c r="L750" s="48"/>
      <c r="M750" s="46"/>
      <c r="N750" s="46"/>
      <c r="O750" s="47"/>
      <c r="P750" s="16" t="b">
        <v>0</v>
      </c>
      <c r="Q750" s="24"/>
      <c r="R750" s="48">
        <v>6.0</v>
      </c>
      <c r="S750" s="45">
        <v>14.71</v>
      </c>
      <c r="T750" s="49" t="s">
        <v>390</v>
      </c>
      <c r="U750" s="47"/>
      <c r="V750" s="28"/>
      <c r="W750" s="29"/>
      <c r="X750" s="30"/>
      <c r="Y750" s="31"/>
      <c r="Z750" s="26">
        <f t="shared" si="5"/>
        <v>-2</v>
      </c>
      <c r="AA750" s="26">
        <f t="shared" si="6"/>
        <v>-3</v>
      </c>
      <c r="AB750" s="32">
        <f t="shared" si="7"/>
        <v>-1</v>
      </c>
      <c r="AC750" s="32" t="str">
        <f t="shared" ref="AC750:AG750" si="754">IF(J750&lt;&gt;"", IF(AND($P750=FALSE, $A750=FALSE), -J750, IF(AND($P750=FALSE, $A750=TRUE), 0, IF($P750=TRUE, (J750 / $R750) * 100 * ($S750 / 100)-J750, ))), )</f>
        <v/>
      </c>
      <c r="AD750" s="32" t="str">
        <f t="shared" si="754"/>
        <v/>
      </c>
      <c r="AE750" s="32" t="str">
        <f t="shared" si="754"/>
        <v/>
      </c>
      <c r="AF750" s="32" t="str">
        <f t="shared" si="754"/>
        <v/>
      </c>
      <c r="AG750" s="32" t="str">
        <f t="shared" si="754"/>
        <v/>
      </c>
      <c r="AH750" s="33"/>
    </row>
    <row r="751" hidden="1" outlineLevel="3">
      <c r="A751" s="16" t="b">
        <v>0</v>
      </c>
      <c r="B751" s="17"/>
      <c r="C751" s="18"/>
      <c r="D751" s="34"/>
      <c r="E751" s="20"/>
      <c r="F751" s="19"/>
      <c r="G751" s="23"/>
      <c r="H751" s="23"/>
      <c r="I751" s="23"/>
      <c r="J751" s="23"/>
      <c r="K751" s="23"/>
      <c r="L751" s="23"/>
      <c r="M751" s="23"/>
      <c r="N751" s="23"/>
      <c r="O751" s="24"/>
      <c r="P751" s="16" t="b">
        <v>0</v>
      </c>
      <c r="Q751" s="24"/>
      <c r="R751" s="50"/>
      <c r="S751" s="34"/>
      <c r="T751" s="27"/>
      <c r="U751" s="24"/>
      <c r="V751" s="28" t="s">
        <v>32</v>
      </c>
      <c r="W751" s="29" t="s">
        <v>22</v>
      </c>
      <c r="X751" s="37" t="s">
        <v>474</v>
      </c>
      <c r="Y751" s="31"/>
      <c r="Z751" s="26" t="str">
        <f t="shared" si="5"/>
        <v/>
      </c>
      <c r="AA751" s="26" t="str">
        <f t="shared" si="6"/>
        <v/>
      </c>
      <c r="AB751" s="32" t="str">
        <f t="shared" si="7"/>
        <v/>
      </c>
      <c r="AC751" s="32" t="str">
        <f t="shared" ref="AC751:AG751" si="755">IF(J751&lt;&gt;"", IF(AND($P751=FALSE, $A751=FALSE), -J751, IF(AND($P751=FALSE, $A751=TRUE), 0, IF($P751=TRUE, (J751 / $R751) * 100 * ($S751 / 100)-J751, ))), )</f>
        <v/>
      </c>
      <c r="AD751" s="32" t="str">
        <f t="shared" si="755"/>
        <v/>
      </c>
      <c r="AE751" s="32" t="str">
        <f t="shared" si="755"/>
        <v/>
      </c>
      <c r="AF751" s="32" t="str">
        <f t="shared" si="755"/>
        <v/>
      </c>
      <c r="AG751" s="32" t="str">
        <f t="shared" si="755"/>
        <v/>
      </c>
      <c r="AH751" s="33"/>
    </row>
    <row r="752" hidden="1" outlineLevel="3">
      <c r="A752" s="16" t="b">
        <v>0</v>
      </c>
      <c r="B752" s="17"/>
      <c r="C752" s="18"/>
      <c r="D752" s="34"/>
      <c r="E752" s="20"/>
      <c r="F752" s="19"/>
      <c r="G752" s="23"/>
      <c r="H752" s="23"/>
      <c r="I752" s="23"/>
      <c r="J752" s="23"/>
      <c r="K752" s="23"/>
      <c r="L752" s="23"/>
      <c r="M752" s="23"/>
      <c r="N752" s="23"/>
      <c r="O752" s="24"/>
      <c r="P752" s="16" t="b">
        <v>0</v>
      </c>
      <c r="Q752" s="24"/>
      <c r="R752" s="50"/>
      <c r="S752" s="34"/>
      <c r="T752" s="27"/>
      <c r="U752" s="24"/>
      <c r="V752" s="38" t="s">
        <v>29</v>
      </c>
      <c r="W752" s="29" t="s">
        <v>22</v>
      </c>
      <c r="X752" s="37" t="s">
        <v>219</v>
      </c>
      <c r="Y752" s="31"/>
      <c r="Z752" s="26" t="str">
        <f t="shared" si="5"/>
        <v/>
      </c>
      <c r="AA752" s="26" t="str">
        <f t="shared" si="6"/>
        <v/>
      </c>
      <c r="AB752" s="32" t="str">
        <f t="shared" si="7"/>
        <v/>
      </c>
      <c r="AC752" s="32" t="str">
        <f t="shared" ref="AC752:AG752" si="756">IF(J752&lt;&gt;"", IF(AND($P752=FALSE, $A752=FALSE), -J752, IF(AND($P752=FALSE, $A752=TRUE), 0, IF($P752=TRUE, (J752 / $R752) * 100 * ($S752 / 100)-J752, ))), )</f>
        <v/>
      </c>
      <c r="AD752" s="32" t="str">
        <f t="shared" si="756"/>
        <v/>
      </c>
      <c r="AE752" s="32" t="str">
        <f t="shared" si="756"/>
        <v/>
      </c>
      <c r="AF752" s="32" t="str">
        <f t="shared" si="756"/>
        <v/>
      </c>
      <c r="AG752" s="32" t="str">
        <f t="shared" si="756"/>
        <v/>
      </c>
      <c r="AH752" s="33"/>
    </row>
    <row r="753" hidden="1" outlineLevel="3">
      <c r="A753" s="16" t="b">
        <v>0</v>
      </c>
      <c r="B753" s="17"/>
      <c r="C753" s="18"/>
      <c r="D753" s="34"/>
      <c r="E753" s="20"/>
      <c r="F753" s="19"/>
      <c r="G753" s="23"/>
      <c r="H753" s="23"/>
      <c r="I753" s="23"/>
      <c r="J753" s="23"/>
      <c r="K753" s="23"/>
      <c r="L753" s="23"/>
      <c r="M753" s="23"/>
      <c r="N753" s="23"/>
      <c r="O753" s="24"/>
      <c r="P753" s="16" t="b">
        <v>0</v>
      </c>
      <c r="Q753" s="24"/>
      <c r="R753" s="50"/>
      <c r="S753" s="34"/>
      <c r="T753" s="27"/>
      <c r="U753" s="24"/>
      <c r="V753" s="28" t="s">
        <v>32</v>
      </c>
      <c r="W753" s="29" t="s">
        <v>22</v>
      </c>
      <c r="X753" s="37" t="s">
        <v>274</v>
      </c>
      <c r="Y753" s="31"/>
      <c r="Z753" s="26" t="str">
        <f t="shared" si="5"/>
        <v/>
      </c>
      <c r="AA753" s="26" t="str">
        <f t="shared" si="6"/>
        <v/>
      </c>
      <c r="AB753" s="32" t="str">
        <f t="shared" si="7"/>
        <v/>
      </c>
      <c r="AC753" s="32" t="str">
        <f t="shared" ref="AC753:AG753" si="757">IF(J753&lt;&gt;"", IF(AND($P753=FALSE, $A753=FALSE), -J753, IF(AND($P753=FALSE, $A753=TRUE), 0, IF($P753=TRUE, (J753 / $R753) * 100 * ($S753 / 100)-J753, ))), )</f>
        <v/>
      </c>
      <c r="AD753" s="32" t="str">
        <f t="shared" si="757"/>
        <v/>
      </c>
      <c r="AE753" s="32" t="str">
        <f t="shared" si="757"/>
        <v/>
      </c>
      <c r="AF753" s="32" t="str">
        <f t="shared" si="757"/>
        <v/>
      </c>
      <c r="AG753" s="32" t="str">
        <f t="shared" si="757"/>
        <v/>
      </c>
      <c r="AH753" s="33"/>
    </row>
    <row r="754" hidden="1" outlineLevel="2" collapsed="1">
      <c r="A754" s="16" t="b">
        <v>0</v>
      </c>
      <c r="B754" s="17"/>
      <c r="C754" s="18"/>
      <c r="D754" s="42">
        <v>45258.0</v>
      </c>
      <c r="E754" s="43" t="s">
        <v>60</v>
      </c>
      <c r="F754" s="53" t="s">
        <v>61</v>
      </c>
      <c r="G754" s="48">
        <v>2.0</v>
      </c>
      <c r="H754" s="48">
        <v>1.0</v>
      </c>
      <c r="I754" s="48">
        <v>3.0</v>
      </c>
      <c r="J754" s="46"/>
      <c r="K754" s="46"/>
      <c r="L754" s="48"/>
      <c r="M754" s="46"/>
      <c r="N754" s="46"/>
      <c r="O754" s="47"/>
      <c r="P754" s="16" t="b">
        <v>1</v>
      </c>
      <c r="Q754" s="24"/>
      <c r="R754" s="48">
        <v>6.0</v>
      </c>
      <c r="S754" s="45">
        <v>16.42</v>
      </c>
      <c r="T754" s="49" t="s">
        <v>581</v>
      </c>
      <c r="U754" s="47"/>
      <c r="V754" s="28"/>
      <c r="W754" s="29"/>
      <c r="X754" s="30"/>
      <c r="Y754" s="31"/>
      <c r="Z754" s="26">
        <f t="shared" si="5"/>
        <v>3.473333333</v>
      </c>
      <c r="AA754" s="26">
        <f t="shared" si="6"/>
        <v>5.21</v>
      </c>
      <c r="AB754" s="32">
        <f t="shared" si="7"/>
        <v>1.736666667</v>
      </c>
      <c r="AC754" s="32" t="str">
        <f t="shared" ref="AC754:AG754" si="758">IF(J754&lt;&gt;"", IF(AND($P754=FALSE, $A754=FALSE), -J754, IF(AND($P754=FALSE, $A754=TRUE), 0, IF($P754=TRUE, (J754 / $R754) * 100 * ($S754 / 100)-J754, ))), )</f>
        <v/>
      </c>
      <c r="AD754" s="32" t="str">
        <f t="shared" si="758"/>
        <v/>
      </c>
      <c r="AE754" s="32" t="str">
        <f t="shared" si="758"/>
        <v/>
      </c>
      <c r="AF754" s="32" t="str">
        <f t="shared" si="758"/>
        <v/>
      </c>
      <c r="AG754" s="32" t="str">
        <f t="shared" si="758"/>
        <v/>
      </c>
      <c r="AH754" s="33"/>
    </row>
    <row r="755" hidden="1" outlineLevel="3">
      <c r="A755" s="16" t="b">
        <v>0</v>
      </c>
      <c r="B755" s="17"/>
      <c r="C755" s="18"/>
      <c r="D755" s="34"/>
      <c r="E755" s="20"/>
      <c r="F755" s="19"/>
      <c r="G755" s="23"/>
      <c r="H755" s="23"/>
      <c r="I755" s="23"/>
      <c r="J755" s="23"/>
      <c r="K755" s="23"/>
      <c r="L755" s="23"/>
      <c r="M755" s="23"/>
      <c r="N755" s="23"/>
      <c r="O755" s="24"/>
      <c r="P755" s="16" t="b">
        <v>0</v>
      </c>
      <c r="Q755" s="24"/>
      <c r="R755" s="50"/>
      <c r="S755" s="34"/>
      <c r="T755" s="27"/>
      <c r="U755" s="24"/>
      <c r="V755" s="38" t="s">
        <v>29</v>
      </c>
      <c r="W755" s="29" t="s">
        <v>22</v>
      </c>
      <c r="X755" s="37" t="s">
        <v>63</v>
      </c>
      <c r="Y755" s="31"/>
      <c r="Z755" s="26" t="str">
        <f t="shared" si="5"/>
        <v/>
      </c>
      <c r="AA755" s="26" t="str">
        <f t="shared" si="6"/>
        <v/>
      </c>
      <c r="AB755" s="32" t="str">
        <f t="shared" si="7"/>
        <v/>
      </c>
      <c r="AC755" s="32" t="str">
        <f t="shared" ref="AC755:AG755" si="759">IF(J755&lt;&gt;"", IF(AND($P755=FALSE, $A755=FALSE), -J755, IF(AND($P755=FALSE, $A755=TRUE), 0, IF($P755=TRUE, (J755 / $R755) * 100 * ($S755 / 100)-J755, ))), )</f>
        <v/>
      </c>
      <c r="AD755" s="32" t="str">
        <f t="shared" si="759"/>
        <v/>
      </c>
      <c r="AE755" s="32" t="str">
        <f t="shared" si="759"/>
        <v/>
      </c>
      <c r="AF755" s="32" t="str">
        <f t="shared" si="759"/>
        <v/>
      </c>
      <c r="AG755" s="32" t="str">
        <f t="shared" si="759"/>
        <v/>
      </c>
      <c r="AH755" s="33"/>
    </row>
    <row r="756" hidden="1" outlineLevel="3">
      <c r="A756" s="16" t="b">
        <v>0</v>
      </c>
      <c r="B756" s="17"/>
      <c r="C756" s="18"/>
      <c r="D756" s="34"/>
      <c r="E756" s="20"/>
      <c r="F756" s="19"/>
      <c r="G756" s="23"/>
      <c r="H756" s="23"/>
      <c r="I756" s="23"/>
      <c r="J756" s="23"/>
      <c r="K756" s="23"/>
      <c r="L756" s="23"/>
      <c r="M756" s="23"/>
      <c r="N756" s="23"/>
      <c r="O756" s="24"/>
      <c r="P756" s="16" t="b">
        <v>0</v>
      </c>
      <c r="Q756" s="24"/>
      <c r="R756" s="50"/>
      <c r="S756" s="34"/>
      <c r="T756" s="27"/>
      <c r="U756" s="24"/>
      <c r="V756" s="38" t="s">
        <v>29</v>
      </c>
      <c r="W756" s="29" t="s">
        <v>22</v>
      </c>
      <c r="X756" s="37" t="s">
        <v>236</v>
      </c>
      <c r="Y756" s="31"/>
      <c r="Z756" s="26" t="str">
        <f t="shared" si="5"/>
        <v/>
      </c>
      <c r="AA756" s="26" t="str">
        <f t="shared" si="6"/>
        <v/>
      </c>
      <c r="AB756" s="32" t="str">
        <f t="shared" si="7"/>
        <v/>
      </c>
      <c r="AC756" s="32" t="str">
        <f t="shared" ref="AC756:AG756" si="760">IF(J756&lt;&gt;"", IF(AND($P756=FALSE, $A756=FALSE), -J756, IF(AND($P756=FALSE, $A756=TRUE), 0, IF($P756=TRUE, (J756 / $R756) * 100 * ($S756 / 100)-J756, ))), )</f>
        <v/>
      </c>
      <c r="AD756" s="32" t="str">
        <f t="shared" si="760"/>
        <v/>
      </c>
      <c r="AE756" s="32" t="str">
        <f t="shared" si="760"/>
        <v/>
      </c>
      <c r="AF756" s="32" t="str">
        <f t="shared" si="760"/>
        <v/>
      </c>
      <c r="AG756" s="32" t="str">
        <f t="shared" si="760"/>
        <v/>
      </c>
      <c r="AH756" s="33"/>
    </row>
    <row r="757" hidden="1" outlineLevel="3">
      <c r="A757" s="16" t="b">
        <v>0</v>
      </c>
      <c r="B757" s="17"/>
      <c r="C757" s="18"/>
      <c r="D757" s="34"/>
      <c r="E757" s="20"/>
      <c r="F757" s="19"/>
      <c r="G757" s="23"/>
      <c r="H757" s="23"/>
      <c r="I757" s="23"/>
      <c r="J757" s="23"/>
      <c r="K757" s="23"/>
      <c r="L757" s="23"/>
      <c r="M757" s="23"/>
      <c r="N757" s="23"/>
      <c r="O757" s="24"/>
      <c r="P757" s="16" t="b">
        <v>0</v>
      </c>
      <c r="Q757" s="24"/>
      <c r="R757" s="50"/>
      <c r="S757" s="34"/>
      <c r="T757" s="27"/>
      <c r="U757" s="24"/>
      <c r="V757" s="38" t="s">
        <v>29</v>
      </c>
      <c r="W757" s="29" t="s">
        <v>22</v>
      </c>
      <c r="X757" s="37" t="s">
        <v>582</v>
      </c>
      <c r="Y757" s="31"/>
      <c r="Z757" s="26" t="str">
        <f t="shared" si="5"/>
        <v/>
      </c>
      <c r="AA757" s="26" t="str">
        <f t="shared" si="6"/>
        <v/>
      </c>
      <c r="AB757" s="32" t="str">
        <f t="shared" si="7"/>
        <v/>
      </c>
      <c r="AC757" s="32" t="str">
        <f t="shared" ref="AC757:AG757" si="761">IF(J757&lt;&gt;"", IF(AND($P757=FALSE, $A757=FALSE), -J757, IF(AND($P757=FALSE, $A757=TRUE), 0, IF($P757=TRUE, (J757 / $R757) * 100 * ($S757 / 100)-J757, ))), )</f>
        <v/>
      </c>
      <c r="AD757" s="32" t="str">
        <f t="shared" si="761"/>
        <v/>
      </c>
      <c r="AE757" s="32" t="str">
        <f t="shared" si="761"/>
        <v/>
      </c>
      <c r="AF757" s="32" t="str">
        <f t="shared" si="761"/>
        <v/>
      </c>
      <c r="AG757" s="32" t="str">
        <f t="shared" si="761"/>
        <v/>
      </c>
      <c r="AH757" s="33"/>
    </row>
    <row r="758" hidden="1" outlineLevel="3">
      <c r="A758" s="16" t="b">
        <v>0</v>
      </c>
      <c r="B758" s="17"/>
      <c r="C758" s="18"/>
      <c r="D758" s="34"/>
      <c r="E758" s="20"/>
      <c r="F758" s="19"/>
      <c r="G758" s="23"/>
      <c r="H758" s="23"/>
      <c r="I758" s="23"/>
      <c r="J758" s="23"/>
      <c r="K758" s="23"/>
      <c r="L758" s="23"/>
      <c r="M758" s="23"/>
      <c r="N758" s="23"/>
      <c r="O758" s="24"/>
      <c r="P758" s="16" t="b">
        <v>0</v>
      </c>
      <c r="Q758" s="24"/>
      <c r="R758" s="50"/>
      <c r="S758" s="34"/>
      <c r="T758" s="27"/>
      <c r="U758" s="24"/>
      <c r="V758" s="38" t="s">
        <v>29</v>
      </c>
      <c r="W758" s="29" t="s">
        <v>22</v>
      </c>
      <c r="X758" s="37" t="s">
        <v>583</v>
      </c>
      <c r="Y758" s="31"/>
      <c r="Z758" s="26" t="str">
        <f t="shared" si="5"/>
        <v/>
      </c>
      <c r="AA758" s="26" t="str">
        <f t="shared" si="6"/>
        <v/>
      </c>
      <c r="AB758" s="32" t="str">
        <f t="shared" si="7"/>
        <v/>
      </c>
      <c r="AC758" s="32" t="str">
        <f t="shared" ref="AC758:AG758" si="762">IF(J758&lt;&gt;"", IF(AND($P758=FALSE, $A758=FALSE), -J758, IF(AND($P758=FALSE, $A758=TRUE), 0, IF($P758=TRUE, (J758 / $R758) * 100 * ($S758 / 100)-J758, ))), )</f>
        <v/>
      </c>
      <c r="AD758" s="32" t="str">
        <f t="shared" si="762"/>
        <v/>
      </c>
      <c r="AE758" s="32" t="str">
        <f t="shared" si="762"/>
        <v/>
      </c>
      <c r="AF758" s="32" t="str">
        <f t="shared" si="762"/>
        <v/>
      </c>
      <c r="AG758" s="32" t="str">
        <f t="shared" si="762"/>
        <v/>
      </c>
      <c r="AH758" s="33"/>
    </row>
    <row r="759" hidden="1" outlineLevel="2" collapsed="1">
      <c r="A759" s="16" t="b">
        <v>0</v>
      </c>
      <c r="B759" s="17"/>
      <c r="C759" s="18"/>
      <c r="D759" s="42">
        <v>45258.0</v>
      </c>
      <c r="E759" s="43" t="s">
        <v>60</v>
      </c>
      <c r="F759" s="53" t="s">
        <v>61</v>
      </c>
      <c r="G759" s="48">
        <v>2.0</v>
      </c>
      <c r="H759" s="48">
        <v>1.0</v>
      </c>
      <c r="I759" s="48">
        <v>3.0</v>
      </c>
      <c r="J759" s="46"/>
      <c r="K759" s="46"/>
      <c r="L759" s="48"/>
      <c r="M759" s="46"/>
      <c r="N759" s="46"/>
      <c r="O759" s="47"/>
      <c r="P759" s="16" t="b">
        <v>0</v>
      </c>
      <c r="Q759" s="24"/>
      <c r="R759" s="48">
        <v>6.0</v>
      </c>
      <c r="S759" s="45">
        <v>19.42</v>
      </c>
      <c r="T759" s="49" t="s">
        <v>301</v>
      </c>
      <c r="U759" s="47"/>
      <c r="V759" s="28"/>
      <c r="W759" s="29"/>
      <c r="X759" s="30"/>
      <c r="Y759" s="31"/>
      <c r="Z759" s="26">
        <f t="shared" si="5"/>
        <v>-2</v>
      </c>
      <c r="AA759" s="26">
        <f t="shared" si="6"/>
        <v>-3</v>
      </c>
      <c r="AB759" s="32">
        <f t="shared" si="7"/>
        <v>-1</v>
      </c>
      <c r="AC759" s="32" t="str">
        <f t="shared" ref="AC759:AG759" si="763">IF(J759&lt;&gt;"", IF(AND($P759=FALSE, $A759=FALSE), -J759, IF(AND($P759=FALSE, $A759=TRUE), 0, IF($P759=TRUE, (J759 / $R759) * 100 * ($S759 / 100)-J759, ))), )</f>
        <v/>
      </c>
      <c r="AD759" s="32" t="str">
        <f t="shared" si="763"/>
        <v/>
      </c>
      <c r="AE759" s="32" t="str">
        <f t="shared" si="763"/>
        <v/>
      </c>
      <c r="AF759" s="32" t="str">
        <f t="shared" si="763"/>
        <v/>
      </c>
      <c r="AG759" s="32" t="str">
        <f t="shared" si="763"/>
        <v/>
      </c>
      <c r="AH759" s="33"/>
    </row>
    <row r="760" hidden="1" outlineLevel="3">
      <c r="A760" s="16" t="b">
        <v>0</v>
      </c>
      <c r="B760" s="17"/>
      <c r="C760" s="18"/>
      <c r="D760" s="34"/>
      <c r="E760" s="20"/>
      <c r="F760" s="19"/>
      <c r="G760" s="23"/>
      <c r="H760" s="23"/>
      <c r="I760" s="23"/>
      <c r="J760" s="23"/>
      <c r="K760" s="23"/>
      <c r="L760" s="23"/>
      <c r="M760" s="23"/>
      <c r="N760" s="23"/>
      <c r="O760" s="24"/>
      <c r="P760" s="16" t="b">
        <v>0</v>
      </c>
      <c r="Q760" s="24"/>
      <c r="R760" s="50"/>
      <c r="S760" s="34"/>
      <c r="T760" s="27"/>
      <c r="U760" s="24"/>
      <c r="V760" s="28" t="s">
        <v>32</v>
      </c>
      <c r="W760" s="29" t="s">
        <v>22</v>
      </c>
      <c r="X760" s="37" t="s">
        <v>365</v>
      </c>
      <c r="Y760" s="31"/>
      <c r="Z760" s="26" t="str">
        <f t="shared" si="5"/>
        <v/>
      </c>
      <c r="AA760" s="26" t="str">
        <f t="shared" si="6"/>
        <v/>
      </c>
      <c r="AB760" s="32" t="str">
        <f t="shared" si="7"/>
        <v/>
      </c>
      <c r="AC760" s="32" t="str">
        <f t="shared" ref="AC760:AG760" si="764">IF(J760&lt;&gt;"", IF(AND($P760=FALSE, $A760=FALSE), -J760, IF(AND($P760=FALSE, $A760=TRUE), 0, IF($P760=TRUE, (J760 / $R760) * 100 * ($S760 / 100)-J760, ))), )</f>
        <v/>
      </c>
      <c r="AD760" s="32" t="str">
        <f t="shared" si="764"/>
        <v/>
      </c>
      <c r="AE760" s="32" t="str">
        <f t="shared" si="764"/>
        <v/>
      </c>
      <c r="AF760" s="32" t="str">
        <f t="shared" si="764"/>
        <v/>
      </c>
      <c r="AG760" s="32" t="str">
        <f t="shared" si="764"/>
        <v/>
      </c>
      <c r="AH760" s="33"/>
    </row>
    <row r="761" hidden="1" outlineLevel="3">
      <c r="A761" s="16" t="b">
        <v>0</v>
      </c>
      <c r="B761" s="17"/>
      <c r="C761" s="18"/>
      <c r="D761" s="34"/>
      <c r="E761" s="20"/>
      <c r="F761" s="19"/>
      <c r="G761" s="23"/>
      <c r="H761" s="23"/>
      <c r="I761" s="23"/>
      <c r="J761" s="23"/>
      <c r="K761" s="23"/>
      <c r="L761" s="23"/>
      <c r="M761" s="23"/>
      <c r="N761" s="23"/>
      <c r="O761" s="24"/>
      <c r="P761" s="16" t="b">
        <v>0</v>
      </c>
      <c r="Q761" s="24"/>
      <c r="R761" s="50"/>
      <c r="S761" s="34"/>
      <c r="T761" s="27"/>
      <c r="U761" s="24"/>
      <c r="V761" s="38" t="s">
        <v>29</v>
      </c>
      <c r="W761" s="29" t="s">
        <v>22</v>
      </c>
      <c r="X761" s="37" t="s">
        <v>189</v>
      </c>
      <c r="Y761" s="31"/>
      <c r="Z761" s="26" t="str">
        <f t="shared" si="5"/>
        <v/>
      </c>
      <c r="AA761" s="26" t="str">
        <f t="shared" si="6"/>
        <v/>
      </c>
      <c r="AB761" s="32" t="str">
        <f t="shared" si="7"/>
        <v/>
      </c>
      <c r="AC761" s="32" t="str">
        <f t="shared" ref="AC761:AG761" si="765">IF(J761&lt;&gt;"", IF(AND($P761=FALSE, $A761=FALSE), -J761, IF(AND($P761=FALSE, $A761=TRUE), 0, IF($P761=TRUE, (J761 / $R761) * 100 * ($S761 / 100)-J761, ))), )</f>
        <v/>
      </c>
      <c r="AD761" s="32" t="str">
        <f t="shared" si="765"/>
        <v/>
      </c>
      <c r="AE761" s="32" t="str">
        <f t="shared" si="765"/>
        <v/>
      </c>
      <c r="AF761" s="32" t="str">
        <f t="shared" si="765"/>
        <v/>
      </c>
      <c r="AG761" s="32" t="str">
        <f t="shared" si="765"/>
        <v/>
      </c>
      <c r="AH761" s="33"/>
    </row>
    <row r="762" hidden="1" outlineLevel="3">
      <c r="A762" s="16" t="b">
        <v>0</v>
      </c>
      <c r="B762" s="17"/>
      <c r="C762" s="18"/>
      <c r="D762" s="34"/>
      <c r="E762" s="20"/>
      <c r="F762" s="19"/>
      <c r="G762" s="23"/>
      <c r="H762" s="23"/>
      <c r="I762" s="23"/>
      <c r="J762" s="23"/>
      <c r="K762" s="23"/>
      <c r="L762" s="23"/>
      <c r="M762" s="23"/>
      <c r="N762" s="23"/>
      <c r="O762" s="24"/>
      <c r="P762" s="16" t="b">
        <v>0</v>
      </c>
      <c r="Q762" s="24"/>
      <c r="R762" s="50"/>
      <c r="S762" s="34"/>
      <c r="T762" s="27"/>
      <c r="U762" s="24"/>
      <c r="V762" s="38" t="s">
        <v>29</v>
      </c>
      <c r="W762" s="29" t="s">
        <v>22</v>
      </c>
      <c r="X762" s="37" t="s">
        <v>430</v>
      </c>
      <c r="Y762" s="31"/>
      <c r="Z762" s="26" t="str">
        <f t="shared" si="5"/>
        <v/>
      </c>
      <c r="AA762" s="26" t="str">
        <f t="shared" si="6"/>
        <v/>
      </c>
      <c r="AB762" s="32" t="str">
        <f t="shared" si="7"/>
        <v/>
      </c>
      <c r="AC762" s="32" t="str">
        <f t="shared" ref="AC762:AG762" si="766">IF(J762&lt;&gt;"", IF(AND($P762=FALSE, $A762=FALSE), -J762, IF(AND($P762=FALSE, $A762=TRUE), 0, IF($P762=TRUE, (J762 / $R762) * 100 * ($S762 / 100)-J762, ))), )</f>
        <v/>
      </c>
      <c r="AD762" s="32" t="str">
        <f t="shared" si="766"/>
        <v/>
      </c>
      <c r="AE762" s="32" t="str">
        <f t="shared" si="766"/>
        <v/>
      </c>
      <c r="AF762" s="32" t="str">
        <f t="shared" si="766"/>
        <v/>
      </c>
      <c r="AG762" s="32" t="str">
        <f t="shared" si="766"/>
        <v/>
      </c>
      <c r="AH762" s="33"/>
    </row>
    <row r="763" hidden="1" outlineLevel="3">
      <c r="A763" s="16" t="b">
        <v>0</v>
      </c>
      <c r="B763" s="17"/>
      <c r="C763" s="18"/>
      <c r="D763" s="34"/>
      <c r="E763" s="20"/>
      <c r="F763" s="19"/>
      <c r="G763" s="23"/>
      <c r="H763" s="23"/>
      <c r="I763" s="23"/>
      <c r="J763" s="23"/>
      <c r="K763" s="23"/>
      <c r="L763" s="23"/>
      <c r="M763" s="23"/>
      <c r="N763" s="23"/>
      <c r="O763" s="24"/>
      <c r="P763" s="16" t="b">
        <v>0</v>
      </c>
      <c r="Q763" s="24"/>
      <c r="R763" s="50"/>
      <c r="S763" s="34"/>
      <c r="T763" s="27"/>
      <c r="U763" s="24"/>
      <c r="V763" s="28" t="s">
        <v>32</v>
      </c>
      <c r="W763" s="29" t="s">
        <v>22</v>
      </c>
      <c r="X763" s="37" t="s">
        <v>584</v>
      </c>
      <c r="Y763" s="31"/>
      <c r="Z763" s="26" t="str">
        <f t="shared" si="5"/>
        <v/>
      </c>
      <c r="AA763" s="26" t="str">
        <f t="shared" si="6"/>
        <v/>
      </c>
      <c r="AB763" s="32" t="str">
        <f t="shared" si="7"/>
        <v/>
      </c>
      <c r="AC763" s="32" t="str">
        <f t="shared" ref="AC763:AG763" si="767">IF(J763&lt;&gt;"", IF(AND($P763=FALSE, $A763=FALSE), -J763, IF(AND($P763=FALSE, $A763=TRUE), 0, IF($P763=TRUE, (J763 / $R763) * 100 * ($S763 / 100)-J763, ))), )</f>
        <v/>
      </c>
      <c r="AD763" s="32" t="str">
        <f t="shared" si="767"/>
        <v/>
      </c>
      <c r="AE763" s="32" t="str">
        <f t="shared" si="767"/>
        <v/>
      </c>
      <c r="AF763" s="32" t="str">
        <f t="shared" si="767"/>
        <v/>
      </c>
      <c r="AG763" s="32" t="str">
        <f t="shared" si="767"/>
        <v/>
      </c>
      <c r="AH763" s="33"/>
    </row>
    <row r="764" hidden="1" outlineLevel="3">
      <c r="A764" s="16" t="b">
        <v>0</v>
      </c>
      <c r="B764" s="17"/>
      <c r="C764" s="18"/>
      <c r="D764" s="34"/>
      <c r="E764" s="20"/>
      <c r="F764" s="19"/>
      <c r="G764" s="23"/>
      <c r="H764" s="23"/>
      <c r="I764" s="23"/>
      <c r="J764" s="23"/>
      <c r="K764" s="23"/>
      <c r="L764" s="23"/>
      <c r="M764" s="23"/>
      <c r="N764" s="23"/>
      <c r="O764" s="24"/>
      <c r="P764" s="16" t="b">
        <v>0</v>
      </c>
      <c r="Q764" s="24"/>
      <c r="R764" s="50"/>
      <c r="S764" s="34"/>
      <c r="T764" s="27"/>
      <c r="U764" s="24"/>
      <c r="V764" s="28" t="s">
        <v>32</v>
      </c>
      <c r="W764" s="29" t="s">
        <v>22</v>
      </c>
      <c r="X764" s="37" t="s">
        <v>366</v>
      </c>
      <c r="Y764" s="31"/>
      <c r="Z764" s="26" t="str">
        <f t="shared" si="5"/>
        <v/>
      </c>
      <c r="AA764" s="26" t="str">
        <f t="shared" si="6"/>
        <v/>
      </c>
      <c r="AB764" s="32" t="str">
        <f t="shared" si="7"/>
        <v/>
      </c>
      <c r="AC764" s="32" t="str">
        <f t="shared" ref="AC764:AG764" si="768">IF(J764&lt;&gt;"", IF(AND($P764=FALSE, $A764=FALSE), -J764, IF(AND($P764=FALSE, $A764=TRUE), 0, IF($P764=TRUE, (J764 / $R764) * 100 * ($S764 / 100)-J764, ))), )</f>
        <v/>
      </c>
      <c r="AD764" s="32" t="str">
        <f t="shared" si="768"/>
        <v/>
      </c>
      <c r="AE764" s="32" t="str">
        <f t="shared" si="768"/>
        <v/>
      </c>
      <c r="AF764" s="32" t="str">
        <f t="shared" si="768"/>
        <v/>
      </c>
      <c r="AG764" s="32" t="str">
        <f t="shared" si="768"/>
        <v/>
      </c>
      <c r="AH764" s="33"/>
    </row>
    <row r="765" hidden="1" outlineLevel="2" collapsed="1">
      <c r="A765" s="16" t="b">
        <v>0</v>
      </c>
      <c r="B765" s="17"/>
      <c r="C765" s="18"/>
      <c r="D765" s="42">
        <v>45258.0</v>
      </c>
      <c r="E765" s="43" t="s">
        <v>60</v>
      </c>
      <c r="F765" s="53" t="s">
        <v>61</v>
      </c>
      <c r="G765" s="45">
        <v>4.0</v>
      </c>
      <c r="H765" s="45">
        <v>2.0</v>
      </c>
      <c r="I765" s="45">
        <v>14.0</v>
      </c>
      <c r="J765" s="46"/>
      <c r="K765" s="46"/>
      <c r="L765" s="45"/>
      <c r="M765" s="46"/>
      <c r="N765" s="46"/>
      <c r="O765" s="47"/>
      <c r="P765" s="16" t="b">
        <v>1</v>
      </c>
      <c r="Q765" s="24"/>
      <c r="R765" s="48">
        <v>20.0</v>
      </c>
      <c r="S765" s="45">
        <v>40.0</v>
      </c>
      <c r="T765" s="49">
        <v>-100.0</v>
      </c>
      <c r="U765" s="47"/>
      <c r="V765" s="28"/>
      <c r="W765" s="29"/>
      <c r="X765" s="30"/>
      <c r="Y765" s="31"/>
      <c r="Z765" s="26">
        <f t="shared" si="5"/>
        <v>4</v>
      </c>
      <c r="AA765" s="26">
        <f t="shared" si="6"/>
        <v>14</v>
      </c>
      <c r="AB765" s="32">
        <f t="shared" si="7"/>
        <v>2</v>
      </c>
      <c r="AC765" s="32" t="str">
        <f t="shared" ref="AC765:AG765" si="769">IF(J765&lt;&gt;"", IF(AND($P765=FALSE, $A765=FALSE), -J765, IF(AND($P765=FALSE, $A765=TRUE), 0, IF($P765=TRUE, (J765 / $R765) * 100 * ($S765 / 100)-J765, ))), )</f>
        <v/>
      </c>
      <c r="AD765" s="32" t="str">
        <f t="shared" si="769"/>
        <v/>
      </c>
      <c r="AE765" s="32" t="str">
        <f t="shared" si="769"/>
        <v/>
      </c>
      <c r="AF765" s="32" t="str">
        <f t="shared" si="769"/>
        <v/>
      </c>
      <c r="AG765" s="32" t="str">
        <f t="shared" si="769"/>
        <v/>
      </c>
      <c r="AH765" s="33"/>
    </row>
    <row r="766" hidden="1" outlineLevel="3">
      <c r="A766" s="16" t="b">
        <v>0</v>
      </c>
      <c r="B766" s="17"/>
      <c r="C766" s="18"/>
      <c r="D766" s="34"/>
      <c r="E766" s="20"/>
      <c r="F766" s="19"/>
      <c r="G766" s="23"/>
      <c r="H766" s="23"/>
      <c r="I766" s="23"/>
      <c r="J766" s="23"/>
      <c r="K766" s="23"/>
      <c r="L766" s="23"/>
      <c r="M766" s="23"/>
      <c r="N766" s="23"/>
      <c r="O766" s="24"/>
      <c r="P766" s="16" t="b">
        <v>0</v>
      </c>
      <c r="Q766" s="24"/>
      <c r="R766" s="50"/>
      <c r="S766" s="34"/>
      <c r="T766" s="27"/>
      <c r="U766" s="24"/>
      <c r="V766" s="38" t="s">
        <v>29</v>
      </c>
      <c r="W766" s="29" t="s">
        <v>22</v>
      </c>
      <c r="X766" s="37" t="s">
        <v>585</v>
      </c>
      <c r="Y766" s="31"/>
      <c r="Z766" s="26" t="str">
        <f t="shared" si="5"/>
        <v/>
      </c>
      <c r="AA766" s="26" t="str">
        <f t="shared" si="6"/>
        <v/>
      </c>
      <c r="AB766" s="32" t="str">
        <f t="shared" si="7"/>
        <v/>
      </c>
      <c r="AC766" s="32" t="str">
        <f t="shared" ref="AC766:AG766" si="770">IF(J766&lt;&gt;"", IF(AND($P766=FALSE, $A766=FALSE), -J766, IF(AND($P766=FALSE, $A766=TRUE), 0, IF($P766=TRUE, (J766 / $R766) * 100 * ($S766 / 100)-J766, ))), )</f>
        <v/>
      </c>
      <c r="AD766" s="32" t="str">
        <f t="shared" si="770"/>
        <v/>
      </c>
      <c r="AE766" s="32" t="str">
        <f t="shared" si="770"/>
        <v/>
      </c>
      <c r="AF766" s="32" t="str">
        <f t="shared" si="770"/>
        <v/>
      </c>
      <c r="AG766" s="32" t="str">
        <f t="shared" si="770"/>
        <v/>
      </c>
      <c r="AH766" s="33"/>
    </row>
    <row r="767" hidden="1" outlineLevel="2">
      <c r="A767" s="16" t="b">
        <v>0</v>
      </c>
      <c r="B767" s="17"/>
      <c r="C767" s="18"/>
      <c r="D767" s="42">
        <v>45258.0</v>
      </c>
      <c r="E767" s="43" t="s">
        <v>60</v>
      </c>
      <c r="F767" s="53" t="s">
        <v>61</v>
      </c>
      <c r="G767" s="45">
        <v>4.0</v>
      </c>
      <c r="H767" s="45">
        <v>2.0</v>
      </c>
      <c r="I767" s="45">
        <v>4.0</v>
      </c>
      <c r="J767" s="46"/>
      <c r="K767" s="46"/>
      <c r="L767" s="45"/>
      <c r="M767" s="46"/>
      <c r="N767" s="46"/>
      <c r="O767" s="47"/>
      <c r="P767" s="16" t="b">
        <v>0</v>
      </c>
      <c r="Q767" s="24"/>
      <c r="R767" s="48">
        <v>10.0</v>
      </c>
      <c r="S767" s="45">
        <v>1469.45</v>
      </c>
      <c r="T767" s="49" t="s">
        <v>586</v>
      </c>
      <c r="U767" s="47"/>
      <c r="V767" s="28"/>
      <c r="W767" s="29"/>
      <c r="X767" s="30"/>
      <c r="Y767" s="31"/>
      <c r="Z767" s="26">
        <f t="shared" si="5"/>
        <v>-4</v>
      </c>
      <c r="AA767" s="26">
        <f t="shared" si="6"/>
        <v>-4</v>
      </c>
      <c r="AB767" s="32">
        <f t="shared" si="7"/>
        <v>-2</v>
      </c>
      <c r="AC767" s="32" t="str">
        <f t="shared" ref="AC767:AG767" si="771">IF(J767&lt;&gt;"", IF(AND($P767=FALSE, $A767=FALSE), -J767, IF(AND($P767=FALSE, $A767=TRUE), 0, IF($P767=TRUE, (J767 / $R767) * 100 * ($S767 / 100)-J767, ))), )</f>
        <v/>
      </c>
      <c r="AD767" s="32" t="str">
        <f t="shared" si="771"/>
        <v/>
      </c>
      <c r="AE767" s="32" t="str">
        <f t="shared" si="771"/>
        <v/>
      </c>
      <c r="AF767" s="32" t="str">
        <f t="shared" si="771"/>
        <v/>
      </c>
      <c r="AG767" s="32" t="str">
        <f t="shared" si="771"/>
        <v/>
      </c>
      <c r="AH767" s="33"/>
    </row>
    <row r="768" hidden="1" outlineLevel="3">
      <c r="A768" s="16" t="b">
        <v>0</v>
      </c>
      <c r="B768" s="17"/>
      <c r="C768" s="18"/>
      <c r="D768" s="34"/>
      <c r="E768" s="20"/>
      <c r="F768" s="19"/>
      <c r="G768" s="23"/>
      <c r="H768" s="23"/>
      <c r="I768" s="23"/>
      <c r="J768" s="23"/>
      <c r="K768" s="23"/>
      <c r="L768" s="23"/>
      <c r="M768" s="23"/>
      <c r="N768" s="23"/>
      <c r="O768" s="24"/>
      <c r="P768" s="16" t="b">
        <v>0</v>
      </c>
      <c r="Q768" s="24"/>
      <c r="R768" s="50"/>
      <c r="S768" s="34"/>
      <c r="T768" s="27"/>
      <c r="U768" s="24"/>
      <c r="V768" s="28" t="s">
        <v>32</v>
      </c>
      <c r="W768" s="29" t="s">
        <v>22</v>
      </c>
      <c r="X768" s="37" t="s">
        <v>587</v>
      </c>
      <c r="Y768" s="31"/>
      <c r="Z768" s="26" t="str">
        <f t="shared" si="5"/>
        <v/>
      </c>
      <c r="AA768" s="26" t="str">
        <f t="shared" si="6"/>
        <v/>
      </c>
      <c r="AB768" s="32" t="str">
        <f t="shared" si="7"/>
        <v/>
      </c>
      <c r="AC768" s="32" t="str">
        <f t="shared" ref="AC768:AG768" si="772">IF(J768&lt;&gt;"", IF(AND($P768=FALSE, $A768=FALSE), -J768, IF(AND($P768=FALSE, $A768=TRUE), 0, IF($P768=TRUE, (J768 / $R768) * 100 * ($S768 / 100)-J768, ))), )</f>
        <v/>
      </c>
      <c r="AD768" s="32" t="str">
        <f t="shared" si="772"/>
        <v/>
      </c>
      <c r="AE768" s="32" t="str">
        <f t="shared" si="772"/>
        <v/>
      </c>
      <c r="AF768" s="32" t="str">
        <f t="shared" si="772"/>
        <v/>
      </c>
      <c r="AG768" s="32" t="str">
        <f t="shared" si="772"/>
        <v/>
      </c>
      <c r="AH768" s="33"/>
    </row>
    <row r="769" hidden="1" outlineLevel="3">
      <c r="A769" s="16" t="b">
        <v>0</v>
      </c>
      <c r="B769" s="17"/>
      <c r="C769" s="18"/>
      <c r="D769" s="34"/>
      <c r="E769" s="20"/>
      <c r="F769" s="19"/>
      <c r="G769" s="23"/>
      <c r="H769" s="23"/>
      <c r="I769" s="23"/>
      <c r="J769" s="23"/>
      <c r="K769" s="23"/>
      <c r="L769" s="23"/>
      <c r="M769" s="23"/>
      <c r="N769" s="23"/>
      <c r="O769" s="24"/>
      <c r="P769" s="16" t="b">
        <v>0</v>
      </c>
      <c r="Q769" s="24"/>
      <c r="R769" s="50"/>
      <c r="S769" s="34"/>
      <c r="T769" s="27"/>
      <c r="U769" s="24"/>
      <c r="V769" s="28" t="s">
        <v>32</v>
      </c>
      <c r="W769" s="29" t="s">
        <v>22</v>
      </c>
      <c r="X769" s="37" t="s">
        <v>588</v>
      </c>
      <c r="Y769" s="31"/>
      <c r="Z769" s="26" t="str">
        <f t="shared" si="5"/>
        <v/>
      </c>
      <c r="AA769" s="26" t="str">
        <f t="shared" si="6"/>
        <v/>
      </c>
      <c r="AB769" s="32" t="str">
        <f t="shared" si="7"/>
        <v/>
      </c>
      <c r="AC769" s="32" t="str">
        <f t="shared" ref="AC769:AG769" si="773">IF(J769&lt;&gt;"", IF(AND($P769=FALSE, $A769=FALSE), -J769, IF(AND($P769=FALSE, $A769=TRUE), 0, IF($P769=TRUE, (J769 / $R769) * 100 * ($S769 / 100)-J769, ))), )</f>
        <v/>
      </c>
      <c r="AD769" s="32" t="str">
        <f t="shared" si="773"/>
        <v/>
      </c>
      <c r="AE769" s="32" t="str">
        <f t="shared" si="773"/>
        <v/>
      </c>
      <c r="AF769" s="32" t="str">
        <f t="shared" si="773"/>
        <v/>
      </c>
      <c r="AG769" s="32" t="str">
        <f t="shared" si="773"/>
        <v/>
      </c>
      <c r="AH769" s="33"/>
    </row>
    <row r="770" hidden="1" outlineLevel="3">
      <c r="A770" s="16" t="b">
        <v>0</v>
      </c>
      <c r="B770" s="17"/>
      <c r="C770" s="18"/>
      <c r="D770" s="34"/>
      <c r="E770" s="20"/>
      <c r="F770" s="19"/>
      <c r="G770" s="23"/>
      <c r="H770" s="23"/>
      <c r="I770" s="23"/>
      <c r="J770" s="23"/>
      <c r="K770" s="23"/>
      <c r="L770" s="23"/>
      <c r="M770" s="23"/>
      <c r="N770" s="23"/>
      <c r="O770" s="24"/>
      <c r="P770" s="16" t="b">
        <v>0</v>
      </c>
      <c r="Q770" s="24"/>
      <c r="R770" s="50"/>
      <c r="S770" s="34"/>
      <c r="T770" s="27"/>
      <c r="U770" s="24"/>
      <c r="V770" s="28" t="s">
        <v>32</v>
      </c>
      <c r="W770" s="29" t="s">
        <v>22</v>
      </c>
      <c r="X770" s="37" t="s">
        <v>589</v>
      </c>
      <c r="Y770" s="31"/>
      <c r="Z770" s="26" t="str">
        <f t="shared" si="5"/>
        <v/>
      </c>
      <c r="AA770" s="26" t="str">
        <f t="shared" si="6"/>
        <v/>
      </c>
      <c r="AB770" s="32" t="str">
        <f t="shared" si="7"/>
        <v/>
      </c>
      <c r="AC770" s="32" t="str">
        <f t="shared" ref="AC770:AG770" si="774">IF(J770&lt;&gt;"", IF(AND($P770=FALSE, $A770=FALSE), -J770, IF(AND($P770=FALSE, $A770=TRUE), 0, IF($P770=TRUE, (J770 / $R770) * 100 * ($S770 / 100)-J770, ))), )</f>
        <v/>
      </c>
      <c r="AD770" s="32" t="str">
        <f t="shared" si="774"/>
        <v/>
      </c>
      <c r="AE770" s="32" t="str">
        <f t="shared" si="774"/>
        <v/>
      </c>
      <c r="AF770" s="32" t="str">
        <f t="shared" si="774"/>
        <v/>
      </c>
      <c r="AG770" s="32" t="str">
        <f t="shared" si="774"/>
        <v/>
      </c>
      <c r="AH770" s="33"/>
    </row>
    <row r="771" hidden="1" outlineLevel="3">
      <c r="A771" s="16" t="b">
        <v>0</v>
      </c>
      <c r="B771" s="17"/>
      <c r="C771" s="18"/>
      <c r="D771" s="34"/>
      <c r="E771" s="20"/>
      <c r="F771" s="19"/>
      <c r="G771" s="23"/>
      <c r="H771" s="23"/>
      <c r="I771" s="23"/>
      <c r="J771" s="23"/>
      <c r="K771" s="23"/>
      <c r="L771" s="23"/>
      <c r="M771" s="23"/>
      <c r="N771" s="23"/>
      <c r="O771" s="24"/>
      <c r="P771" s="16" t="b">
        <v>0</v>
      </c>
      <c r="Q771" s="24"/>
      <c r="R771" s="50"/>
      <c r="S771" s="34"/>
      <c r="T771" s="27"/>
      <c r="U771" s="24"/>
      <c r="V771" s="28" t="s">
        <v>32</v>
      </c>
      <c r="W771" s="29" t="s">
        <v>22</v>
      </c>
      <c r="X771" s="37" t="s">
        <v>590</v>
      </c>
      <c r="Y771" s="31"/>
      <c r="Z771" s="26" t="str">
        <f t="shared" si="5"/>
        <v/>
      </c>
      <c r="AA771" s="26" t="str">
        <f t="shared" si="6"/>
        <v/>
      </c>
      <c r="AB771" s="32" t="str">
        <f t="shared" si="7"/>
        <v/>
      </c>
      <c r="AC771" s="32" t="str">
        <f t="shared" ref="AC771:AG771" si="775">IF(J771&lt;&gt;"", IF(AND($P771=FALSE, $A771=FALSE), -J771, IF(AND($P771=FALSE, $A771=TRUE), 0, IF($P771=TRUE, (J771 / $R771) * 100 * ($S771 / 100)-J771, ))), )</f>
        <v/>
      </c>
      <c r="AD771" s="32" t="str">
        <f t="shared" si="775"/>
        <v/>
      </c>
      <c r="AE771" s="32" t="str">
        <f t="shared" si="775"/>
        <v/>
      </c>
      <c r="AF771" s="32" t="str">
        <f t="shared" si="775"/>
        <v/>
      </c>
      <c r="AG771" s="32" t="str">
        <f t="shared" si="775"/>
        <v/>
      </c>
      <c r="AH771" s="33"/>
    </row>
    <row r="772" hidden="1" outlineLevel="3">
      <c r="A772" s="16" t="b">
        <v>0</v>
      </c>
      <c r="B772" s="17"/>
      <c r="C772" s="18"/>
      <c r="D772" s="34"/>
      <c r="E772" s="20"/>
      <c r="F772" s="19"/>
      <c r="G772" s="23"/>
      <c r="H772" s="23"/>
      <c r="I772" s="23"/>
      <c r="J772" s="23"/>
      <c r="K772" s="23"/>
      <c r="L772" s="23"/>
      <c r="M772" s="23"/>
      <c r="N772" s="23"/>
      <c r="O772" s="24"/>
      <c r="P772" s="16" t="b">
        <v>0</v>
      </c>
      <c r="Q772" s="24"/>
      <c r="R772" s="50"/>
      <c r="S772" s="34"/>
      <c r="T772" s="27"/>
      <c r="U772" s="24"/>
      <c r="V772" s="28" t="s">
        <v>32</v>
      </c>
      <c r="W772" s="29" t="s">
        <v>22</v>
      </c>
      <c r="X772" s="37" t="s">
        <v>591</v>
      </c>
      <c r="Y772" s="31"/>
      <c r="Z772" s="26" t="str">
        <f t="shared" si="5"/>
        <v/>
      </c>
      <c r="AA772" s="26" t="str">
        <f t="shared" si="6"/>
        <v/>
      </c>
      <c r="AB772" s="32" t="str">
        <f t="shared" si="7"/>
        <v/>
      </c>
      <c r="AC772" s="32" t="str">
        <f t="shared" ref="AC772:AG772" si="776">IF(J772&lt;&gt;"", IF(AND($P772=FALSE, $A772=FALSE), -J772, IF(AND($P772=FALSE, $A772=TRUE), 0, IF($P772=TRUE, (J772 / $R772) * 100 * ($S772 / 100)-J772, ))), )</f>
        <v/>
      </c>
      <c r="AD772" s="32" t="str">
        <f t="shared" si="776"/>
        <v/>
      </c>
      <c r="AE772" s="32" t="str">
        <f t="shared" si="776"/>
        <v/>
      </c>
      <c r="AF772" s="32" t="str">
        <f t="shared" si="776"/>
        <v/>
      </c>
      <c r="AG772" s="32" t="str">
        <f t="shared" si="776"/>
        <v/>
      </c>
      <c r="AH772" s="33"/>
    </row>
    <row r="773" hidden="1" outlineLevel="1" collapsed="1">
      <c r="A773" s="16" t="b">
        <v>0</v>
      </c>
      <c r="B773" s="17"/>
      <c r="C773" s="18"/>
      <c r="D773" s="42">
        <v>45259.0</v>
      </c>
      <c r="E773" s="43" t="s">
        <v>60</v>
      </c>
      <c r="F773" s="53" t="s">
        <v>61</v>
      </c>
      <c r="G773" s="45">
        <v>2.0</v>
      </c>
      <c r="H773" s="45">
        <v>1.0</v>
      </c>
      <c r="I773" s="45">
        <v>3.0</v>
      </c>
      <c r="J773" s="46"/>
      <c r="K773" s="46"/>
      <c r="L773" s="45"/>
      <c r="M773" s="46"/>
      <c r="N773" s="46"/>
      <c r="O773" s="47"/>
      <c r="P773" s="16" t="b">
        <v>0</v>
      </c>
      <c r="Q773" s="24"/>
      <c r="R773" s="48">
        <v>6.0</v>
      </c>
      <c r="S773" s="45">
        <v>13.57</v>
      </c>
      <c r="T773" s="49" t="s">
        <v>269</v>
      </c>
      <c r="U773" s="47"/>
      <c r="V773" s="28"/>
      <c r="W773" s="29"/>
      <c r="X773" s="30"/>
      <c r="Y773" s="31"/>
      <c r="Z773" s="26">
        <f t="shared" si="5"/>
        <v>-2</v>
      </c>
      <c r="AA773" s="26">
        <f t="shared" si="6"/>
        <v>-3</v>
      </c>
      <c r="AB773" s="32">
        <f t="shared" si="7"/>
        <v>-1</v>
      </c>
      <c r="AC773" s="32" t="str">
        <f t="shared" ref="AC773:AG773" si="777">IF(J773&lt;&gt;"", IF(AND($P773=FALSE, $A773=FALSE), -J773, IF(AND($P773=FALSE, $A773=TRUE), 0, IF($P773=TRUE, (J773 / $R773) * 100 * ($S773 / 100)-J773, ))), )</f>
        <v/>
      </c>
      <c r="AD773" s="32" t="str">
        <f t="shared" si="777"/>
        <v/>
      </c>
      <c r="AE773" s="32" t="str">
        <f t="shared" si="777"/>
        <v/>
      </c>
      <c r="AF773" s="32" t="str">
        <f t="shared" si="777"/>
        <v/>
      </c>
      <c r="AG773" s="32" t="str">
        <f t="shared" si="777"/>
        <v/>
      </c>
      <c r="AH773" s="33"/>
    </row>
    <row r="774" hidden="1" outlineLevel="3">
      <c r="A774" s="16" t="b">
        <v>0</v>
      </c>
      <c r="B774" s="17"/>
      <c r="C774" s="18"/>
      <c r="D774" s="34"/>
      <c r="E774" s="20"/>
      <c r="F774" s="19"/>
      <c r="G774" s="23"/>
      <c r="H774" s="23"/>
      <c r="I774" s="23"/>
      <c r="J774" s="23"/>
      <c r="K774" s="23"/>
      <c r="L774" s="23"/>
      <c r="M774" s="23"/>
      <c r="N774" s="23"/>
      <c r="O774" s="24"/>
      <c r="P774" s="16" t="b">
        <v>0</v>
      </c>
      <c r="Q774" s="24"/>
      <c r="R774" s="50"/>
      <c r="S774" s="34"/>
      <c r="T774" s="27"/>
      <c r="U774" s="24"/>
      <c r="V774" s="38" t="s">
        <v>29</v>
      </c>
      <c r="W774" s="29" t="s">
        <v>22</v>
      </c>
      <c r="X774" s="37" t="s">
        <v>195</v>
      </c>
      <c r="Y774" s="31"/>
      <c r="Z774" s="26" t="str">
        <f t="shared" si="5"/>
        <v/>
      </c>
      <c r="AA774" s="26" t="str">
        <f t="shared" si="6"/>
        <v/>
      </c>
      <c r="AB774" s="32" t="str">
        <f t="shared" si="7"/>
        <v/>
      </c>
      <c r="AC774" s="32" t="str">
        <f t="shared" ref="AC774:AG774" si="778">IF(J774&lt;&gt;"", IF(AND($P774=FALSE, $A774=FALSE), -J774, IF(AND($P774=FALSE, $A774=TRUE), 0, IF($P774=TRUE, (J774 / $R774) * 100 * ($S774 / 100)-J774, ))), )</f>
        <v/>
      </c>
      <c r="AD774" s="32" t="str">
        <f t="shared" si="778"/>
        <v/>
      </c>
      <c r="AE774" s="32" t="str">
        <f t="shared" si="778"/>
        <v/>
      </c>
      <c r="AF774" s="32" t="str">
        <f t="shared" si="778"/>
        <v/>
      </c>
      <c r="AG774" s="32" t="str">
        <f t="shared" si="778"/>
        <v/>
      </c>
      <c r="AH774" s="33"/>
    </row>
    <row r="775" hidden="1" outlineLevel="3">
      <c r="A775" s="16" t="b">
        <v>0</v>
      </c>
      <c r="B775" s="17"/>
      <c r="C775" s="18"/>
      <c r="D775" s="34"/>
      <c r="E775" s="20"/>
      <c r="F775" s="19"/>
      <c r="G775" s="23"/>
      <c r="H775" s="23"/>
      <c r="I775" s="23"/>
      <c r="J775" s="23"/>
      <c r="K775" s="23"/>
      <c r="L775" s="23"/>
      <c r="M775" s="23"/>
      <c r="N775" s="23"/>
      <c r="O775" s="24"/>
      <c r="P775" s="16" t="b">
        <v>0</v>
      </c>
      <c r="Q775" s="24"/>
      <c r="R775" s="50"/>
      <c r="S775" s="34"/>
      <c r="T775" s="27"/>
      <c r="U775" s="24"/>
      <c r="V775" s="28" t="s">
        <v>32</v>
      </c>
      <c r="W775" s="29" t="s">
        <v>22</v>
      </c>
      <c r="X775" s="37" t="s">
        <v>459</v>
      </c>
      <c r="Y775" s="31"/>
      <c r="Z775" s="26" t="str">
        <f t="shared" si="5"/>
        <v/>
      </c>
      <c r="AA775" s="26" t="str">
        <f t="shared" si="6"/>
        <v/>
      </c>
      <c r="AB775" s="32" t="str">
        <f t="shared" si="7"/>
        <v/>
      </c>
      <c r="AC775" s="32" t="str">
        <f t="shared" ref="AC775:AG775" si="779">IF(J775&lt;&gt;"", IF(AND($P775=FALSE, $A775=FALSE), -J775, IF(AND($P775=FALSE, $A775=TRUE), 0, IF($P775=TRUE, (J775 / $R775) * 100 * ($S775 / 100)-J775, ))), )</f>
        <v/>
      </c>
      <c r="AD775" s="32" t="str">
        <f t="shared" si="779"/>
        <v/>
      </c>
      <c r="AE775" s="32" t="str">
        <f t="shared" si="779"/>
        <v/>
      </c>
      <c r="AF775" s="32" t="str">
        <f t="shared" si="779"/>
        <v/>
      </c>
      <c r="AG775" s="32" t="str">
        <f t="shared" si="779"/>
        <v/>
      </c>
      <c r="AH775" s="33"/>
    </row>
    <row r="776" hidden="1" outlineLevel="3">
      <c r="A776" s="16" t="b">
        <v>0</v>
      </c>
      <c r="B776" s="17"/>
      <c r="C776" s="18"/>
      <c r="D776" s="34"/>
      <c r="E776" s="20"/>
      <c r="F776" s="19"/>
      <c r="G776" s="23"/>
      <c r="H776" s="23"/>
      <c r="I776" s="23"/>
      <c r="J776" s="23"/>
      <c r="K776" s="23"/>
      <c r="L776" s="23"/>
      <c r="M776" s="23"/>
      <c r="N776" s="23"/>
      <c r="O776" s="24"/>
      <c r="P776" s="16" t="b">
        <v>0</v>
      </c>
      <c r="Q776" s="24"/>
      <c r="R776" s="50"/>
      <c r="S776" s="34"/>
      <c r="T776" s="27"/>
      <c r="U776" s="24"/>
      <c r="V776" s="38" t="s">
        <v>29</v>
      </c>
      <c r="W776" s="29" t="s">
        <v>22</v>
      </c>
      <c r="X776" s="37" t="s">
        <v>198</v>
      </c>
      <c r="Y776" s="31"/>
      <c r="Z776" s="26" t="str">
        <f t="shared" si="5"/>
        <v/>
      </c>
      <c r="AA776" s="26" t="str">
        <f t="shared" si="6"/>
        <v/>
      </c>
      <c r="AB776" s="32" t="str">
        <f t="shared" si="7"/>
        <v/>
      </c>
      <c r="AC776" s="32" t="str">
        <f t="shared" ref="AC776:AG776" si="780">IF(J776&lt;&gt;"", IF(AND($P776=FALSE, $A776=FALSE), -J776, IF(AND($P776=FALSE, $A776=TRUE), 0, IF($P776=TRUE, (J776 / $R776) * 100 * ($S776 / 100)-J776, ))), )</f>
        <v/>
      </c>
      <c r="AD776" s="32" t="str">
        <f t="shared" si="780"/>
        <v/>
      </c>
      <c r="AE776" s="32" t="str">
        <f t="shared" si="780"/>
        <v/>
      </c>
      <c r="AF776" s="32" t="str">
        <f t="shared" si="780"/>
        <v/>
      </c>
      <c r="AG776" s="32" t="str">
        <f t="shared" si="780"/>
        <v/>
      </c>
      <c r="AH776" s="33"/>
    </row>
    <row r="777" hidden="1" outlineLevel="2" collapsed="1">
      <c r="A777" s="16" t="b">
        <v>0</v>
      </c>
      <c r="B777" s="17"/>
      <c r="C777" s="18"/>
      <c r="D777" s="42">
        <v>45259.0</v>
      </c>
      <c r="E777" s="43" t="s">
        <v>60</v>
      </c>
      <c r="F777" s="53" t="s">
        <v>61</v>
      </c>
      <c r="G777" s="45">
        <v>2.0</v>
      </c>
      <c r="H777" s="45">
        <v>1.0</v>
      </c>
      <c r="I777" s="45">
        <v>3.0</v>
      </c>
      <c r="J777" s="46"/>
      <c r="K777" s="46"/>
      <c r="L777" s="45"/>
      <c r="M777" s="46"/>
      <c r="N777" s="46"/>
      <c r="O777" s="47"/>
      <c r="P777" s="16" t="b">
        <v>0</v>
      </c>
      <c r="Q777" s="24"/>
      <c r="R777" s="48">
        <v>6.0</v>
      </c>
      <c r="S777" s="45">
        <v>16.4</v>
      </c>
      <c r="T777" s="49" t="s">
        <v>592</v>
      </c>
      <c r="U777" s="47"/>
      <c r="V777" s="28"/>
      <c r="W777" s="29"/>
      <c r="X777" s="30"/>
      <c r="Y777" s="31"/>
      <c r="Z777" s="26">
        <f t="shared" si="5"/>
        <v>-2</v>
      </c>
      <c r="AA777" s="26">
        <f t="shared" si="6"/>
        <v>-3</v>
      </c>
      <c r="AB777" s="32">
        <f t="shared" si="7"/>
        <v>-1</v>
      </c>
      <c r="AC777" s="32" t="str">
        <f t="shared" ref="AC777:AG777" si="781">IF(J777&lt;&gt;"", IF(AND($P777=FALSE, $A777=FALSE), -J777, IF(AND($P777=FALSE, $A777=TRUE), 0, IF($P777=TRUE, (J777 / $R777) * 100 * ($S777 / 100)-J777, ))), )</f>
        <v/>
      </c>
      <c r="AD777" s="32" t="str">
        <f t="shared" si="781"/>
        <v/>
      </c>
      <c r="AE777" s="32" t="str">
        <f t="shared" si="781"/>
        <v/>
      </c>
      <c r="AF777" s="32" t="str">
        <f t="shared" si="781"/>
        <v/>
      </c>
      <c r="AG777" s="32" t="str">
        <f t="shared" si="781"/>
        <v/>
      </c>
      <c r="AH777" s="33"/>
    </row>
    <row r="778" hidden="1" outlineLevel="3">
      <c r="A778" s="16" t="b">
        <v>0</v>
      </c>
      <c r="B778" s="17"/>
      <c r="C778" s="18"/>
      <c r="D778" s="34"/>
      <c r="E778" s="20"/>
      <c r="F778" s="19"/>
      <c r="G778" s="23"/>
      <c r="H778" s="23"/>
      <c r="I778" s="23"/>
      <c r="J778" s="23"/>
      <c r="K778" s="23"/>
      <c r="L778" s="23"/>
      <c r="M778" s="23"/>
      <c r="N778" s="23"/>
      <c r="O778" s="24"/>
      <c r="P778" s="16" t="b">
        <v>0</v>
      </c>
      <c r="Q778" s="24"/>
      <c r="R778" s="50"/>
      <c r="S778" s="34"/>
      <c r="T778" s="27"/>
      <c r="U778" s="24"/>
      <c r="V778" s="38" t="s">
        <v>29</v>
      </c>
      <c r="W778" s="29" t="s">
        <v>22</v>
      </c>
      <c r="X778" s="37" t="s">
        <v>572</v>
      </c>
      <c r="Y778" s="31"/>
      <c r="Z778" s="26" t="str">
        <f t="shared" si="5"/>
        <v/>
      </c>
      <c r="AA778" s="26" t="str">
        <f t="shared" si="6"/>
        <v/>
      </c>
      <c r="AB778" s="32" t="str">
        <f t="shared" si="7"/>
        <v/>
      </c>
      <c r="AC778" s="32" t="str">
        <f t="shared" ref="AC778:AG778" si="782">IF(J778&lt;&gt;"", IF(AND($P778=FALSE, $A778=FALSE), -J778, IF(AND($P778=FALSE, $A778=TRUE), 0, IF($P778=TRUE, (J778 / $R778) * 100 * ($S778 / 100)-J778, ))), )</f>
        <v/>
      </c>
      <c r="AD778" s="32" t="str">
        <f t="shared" si="782"/>
        <v/>
      </c>
      <c r="AE778" s="32" t="str">
        <f t="shared" si="782"/>
        <v/>
      </c>
      <c r="AF778" s="32" t="str">
        <f t="shared" si="782"/>
        <v/>
      </c>
      <c r="AG778" s="32" t="str">
        <f t="shared" si="782"/>
        <v/>
      </c>
      <c r="AH778" s="33"/>
    </row>
    <row r="779" hidden="1" outlineLevel="3">
      <c r="A779" s="16" t="b">
        <v>0</v>
      </c>
      <c r="B779" s="17"/>
      <c r="C779" s="18"/>
      <c r="D779" s="34"/>
      <c r="E779" s="20"/>
      <c r="F779" s="19"/>
      <c r="G779" s="23"/>
      <c r="H779" s="23"/>
      <c r="I779" s="23"/>
      <c r="J779" s="23"/>
      <c r="K779" s="23"/>
      <c r="L779" s="23"/>
      <c r="M779" s="23"/>
      <c r="N779" s="23"/>
      <c r="O779" s="24"/>
      <c r="P779" s="16" t="b">
        <v>0</v>
      </c>
      <c r="Q779" s="24"/>
      <c r="R779" s="50"/>
      <c r="S779" s="34"/>
      <c r="T779" s="27"/>
      <c r="U779" s="24"/>
      <c r="V779" s="28" t="s">
        <v>32</v>
      </c>
      <c r="W779" s="29" t="s">
        <v>22</v>
      </c>
      <c r="X779" s="37" t="s">
        <v>593</v>
      </c>
      <c r="Y779" s="31"/>
      <c r="Z779" s="26" t="str">
        <f t="shared" si="5"/>
        <v/>
      </c>
      <c r="AA779" s="26" t="str">
        <f t="shared" si="6"/>
        <v/>
      </c>
      <c r="AB779" s="32" t="str">
        <f t="shared" si="7"/>
        <v/>
      </c>
      <c r="AC779" s="32" t="str">
        <f t="shared" ref="AC779:AG779" si="783">IF(J779&lt;&gt;"", IF(AND($P779=FALSE, $A779=FALSE), -J779, IF(AND($P779=FALSE, $A779=TRUE), 0, IF($P779=TRUE, (J779 / $R779) * 100 * ($S779 / 100)-J779, ))), )</f>
        <v/>
      </c>
      <c r="AD779" s="32" t="str">
        <f t="shared" si="783"/>
        <v/>
      </c>
      <c r="AE779" s="32" t="str">
        <f t="shared" si="783"/>
        <v/>
      </c>
      <c r="AF779" s="32" t="str">
        <f t="shared" si="783"/>
        <v/>
      </c>
      <c r="AG779" s="32" t="str">
        <f t="shared" si="783"/>
        <v/>
      </c>
      <c r="AH779" s="33"/>
    </row>
    <row r="780" hidden="1" outlineLevel="3">
      <c r="A780" s="16" t="b">
        <v>0</v>
      </c>
      <c r="B780" s="17"/>
      <c r="C780" s="18"/>
      <c r="D780" s="34"/>
      <c r="E780" s="20"/>
      <c r="F780" s="19"/>
      <c r="G780" s="23"/>
      <c r="H780" s="23"/>
      <c r="I780" s="23"/>
      <c r="J780" s="23"/>
      <c r="K780" s="23"/>
      <c r="L780" s="23"/>
      <c r="M780" s="23"/>
      <c r="N780" s="23"/>
      <c r="O780" s="24"/>
      <c r="P780" s="16" t="b">
        <v>0</v>
      </c>
      <c r="Q780" s="24"/>
      <c r="R780" s="50"/>
      <c r="S780" s="34"/>
      <c r="T780" s="27"/>
      <c r="U780" s="24"/>
      <c r="V780" s="38" t="s">
        <v>29</v>
      </c>
      <c r="W780" s="29" t="s">
        <v>22</v>
      </c>
      <c r="X780" s="37" t="s">
        <v>594</v>
      </c>
      <c r="Y780" s="31"/>
      <c r="Z780" s="26" t="str">
        <f t="shared" si="5"/>
        <v/>
      </c>
      <c r="AA780" s="26" t="str">
        <f t="shared" si="6"/>
        <v/>
      </c>
      <c r="AB780" s="32" t="str">
        <f t="shared" si="7"/>
        <v/>
      </c>
      <c r="AC780" s="32" t="str">
        <f t="shared" ref="AC780:AG780" si="784">IF(J780&lt;&gt;"", IF(AND($P780=FALSE, $A780=FALSE), -J780, IF(AND($P780=FALSE, $A780=TRUE), 0, IF($P780=TRUE, (J780 / $R780) * 100 * ($S780 / 100)-J780, ))), )</f>
        <v/>
      </c>
      <c r="AD780" s="32" t="str">
        <f t="shared" si="784"/>
        <v/>
      </c>
      <c r="AE780" s="32" t="str">
        <f t="shared" si="784"/>
        <v/>
      </c>
      <c r="AF780" s="32" t="str">
        <f t="shared" si="784"/>
        <v/>
      </c>
      <c r="AG780" s="32" t="str">
        <f t="shared" si="784"/>
        <v/>
      </c>
      <c r="AH780" s="33"/>
    </row>
    <row r="781" hidden="1" outlineLevel="2" collapsed="1">
      <c r="A781" s="16" t="b">
        <v>0</v>
      </c>
      <c r="B781" s="17"/>
      <c r="C781" s="18"/>
      <c r="D781" s="42">
        <v>45259.0</v>
      </c>
      <c r="E781" s="43" t="s">
        <v>60</v>
      </c>
      <c r="F781" s="53" t="s">
        <v>61</v>
      </c>
      <c r="G781" s="45">
        <v>2.0</v>
      </c>
      <c r="H781" s="45">
        <v>1.0</v>
      </c>
      <c r="I781" s="45">
        <v>3.0</v>
      </c>
      <c r="J781" s="46"/>
      <c r="K781" s="46"/>
      <c r="L781" s="45"/>
      <c r="M781" s="46"/>
      <c r="N781" s="46"/>
      <c r="O781" s="47"/>
      <c r="P781" s="16" t="b">
        <v>0</v>
      </c>
      <c r="Q781" s="24"/>
      <c r="R781" s="48">
        <v>6.0</v>
      </c>
      <c r="S781" s="45">
        <v>16.95</v>
      </c>
      <c r="T781" s="49" t="s">
        <v>194</v>
      </c>
      <c r="U781" s="47"/>
      <c r="V781" s="28"/>
      <c r="W781" s="29"/>
      <c r="X781" s="30"/>
      <c r="Y781" s="31"/>
      <c r="Z781" s="26">
        <f t="shared" si="5"/>
        <v>-2</v>
      </c>
      <c r="AA781" s="26">
        <f t="shared" si="6"/>
        <v>-3</v>
      </c>
      <c r="AB781" s="32">
        <f t="shared" si="7"/>
        <v>-1</v>
      </c>
      <c r="AC781" s="32" t="str">
        <f t="shared" ref="AC781:AG781" si="785">IF(J781&lt;&gt;"", IF(AND($P781=FALSE, $A781=FALSE), -J781, IF(AND($P781=FALSE, $A781=TRUE), 0, IF($P781=TRUE, (J781 / $R781) * 100 * ($S781 / 100)-J781, ))), )</f>
        <v/>
      </c>
      <c r="AD781" s="32" t="str">
        <f t="shared" si="785"/>
        <v/>
      </c>
      <c r="AE781" s="32" t="str">
        <f t="shared" si="785"/>
        <v/>
      </c>
      <c r="AF781" s="32" t="str">
        <f t="shared" si="785"/>
        <v/>
      </c>
      <c r="AG781" s="32" t="str">
        <f t="shared" si="785"/>
        <v/>
      </c>
      <c r="AH781" s="33"/>
    </row>
    <row r="782" hidden="1" outlineLevel="3">
      <c r="A782" s="16" t="b">
        <v>0</v>
      </c>
      <c r="B782" s="17"/>
      <c r="C782" s="18"/>
      <c r="D782" s="34"/>
      <c r="E782" s="20"/>
      <c r="F782" s="19"/>
      <c r="G782" s="23"/>
      <c r="H782" s="23"/>
      <c r="I782" s="23"/>
      <c r="J782" s="23"/>
      <c r="K782" s="23"/>
      <c r="L782" s="23"/>
      <c r="M782" s="23"/>
      <c r="N782" s="23"/>
      <c r="O782" s="24"/>
      <c r="P782" s="16" t="b">
        <v>0</v>
      </c>
      <c r="Q782" s="24"/>
      <c r="R782" s="50"/>
      <c r="S782" s="34"/>
      <c r="T782" s="27"/>
      <c r="U782" s="24"/>
      <c r="V782" s="38" t="s">
        <v>29</v>
      </c>
      <c r="W782" s="29" t="s">
        <v>22</v>
      </c>
      <c r="X782" s="37" t="s">
        <v>232</v>
      </c>
      <c r="Y782" s="31"/>
      <c r="Z782" s="26" t="str">
        <f t="shared" si="5"/>
        <v/>
      </c>
      <c r="AA782" s="26" t="str">
        <f t="shared" si="6"/>
        <v/>
      </c>
      <c r="AB782" s="32" t="str">
        <f t="shared" si="7"/>
        <v/>
      </c>
      <c r="AC782" s="32" t="str">
        <f t="shared" ref="AC782:AG782" si="786">IF(J782&lt;&gt;"", IF(AND($P782=FALSE, $A782=FALSE), -J782, IF(AND($P782=FALSE, $A782=TRUE), 0, IF($P782=TRUE, (J782 / $R782) * 100 * ($S782 / 100)-J782, ))), )</f>
        <v/>
      </c>
      <c r="AD782" s="32" t="str">
        <f t="shared" si="786"/>
        <v/>
      </c>
      <c r="AE782" s="32" t="str">
        <f t="shared" si="786"/>
        <v/>
      </c>
      <c r="AF782" s="32" t="str">
        <f t="shared" si="786"/>
        <v/>
      </c>
      <c r="AG782" s="32" t="str">
        <f t="shared" si="786"/>
        <v/>
      </c>
      <c r="AH782" s="33"/>
    </row>
    <row r="783" hidden="1" outlineLevel="3">
      <c r="A783" s="16" t="b">
        <v>0</v>
      </c>
      <c r="B783" s="17"/>
      <c r="C783" s="18"/>
      <c r="D783" s="34"/>
      <c r="E783" s="20"/>
      <c r="F783" s="19"/>
      <c r="G783" s="23"/>
      <c r="H783" s="23"/>
      <c r="I783" s="23"/>
      <c r="J783" s="23"/>
      <c r="K783" s="23"/>
      <c r="L783" s="23"/>
      <c r="M783" s="23"/>
      <c r="N783" s="23"/>
      <c r="O783" s="24"/>
      <c r="P783" s="16" t="b">
        <v>0</v>
      </c>
      <c r="Q783" s="24"/>
      <c r="R783" s="50"/>
      <c r="S783" s="34"/>
      <c r="T783" s="27"/>
      <c r="U783" s="24"/>
      <c r="V783" s="28" t="s">
        <v>32</v>
      </c>
      <c r="W783" s="29" t="s">
        <v>22</v>
      </c>
      <c r="X783" s="37" t="s">
        <v>479</v>
      </c>
      <c r="Y783" s="31"/>
      <c r="Z783" s="26" t="str">
        <f t="shared" si="5"/>
        <v/>
      </c>
      <c r="AA783" s="26" t="str">
        <f t="shared" si="6"/>
        <v/>
      </c>
      <c r="AB783" s="32" t="str">
        <f t="shared" si="7"/>
        <v/>
      </c>
      <c r="AC783" s="32" t="str">
        <f t="shared" ref="AC783:AG783" si="787">IF(J783&lt;&gt;"", IF(AND($P783=FALSE, $A783=FALSE), -J783, IF(AND($P783=FALSE, $A783=TRUE), 0, IF($P783=TRUE, (J783 / $R783) * 100 * ($S783 / 100)-J783, ))), )</f>
        <v/>
      </c>
      <c r="AD783" s="32" t="str">
        <f t="shared" si="787"/>
        <v/>
      </c>
      <c r="AE783" s="32" t="str">
        <f t="shared" si="787"/>
        <v/>
      </c>
      <c r="AF783" s="32" t="str">
        <f t="shared" si="787"/>
        <v/>
      </c>
      <c r="AG783" s="32" t="str">
        <f t="shared" si="787"/>
        <v/>
      </c>
      <c r="AH783" s="33"/>
    </row>
    <row r="784" hidden="1" outlineLevel="3">
      <c r="A784" s="16" t="b">
        <v>0</v>
      </c>
      <c r="B784" s="17"/>
      <c r="C784" s="18"/>
      <c r="D784" s="34"/>
      <c r="E784" s="20"/>
      <c r="F784" s="19"/>
      <c r="G784" s="23"/>
      <c r="H784" s="23"/>
      <c r="I784" s="23"/>
      <c r="J784" s="23"/>
      <c r="K784" s="23"/>
      <c r="L784" s="23"/>
      <c r="M784" s="23"/>
      <c r="N784" s="23"/>
      <c r="O784" s="24"/>
      <c r="P784" s="16" t="b">
        <v>0</v>
      </c>
      <c r="Q784" s="24"/>
      <c r="R784" s="50"/>
      <c r="S784" s="34"/>
      <c r="T784" s="27"/>
      <c r="U784" s="24"/>
      <c r="V784" s="28" t="s">
        <v>32</v>
      </c>
      <c r="W784" s="29" t="s">
        <v>22</v>
      </c>
      <c r="X784" s="37" t="s">
        <v>595</v>
      </c>
      <c r="Y784" s="31"/>
      <c r="Z784" s="26" t="str">
        <f t="shared" si="5"/>
        <v/>
      </c>
      <c r="AA784" s="26" t="str">
        <f t="shared" si="6"/>
        <v/>
      </c>
      <c r="AB784" s="32" t="str">
        <f t="shared" si="7"/>
        <v/>
      </c>
      <c r="AC784" s="32" t="str">
        <f t="shared" ref="AC784:AG784" si="788">IF(J784&lt;&gt;"", IF(AND($P784=FALSE, $A784=FALSE), -J784, IF(AND($P784=FALSE, $A784=TRUE), 0, IF($P784=TRUE, (J784 / $R784) * 100 * ($S784 / 100)-J784, ))), )</f>
        <v/>
      </c>
      <c r="AD784" s="32" t="str">
        <f t="shared" si="788"/>
        <v/>
      </c>
      <c r="AE784" s="32" t="str">
        <f t="shared" si="788"/>
        <v/>
      </c>
      <c r="AF784" s="32" t="str">
        <f t="shared" si="788"/>
        <v/>
      </c>
      <c r="AG784" s="32" t="str">
        <f t="shared" si="788"/>
        <v/>
      </c>
      <c r="AH784" s="33"/>
    </row>
    <row r="785" hidden="1" outlineLevel="3">
      <c r="A785" s="16" t="b">
        <v>0</v>
      </c>
      <c r="B785" s="17"/>
      <c r="C785" s="18"/>
      <c r="D785" s="34"/>
      <c r="E785" s="20"/>
      <c r="F785" s="19"/>
      <c r="G785" s="23"/>
      <c r="H785" s="23"/>
      <c r="I785" s="23"/>
      <c r="J785" s="23"/>
      <c r="K785" s="23"/>
      <c r="L785" s="23"/>
      <c r="M785" s="23"/>
      <c r="N785" s="23"/>
      <c r="O785" s="24"/>
      <c r="P785" s="16" t="b">
        <v>0</v>
      </c>
      <c r="Q785" s="24"/>
      <c r="R785" s="50"/>
      <c r="S785" s="34"/>
      <c r="T785" s="27"/>
      <c r="U785" s="24"/>
      <c r="V785" s="38" t="s">
        <v>29</v>
      </c>
      <c r="W785" s="29" t="s">
        <v>22</v>
      </c>
      <c r="X785" s="37" t="s">
        <v>291</v>
      </c>
      <c r="Y785" s="31"/>
      <c r="Z785" s="26" t="str">
        <f t="shared" si="5"/>
        <v/>
      </c>
      <c r="AA785" s="26" t="str">
        <f t="shared" si="6"/>
        <v/>
      </c>
      <c r="AB785" s="32" t="str">
        <f t="shared" si="7"/>
        <v/>
      </c>
      <c r="AC785" s="32" t="str">
        <f t="shared" ref="AC785:AG785" si="789">IF(J785&lt;&gt;"", IF(AND($P785=FALSE, $A785=FALSE), -J785, IF(AND($P785=FALSE, $A785=TRUE), 0, IF($P785=TRUE, (J785 / $R785) * 100 * ($S785 / 100)-J785, ))), )</f>
        <v/>
      </c>
      <c r="AD785" s="32" t="str">
        <f t="shared" si="789"/>
        <v/>
      </c>
      <c r="AE785" s="32" t="str">
        <f t="shared" si="789"/>
        <v/>
      </c>
      <c r="AF785" s="32" t="str">
        <f t="shared" si="789"/>
        <v/>
      </c>
      <c r="AG785" s="32" t="str">
        <f t="shared" si="789"/>
        <v/>
      </c>
      <c r="AH785" s="33"/>
    </row>
    <row r="786" hidden="1" outlineLevel="2" collapsed="1">
      <c r="A786" s="16" t="b">
        <v>0</v>
      </c>
      <c r="B786" s="17"/>
      <c r="C786" s="18"/>
      <c r="D786" s="42">
        <v>45259.0</v>
      </c>
      <c r="E786" s="43" t="s">
        <v>60</v>
      </c>
      <c r="F786" s="53" t="s">
        <v>61</v>
      </c>
      <c r="G786" s="45">
        <v>1.5</v>
      </c>
      <c r="H786" s="45">
        <v>1.0</v>
      </c>
      <c r="I786" s="45">
        <v>2.0</v>
      </c>
      <c r="J786" s="46"/>
      <c r="K786" s="46"/>
      <c r="L786" s="45"/>
      <c r="M786" s="46"/>
      <c r="N786" s="46"/>
      <c r="O786" s="47"/>
      <c r="P786" s="16" t="b">
        <v>0</v>
      </c>
      <c r="Q786" s="24"/>
      <c r="R786" s="48">
        <v>4.5</v>
      </c>
      <c r="S786" s="45">
        <v>8.09</v>
      </c>
      <c r="T786" s="49">
        <v>-125.0</v>
      </c>
      <c r="U786" s="47"/>
      <c r="V786" s="28"/>
      <c r="W786" s="29"/>
      <c r="X786" s="30"/>
      <c r="Y786" s="31"/>
      <c r="Z786" s="26">
        <f t="shared" si="5"/>
        <v>-1.5</v>
      </c>
      <c r="AA786" s="26">
        <f t="shared" si="6"/>
        <v>-2</v>
      </c>
      <c r="AB786" s="32">
        <f t="shared" si="7"/>
        <v>-1</v>
      </c>
      <c r="AC786" s="32" t="str">
        <f t="shared" ref="AC786:AG786" si="790">IF(J786&lt;&gt;"", IF(AND($P786=FALSE, $A786=FALSE), -J786, IF(AND($P786=FALSE, $A786=TRUE), 0, IF($P786=TRUE, (J786 / $R786) * 100 * ($S786 / 100)-J786, ))), )</f>
        <v/>
      </c>
      <c r="AD786" s="32" t="str">
        <f t="shared" si="790"/>
        <v/>
      </c>
      <c r="AE786" s="32" t="str">
        <f t="shared" si="790"/>
        <v/>
      </c>
      <c r="AF786" s="32" t="str">
        <f t="shared" si="790"/>
        <v/>
      </c>
      <c r="AG786" s="32" t="str">
        <f t="shared" si="790"/>
        <v/>
      </c>
      <c r="AH786" s="33"/>
    </row>
    <row r="787" hidden="1" outlineLevel="3">
      <c r="A787" s="16" t="b">
        <v>0</v>
      </c>
      <c r="B787" s="17"/>
      <c r="C787" s="18"/>
      <c r="D787" s="34"/>
      <c r="E787" s="20"/>
      <c r="F787" s="19"/>
      <c r="G787" s="23"/>
      <c r="H787" s="23"/>
      <c r="I787" s="23"/>
      <c r="J787" s="23"/>
      <c r="K787" s="23"/>
      <c r="L787" s="23"/>
      <c r="M787" s="23"/>
      <c r="N787" s="23"/>
      <c r="O787" s="24"/>
      <c r="P787" s="16" t="b">
        <v>0</v>
      </c>
      <c r="Q787" s="24"/>
      <c r="R787" s="50"/>
      <c r="S787" s="34"/>
      <c r="T787" s="27"/>
      <c r="U787" s="24"/>
      <c r="V787" s="75" t="s">
        <v>358</v>
      </c>
      <c r="W787" s="29" t="s">
        <v>22</v>
      </c>
      <c r="X787" s="37" t="s">
        <v>180</v>
      </c>
      <c r="Y787" s="31"/>
      <c r="Z787" s="26" t="str">
        <f t="shared" si="5"/>
        <v/>
      </c>
      <c r="AA787" s="26" t="str">
        <f t="shared" si="6"/>
        <v/>
      </c>
      <c r="AB787" s="32" t="str">
        <f t="shared" si="7"/>
        <v/>
      </c>
      <c r="AC787" s="32" t="str">
        <f t="shared" ref="AC787:AG787" si="791">IF(J787&lt;&gt;"", IF(AND($P787=FALSE, $A787=FALSE), -J787, IF(AND($P787=FALSE, $A787=TRUE), 0, IF($P787=TRUE, (J787 / $R787) * 100 * ($S787 / 100)-J787, ))), )</f>
        <v/>
      </c>
      <c r="AD787" s="32" t="str">
        <f t="shared" si="791"/>
        <v/>
      </c>
      <c r="AE787" s="32" t="str">
        <f t="shared" si="791"/>
        <v/>
      </c>
      <c r="AF787" s="32" t="str">
        <f t="shared" si="791"/>
        <v/>
      </c>
      <c r="AG787" s="32" t="str">
        <f t="shared" si="791"/>
        <v/>
      </c>
      <c r="AH787" s="33"/>
    </row>
    <row r="788" hidden="1" outlineLevel="3">
      <c r="A788" s="16" t="b">
        <v>0</v>
      </c>
      <c r="B788" s="17"/>
      <c r="C788" s="18"/>
      <c r="D788" s="34"/>
      <c r="E788" s="20"/>
      <c r="F788" s="19"/>
      <c r="G788" s="23"/>
      <c r="H788" s="23"/>
      <c r="I788" s="23"/>
      <c r="J788" s="23"/>
      <c r="K788" s="23"/>
      <c r="L788" s="23"/>
      <c r="M788" s="23"/>
      <c r="N788" s="23"/>
      <c r="O788" s="24"/>
      <c r="P788" s="16" t="b">
        <v>0</v>
      </c>
      <c r="Q788" s="24"/>
      <c r="R788" s="50"/>
      <c r="S788" s="34"/>
      <c r="T788" s="27"/>
      <c r="U788" s="24"/>
      <c r="V788" s="38" t="s">
        <v>29</v>
      </c>
      <c r="W788" s="29" t="s">
        <v>22</v>
      </c>
      <c r="X788" s="37" t="s">
        <v>179</v>
      </c>
      <c r="Y788" s="31"/>
      <c r="Z788" s="26" t="str">
        <f t="shared" si="5"/>
        <v/>
      </c>
      <c r="AA788" s="26" t="str">
        <f t="shared" si="6"/>
        <v/>
      </c>
      <c r="AB788" s="32" t="str">
        <f t="shared" si="7"/>
        <v/>
      </c>
      <c r="AC788" s="32" t="str">
        <f t="shared" ref="AC788:AG788" si="792">IF(J788&lt;&gt;"", IF(AND($P788=FALSE, $A788=FALSE), -J788, IF(AND($P788=FALSE, $A788=TRUE), 0, IF($P788=TRUE, (J788 / $R788) * 100 * ($S788 / 100)-J788, ))), )</f>
        <v/>
      </c>
      <c r="AD788" s="32" t="str">
        <f t="shared" si="792"/>
        <v/>
      </c>
      <c r="AE788" s="32" t="str">
        <f t="shared" si="792"/>
        <v/>
      </c>
      <c r="AF788" s="32" t="str">
        <f t="shared" si="792"/>
        <v/>
      </c>
      <c r="AG788" s="32" t="str">
        <f t="shared" si="792"/>
        <v/>
      </c>
      <c r="AH788" s="33"/>
    </row>
    <row r="789" hidden="1" outlineLevel="3">
      <c r="A789" s="16" t="b">
        <v>0</v>
      </c>
      <c r="B789" s="17"/>
      <c r="C789" s="18"/>
      <c r="D789" s="34"/>
      <c r="E789" s="20"/>
      <c r="F789" s="19"/>
      <c r="G789" s="23"/>
      <c r="H789" s="23"/>
      <c r="I789" s="23"/>
      <c r="J789" s="23"/>
      <c r="K789" s="23"/>
      <c r="L789" s="23"/>
      <c r="M789" s="23"/>
      <c r="N789" s="23"/>
      <c r="O789" s="24"/>
      <c r="P789" s="16" t="b">
        <v>0</v>
      </c>
      <c r="Q789" s="24"/>
      <c r="R789" s="50"/>
      <c r="S789" s="34"/>
      <c r="T789" s="27"/>
      <c r="U789" s="24"/>
      <c r="V789" s="75" t="s">
        <v>358</v>
      </c>
      <c r="W789" s="29" t="s">
        <v>22</v>
      </c>
      <c r="X789" s="37" t="s">
        <v>454</v>
      </c>
      <c r="Y789" s="31"/>
      <c r="Z789" s="26" t="str">
        <f t="shared" si="5"/>
        <v/>
      </c>
      <c r="AA789" s="26" t="str">
        <f t="shared" si="6"/>
        <v/>
      </c>
      <c r="AB789" s="32" t="str">
        <f t="shared" si="7"/>
        <v/>
      </c>
      <c r="AC789" s="32" t="str">
        <f t="shared" ref="AC789:AG789" si="793">IF(J789&lt;&gt;"", IF(AND($P789=FALSE, $A789=FALSE), -J789, IF(AND($P789=FALSE, $A789=TRUE), 0, IF($P789=TRUE, (J789 / $R789) * 100 * ($S789 / 100)-J789, ))), )</f>
        <v/>
      </c>
      <c r="AD789" s="32" t="str">
        <f t="shared" si="793"/>
        <v/>
      </c>
      <c r="AE789" s="32" t="str">
        <f t="shared" si="793"/>
        <v/>
      </c>
      <c r="AF789" s="32" t="str">
        <f t="shared" si="793"/>
        <v/>
      </c>
      <c r="AG789" s="32" t="str">
        <f t="shared" si="793"/>
        <v/>
      </c>
      <c r="AH789" s="33"/>
    </row>
    <row r="790" hidden="1" outlineLevel="3">
      <c r="A790" s="16" t="b">
        <v>0</v>
      </c>
      <c r="B790" s="17"/>
      <c r="C790" s="18"/>
      <c r="D790" s="34"/>
      <c r="E790" s="20"/>
      <c r="F790" s="19"/>
      <c r="G790" s="23"/>
      <c r="H790" s="23"/>
      <c r="I790" s="23"/>
      <c r="J790" s="23"/>
      <c r="K790" s="23"/>
      <c r="L790" s="23"/>
      <c r="M790" s="23"/>
      <c r="N790" s="23"/>
      <c r="O790" s="24"/>
      <c r="P790" s="16" t="b">
        <v>0</v>
      </c>
      <c r="Q790" s="24"/>
      <c r="R790" s="50"/>
      <c r="S790" s="34"/>
      <c r="T790" s="27"/>
      <c r="U790" s="24"/>
      <c r="V790" s="75" t="s">
        <v>358</v>
      </c>
      <c r="W790" s="29" t="s">
        <v>22</v>
      </c>
      <c r="X790" s="37" t="s">
        <v>596</v>
      </c>
      <c r="Y790" s="31"/>
      <c r="Z790" s="26" t="str">
        <f t="shared" si="5"/>
        <v/>
      </c>
      <c r="AA790" s="26" t="str">
        <f t="shared" si="6"/>
        <v/>
      </c>
      <c r="AB790" s="32" t="str">
        <f t="shared" si="7"/>
        <v/>
      </c>
      <c r="AC790" s="32" t="str">
        <f t="shared" ref="AC790:AG790" si="794">IF(J790&lt;&gt;"", IF(AND($P790=FALSE, $A790=FALSE), -J790, IF(AND($P790=FALSE, $A790=TRUE), 0, IF($P790=TRUE, (J790 / $R790) * 100 * ($S790 / 100)-J790, ))), )</f>
        <v/>
      </c>
      <c r="AD790" s="32" t="str">
        <f t="shared" si="794"/>
        <v/>
      </c>
      <c r="AE790" s="32" t="str">
        <f t="shared" si="794"/>
        <v/>
      </c>
      <c r="AF790" s="32" t="str">
        <f t="shared" si="794"/>
        <v/>
      </c>
      <c r="AG790" s="32" t="str">
        <f t="shared" si="794"/>
        <v/>
      </c>
      <c r="AH790" s="33"/>
    </row>
    <row r="791" hidden="1" outlineLevel="3">
      <c r="A791" s="16" t="b">
        <v>0</v>
      </c>
      <c r="B791" s="17"/>
      <c r="C791" s="18"/>
      <c r="D791" s="34"/>
      <c r="E791" s="20"/>
      <c r="F791" s="19"/>
      <c r="G791" s="23"/>
      <c r="H791" s="23"/>
      <c r="I791" s="23"/>
      <c r="J791" s="23"/>
      <c r="K791" s="23"/>
      <c r="L791" s="23"/>
      <c r="M791" s="23"/>
      <c r="N791" s="23"/>
      <c r="O791" s="24"/>
      <c r="P791" s="16" t="b">
        <v>0</v>
      </c>
      <c r="Q791" s="24"/>
      <c r="R791" s="50"/>
      <c r="S791" s="34"/>
      <c r="T791" s="27"/>
      <c r="U791" s="24"/>
      <c r="V791" s="28" t="s">
        <v>32</v>
      </c>
      <c r="W791" s="29" t="s">
        <v>22</v>
      </c>
      <c r="X791" s="37" t="s">
        <v>475</v>
      </c>
      <c r="Y791" s="31"/>
      <c r="Z791" s="26" t="str">
        <f t="shared" si="5"/>
        <v/>
      </c>
      <c r="AA791" s="26" t="str">
        <f t="shared" si="6"/>
        <v/>
      </c>
      <c r="AB791" s="32" t="str">
        <f t="shared" si="7"/>
        <v/>
      </c>
      <c r="AC791" s="32" t="str">
        <f t="shared" ref="AC791:AG791" si="795">IF(J791&lt;&gt;"", IF(AND($P791=FALSE, $A791=FALSE), -J791, IF(AND($P791=FALSE, $A791=TRUE), 0, IF($P791=TRUE, (J791 / $R791) * 100 * ($S791 / 100)-J791, ))), )</f>
        <v/>
      </c>
      <c r="AD791" s="32" t="str">
        <f t="shared" si="795"/>
        <v/>
      </c>
      <c r="AE791" s="32" t="str">
        <f t="shared" si="795"/>
        <v/>
      </c>
      <c r="AF791" s="32" t="str">
        <f t="shared" si="795"/>
        <v/>
      </c>
      <c r="AG791" s="32" t="str">
        <f t="shared" si="795"/>
        <v/>
      </c>
      <c r="AH791" s="33"/>
    </row>
    <row r="792" hidden="1" outlineLevel="2" collapsed="1">
      <c r="A792" s="16" t="b">
        <v>0</v>
      </c>
      <c r="B792" s="17"/>
      <c r="C792" s="18"/>
      <c r="D792" s="67">
        <v>45259.0</v>
      </c>
      <c r="E792" s="43" t="s">
        <v>60</v>
      </c>
      <c r="F792" s="53" t="s">
        <v>61</v>
      </c>
      <c r="G792" s="45">
        <v>2.0</v>
      </c>
      <c r="H792" s="45">
        <v>1.0</v>
      </c>
      <c r="I792" s="45">
        <v>3.0</v>
      </c>
      <c r="J792" s="46"/>
      <c r="K792" s="46"/>
      <c r="L792" s="45"/>
      <c r="M792" s="46"/>
      <c r="N792" s="46"/>
      <c r="O792" s="47"/>
      <c r="P792" s="16" t="b">
        <v>0</v>
      </c>
      <c r="Q792" s="24"/>
      <c r="R792" s="48">
        <v>6.0</v>
      </c>
      <c r="S792" s="45">
        <v>15.32</v>
      </c>
      <c r="T792" s="49" t="s">
        <v>66</v>
      </c>
      <c r="U792" s="47"/>
      <c r="V792" s="28"/>
      <c r="W792" s="29"/>
      <c r="X792" s="30"/>
      <c r="Y792" s="31"/>
      <c r="Z792" s="26">
        <f t="shared" si="5"/>
        <v>-2</v>
      </c>
      <c r="AA792" s="26">
        <f t="shared" si="6"/>
        <v>-3</v>
      </c>
      <c r="AB792" s="32">
        <f t="shared" si="7"/>
        <v>-1</v>
      </c>
      <c r="AC792" s="32" t="str">
        <f t="shared" ref="AC792:AG792" si="796">IF(J792&lt;&gt;"", IF(AND($P792=FALSE, $A792=FALSE), -J792, IF(AND($P792=FALSE, $A792=TRUE), 0, IF($P792=TRUE, (J792 / $R792) * 100 * ($S792 / 100)-J792, ))), )</f>
        <v/>
      </c>
      <c r="AD792" s="32" t="str">
        <f t="shared" si="796"/>
        <v/>
      </c>
      <c r="AE792" s="32" t="str">
        <f t="shared" si="796"/>
        <v/>
      </c>
      <c r="AF792" s="32" t="str">
        <f t="shared" si="796"/>
        <v/>
      </c>
      <c r="AG792" s="32" t="str">
        <f t="shared" si="796"/>
        <v/>
      </c>
      <c r="AH792" s="33"/>
    </row>
    <row r="793" hidden="1" outlineLevel="3">
      <c r="A793" s="16" t="b">
        <v>0</v>
      </c>
      <c r="B793" s="17"/>
      <c r="C793" s="18"/>
      <c r="D793" s="34"/>
      <c r="E793" s="20"/>
      <c r="F793" s="19"/>
      <c r="G793" s="23"/>
      <c r="H793" s="23"/>
      <c r="I793" s="23"/>
      <c r="J793" s="23"/>
      <c r="K793" s="23"/>
      <c r="L793" s="23"/>
      <c r="M793" s="23"/>
      <c r="N793" s="23"/>
      <c r="O793" s="24"/>
      <c r="P793" s="16" t="b">
        <v>0</v>
      </c>
      <c r="Q793" s="24"/>
      <c r="R793" s="50"/>
      <c r="S793" s="34"/>
      <c r="T793" s="27"/>
      <c r="U793" s="24"/>
      <c r="V793" s="38" t="s">
        <v>29</v>
      </c>
      <c r="W793" s="29" t="s">
        <v>22</v>
      </c>
      <c r="X793" s="37" t="s">
        <v>597</v>
      </c>
      <c r="Y793" s="31"/>
      <c r="Z793" s="26" t="str">
        <f t="shared" si="5"/>
        <v/>
      </c>
      <c r="AA793" s="26" t="str">
        <f t="shared" si="6"/>
        <v/>
      </c>
      <c r="AB793" s="32" t="str">
        <f t="shared" si="7"/>
        <v/>
      </c>
      <c r="AC793" s="32" t="str">
        <f t="shared" ref="AC793:AG793" si="797">IF(J793&lt;&gt;"", IF(AND($P793=FALSE, $A793=FALSE), -J793, IF(AND($P793=FALSE, $A793=TRUE), 0, IF($P793=TRUE, (J793 / $R793) * 100 * ($S793 / 100)-J793, ))), )</f>
        <v/>
      </c>
      <c r="AD793" s="32" t="str">
        <f t="shared" si="797"/>
        <v/>
      </c>
      <c r="AE793" s="32" t="str">
        <f t="shared" si="797"/>
        <v/>
      </c>
      <c r="AF793" s="32" t="str">
        <f t="shared" si="797"/>
        <v/>
      </c>
      <c r="AG793" s="32" t="str">
        <f t="shared" si="797"/>
        <v/>
      </c>
      <c r="AH793" s="33"/>
    </row>
    <row r="794" hidden="1" outlineLevel="3">
      <c r="A794" s="16" t="b">
        <v>0</v>
      </c>
      <c r="B794" s="17"/>
      <c r="C794" s="18"/>
      <c r="D794" s="34"/>
      <c r="E794" s="20"/>
      <c r="F794" s="19"/>
      <c r="G794" s="23"/>
      <c r="H794" s="23"/>
      <c r="I794" s="23"/>
      <c r="J794" s="23"/>
      <c r="K794" s="23"/>
      <c r="L794" s="23"/>
      <c r="M794" s="23"/>
      <c r="N794" s="23"/>
      <c r="O794" s="24"/>
      <c r="P794" s="16" t="b">
        <v>0</v>
      </c>
      <c r="Q794" s="24"/>
      <c r="R794" s="50"/>
      <c r="S794" s="34"/>
      <c r="T794" s="27"/>
      <c r="U794" s="24"/>
      <c r="V794" s="28" t="s">
        <v>32</v>
      </c>
      <c r="W794" s="29" t="s">
        <v>22</v>
      </c>
      <c r="X794" s="37" t="s">
        <v>429</v>
      </c>
      <c r="Y794" s="31"/>
      <c r="Z794" s="26" t="str">
        <f t="shared" si="5"/>
        <v/>
      </c>
      <c r="AA794" s="26" t="str">
        <f t="shared" si="6"/>
        <v/>
      </c>
      <c r="AB794" s="32" t="str">
        <f t="shared" si="7"/>
        <v/>
      </c>
      <c r="AC794" s="32" t="str">
        <f t="shared" ref="AC794:AG794" si="798">IF(J794&lt;&gt;"", IF(AND($P794=FALSE, $A794=FALSE), -J794, IF(AND($P794=FALSE, $A794=TRUE), 0, IF($P794=TRUE, (J794 / $R794) * 100 * ($S794 / 100)-J794, ))), )</f>
        <v/>
      </c>
      <c r="AD794" s="32" t="str">
        <f t="shared" si="798"/>
        <v/>
      </c>
      <c r="AE794" s="32" t="str">
        <f t="shared" si="798"/>
        <v/>
      </c>
      <c r="AF794" s="32" t="str">
        <f t="shared" si="798"/>
        <v/>
      </c>
      <c r="AG794" s="32" t="str">
        <f t="shared" si="798"/>
        <v/>
      </c>
      <c r="AH794" s="33"/>
    </row>
    <row r="795" hidden="1" outlineLevel="3">
      <c r="A795" s="16" t="b">
        <v>0</v>
      </c>
      <c r="B795" s="17"/>
      <c r="C795" s="18"/>
      <c r="D795" s="34"/>
      <c r="E795" s="20"/>
      <c r="F795" s="19"/>
      <c r="G795" s="23"/>
      <c r="H795" s="23"/>
      <c r="I795" s="23"/>
      <c r="J795" s="23"/>
      <c r="K795" s="23"/>
      <c r="L795" s="23"/>
      <c r="M795" s="23"/>
      <c r="N795" s="23"/>
      <c r="O795" s="24"/>
      <c r="P795" s="16" t="b">
        <v>0</v>
      </c>
      <c r="Q795" s="24"/>
      <c r="R795" s="50"/>
      <c r="S795" s="34"/>
      <c r="T795" s="27"/>
      <c r="U795" s="24"/>
      <c r="V795" s="38" t="s">
        <v>29</v>
      </c>
      <c r="W795" s="29" t="s">
        <v>22</v>
      </c>
      <c r="X795" s="37" t="s">
        <v>598</v>
      </c>
      <c r="Y795" s="31"/>
      <c r="Z795" s="26" t="str">
        <f t="shared" si="5"/>
        <v/>
      </c>
      <c r="AA795" s="26" t="str">
        <f t="shared" si="6"/>
        <v/>
      </c>
      <c r="AB795" s="32" t="str">
        <f t="shared" si="7"/>
        <v/>
      </c>
      <c r="AC795" s="32" t="str">
        <f t="shared" ref="AC795:AG795" si="799">IF(J795&lt;&gt;"", IF(AND($P795=FALSE, $A795=FALSE), -J795, IF(AND($P795=FALSE, $A795=TRUE), 0, IF($P795=TRUE, (J795 / $R795) * 100 * ($S795 / 100)-J795, ))), )</f>
        <v/>
      </c>
      <c r="AD795" s="32" t="str">
        <f t="shared" si="799"/>
        <v/>
      </c>
      <c r="AE795" s="32" t="str">
        <f t="shared" si="799"/>
        <v/>
      </c>
      <c r="AF795" s="32" t="str">
        <f t="shared" si="799"/>
        <v/>
      </c>
      <c r="AG795" s="32" t="str">
        <f t="shared" si="799"/>
        <v/>
      </c>
      <c r="AH795" s="33"/>
    </row>
    <row r="796" hidden="1" outlineLevel="2" collapsed="1">
      <c r="A796" s="16" t="b">
        <v>0</v>
      </c>
      <c r="B796" s="17"/>
      <c r="C796" s="18"/>
      <c r="D796" s="67">
        <v>45259.0</v>
      </c>
      <c r="E796" s="43" t="s">
        <v>60</v>
      </c>
      <c r="F796" s="53" t="s">
        <v>61</v>
      </c>
      <c r="G796" s="45">
        <v>2.0</v>
      </c>
      <c r="H796" s="45">
        <v>1.0</v>
      </c>
      <c r="I796" s="45">
        <v>4.0</v>
      </c>
      <c r="J796" s="46"/>
      <c r="K796" s="46"/>
      <c r="L796" s="45"/>
      <c r="M796" s="46"/>
      <c r="N796" s="46"/>
      <c r="O796" s="47"/>
      <c r="P796" s="16" t="b">
        <v>1</v>
      </c>
      <c r="Q796" s="24"/>
      <c r="R796" s="48">
        <v>7.0</v>
      </c>
      <c r="S796" s="45">
        <v>15.06</v>
      </c>
      <c r="T796" s="49" t="s">
        <v>599</v>
      </c>
      <c r="U796" s="47"/>
      <c r="V796" s="28"/>
      <c r="W796" s="29"/>
      <c r="X796" s="30"/>
      <c r="Y796" s="31"/>
      <c r="Z796" s="26">
        <f t="shared" si="5"/>
        <v>2.302857143</v>
      </c>
      <c r="AA796" s="26">
        <f t="shared" si="6"/>
        <v>4.605714286</v>
      </c>
      <c r="AB796" s="32">
        <f t="shared" si="7"/>
        <v>1.151428571</v>
      </c>
      <c r="AC796" s="32" t="str">
        <f t="shared" ref="AC796:AG796" si="800">IF(J796&lt;&gt;"", IF(AND($P796=FALSE, $A796=FALSE), -J796, IF(AND($P796=FALSE, $A796=TRUE), 0, IF($P796=TRUE, (J796 / $R796) * 100 * ($S796 / 100)-J796, ))), )</f>
        <v/>
      </c>
      <c r="AD796" s="32" t="str">
        <f t="shared" si="800"/>
        <v/>
      </c>
      <c r="AE796" s="32" t="str">
        <f t="shared" si="800"/>
        <v/>
      </c>
      <c r="AF796" s="32" t="str">
        <f t="shared" si="800"/>
        <v/>
      </c>
      <c r="AG796" s="32" t="str">
        <f t="shared" si="800"/>
        <v/>
      </c>
      <c r="AH796" s="33"/>
    </row>
    <row r="797" hidden="1" outlineLevel="3">
      <c r="A797" s="16" t="b">
        <v>0</v>
      </c>
      <c r="B797" s="17"/>
      <c r="C797" s="18"/>
      <c r="D797" s="34"/>
      <c r="E797" s="20"/>
      <c r="F797" s="19"/>
      <c r="G797" s="23"/>
      <c r="H797" s="23"/>
      <c r="I797" s="23"/>
      <c r="J797" s="23"/>
      <c r="K797" s="23"/>
      <c r="L797" s="23"/>
      <c r="M797" s="23"/>
      <c r="N797" s="23"/>
      <c r="O797" s="24"/>
      <c r="P797" s="16" t="b">
        <v>0</v>
      </c>
      <c r="Q797" s="24"/>
      <c r="R797" s="50"/>
      <c r="S797" s="34"/>
      <c r="T797" s="27"/>
      <c r="U797" s="24"/>
      <c r="V797" s="38" t="s">
        <v>29</v>
      </c>
      <c r="W797" s="29" t="s">
        <v>22</v>
      </c>
      <c r="X797" s="37" t="s">
        <v>239</v>
      </c>
      <c r="Y797" s="31"/>
      <c r="Z797" s="26" t="str">
        <f t="shared" si="5"/>
        <v/>
      </c>
      <c r="AA797" s="26" t="str">
        <f t="shared" si="6"/>
        <v/>
      </c>
      <c r="AB797" s="32" t="str">
        <f t="shared" si="7"/>
        <v/>
      </c>
      <c r="AC797" s="32" t="str">
        <f t="shared" ref="AC797:AG797" si="801">IF(J797&lt;&gt;"", IF(AND($P797=FALSE, $A797=FALSE), -J797, IF(AND($P797=FALSE, $A797=TRUE), 0, IF($P797=TRUE, (J797 / $R797) * 100 * ($S797 / 100)-J797, ))), )</f>
        <v/>
      </c>
      <c r="AD797" s="32" t="str">
        <f t="shared" si="801"/>
        <v/>
      </c>
      <c r="AE797" s="32" t="str">
        <f t="shared" si="801"/>
        <v/>
      </c>
      <c r="AF797" s="32" t="str">
        <f t="shared" si="801"/>
        <v/>
      </c>
      <c r="AG797" s="32" t="str">
        <f t="shared" si="801"/>
        <v/>
      </c>
      <c r="AH797" s="33"/>
    </row>
    <row r="798" hidden="1" outlineLevel="3">
      <c r="A798" s="16" t="b">
        <v>0</v>
      </c>
      <c r="B798" s="17"/>
      <c r="C798" s="18"/>
      <c r="D798" s="34"/>
      <c r="E798" s="20"/>
      <c r="F798" s="19"/>
      <c r="G798" s="23"/>
      <c r="H798" s="23"/>
      <c r="I798" s="23"/>
      <c r="J798" s="23"/>
      <c r="K798" s="23"/>
      <c r="L798" s="23"/>
      <c r="M798" s="23"/>
      <c r="N798" s="23"/>
      <c r="O798" s="24"/>
      <c r="P798" s="16" t="b">
        <v>0</v>
      </c>
      <c r="Q798" s="24"/>
      <c r="R798" s="50"/>
      <c r="S798" s="34"/>
      <c r="T798" s="27"/>
      <c r="U798" s="24"/>
      <c r="V798" s="38" t="s">
        <v>29</v>
      </c>
      <c r="W798" s="29" t="s">
        <v>22</v>
      </c>
      <c r="X798" s="37" t="s">
        <v>217</v>
      </c>
      <c r="Y798" s="31"/>
      <c r="Z798" s="26" t="str">
        <f t="shared" si="5"/>
        <v/>
      </c>
      <c r="AA798" s="26" t="str">
        <f t="shared" si="6"/>
        <v/>
      </c>
      <c r="AB798" s="32" t="str">
        <f t="shared" si="7"/>
        <v/>
      </c>
      <c r="AC798" s="32" t="str">
        <f t="shared" ref="AC798:AG798" si="802">IF(J798&lt;&gt;"", IF(AND($P798=FALSE, $A798=FALSE), -J798, IF(AND($P798=FALSE, $A798=TRUE), 0, IF($P798=TRUE, (J798 / $R798) * 100 * ($S798 / 100)-J798, ))), )</f>
        <v/>
      </c>
      <c r="AD798" s="32" t="str">
        <f t="shared" si="802"/>
        <v/>
      </c>
      <c r="AE798" s="32" t="str">
        <f t="shared" si="802"/>
        <v/>
      </c>
      <c r="AF798" s="32" t="str">
        <f t="shared" si="802"/>
        <v/>
      </c>
      <c r="AG798" s="32" t="str">
        <f t="shared" si="802"/>
        <v/>
      </c>
      <c r="AH798" s="33"/>
    </row>
    <row r="799" hidden="1" outlineLevel="3">
      <c r="A799" s="16" t="b">
        <v>0</v>
      </c>
      <c r="B799" s="17"/>
      <c r="C799" s="18"/>
      <c r="D799" s="34"/>
      <c r="E799" s="20"/>
      <c r="F799" s="19"/>
      <c r="G799" s="23"/>
      <c r="H799" s="23"/>
      <c r="I799" s="23"/>
      <c r="J799" s="23"/>
      <c r="K799" s="23"/>
      <c r="L799" s="23"/>
      <c r="M799" s="23"/>
      <c r="N799" s="23"/>
      <c r="O799" s="24"/>
      <c r="P799" s="16" t="b">
        <v>0</v>
      </c>
      <c r="Q799" s="24"/>
      <c r="R799" s="50"/>
      <c r="S799" s="34"/>
      <c r="T799" s="27"/>
      <c r="U799" s="24"/>
      <c r="V799" s="38" t="s">
        <v>29</v>
      </c>
      <c r="W799" s="29" t="s">
        <v>22</v>
      </c>
      <c r="X799" s="37" t="s">
        <v>216</v>
      </c>
      <c r="Y799" s="31"/>
      <c r="Z799" s="26" t="str">
        <f t="shared" si="5"/>
        <v/>
      </c>
      <c r="AA799" s="26" t="str">
        <f t="shared" si="6"/>
        <v/>
      </c>
      <c r="AB799" s="32" t="str">
        <f t="shared" si="7"/>
        <v/>
      </c>
      <c r="AC799" s="32" t="str">
        <f t="shared" ref="AC799:AG799" si="803">IF(J799&lt;&gt;"", IF(AND($P799=FALSE, $A799=FALSE), -J799, IF(AND($P799=FALSE, $A799=TRUE), 0, IF($P799=TRUE, (J799 / $R799) * 100 * ($S799 / 100)-J799, ))), )</f>
        <v/>
      </c>
      <c r="AD799" s="32" t="str">
        <f t="shared" si="803"/>
        <v/>
      </c>
      <c r="AE799" s="32" t="str">
        <f t="shared" si="803"/>
        <v/>
      </c>
      <c r="AF799" s="32" t="str">
        <f t="shared" si="803"/>
        <v/>
      </c>
      <c r="AG799" s="32" t="str">
        <f t="shared" si="803"/>
        <v/>
      </c>
      <c r="AH799" s="33"/>
    </row>
    <row r="800" hidden="1" outlineLevel="3">
      <c r="A800" s="16" t="b">
        <v>0</v>
      </c>
      <c r="B800" s="17"/>
      <c r="C800" s="18"/>
      <c r="D800" s="34"/>
      <c r="E800" s="20"/>
      <c r="F800" s="19"/>
      <c r="G800" s="23"/>
      <c r="H800" s="23"/>
      <c r="I800" s="23"/>
      <c r="J800" s="23"/>
      <c r="K800" s="23"/>
      <c r="L800" s="23"/>
      <c r="M800" s="23"/>
      <c r="N800" s="23"/>
      <c r="O800" s="24"/>
      <c r="P800" s="16" t="b">
        <v>0</v>
      </c>
      <c r="Q800" s="24"/>
      <c r="R800" s="50"/>
      <c r="S800" s="34"/>
      <c r="T800" s="27"/>
      <c r="U800" s="24"/>
      <c r="V800" s="38" t="s">
        <v>29</v>
      </c>
      <c r="W800" s="29" t="s">
        <v>22</v>
      </c>
      <c r="X800" s="37" t="s">
        <v>582</v>
      </c>
      <c r="Y800" s="31"/>
      <c r="Z800" s="26" t="str">
        <f t="shared" si="5"/>
        <v/>
      </c>
      <c r="AA800" s="26" t="str">
        <f t="shared" si="6"/>
        <v/>
      </c>
      <c r="AB800" s="32" t="str">
        <f t="shared" si="7"/>
        <v/>
      </c>
      <c r="AC800" s="32" t="str">
        <f t="shared" ref="AC800:AG800" si="804">IF(J800&lt;&gt;"", IF(AND($P800=FALSE, $A800=FALSE), -J800, IF(AND($P800=FALSE, $A800=TRUE), 0, IF($P800=TRUE, (J800 / $R800) * 100 * ($S800 / 100)-J800, ))), )</f>
        <v/>
      </c>
      <c r="AD800" s="32" t="str">
        <f t="shared" si="804"/>
        <v/>
      </c>
      <c r="AE800" s="32" t="str">
        <f t="shared" si="804"/>
        <v/>
      </c>
      <c r="AF800" s="32" t="str">
        <f t="shared" si="804"/>
        <v/>
      </c>
      <c r="AG800" s="32" t="str">
        <f t="shared" si="804"/>
        <v/>
      </c>
      <c r="AH800" s="33"/>
    </row>
    <row r="801" hidden="1" outlineLevel="2">
      <c r="A801" s="16" t="b">
        <v>0</v>
      </c>
      <c r="B801" s="17"/>
      <c r="C801" s="18"/>
      <c r="D801" s="67">
        <v>45259.0</v>
      </c>
      <c r="E801" s="43" t="s">
        <v>60</v>
      </c>
      <c r="F801" s="53" t="s">
        <v>61</v>
      </c>
      <c r="G801" s="45">
        <v>2.0</v>
      </c>
      <c r="H801" s="45">
        <v>1.0</v>
      </c>
      <c r="I801" s="45">
        <v>3.0</v>
      </c>
      <c r="J801" s="46"/>
      <c r="K801" s="46"/>
      <c r="L801" s="45"/>
      <c r="M801" s="46"/>
      <c r="N801" s="46"/>
      <c r="O801" s="47"/>
      <c r="P801" s="16" t="b">
        <v>0</v>
      </c>
      <c r="Q801" s="24"/>
      <c r="R801" s="48">
        <v>6.0</v>
      </c>
      <c r="S801" s="45">
        <v>20.29</v>
      </c>
      <c r="T801" s="49" t="s">
        <v>600</v>
      </c>
      <c r="U801" s="47"/>
      <c r="V801" s="28"/>
      <c r="W801" s="29"/>
      <c r="X801" s="30"/>
      <c r="Y801" s="31"/>
      <c r="Z801" s="26">
        <f t="shared" si="5"/>
        <v>-2</v>
      </c>
      <c r="AA801" s="26">
        <f t="shared" si="6"/>
        <v>-3</v>
      </c>
      <c r="AB801" s="32">
        <f t="shared" si="7"/>
        <v>-1</v>
      </c>
      <c r="AC801" s="32" t="str">
        <f t="shared" ref="AC801:AG801" si="805">IF(J801&lt;&gt;"", IF(AND($P801=FALSE, $A801=FALSE), -J801, IF(AND($P801=FALSE, $A801=TRUE), 0, IF($P801=TRUE, (J801 / $R801) * 100 * ($S801 / 100)-J801, ))), )</f>
        <v/>
      </c>
      <c r="AD801" s="32" t="str">
        <f t="shared" si="805"/>
        <v/>
      </c>
      <c r="AE801" s="32" t="str">
        <f t="shared" si="805"/>
        <v/>
      </c>
      <c r="AF801" s="32" t="str">
        <f t="shared" si="805"/>
        <v/>
      </c>
      <c r="AG801" s="32" t="str">
        <f t="shared" si="805"/>
        <v/>
      </c>
      <c r="AH801" s="33"/>
    </row>
    <row r="802" hidden="1" outlineLevel="3">
      <c r="A802" s="16" t="b">
        <v>0</v>
      </c>
      <c r="B802" s="17"/>
      <c r="C802" s="18"/>
      <c r="D802" s="34"/>
      <c r="E802" s="43"/>
      <c r="F802" s="44"/>
      <c r="G802" s="23"/>
      <c r="H802" s="23"/>
      <c r="I802" s="23"/>
      <c r="J802" s="23"/>
      <c r="K802" s="23"/>
      <c r="L802" s="23"/>
      <c r="M802" s="23"/>
      <c r="N802" s="23"/>
      <c r="O802" s="24"/>
      <c r="P802" s="16" t="b">
        <v>1</v>
      </c>
      <c r="Q802" s="24"/>
      <c r="R802" s="50"/>
      <c r="S802" s="34"/>
      <c r="T802" s="49"/>
      <c r="U802" s="24"/>
      <c r="V802" s="38" t="s">
        <v>29</v>
      </c>
      <c r="W802" s="29" t="s">
        <v>22</v>
      </c>
      <c r="X802" s="37" t="s">
        <v>191</v>
      </c>
      <c r="Y802" s="31"/>
      <c r="Z802" s="26" t="str">
        <f t="shared" si="5"/>
        <v/>
      </c>
      <c r="AA802" s="26" t="str">
        <f t="shared" si="6"/>
        <v/>
      </c>
      <c r="AB802" s="32" t="str">
        <f t="shared" si="7"/>
        <v/>
      </c>
      <c r="AC802" s="32" t="str">
        <f t="shared" ref="AC802:AG802" si="806">IF(J802&lt;&gt;"", IF(AND($P802=FALSE, $A802=FALSE), -J802, IF(AND($P802=FALSE, $A802=TRUE), 0, IF($P802=TRUE, (J802 / $R802) * 100 * ($S802 / 100)-J802, ))), )</f>
        <v/>
      </c>
      <c r="AD802" s="32" t="str">
        <f t="shared" si="806"/>
        <v/>
      </c>
      <c r="AE802" s="32" t="str">
        <f t="shared" si="806"/>
        <v/>
      </c>
      <c r="AF802" s="32" t="str">
        <f t="shared" si="806"/>
        <v/>
      </c>
      <c r="AG802" s="32" t="str">
        <f t="shared" si="806"/>
        <v/>
      </c>
      <c r="AH802" s="33"/>
    </row>
    <row r="803" hidden="1" outlineLevel="3">
      <c r="A803" s="16" t="b">
        <v>0</v>
      </c>
      <c r="B803" s="17"/>
      <c r="C803" s="18"/>
      <c r="D803" s="34"/>
      <c r="E803" s="43"/>
      <c r="F803" s="44"/>
      <c r="G803" s="23"/>
      <c r="H803" s="23"/>
      <c r="I803" s="23"/>
      <c r="J803" s="23"/>
      <c r="K803" s="23"/>
      <c r="L803" s="23"/>
      <c r="M803" s="23"/>
      <c r="N803" s="23"/>
      <c r="O803" s="24"/>
      <c r="P803" s="16" t="b">
        <v>0</v>
      </c>
      <c r="Q803" s="24"/>
      <c r="R803" s="50"/>
      <c r="S803" s="34"/>
      <c r="T803" s="49"/>
      <c r="U803" s="24"/>
      <c r="V803" s="38" t="s">
        <v>29</v>
      </c>
      <c r="W803" s="29" t="s">
        <v>22</v>
      </c>
      <c r="X803" s="37" t="s">
        <v>284</v>
      </c>
      <c r="Y803" s="31"/>
      <c r="Z803" s="26" t="str">
        <f t="shared" si="5"/>
        <v/>
      </c>
      <c r="AA803" s="26" t="str">
        <f t="shared" si="6"/>
        <v/>
      </c>
      <c r="AB803" s="32" t="str">
        <f t="shared" si="7"/>
        <v/>
      </c>
      <c r="AC803" s="32" t="str">
        <f t="shared" ref="AC803:AG803" si="807">IF(J803&lt;&gt;"", IF(AND($P803=FALSE, $A803=FALSE), -J803, IF(AND($P803=FALSE, $A803=TRUE), 0, IF($P803=TRUE, (J803 / $R803) * 100 * ($S803 / 100)-J803, ))), )</f>
        <v/>
      </c>
      <c r="AD803" s="32" t="str">
        <f t="shared" si="807"/>
        <v/>
      </c>
      <c r="AE803" s="32" t="str">
        <f t="shared" si="807"/>
        <v/>
      </c>
      <c r="AF803" s="32" t="str">
        <f t="shared" si="807"/>
        <v/>
      </c>
      <c r="AG803" s="32" t="str">
        <f t="shared" si="807"/>
        <v/>
      </c>
      <c r="AH803" s="33"/>
    </row>
    <row r="804" hidden="1" outlineLevel="3">
      <c r="A804" s="16" t="b">
        <v>0</v>
      </c>
      <c r="B804" s="17"/>
      <c r="C804" s="18"/>
      <c r="D804" s="34"/>
      <c r="E804" s="43"/>
      <c r="F804" s="44"/>
      <c r="G804" s="23"/>
      <c r="H804" s="23"/>
      <c r="I804" s="23"/>
      <c r="J804" s="23"/>
      <c r="K804" s="23"/>
      <c r="L804" s="23"/>
      <c r="M804" s="23"/>
      <c r="N804" s="23"/>
      <c r="O804" s="24"/>
      <c r="P804" s="16" t="b">
        <v>0</v>
      </c>
      <c r="Q804" s="24"/>
      <c r="R804" s="50"/>
      <c r="S804" s="34"/>
      <c r="T804" s="49"/>
      <c r="U804" s="24"/>
      <c r="V804" s="38" t="s">
        <v>29</v>
      </c>
      <c r="W804" s="29" t="s">
        <v>22</v>
      </c>
      <c r="X804" s="37" t="s">
        <v>574</v>
      </c>
      <c r="Y804" s="31"/>
      <c r="Z804" s="26" t="str">
        <f t="shared" si="5"/>
        <v/>
      </c>
      <c r="AA804" s="26" t="str">
        <f t="shared" si="6"/>
        <v/>
      </c>
      <c r="AB804" s="32" t="str">
        <f t="shared" si="7"/>
        <v/>
      </c>
      <c r="AC804" s="32" t="str">
        <f t="shared" ref="AC804:AG804" si="808">IF(J804&lt;&gt;"", IF(AND($P804=FALSE, $A804=FALSE), -J804, IF(AND($P804=FALSE, $A804=TRUE), 0, IF($P804=TRUE, (J804 / $R804) * 100 * ($S804 / 100)-J804, ))), )</f>
        <v/>
      </c>
      <c r="AD804" s="32" t="str">
        <f t="shared" si="808"/>
        <v/>
      </c>
      <c r="AE804" s="32" t="str">
        <f t="shared" si="808"/>
        <v/>
      </c>
      <c r="AF804" s="32" t="str">
        <f t="shared" si="808"/>
        <v/>
      </c>
      <c r="AG804" s="32" t="str">
        <f t="shared" si="808"/>
        <v/>
      </c>
      <c r="AH804" s="33"/>
    </row>
    <row r="805" hidden="1" outlineLevel="3">
      <c r="A805" s="16" t="b">
        <v>0</v>
      </c>
      <c r="B805" s="17"/>
      <c r="C805" s="18"/>
      <c r="D805" s="34"/>
      <c r="E805" s="43"/>
      <c r="F805" s="44"/>
      <c r="G805" s="23"/>
      <c r="H805" s="23"/>
      <c r="I805" s="23"/>
      <c r="J805" s="23"/>
      <c r="K805" s="23"/>
      <c r="L805" s="23"/>
      <c r="M805" s="23"/>
      <c r="N805" s="23"/>
      <c r="O805" s="24"/>
      <c r="P805" s="16" t="b">
        <v>0</v>
      </c>
      <c r="Q805" s="24"/>
      <c r="R805" s="50"/>
      <c r="S805" s="34"/>
      <c r="T805" s="49"/>
      <c r="U805" s="24"/>
      <c r="V805" s="28" t="s">
        <v>32</v>
      </c>
      <c r="W805" s="29" t="s">
        <v>22</v>
      </c>
      <c r="X805" s="37" t="s">
        <v>431</v>
      </c>
      <c r="Y805" s="31"/>
      <c r="Z805" s="26" t="str">
        <f t="shared" si="5"/>
        <v/>
      </c>
      <c r="AA805" s="26" t="str">
        <f t="shared" si="6"/>
        <v/>
      </c>
      <c r="AB805" s="32" t="str">
        <f t="shared" si="7"/>
        <v/>
      </c>
      <c r="AC805" s="32" t="str">
        <f t="shared" ref="AC805:AG805" si="809">IF(J805&lt;&gt;"", IF(AND($P805=FALSE, $A805=FALSE), -J805, IF(AND($P805=FALSE, $A805=TRUE), 0, IF($P805=TRUE, (J805 / $R805) * 100 * ($S805 / 100)-J805, ))), )</f>
        <v/>
      </c>
      <c r="AD805" s="32" t="str">
        <f t="shared" si="809"/>
        <v/>
      </c>
      <c r="AE805" s="32" t="str">
        <f t="shared" si="809"/>
        <v/>
      </c>
      <c r="AF805" s="32" t="str">
        <f t="shared" si="809"/>
        <v/>
      </c>
      <c r="AG805" s="32" t="str">
        <f t="shared" si="809"/>
        <v/>
      </c>
      <c r="AH805" s="33"/>
    </row>
    <row r="806" hidden="1" outlineLevel="1" collapsed="1">
      <c r="A806" s="16" t="b">
        <v>0</v>
      </c>
      <c r="B806" s="17"/>
      <c r="C806" s="18"/>
      <c r="D806" s="42">
        <v>45260.0</v>
      </c>
      <c r="E806" s="43" t="s">
        <v>24</v>
      </c>
      <c r="F806" s="44" t="s">
        <v>57</v>
      </c>
      <c r="G806" s="45">
        <v>4.0</v>
      </c>
      <c r="H806" s="45">
        <v>2.0</v>
      </c>
      <c r="I806" s="45">
        <v>24.0</v>
      </c>
      <c r="J806" s="46"/>
      <c r="K806" s="46"/>
      <c r="L806" s="45"/>
      <c r="M806" s="46"/>
      <c r="N806" s="46"/>
      <c r="O806" s="47"/>
      <c r="P806" s="16" t="b">
        <v>1</v>
      </c>
      <c r="Q806" s="24"/>
      <c r="R806" s="48">
        <v>30.0</v>
      </c>
      <c r="S806" s="45">
        <v>60.0</v>
      </c>
      <c r="T806" s="49">
        <v>-100.0</v>
      </c>
      <c r="U806" s="47"/>
      <c r="V806" s="28"/>
      <c r="W806" s="29"/>
      <c r="X806" s="30"/>
      <c r="Y806" s="31"/>
      <c r="Z806" s="26">
        <f t="shared" si="5"/>
        <v>4</v>
      </c>
      <c r="AA806" s="26">
        <f t="shared" si="6"/>
        <v>24</v>
      </c>
      <c r="AB806" s="32">
        <f t="shared" si="7"/>
        <v>2</v>
      </c>
      <c r="AC806" s="32" t="str">
        <f t="shared" ref="AC806:AG806" si="810">IF(J806&lt;&gt;"", IF(AND($P806=FALSE, $A806=FALSE), -J806, IF(AND($P806=FALSE, $A806=TRUE), 0, IF($P806=TRUE, (J806 / $R806) * 100 * ($S806 / 100)-J806, ))), )</f>
        <v/>
      </c>
      <c r="AD806" s="32" t="str">
        <f t="shared" si="810"/>
        <v/>
      </c>
      <c r="AE806" s="32" t="str">
        <f t="shared" si="810"/>
        <v/>
      </c>
      <c r="AF806" s="32" t="str">
        <f t="shared" si="810"/>
        <v/>
      </c>
      <c r="AG806" s="32" t="str">
        <f t="shared" si="810"/>
        <v/>
      </c>
      <c r="AH806" s="33"/>
    </row>
    <row r="807" hidden="1" outlineLevel="3">
      <c r="A807" s="16" t="b">
        <v>0</v>
      </c>
      <c r="B807" s="17"/>
      <c r="C807" s="18"/>
      <c r="D807" s="34"/>
      <c r="E807" s="43"/>
      <c r="F807" s="44"/>
      <c r="G807" s="23"/>
      <c r="H807" s="23"/>
      <c r="I807" s="23"/>
      <c r="J807" s="23"/>
      <c r="K807" s="23"/>
      <c r="L807" s="23"/>
      <c r="M807" s="23"/>
      <c r="N807" s="23"/>
      <c r="O807" s="24"/>
      <c r="P807" s="16" t="b">
        <v>0</v>
      </c>
      <c r="Q807" s="24"/>
      <c r="R807" s="50"/>
      <c r="S807" s="34"/>
      <c r="T807" s="49"/>
      <c r="U807" s="24"/>
      <c r="V807" s="28" t="s">
        <v>29</v>
      </c>
      <c r="W807" s="29" t="s">
        <v>22</v>
      </c>
      <c r="X807" s="37" t="s">
        <v>601</v>
      </c>
      <c r="Y807" s="31"/>
      <c r="Z807" s="26" t="str">
        <f t="shared" si="5"/>
        <v/>
      </c>
      <c r="AA807" s="26" t="str">
        <f t="shared" si="6"/>
        <v/>
      </c>
      <c r="AB807" s="32" t="str">
        <f t="shared" si="7"/>
        <v/>
      </c>
      <c r="AC807" s="32" t="str">
        <f t="shared" ref="AC807:AG807" si="811">IF(J807&lt;&gt;"", IF(AND($P807=FALSE, $A807=FALSE), -J807, IF(AND($P807=FALSE, $A807=TRUE), 0, IF($P807=TRUE, (J807 / $R807) * 100 * ($S807 / 100)-J807, ))), )</f>
        <v/>
      </c>
      <c r="AD807" s="32" t="str">
        <f t="shared" si="811"/>
        <v/>
      </c>
      <c r="AE807" s="32" t="str">
        <f t="shared" si="811"/>
        <v/>
      </c>
      <c r="AF807" s="32" t="str">
        <f t="shared" si="811"/>
        <v/>
      </c>
      <c r="AG807" s="32" t="str">
        <f t="shared" si="811"/>
        <v/>
      </c>
      <c r="AH807" s="33"/>
    </row>
    <row r="808" hidden="1" outlineLevel="2" collapsed="1">
      <c r="A808" s="16" t="b">
        <v>0</v>
      </c>
      <c r="B808" s="17"/>
      <c r="C808" s="18"/>
      <c r="D808" s="42">
        <v>45260.0</v>
      </c>
      <c r="E808" s="43" t="s">
        <v>24</v>
      </c>
      <c r="F808" s="44" t="s">
        <v>57</v>
      </c>
      <c r="G808" s="48">
        <v>3.0</v>
      </c>
      <c r="H808" s="48">
        <v>1.5</v>
      </c>
      <c r="I808" s="45"/>
      <c r="J808" s="46"/>
      <c r="K808" s="46"/>
      <c r="L808" s="48"/>
      <c r="M808" s="46"/>
      <c r="N808" s="46"/>
      <c r="O808" s="47"/>
      <c r="P808" s="16" t="b">
        <v>1</v>
      </c>
      <c r="Q808" s="24"/>
      <c r="R808" s="48">
        <v>4.5</v>
      </c>
      <c r="S808" s="45">
        <v>13.85</v>
      </c>
      <c r="T808" s="49" t="s">
        <v>602</v>
      </c>
      <c r="U808" s="47"/>
      <c r="V808" s="28"/>
      <c r="W808" s="29"/>
      <c r="X808" s="30"/>
      <c r="Y808" s="31"/>
      <c r="Z808" s="26">
        <f t="shared" si="5"/>
        <v>6.233333333</v>
      </c>
      <c r="AA808" s="26" t="str">
        <f t="shared" si="6"/>
        <v/>
      </c>
      <c r="AB808" s="32">
        <f t="shared" si="7"/>
        <v>3.116666667</v>
      </c>
      <c r="AC808" s="32" t="str">
        <f t="shared" ref="AC808:AG808" si="812">IF(J808&lt;&gt;"", IF(AND($P808=FALSE, $A808=FALSE), -J808, IF(AND($P808=FALSE, $A808=TRUE), 0, IF($P808=TRUE, (J808 / $R808) * 100 * ($S808 / 100)-J808, ))), )</f>
        <v/>
      </c>
      <c r="AD808" s="32" t="str">
        <f t="shared" si="812"/>
        <v/>
      </c>
      <c r="AE808" s="32" t="str">
        <f t="shared" si="812"/>
        <v/>
      </c>
      <c r="AF808" s="32" t="str">
        <f t="shared" si="812"/>
        <v/>
      </c>
      <c r="AG808" s="32" t="str">
        <f t="shared" si="812"/>
        <v/>
      </c>
      <c r="AH808" s="33"/>
    </row>
    <row r="809" hidden="1" outlineLevel="3">
      <c r="A809" s="16" t="b">
        <v>0</v>
      </c>
      <c r="B809" s="17"/>
      <c r="C809" s="18"/>
      <c r="D809" s="34"/>
      <c r="E809" s="43"/>
      <c r="F809" s="44"/>
      <c r="G809" s="23"/>
      <c r="H809" s="23"/>
      <c r="I809" s="23"/>
      <c r="J809" s="23"/>
      <c r="K809" s="23"/>
      <c r="L809" s="23"/>
      <c r="M809" s="23"/>
      <c r="N809" s="23"/>
      <c r="O809" s="24"/>
      <c r="P809" s="16" t="b">
        <v>0</v>
      </c>
      <c r="Q809" s="24"/>
      <c r="R809" s="50"/>
      <c r="S809" s="34"/>
      <c r="T809" s="49"/>
      <c r="U809" s="24"/>
      <c r="V809" s="38" t="s">
        <v>29</v>
      </c>
      <c r="W809" s="29" t="s">
        <v>22</v>
      </c>
      <c r="X809" s="37" t="s">
        <v>112</v>
      </c>
      <c r="Y809" s="31"/>
      <c r="Z809" s="26" t="str">
        <f t="shared" si="5"/>
        <v/>
      </c>
      <c r="AA809" s="26" t="str">
        <f t="shared" si="6"/>
        <v/>
      </c>
      <c r="AB809" s="32" t="str">
        <f t="shared" si="7"/>
        <v/>
      </c>
      <c r="AC809" s="32" t="str">
        <f t="shared" ref="AC809:AG809" si="813">IF(J809&lt;&gt;"", IF(AND($P809=FALSE, $A809=FALSE), -J809, IF(AND($P809=FALSE, $A809=TRUE), 0, IF($P809=TRUE, (J809 / $R809) * 100 * ($S809 / 100)-J809, ))), )</f>
        <v/>
      </c>
      <c r="AD809" s="32" t="str">
        <f t="shared" si="813"/>
        <v/>
      </c>
      <c r="AE809" s="32" t="str">
        <f t="shared" si="813"/>
        <v/>
      </c>
      <c r="AF809" s="32" t="str">
        <f t="shared" si="813"/>
        <v/>
      </c>
      <c r="AG809" s="32" t="str">
        <f t="shared" si="813"/>
        <v/>
      </c>
      <c r="AH809" s="33"/>
    </row>
    <row r="810" hidden="1" outlineLevel="3">
      <c r="A810" s="16" t="b">
        <v>0</v>
      </c>
      <c r="B810" s="17"/>
      <c r="C810" s="18"/>
      <c r="D810" s="34"/>
      <c r="E810" s="43"/>
      <c r="F810" s="44"/>
      <c r="G810" s="23"/>
      <c r="H810" s="23"/>
      <c r="I810" s="23"/>
      <c r="J810" s="23"/>
      <c r="K810" s="23"/>
      <c r="L810" s="23"/>
      <c r="M810" s="23"/>
      <c r="N810" s="23"/>
      <c r="O810" s="24"/>
      <c r="P810" s="16" t="b">
        <v>0</v>
      </c>
      <c r="Q810" s="24"/>
      <c r="R810" s="50"/>
      <c r="S810" s="34"/>
      <c r="T810" s="49"/>
      <c r="U810" s="24"/>
      <c r="V810" s="38" t="s">
        <v>29</v>
      </c>
      <c r="W810" s="29" t="s">
        <v>22</v>
      </c>
      <c r="X810" s="37" t="s">
        <v>603</v>
      </c>
      <c r="Y810" s="31"/>
      <c r="Z810" s="26" t="str">
        <f t="shared" si="5"/>
        <v/>
      </c>
      <c r="AA810" s="26" t="str">
        <f t="shared" si="6"/>
        <v/>
      </c>
      <c r="AB810" s="32" t="str">
        <f t="shared" si="7"/>
        <v/>
      </c>
      <c r="AC810" s="32" t="str">
        <f t="shared" ref="AC810:AG810" si="814">IF(J810&lt;&gt;"", IF(AND($P810=FALSE, $A810=FALSE), -J810, IF(AND($P810=FALSE, $A810=TRUE), 0, IF($P810=TRUE, (J810 / $R810) * 100 * ($S810 / 100)-J810, ))), )</f>
        <v/>
      </c>
      <c r="AD810" s="32" t="str">
        <f t="shared" si="814"/>
        <v/>
      </c>
      <c r="AE810" s="32" t="str">
        <f t="shared" si="814"/>
        <v/>
      </c>
      <c r="AF810" s="32" t="str">
        <f t="shared" si="814"/>
        <v/>
      </c>
      <c r="AG810" s="32" t="str">
        <f t="shared" si="814"/>
        <v/>
      </c>
      <c r="AH810" s="33"/>
    </row>
    <row r="811" hidden="1" outlineLevel="3">
      <c r="A811" s="16" t="b">
        <v>0</v>
      </c>
      <c r="B811" s="17"/>
      <c r="C811" s="18"/>
      <c r="D811" s="34"/>
      <c r="E811" s="43"/>
      <c r="F811" s="44"/>
      <c r="G811" s="23"/>
      <c r="H811" s="23"/>
      <c r="I811" s="23"/>
      <c r="J811" s="23"/>
      <c r="K811" s="23"/>
      <c r="L811" s="23"/>
      <c r="M811" s="23"/>
      <c r="N811" s="23"/>
      <c r="O811" s="24"/>
      <c r="P811" s="16" t="b">
        <v>0</v>
      </c>
      <c r="Q811" s="24"/>
      <c r="R811" s="50"/>
      <c r="S811" s="34"/>
      <c r="T811" s="49"/>
      <c r="U811" s="24"/>
      <c r="V811" s="38" t="s">
        <v>29</v>
      </c>
      <c r="W811" s="29" t="s">
        <v>22</v>
      </c>
      <c r="X811" s="37" t="s">
        <v>488</v>
      </c>
      <c r="Y811" s="31"/>
      <c r="Z811" s="26" t="str">
        <f t="shared" si="5"/>
        <v/>
      </c>
      <c r="AA811" s="26" t="str">
        <f t="shared" si="6"/>
        <v/>
      </c>
      <c r="AB811" s="32" t="str">
        <f t="shared" si="7"/>
        <v/>
      </c>
      <c r="AC811" s="32" t="str">
        <f t="shared" ref="AC811:AG811" si="815">IF(J811&lt;&gt;"", IF(AND($P811=FALSE, $A811=FALSE), -J811, IF(AND($P811=FALSE, $A811=TRUE), 0, IF($P811=TRUE, (J811 / $R811) * 100 * ($S811 / 100)-J811, ))), )</f>
        <v/>
      </c>
      <c r="AD811" s="32" t="str">
        <f t="shared" si="815"/>
        <v/>
      </c>
      <c r="AE811" s="32" t="str">
        <f t="shared" si="815"/>
        <v/>
      </c>
      <c r="AF811" s="32" t="str">
        <f t="shared" si="815"/>
        <v/>
      </c>
      <c r="AG811" s="32" t="str">
        <f t="shared" si="815"/>
        <v/>
      </c>
      <c r="AH811" s="33"/>
    </row>
    <row r="812" hidden="1" outlineLevel="3">
      <c r="A812" s="16" t="b">
        <v>0</v>
      </c>
      <c r="B812" s="17"/>
      <c r="C812" s="18"/>
      <c r="D812" s="34"/>
      <c r="E812" s="43"/>
      <c r="F812" s="44"/>
      <c r="G812" s="23"/>
      <c r="H812" s="23"/>
      <c r="I812" s="23"/>
      <c r="J812" s="23"/>
      <c r="K812" s="23"/>
      <c r="L812" s="23"/>
      <c r="M812" s="23"/>
      <c r="N812" s="23"/>
      <c r="O812" s="24"/>
      <c r="P812" s="16" t="b">
        <v>0</v>
      </c>
      <c r="Q812" s="24"/>
      <c r="R812" s="50"/>
      <c r="S812" s="34"/>
      <c r="T812" s="49"/>
      <c r="U812" s="24"/>
      <c r="V812" s="38" t="s">
        <v>29</v>
      </c>
      <c r="W812" s="29" t="s">
        <v>22</v>
      </c>
      <c r="X812" s="37" t="s">
        <v>604</v>
      </c>
      <c r="Y812" s="31"/>
      <c r="Z812" s="26" t="str">
        <f t="shared" si="5"/>
        <v/>
      </c>
      <c r="AA812" s="26" t="str">
        <f t="shared" si="6"/>
        <v/>
      </c>
      <c r="AB812" s="32" t="str">
        <f t="shared" si="7"/>
        <v/>
      </c>
      <c r="AC812" s="32" t="str">
        <f t="shared" ref="AC812:AG812" si="816">IF(J812&lt;&gt;"", IF(AND($P812=FALSE, $A812=FALSE), -J812, IF(AND($P812=FALSE, $A812=TRUE), 0, IF($P812=TRUE, (J812 / $R812) * 100 * ($S812 / 100)-J812, ))), )</f>
        <v/>
      </c>
      <c r="AD812" s="32" t="str">
        <f t="shared" si="816"/>
        <v/>
      </c>
      <c r="AE812" s="32" t="str">
        <f t="shared" si="816"/>
        <v/>
      </c>
      <c r="AF812" s="32" t="str">
        <f t="shared" si="816"/>
        <v/>
      </c>
      <c r="AG812" s="32" t="str">
        <f t="shared" si="816"/>
        <v/>
      </c>
      <c r="AH812" s="33"/>
    </row>
    <row r="813" hidden="1" outlineLevel="2" collapsed="1">
      <c r="A813" s="16" t="b">
        <v>0</v>
      </c>
      <c r="B813" s="17"/>
      <c r="C813" s="18"/>
      <c r="D813" s="42">
        <v>45260.0</v>
      </c>
      <c r="E813" s="43" t="s">
        <v>24</v>
      </c>
      <c r="F813" s="44" t="s">
        <v>57</v>
      </c>
      <c r="G813" s="45">
        <v>4.0</v>
      </c>
      <c r="H813" s="45">
        <v>2.0</v>
      </c>
      <c r="I813" s="45">
        <v>4.0</v>
      </c>
      <c r="J813" s="46"/>
      <c r="K813" s="46"/>
      <c r="L813" s="45"/>
      <c r="M813" s="46"/>
      <c r="N813" s="46"/>
      <c r="O813" s="47"/>
      <c r="P813" s="16" t="b">
        <v>0</v>
      </c>
      <c r="Q813" s="24"/>
      <c r="R813" s="48">
        <v>10.0</v>
      </c>
      <c r="S813" s="45">
        <v>203.38</v>
      </c>
      <c r="T813" s="49" t="s">
        <v>605</v>
      </c>
      <c r="U813" s="47"/>
      <c r="V813" s="28"/>
      <c r="W813" s="29"/>
      <c r="X813" s="30"/>
      <c r="Y813" s="31"/>
      <c r="Z813" s="26">
        <f t="shared" si="5"/>
        <v>-4</v>
      </c>
      <c r="AA813" s="26">
        <f t="shared" si="6"/>
        <v>-4</v>
      </c>
      <c r="AB813" s="32">
        <f t="shared" si="7"/>
        <v>-2</v>
      </c>
      <c r="AC813" s="32" t="str">
        <f t="shared" ref="AC813:AG813" si="817">IF(J813&lt;&gt;"", IF(AND($P813=FALSE, $A813=FALSE), -J813, IF(AND($P813=FALSE, $A813=TRUE), 0, IF($P813=TRUE, (J813 / $R813) * 100 * ($S813 / 100)-J813, ))), )</f>
        <v/>
      </c>
      <c r="AD813" s="32" t="str">
        <f t="shared" si="817"/>
        <v/>
      </c>
      <c r="AE813" s="32" t="str">
        <f t="shared" si="817"/>
        <v/>
      </c>
      <c r="AF813" s="32" t="str">
        <f t="shared" si="817"/>
        <v/>
      </c>
      <c r="AG813" s="32" t="str">
        <f t="shared" si="817"/>
        <v/>
      </c>
      <c r="AH813" s="33"/>
    </row>
    <row r="814" hidden="1" outlineLevel="3">
      <c r="A814" s="16" t="b">
        <v>0</v>
      </c>
      <c r="B814" s="17"/>
      <c r="C814" s="18"/>
      <c r="D814" s="34"/>
      <c r="E814" s="43"/>
      <c r="F814" s="44"/>
      <c r="G814" s="23"/>
      <c r="H814" s="23"/>
      <c r="I814" s="23"/>
      <c r="J814" s="23"/>
      <c r="K814" s="23"/>
      <c r="L814" s="23"/>
      <c r="M814" s="23"/>
      <c r="N814" s="23"/>
      <c r="O814" s="24"/>
      <c r="P814" s="16" t="b">
        <v>0</v>
      </c>
      <c r="Q814" s="24"/>
      <c r="R814" s="50"/>
      <c r="S814" s="34"/>
      <c r="T814" s="49"/>
      <c r="U814" s="24"/>
      <c r="V814" s="38" t="s">
        <v>29</v>
      </c>
      <c r="W814" s="29" t="s">
        <v>22</v>
      </c>
      <c r="X814" s="37" t="s">
        <v>606</v>
      </c>
      <c r="Y814" s="31"/>
      <c r="Z814" s="26" t="str">
        <f t="shared" si="5"/>
        <v/>
      </c>
      <c r="AA814" s="26" t="str">
        <f t="shared" si="6"/>
        <v/>
      </c>
      <c r="AB814" s="32" t="str">
        <f t="shared" si="7"/>
        <v/>
      </c>
      <c r="AC814" s="32" t="str">
        <f t="shared" ref="AC814:AG814" si="818">IF(J814&lt;&gt;"", IF(AND($P814=FALSE, $A814=FALSE), -J814, IF(AND($P814=FALSE, $A814=TRUE), 0, IF($P814=TRUE, (J814 / $R814) * 100 * ($S814 / 100)-J814, ))), )</f>
        <v/>
      </c>
      <c r="AD814" s="32" t="str">
        <f t="shared" si="818"/>
        <v/>
      </c>
      <c r="AE814" s="32" t="str">
        <f t="shared" si="818"/>
        <v/>
      </c>
      <c r="AF814" s="32" t="str">
        <f t="shared" si="818"/>
        <v/>
      </c>
      <c r="AG814" s="32" t="str">
        <f t="shared" si="818"/>
        <v/>
      </c>
      <c r="AH814" s="33"/>
    </row>
    <row r="815" hidden="1" outlineLevel="3">
      <c r="A815" s="16" t="b">
        <v>0</v>
      </c>
      <c r="B815" s="17"/>
      <c r="C815" s="18"/>
      <c r="D815" s="34"/>
      <c r="E815" s="43"/>
      <c r="F815" s="44"/>
      <c r="G815" s="23"/>
      <c r="H815" s="23"/>
      <c r="I815" s="23"/>
      <c r="J815" s="23"/>
      <c r="K815" s="23"/>
      <c r="L815" s="23"/>
      <c r="M815" s="23"/>
      <c r="N815" s="23"/>
      <c r="O815" s="24"/>
      <c r="P815" s="16" t="b">
        <v>0</v>
      </c>
      <c r="Q815" s="24"/>
      <c r="R815" s="50"/>
      <c r="S815" s="34"/>
      <c r="T815" s="49"/>
      <c r="U815" s="24"/>
      <c r="V815" s="38" t="s">
        <v>29</v>
      </c>
      <c r="W815" s="29" t="s">
        <v>22</v>
      </c>
      <c r="X815" s="37" t="s">
        <v>607</v>
      </c>
      <c r="Y815" s="31"/>
      <c r="Z815" s="26" t="str">
        <f t="shared" si="5"/>
        <v/>
      </c>
      <c r="AA815" s="26" t="str">
        <f t="shared" si="6"/>
        <v/>
      </c>
      <c r="AB815" s="32" t="str">
        <f t="shared" si="7"/>
        <v/>
      </c>
      <c r="AC815" s="32" t="str">
        <f t="shared" ref="AC815:AG815" si="819">IF(J815&lt;&gt;"", IF(AND($P815=FALSE, $A815=FALSE), -J815, IF(AND($P815=FALSE, $A815=TRUE), 0, IF($P815=TRUE, (J815 / $R815) * 100 * ($S815 / 100)-J815, ))), )</f>
        <v/>
      </c>
      <c r="AD815" s="32" t="str">
        <f t="shared" si="819"/>
        <v/>
      </c>
      <c r="AE815" s="32" t="str">
        <f t="shared" si="819"/>
        <v/>
      </c>
      <c r="AF815" s="32" t="str">
        <f t="shared" si="819"/>
        <v/>
      </c>
      <c r="AG815" s="32" t="str">
        <f t="shared" si="819"/>
        <v/>
      </c>
      <c r="AH815" s="33"/>
    </row>
    <row r="816" hidden="1" outlineLevel="3">
      <c r="A816" s="16" t="b">
        <v>0</v>
      </c>
      <c r="B816" s="17"/>
      <c r="C816" s="18"/>
      <c r="D816" s="34"/>
      <c r="E816" s="43"/>
      <c r="F816" s="44"/>
      <c r="G816" s="23"/>
      <c r="H816" s="23"/>
      <c r="I816" s="23"/>
      <c r="J816" s="23"/>
      <c r="K816" s="23"/>
      <c r="L816" s="23"/>
      <c r="M816" s="23"/>
      <c r="N816" s="23"/>
      <c r="O816" s="24"/>
      <c r="P816" s="16" t="b">
        <v>0</v>
      </c>
      <c r="Q816" s="24"/>
      <c r="R816" s="50"/>
      <c r="S816" s="34"/>
      <c r="T816" s="49"/>
      <c r="U816" s="24"/>
      <c r="V816" s="38" t="s">
        <v>29</v>
      </c>
      <c r="W816" s="29" t="s">
        <v>22</v>
      </c>
      <c r="X816" s="37" t="s">
        <v>608</v>
      </c>
      <c r="Y816" s="31"/>
      <c r="Z816" s="26" t="str">
        <f t="shared" si="5"/>
        <v/>
      </c>
      <c r="AA816" s="26" t="str">
        <f t="shared" si="6"/>
        <v/>
      </c>
      <c r="AB816" s="32" t="str">
        <f t="shared" si="7"/>
        <v/>
      </c>
      <c r="AC816" s="32" t="str">
        <f t="shared" ref="AC816:AG816" si="820">IF(J816&lt;&gt;"", IF(AND($P816=FALSE, $A816=FALSE), -J816, IF(AND($P816=FALSE, $A816=TRUE), 0, IF($P816=TRUE, (J816 / $R816) * 100 * ($S816 / 100)-J816, ))), )</f>
        <v/>
      </c>
      <c r="AD816" s="32" t="str">
        <f t="shared" si="820"/>
        <v/>
      </c>
      <c r="AE816" s="32" t="str">
        <f t="shared" si="820"/>
        <v/>
      </c>
      <c r="AF816" s="32" t="str">
        <f t="shared" si="820"/>
        <v/>
      </c>
      <c r="AG816" s="32" t="str">
        <f t="shared" si="820"/>
        <v/>
      </c>
      <c r="AH816" s="33"/>
    </row>
    <row r="817" hidden="1" outlineLevel="3">
      <c r="A817" s="16" t="b">
        <v>0</v>
      </c>
      <c r="B817" s="17"/>
      <c r="C817" s="18"/>
      <c r="D817" s="34"/>
      <c r="E817" s="43"/>
      <c r="F817" s="44"/>
      <c r="G817" s="23"/>
      <c r="H817" s="23"/>
      <c r="I817" s="23"/>
      <c r="J817" s="23"/>
      <c r="K817" s="23"/>
      <c r="L817" s="23"/>
      <c r="M817" s="23"/>
      <c r="N817" s="23"/>
      <c r="O817" s="24"/>
      <c r="P817" s="16" t="b">
        <v>0</v>
      </c>
      <c r="Q817" s="24"/>
      <c r="R817" s="50"/>
      <c r="S817" s="34"/>
      <c r="T817" s="49"/>
      <c r="U817" s="24"/>
      <c r="V817" s="38" t="s">
        <v>29</v>
      </c>
      <c r="W817" s="29" t="s">
        <v>22</v>
      </c>
      <c r="X817" s="37" t="s">
        <v>609</v>
      </c>
      <c r="Y817" s="31"/>
      <c r="Z817" s="26" t="str">
        <f t="shared" si="5"/>
        <v/>
      </c>
      <c r="AA817" s="26" t="str">
        <f t="shared" si="6"/>
        <v/>
      </c>
      <c r="AB817" s="32" t="str">
        <f t="shared" si="7"/>
        <v/>
      </c>
      <c r="AC817" s="32" t="str">
        <f t="shared" ref="AC817:AG817" si="821">IF(J817&lt;&gt;"", IF(AND($P817=FALSE, $A817=FALSE), -J817, IF(AND($P817=FALSE, $A817=TRUE), 0, IF($P817=TRUE, (J817 / $R817) * 100 * ($S817 / 100)-J817, ))), )</f>
        <v/>
      </c>
      <c r="AD817" s="32" t="str">
        <f t="shared" si="821"/>
        <v/>
      </c>
      <c r="AE817" s="32" t="str">
        <f t="shared" si="821"/>
        <v/>
      </c>
      <c r="AF817" s="32" t="str">
        <f t="shared" si="821"/>
        <v/>
      </c>
      <c r="AG817" s="32" t="str">
        <f t="shared" si="821"/>
        <v/>
      </c>
      <c r="AH817" s="33"/>
    </row>
    <row r="818" hidden="1" outlineLevel="3">
      <c r="A818" s="16" t="b">
        <v>0</v>
      </c>
      <c r="B818" s="17"/>
      <c r="C818" s="18"/>
      <c r="D818" s="34"/>
      <c r="E818" s="43"/>
      <c r="F818" s="44"/>
      <c r="G818" s="23"/>
      <c r="H818" s="23"/>
      <c r="I818" s="23"/>
      <c r="J818" s="23"/>
      <c r="K818" s="23"/>
      <c r="L818" s="23"/>
      <c r="M818" s="23"/>
      <c r="N818" s="23"/>
      <c r="O818" s="24"/>
      <c r="P818" s="16" t="b">
        <v>0</v>
      </c>
      <c r="Q818" s="24"/>
      <c r="R818" s="50"/>
      <c r="S818" s="34"/>
      <c r="T818" s="49"/>
      <c r="U818" s="24"/>
      <c r="V818" s="38" t="s">
        <v>29</v>
      </c>
      <c r="W818" s="29" t="s">
        <v>22</v>
      </c>
      <c r="X818" s="37" t="s">
        <v>610</v>
      </c>
      <c r="Y818" s="31"/>
      <c r="Z818" s="26" t="str">
        <f t="shared" si="5"/>
        <v/>
      </c>
      <c r="AA818" s="26" t="str">
        <f t="shared" si="6"/>
        <v/>
      </c>
      <c r="AB818" s="32" t="str">
        <f t="shared" si="7"/>
        <v/>
      </c>
      <c r="AC818" s="32" t="str">
        <f t="shared" ref="AC818:AG818" si="822">IF(J818&lt;&gt;"", IF(AND($P818=FALSE, $A818=FALSE), -J818, IF(AND($P818=FALSE, $A818=TRUE), 0, IF($P818=TRUE, (J818 / $R818) * 100 * ($S818 / 100)-J818, ))), )</f>
        <v/>
      </c>
      <c r="AD818" s="32" t="str">
        <f t="shared" si="822"/>
        <v/>
      </c>
      <c r="AE818" s="32" t="str">
        <f t="shared" si="822"/>
        <v/>
      </c>
      <c r="AF818" s="32" t="str">
        <f t="shared" si="822"/>
        <v/>
      </c>
      <c r="AG818" s="32" t="str">
        <f t="shared" si="822"/>
        <v/>
      </c>
      <c r="AH818" s="33"/>
    </row>
    <row r="819" hidden="1" outlineLevel="3">
      <c r="A819" s="16" t="b">
        <v>0</v>
      </c>
      <c r="B819" s="17"/>
      <c r="C819" s="18"/>
      <c r="D819" s="34"/>
      <c r="E819" s="43"/>
      <c r="F819" s="44"/>
      <c r="G819" s="23"/>
      <c r="H819" s="23"/>
      <c r="I819" s="23"/>
      <c r="J819" s="23"/>
      <c r="K819" s="23"/>
      <c r="L819" s="23"/>
      <c r="M819" s="23"/>
      <c r="N819" s="23"/>
      <c r="O819" s="24"/>
      <c r="P819" s="16" t="b">
        <v>0</v>
      </c>
      <c r="Q819" s="24"/>
      <c r="R819" s="50"/>
      <c r="S819" s="34"/>
      <c r="T819" s="49"/>
      <c r="U819" s="24"/>
      <c r="V819" s="38" t="s">
        <v>29</v>
      </c>
      <c r="W819" s="29" t="s">
        <v>22</v>
      </c>
      <c r="X819" s="37" t="s">
        <v>611</v>
      </c>
      <c r="Y819" s="31"/>
      <c r="Z819" s="26" t="str">
        <f t="shared" si="5"/>
        <v/>
      </c>
      <c r="AA819" s="26" t="str">
        <f t="shared" si="6"/>
        <v/>
      </c>
      <c r="AB819" s="32" t="str">
        <f t="shared" si="7"/>
        <v/>
      </c>
      <c r="AC819" s="32" t="str">
        <f t="shared" ref="AC819:AG819" si="823">IF(J819&lt;&gt;"", IF(AND($P819=FALSE, $A819=FALSE), -J819, IF(AND($P819=FALSE, $A819=TRUE), 0, IF($P819=TRUE, (J819 / $R819) * 100 * ($S819 / 100)-J819, ))), )</f>
        <v/>
      </c>
      <c r="AD819" s="32" t="str">
        <f t="shared" si="823"/>
        <v/>
      </c>
      <c r="AE819" s="32" t="str">
        <f t="shared" si="823"/>
        <v/>
      </c>
      <c r="AF819" s="32" t="str">
        <f t="shared" si="823"/>
        <v/>
      </c>
      <c r="AG819" s="32" t="str">
        <f t="shared" si="823"/>
        <v/>
      </c>
      <c r="AH819" s="33"/>
    </row>
    <row r="820" hidden="1" outlineLevel="3">
      <c r="A820" s="16" t="b">
        <v>0</v>
      </c>
      <c r="B820" s="17"/>
      <c r="C820" s="18"/>
      <c r="D820" s="34"/>
      <c r="E820" s="43"/>
      <c r="F820" s="44"/>
      <c r="G820" s="23"/>
      <c r="H820" s="23"/>
      <c r="I820" s="23"/>
      <c r="J820" s="23"/>
      <c r="K820" s="23"/>
      <c r="L820" s="23"/>
      <c r="M820" s="23"/>
      <c r="N820" s="23"/>
      <c r="O820" s="24"/>
      <c r="P820" s="16" t="b">
        <v>0</v>
      </c>
      <c r="Q820" s="24"/>
      <c r="R820" s="50"/>
      <c r="S820" s="34"/>
      <c r="T820" s="49"/>
      <c r="U820" s="24"/>
      <c r="V820" s="28" t="s">
        <v>32</v>
      </c>
      <c r="W820" s="29" t="s">
        <v>22</v>
      </c>
      <c r="X820" s="37" t="s">
        <v>612</v>
      </c>
      <c r="Y820" s="31"/>
      <c r="Z820" s="26" t="str">
        <f t="shared" si="5"/>
        <v/>
      </c>
      <c r="AA820" s="26" t="str">
        <f t="shared" si="6"/>
        <v/>
      </c>
      <c r="AB820" s="32" t="str">
        <f t="shared" si="7"/>
        <v/>
      </c>
      <c r="AC820" s="32" t="str">
        <f t="shared" ref="AC820:AG820" si="824">IF(J820&lt;&gt;"", IF(AND($P820=FALSE, $A820=FALSE), -J820, IF(AND($P820=FALSE, $A820=TRUE), 0, IF($P820=TRUE, (J820 / $R820) * 100 * ($S820 / 100)-J820, ))), )</f>
        <v/>
      </c>
      <c r="AD820" s="32" t="str">
        <f t="shared" si="824"/>
        <v/>
      </c>
      <c r="AE820" s="32" t="str">
        <f t="shared" si="824"/>
        <v/>
      </c>
      <c r="AF820" s="32" t="str">
        <f t="shared" si="824"/>
        <v/>
      </c>
      <c r="AG820" s="32" t="str">
        <f t="shared" si="824"/>
        <v/>
      </c>
      <c r="AH820" s="33"/>
    </row>
    <row r="821" hidden="1" outlineLevel="3">
      <c r="A821" s="16" t="b">
        <v>0</v>
      </c>
      <c r="B821" s="17"/>
      <c r="C821" s="18"/>
      <c r="D821" s="34"/>
      <c r="E821" s="43"/>
      <c r="F821" s="44"/>
      <c r="G821" s="23"/>
      <c r="H821" s="23"/>
      <c r="I821" s="23"/>
      <c r="J821" s="23"/>
      <c r="K821" s="23"/>
      <c r="L821" s="23"/>
      <c r="M821" s="23"/>
      <c r="N821" s="23"/>
      <c r="O821" s="24"/>
      <c r="P821" s="16" t="b">
        <v>0</v>
      </c>
      <c r="Q821" s="24"/>
      <c r="R821" s="50"/>
      <c r="S821" s="34"/>
      <c r="T821" s="49"/>
      <c r="U821" s="24"/>
      <c r="V821" s="38" t="s">
        <v>29</v>
      </c>
      <c r="W821" s="29" t="s">
        <v>22</v>
      </c>
      <c r="X821" s="37" t="s">
        <v>613</v>
      </c>
      <c r="Y821" s="31"/>
      <c r="Z821" s="26" t="str">
        <f t="shared" si="5"/>
        <v/>
      </c>
      <c r="AA821" s="26" t="str">
        <f t="shared" si="6"/>
        <v/>
      </c>
      <c r="AB821" s="32" t="str">
        <f t="shared" si="7"/>
        <v/>
      </c>
      <c r="AC821" s="32" t="str">
        <f t="shared" ref="AC821:AG821" si="825">IF(J821&lt;&gt;"", IF(AND($P821=FALSE, $A821=FALSE), -J821, IF(AND($P821=FALSE, $A821=TRUE), 0, IF($P821=TRUE, (J821 / $R821) * 100 * ($S821 / 100)-J821, ))), )</f>
        <v/>
      </c>
      <c r="AD821" s="32" t="str">
        <f t="shared" si="825"/>
        <v/>
      </c>
      <c r="AE821" s="32" t="str">
        <f t="shared" si="825"/>
        <v/>
      </c>
      <c r="AF821" s="32" t="str">
        <f t="shared" si="825"/>
        <v/>
      </c>
      <c r="AG821" s="32" t="str">
        <f t="shared" si="825"/>
        <v/>
      </c>
      <c r="AH821" s="33"/>
    </row>
    <row r="822" hidden="1" outlineLevel="3">
      <c r="A822" s="16" t="b">
        <v>0</v>
      </c>
      <c r="B822" s="17"/>
      <c r="C822" s="18"/>
      <c r="D822" s="34"/>
      <c r="E822" s="43"/>
      <c r="F822" s="44"/>
      <c r="G822" s="23"/>
      <c r="H822" s="23"/>
      <c r="I822" s="23"/>
      <c r="J822" s="23"/>
      <c r="K822" s="23"/>
      <c r="L822" s="23"/>
      <c r="M822" s="23"/>
      <c r="N822" s="23"/>
      <c r="O822" s="24"/>
      <c r="P822" s="16" t="b">
        <v>0</v>
      </c>
      <c r="Q822" s="24"/>
      <c r="R822" s="50"/>
      <c r="S822" s="34"/>
      <c r="T822" s="49"/>
      <c r="U822" s="24"/>
      <c r="V822" s="38" t="s">
        <v>29</v>
      </c>
      <c r="W822" s="29" t="s">
        <v>22</v>
      </c>
      <c r="X822" s="37" t="s">
        <v>614</v>
      </c>
      <c r="Y822" s="31"/>
      <c r="Z822" s="26" t="str">
        <f t="shared" si="5"/>
        <v/>
      </c>
      <c r="AA822" s="26" t="str">
        <f t="shared" si="6"/>
        <v/>
      </c>
      <c r="AB822" s="32" t="str">
        <f t="shared" si="7"/>
        <v/>
      </c>
      <c r="AC822" s="32" t="str">
        <f t="shared" ref="AC822:AG822" si="826">IF(J822&lt;&gt;"", IF(AND($P822=FALSE, $A822=FALSE), -J822, IF(AND($P822=FALSE, $A822=TRUE), 0, IF($P822=TRUE, (J822 / $R822) * 100 * ($S822 / 100)-J822, ))), )</f>
        <v/>
      </c>
      <c r="AD822" s="32" t="str">
        <f t="shared" si="826"/>
        <v/>
      </c>
      <c r="AE822" s="32" t="str">
        <f t="shared" si="826"/>
        <v/>
      </c>
      <c r="AF822" s="32" t="str">
        <f t="shared" si="826"/>
        <v/>
      </c>
      <c r="AG822" s="32" t="str">
        <f t="shared" si="826"/>
        <v/>
      </c>
      <c r="AH822" s="33"/>
    </row>
    <row r="823" hidden="1" outlineLevel="3">
      <c r="A823" s="16" t="b">
        <v>0</v>
      </c>
      <c r="B823" s="17"/>
      <c r="C823" s="18"/>
      <c r="D823" s="34"/>
      <c r="E823" s="43"/>
      <c r="F823" s="44"/>
      <c r="G823" s="23"/>
      <c r="H823" s="23"/>
      <c r="I823" s="23"/>
      <c r="J823" s="23"/>
      <c r="K823" s="23"/>
      <c r="L823" s="23"/>
      <c r="M823" s="23"/>
      <c r="N823" s="23"/>
      <c r="O823" s="24"/>
      <c r="P823" s="16" t="b">
        <v>0</v>
      </c>
      <c r="Q823" s="24"/>
      <c r="R823" s="50"/>
      <c r="S823" s="34"/>
      <c r="T823" s="49"/>
      <c r="U823" s="24"/>
      <c r="V823" s="38" t="s">
        <v>29</v>
      </c>
      <c r="W823" s="29" t="s">
        <v>22</v>
      </c>
      <c r="X823" s="37" t="s">
        <v>604</v>
      </c>
      <c r="Y823" s="31"/>
      <c r="Z823" s="26" t="str">
        <f t="shared" si="5"/>
        <v/>
      </c>
      <c r="AA823" s="26" t="str">
        <f t="shared" si="6"/>
        <v/>
      </c>
      <c r="AB823" s="32" t="str">
        <f t="shared" si="7"/>
        <v/>
      </c>
      <c r="AC823" s="32" t="str">
        <f t="shared" ref="AC823:AG823" si="827">IF(J823&lt;&gt;"", IF(AND($P823=FALSE, $A823=FALSE), -J823, IF(AND($P823=FALSE, $A823=TRUE), 0, IF($P823=TRUE, (J823 / $R823) * 100 * ($S823 / 100)-J823, ))), )</f>
        <v/>
      </c>
      <c r="AD823" s="32" t="str">
        <f t="shared" si="827"/>
        <v/>
      </c>
      <c r="AE823" s="32" t="str">
        <f t="shared" si="827"/>
        <v/>
      </c>
      <c r="AF823" s="32" t="str">
        <f t="shared" si="827"/>
        <v/>
      </c>
      <c r="AG823" s="32" t="str">
        <f t="shared" si="827"/>
        <v/>
      </c>
      <c r="AH823" s="33"/>
    </row>
    <row r="824" hidden="1" outlineLevel="2" collapsed="1">
      <c r="A824" s="16" t="b">
        <v>0</v>
      </c>
      <c r="B824" s="17"/>
      <c r="C824" s="18"/>
      <c r="D824" s="42">
        <v>45260.0</v>
      </c>
      <c r="E824" s="43" t="s">
        <v>60</v>
      </c>
      <c r="F824" s="53" t="s">
        <v>61</v>
      </c>
      <c r="G824" s="45">
        <v>2.0</v>
      </c>
      <c r="H824" s="45">
        <v>1.0</v>
      </c>
      <c r="I824" s="45">
        <v>3.0</v>
      </c>
      <c r="J824" s="46"/>
      <c r="K824" s="46"/>
      <c r="L824" s="45"/>
      <c r="M824" s="46"/>
      <c r="N824" s="46"/>
      <c r="O824" s="47"/>
      <c r="P824" s="16" t="b">
        <v>0</v>
      </c>
      <c r="Q824" s="24"/>
      <c r="R824" s="48">
        <v>6.0</v>
      </c>
      <c r="S824" s="45">
        <v>12.65</v>
      </c>
      <c r="T824" s="49" t="s">
        <v>378</v>
      </c>
      <c r="U824" s="47"/>
      <c r="V824" s="28"/>
      <c r="W824" s="29"/>
      <c r="X824" s="30"/>
      <c r="Y824" s="31"/>
      <c r="Z824" s="26">
        <f t="shared" si="5"/>
        <v>-2</v>
      </c>
      <c r="AA824" s="26">
        <f t="shared" si="6"/>
        <v>-3</v>
      </c>
      <c r="AB824" s="32">
        <f t="shared" si="7"/>
        <v>-1</v>
      </c>
      <c r="AC824" s="32" t="str">
        <f t="shared" ref="AC824:AG824" si="828">IF(J824&lt;&gt;"", IF(AND($P824=FALSE, $A824=FALSE), -J824, IF(AND($P824=FALSE, $A824=TRUE), 0, IF($P824=TRUE, (J824 / $R824) * 100 * ($S824 / 100)-J824, ))), )</f>
        <v/>
      </c>
      <c r="AD824" s="32" t="str">
        <f t="shared" si="828"/>
        <v/>
      </c>
      <c r="AE824" s="32" t="str">
        <f t="shared" si="828"/>
        <v/>
      </c>
      <c r="AF824" s="32" t="str">
        <f t="shared" si="828"/>
        <v/>
      </c>
      <c r="AG824" s="32" t="str">
        <f t="shared" si="828"/>
        <v/>
      </c>
      <c r="AH824" s="33"/>
    </row>
    <row r="825" hidden="1" outlineLevel="3">
      <c r="A825" s="16" t="b">
        <v>0</v>
      </c>
      <c r="B825" s="17"/>
      <c r="C825" s="18"/>
      <c r="D825" s="34"/>
      <c r="E825" s="43"/>
      <c r="F825" s="44"/>
      <c r="G825" s="23"/>
      <c r="H825" s="23"/>
      <c r="I825" s="23"/>
      <c r="J825" s="23"/>
      <c r="K825" s="23"/>
      <c r="L825" s="23"/>
      <c r="M825" s="23"/>
      <c r="N825" s="23"/>
      <c r="O825" s="24"/>
      <c r="P825" s="16" t="b">
        <v>0</v>
      </c>
      <c r="Q825" s="24"/>
      <c r="R825" s="50"/>
      <c r="S825" s="34"/>
      <c r="T825" s="49"/>
      <c r="U825" s="24"/>
      <c r="V825" s="38" t="s">
        <v>29</v>
      </c>
      <c r="W825" s="29" t="s">
        <v>22</v>
      </c>
      <c r="X825" s="37" t="s">
        <v>615</v>
      </c>
      <c r="Y825" s="31"/>
      <c r="Z825" s="26" t="str">
        <f t="shared" si="5"/>
        <v/>
      </c>
      <c r="AA825" s="26" t="str">
        <f t="shared" si="6"/>
        <v/>
      </c>
      <c r="AB825" s="32" t="str">
        <f t="shared" si="7"/>
        <v/>
      </c>
      <c r="AC825" s="32" t="str">
        <f t="shared" ref="AC825:AG825" si="829">IF(J825&lt;&gt;"", IF(AND($P825=FALSE, $A825=FALSE), -J825, IF(AND($P825=FALSE, $A825=TRUE), 0, IF($P825=TRUE, (J825 / $R825) * 100 * ($S825 / 100)-J825, ))), )</f>
        <v/>
      </c>
      <c r="AD825" s="32" t="str">
        <f t="shared" si="829"/>
        <v/>
      </c>
      <c r="AE825" s="32" t="str">
        <f t="shared" si="829"/>
        <v/>
      </c>
      <c r="AF825" s="32" t="str">
        <f t="shared" si="829"/>
        <v/>
      </c>
      <c r="AG825" s="32" t="str">
        <f t="shared" si="829"/>
        <v/>
      </c>
      <c r="AH825" s="33"/>
    </row>
    <row r="826" hidden="1" outlineLevel="3">
      <c r="A826" s="16" t="b">
        <v>0</v>
      </c>
      <c r="B826" s="17"/>
      <c r="C826" s="18"/>
      <c r="D826" s="34"/>
      <c r="E826" s="43"/>
      <c r="F826" s="44"/>
      <c r="G826" s="23"/>
      <c r="H826" s="23"/>
      <c r="I826" s="23"/>
      <c r="J826" s="23"/>
      <c r="K826" s="23"/>
      <c r="L826" s="23"/>
      <c r="M826" s="23"/>
      <c r="N826" s="23"/>
      <c r="O826" s="24"/>
      <c r="P826" s="16" t="b">
        <v>0</v>
      </c>
      <c r="Q826" s="24"/>
      <c r="R826" s="50"/>
      <c r="S826" s="34"/>
      <c r="T826" s="49"/>
      <c r="U826" s="24"/>
      <c r="V826" s="38" t="s">
        <v>29</v>
      </c>
      <c r="W826" s="29" t="s">
        <v>22</v>
      </c>
      <c r="X826" s="37" t="s">
        <v>363</v>
      </c>
      <c r="Y826" s="31"/>
      <c r="Z826" s="26" t="str">
        <f t="shared" si="5"/>
        <v/>
      </c>
      <c r="AA826" s="26" t="str">
        <f t="shared" si="6"/>
        <v/>
      </c>
      <c r="AB826" s="32" t="str">
        <f t="shared" si="7"/>
        <v/>
      </c>
      <c r="AC826" s="32" t="str">
        <f t="shared" ref="AC826:AG826" si="830">IF(J826&lt;&gt;"", IF(AND($P826=FALSE, $A826=FALSE), -J826, IF(AND($P826=FALSE, $A826=TRUE), 0, IF($P826=TRUE, (J826 / $R826) * 100 * ($S826 / 100)-J826, ))), )</f>
        <v/>
      </c>
      <c r="AD826" s="32" t="str">
        <f t="shared" si="830"/>
        <v/>
      </c>
      <c r="AE826" s="32" t="str">
        <f t="shared" si="830"/>
        <v/>
      </c>
      <c r="AF826" s="32" t="str">
        <f t="shared" si="830"/>
        <v/>
      </c>
      <c r="AG826" s="32" t="str">
        <f t="shared" si="830"/>
        <v/>
      </c>
      <c r="AH826" s="33"/>
    </row>
    <row r="827" hidden="1" outlineLevel="3">
      <c r="A827" s="16" t="b">
        <v>0</v>
      </c>
      <c r="B827" s="17"/>
      <c r="C827" s="18"/>
      <c r="D827" s="34"/>
      <c r="E827" s="43"/>
      <c r="F827" s="44"/>
      <c r="G827" s="23"/>
      <c r="H827" s="23"/>
      <c r="I827" s="23"/>
      <c r="J827" s="23"/>
      <c r="K827" s="23"/>
      <c r="L827" s="23"/>
      <c r="M827" s="23"/>
      <c r="N827" s="23"/>
      <c r="O827" s="24"/>
      <c r="P827" s="16" t="b">
        <v>0</v>
      </c>
      <c r="Q827" s="24"/>
      <c r="R827" s="50"/>
      <c r="S827" s="34"/>
      <c r="T827" s="49"/>
      <c r="U827" s="24"/>
      <c r="V827" s="38" t="s">
        <v>29</v>
      </c>
      <c r="W827" s="29" t="s">
        <v>22</v>
      </c>
      <c r="X827" s="37" t="s">
        <v>226</v>
      </c>
      <c r="Y827" s="31"/>
      <c r="Z827" s="26" t="str">
        <f t="shared" si="5"/>
        <v/>
      </c>
      <c r="AA827" s="26" t="str">
        <f t="shared" si="6"/>
        <v/>
      </c>
      <c r="AB827" s="32" t="str">
        <f t="shared" si="7"/>
        <v/>
      </c>
      <c r="AC827" s="32" t="str">
        <f t="shared" ref="AC827:AG827" si="831">IF(J827&lt;&gt;"", IF(AND($P827=FALSE, $A827=FALSE), -J827, IF(AND($P827=FALSE, $A827=TRUE), 0, IF($P827=TRUE, (J827 / $R827) * 100 * ($S827 / 100)-J827, ))), )</f>
        <v/>
      </c>
      <c r="AD827" s="32" t="str">
        <f t="shared" si="831"/>
        <v/>
      </c>
      <c r="AE827" s="32" t="str">
        <f t="shared" si="831"/>
        <v/>
      </c>
      <c r="AF827" s="32" t="str">
        <f t="shared" si="831"/>
        <v/>
      </c>
      <c r="AG827" s="32" t="str">
        <f t="shared" si="831"/>
        <v/>
      </c>
      <c r="AH827" s="33"/>
    </row>
    <row r="828" hidden="1" outlineLevel="3">
      <c r="A828" s="16" t="b">
        <v>0</v>
      </c>
      <c r="B828" s="17"/>
      <c r="C828" s="18"/>
      <c r="D828" s="34"/>
      <c r="E828" s="43"/>
      <c r="F828" s="44"/>
      <c r="G828" s="23"/>
      <c r="H828" s="23"/>
      <c r="I828" s="23"/>
      <c r="J828" s="23"/>
      <c r="K828" s="23"/>
      <c r="L828" s="23"/>
      <c r="M828" s="23"/>
      <c r="N828" s="23"/>
      <c r="O828" s="24"/>
      <c r="P828" s="16" t="b">
        <v>0</v>
      </c>
      <c r="Q828" s="24"/>
      <c r="R828" s="50"/>
      <c r="S828" s="34"/>
      <c r="T828" s="49"/>
      <c r="U828" s="24"/>
      <c r="V828" s="28" t="s">
        <v>32</v>
      </c>
      <c r="W828" s="29" t="s">
        <v>22</v>
      </c>
      <c r="X828" s="37" t="s">
        <v>616</v>
      </c>
      <c r="Y828" s="31"/>
      <c r="Z828" s="26" t="str">
        <f t="shared" si="5"/>
        <v/>
      </c>
      <c r="AA828" s="26" t="str">
        <f t="shared" si="6"/>
        <v/>
      </c>
      <c r="AB828" s="32" t="str">
        <f t="shared" si="7"/>
        <v/>
      </c>
      <c r="AC828" s="32" t="str">
        <f t="shared" ref="AC828:AG828" si="832">IF(J828&lt;&gt;"", IF(AND($P828=FALSE, $A828=FALSE), -J828, IF(AND($P828=FALSE, $A828=TRUE), 0, IF($P828=TRUE, (J828 / $R828) * 100 * ($S828 / 100)-J828, ))), )</f>
        <v/>
      </c>
      <c r="AD828" s="32" t="str">
        <f t="shared" si="832"/>
        <v/>
      </c>
      <c r="AE828" s="32" t="str">
        <f t="shared" si="832"/>
        <v/>
      </c>
      <c r="AF828" s="32" t="str">
        <f t="shared" si="832"/>
        <v/>
      </c>
      <c r="AG828" s="32" t="str">
        <f t="shared" si="832"/>
        <v/>
      </c>
      <c r="AH828" s="33"/>
    </row>
    <row r="829" hidden="1" outlineLevel="2" collapsed="1">
      <c r="A829" s="16" t="b">
        <v>0</v>
      </c>
      <c r="B829" s="17"/>
      <c r="C829" s="18"/>
      <c r="D829" s="42">
        <v>45260.0</v>
      </c>
      <c r="E829" s="43" t="s">
        <v>60</v>
      </c>
      <c r="F829" s="53" t="s">
        <v>61</v>
      </c>
      <c r="G829" s="45">
        <v>2.0</v>
      </c>
      <c r="H829" s="45">
        <v>1.0</v>
      </c>
      <c r="I829" s="45">
        <v>3.0</v>
      </c>
      <c r="J829" s="46"/>
      <c r="K829" s="46"/>
      <c r="L829" s="45"/>
      <c r="M829" s="46"/>
      <c r="N829" s="46"/>
      <c r="O829" s="47"/>
      <c r="P829" s="16" t="b">
        <v>0</v>
      </c>
      <c r="Q829" s="24"/>
      <c r="R829" s="48">
        <v>6.0</v>
      </c>
      <c r="S829" s="45">
        <v>13.4</v>
      </c>
      <c r="T829" s="49" t="s">
        <v>617</v>
      </c>
      <c r="U829" s="47"/>
      <c r="V829" s="28"/>
      <c r="W829" s="29"/>
      <c r="X829" s="30"/>
      <c r="Y829" s="31"/>
      <c r="Z829" s="26">
        <f t="shared" si="5"/>
        <v>-2</v>
      </c>
      <c r="AA829" s="26">
        <f t="shared" si="6"/>
        <v>-3</v>
      </c>
      <c r="AB829" s="32">
        <f t="shared" si="7"/>
        <v>-1</v>
      </c>
      <c r="AC829" s="32" t="str">
        <f t="shared" ref="AC829:AG829" si="833">IF(J829&lt;&gt;"", IF(AND($P829=FALSE, $A829=FALSE), -J829, IF(AND($P829=FALSE, $A829=TRUE), 0, IF($P829=TRUE, (J829 / $R829) * 100 * ($S829 / 100)-J829, ))), )</f>
        <v/>
      </c>
      <c r="AD829" s="32" t="str">
        <f t="shared" si="833"/>
        <v/>
      </c>
      <c r="AE829" s="32" t="str">
        <f t="shared" si="833"/>
        <v/>
      </c>
      <c r="AF829" s="32" t="str">
        <f t="shared" si="833"/>
        <v/>
      </c>
      <c r="AG829" s="32" t="str">
        <f t="shared" si="833"/>
        <v/>
      </c>
      <c r="AH829" s="33"/>
    </row>
    <row r="830" hidden="1" outlineLevel="3">
      <c r="A830" s="16" t="b">
        <v>0</v>
      </c>
      <c r="B830" s="17"/>
      <c r="C830" s="18"/>
      <c r="D830" s="34"/>
      <c r="E830" s="43"/>
      <c r="F830" s="44"/>
      <c r="G830" s="23"/>
      <c r="H830" s="23"/>
      <c r="I830" s="23"/>
      <c r="J830" s="23"/>
      <c r="K830" s="23"/>
      <c r="L830" s="23"/>
      <c r="M830" s="23"/>
      <c r="N830" s="23"/>
      <c r="O830" s="24"/>
      <c r="P830" s="16" t="b">
        <v>0</v>
      </c>
      <c r="Q830" s="24"/>
      <c r="R830" s="50"/>
      <c r="S830" s="34"/>
      <c r="T830" s="49"/>
      <c r="U830" s="24"/>
      <c r="V830" s="38" t="s">
        <v>29</v>
      </c>
      <c r="W830" s="29" t="s">
        <v>22</v>
      </c>
      <c r="X830" s="37" t="s">
        <v>568</v>
      </c>
      <c r="Y830" s="31"/>
      <c r="Z830" s="26" t="str">
        <f t="shared" si="5"/>
        <v/>
      </c>
      <c r="AA830" s="26" t="str">
        <f t="shared" si="6"/>
        <v/>
      </c>
      <c r="AB830" s="32" t="str">
        <f t="shared" si="7"/>
        <v/>
      </c>
      <c r="AC830" s="32" t="str">
        <f t="shared" ref="AC830:AG830" si="834">IF(J830&lt;&gt;"", IF(AND($P830=FALSE, $A830=FALSE), -J830, IF(AND($P830=FALSE, $A830=TRUE), 0, IF($P830=TRUE, (J830 / $R830) * 100 * ($S830 / 100)-J830, ))), )</f>
        <v/>
      </c>
      <c r="AD830" s="32" t="str">
        <f t="shared" si="834"/>
        <v/>
      </c>
      <c r="AE830" s="32" t="str">
        <f t="shared" si="834"/>
        <v/>
      </c>
      <c r="AF830" s="32" t="str">
        <f t="shared" si="834"/>
        <v/>
      </c>
      <c r="AG830" s="32" t="str">
        <f t="shared" si="834"/>
        <v/>
      </c>
      <c r="AH830" s="33"/>
    </row>
    <row r="831" hidden="1" outlineLevel="3">
      <c r="A831" s="16" t="b">
        <v>0</v>
      </c>
      <c r="B831" s="17"/>
      <c r="C831" s="18"/>
      <c r="D831" s="34"/>
      <c r="E831" s="43"/>
      <c r="F831" s="44"/>
      <c r="G831" s="23"/>
      <c r="H831" s="23"/>
      <c r="I831" s="23"/>
      <c r="J831" s="23"/>
      <c r="K831" s="23"/>
      <c r="L831" s="23"/>
      <c r="M831" s="23"/>
      <c r="N831" s="23"/>
      <c r="O831" s="24"/>
      <c r="P831" s="16" t="b">
        <v>0</v>
      </c>
      <c r="Q831" s="24"/>
      <c r="R831" s="50"/>
      <c r="S831" s="34"/>
      <c r="T831" s="49"/>
      <c r="U831" s="24"/>
      <c r="V831" s="38" t="s">
        <v>29</v>
      </c>
      <c r="W831" s="29" t="s">
        <v>22</v>
      </c>
      <c r="X831" s="37" t="s">
        <v>185</v>
      </c>
      <c r="Y831" s="31"/>
      <c r="Z831" s="26" t="str">
        <f t="shared" si="5"/>
        <v/>
      </c>
      <c r="AA831" s="26" t="str">
        <f t="shared" si="6"/>
        <v/>
      </c>
      <c r="AB831" s="32" t="str">
        <f t="shared" si="7"/>
        <v/>
      </c>
      <c r="AC831" s="32" t="str">
        <f t="shared" ref="AC831:AG831" si="835">IF(J831&lt;&gt;"", IF(AND($P831=FALSE, $A831=FALSE), -J831, IF(AND($P831=FALSE, $A831=TRUE), 0, IF($P831=TRUE, (J831 / $R831) * 100 * ($S831 / 100)-J831, ))), )</f>
        <v/>
      </c>
      <c r="AD831" s="32" t="str">
        <f t="shared" si="835"/>
        <v/>
      </c>
      <c r="AE831" s="32" t="str">
        <f t="shared" si="835"/>
        <v/>
      </c>
      <c r="AF831" s="32" t="str">
        <f t="shared" si="835"/>
        <v/>
      </c>
      <c r="AG831" s="32" t="str">
        <f t="shared" si="835"/>
        <v/>
      </c>
      <c r="AH831" s="33"/>
    </row>
    <row r="832" hidden="1" outlineLevel="3">
      <c r="A832" s="16" t="b">
        <v>0</v>
      </c>
      <c r="B832" s="17"/>
      <c r="C832" s="18"/>
      <c r="D832" s="34"/>
      <c r="E832" s="43"/>
      <c r="F832" s="44"/>
      <c r="G832" s="23"/>
      <c r="H832" s="23"/>
      <c r="I832" s="23"/>
      <c r="J832" s="23"/>
      <c r="K832" s="23"/>
      <c r="L832" s="23"/>
      <c r="M832" s="23"/>
      <c r="N832" s="23"/>
      <c r="O832" s="24"/>
      <c r="P832" s="16" t="b">
        <v>0</v>
      </c>
      <c r="Q832" s="24"/>
      <c r="R832" s="50"/>
      <c r="S832" s="34"/>
      <c r="T832" s="49"/>
      <c r="U832" s="24"/>
      <c r="V832" s="28" t="s">
        <v>32</v>
      </c>
      <c r="W832" s="29" t="s">
        <v>22</v>
      </c>
      <c r="X832" s="37" t="s">
        <v>618</v>
      </c>
      <c r="Y832" s="31"/>
      <c r="Z832" s="26" t="str">
        <f t="shared" si="5"/>
        <v/>
      </c>
      <c r="AA832" s="26" t="str">
        <f t="shared" si="6"/>
        <v/>
      </c>
      <c r="AB832" s="32" t="str">
        <f t="shared" si="7"/>
        <v/>
      </c>
      <c r="AC832" s="32" t="str">
        <f t="shared" ref="AC832:AG832" si="836">IF(J832&lt;&gt;"", IF(AND($P832=FALSE, $A832=FALSE), -J832, IF(AND($P832=FALSE, $A832=TRUE), 0, IF($P832=TRUE, (J832 / $R832) * 100 * ($S832 / 100)-J832, ))), )</f>
        <v/>
      </c>
      <c r="AD832" s="32" t="str">
        <f t="shared" si="836"/>
        <v/>
      </c>
      <c r="AE832" s="32" t="str">
        <f t="shared" si="836"/>
        <v/>
      </c>
      <c r="AF832" s="32" t="str">
        <f t="shared" si="836"/>
        <v/>
      </c>
      <c r="AG832" s="32" t="str">
        <f t="shared" si="836"/>
        <v/>
      </c>
      <c r="AH832" s="33"/>
    </row>
    <row r="833" hidden="1" outlineLevel="2" collapsed="1">
      <c r="A833" s="16" t="b">
        <v>0</v>
      </c>
      <c r="B833" s="17"/>
      <c r="C833" s="18"/>
      <c r="D833" s="42">
        <v>45260.0</v>
      </c>
      <c r="E833" s="43" t="s">
        <v>60</v>
      </c>
      <c r="F833" s="53" t="s">
        <v>61</v>
      </c>
      <c r="G833" s="45">
        <v>2.0</v>
      </c>
      <c r="H833" s="45">
        <v>1.0</v>
      </c>
      <c r="I833" s="45">
        <v>3.0</v>
      </c>
      <c r="J833" s="46"/>
      <c r="K833" s="46"/>
      <c r="L833" s="45"/>
      <c r="M833" s="46"/>
      <c r="N833" s="46"/>
      <c r="O833" s="47"/>
      <c r="P833" s="16" t="b">
        <v>1</v>
      </c>
      <c r="Q833" s="24"/>
      <c r="R833" s="48">
        <v>6.0</v>
      </c>
      <c r="S833" s="45">
        <v>12.2</v>
      </c>
      <c r="T833" s="49" t="s">
        <v>278</v>
      </c>
      <c r="U833" s="47"/>
      <c r="V833" s="28"/>
      <c r="W833" s="29"/>
      <c r="X833" s="30"/>
      <c r="Y833" s="31"/>
      <c r="Z833" s="26">
        <f t="shared" si="5"/>
        <v>2.066666667</v>
      </c>
      <c r="AA833" s="26">
        <f t="shared" si="6"/>
        <v>3.1</v>
      </c>
      <c r="AB833" s="32">
        <f t="shared" si="7"/>
        <v>1.033333333</v>
      </c>
      <c r="AC833" s="32" t="str">
        <f t="shared" ref="AC833:AG833" si="837">IF(J833&lt;&gt;"", IF(AND($P833=FALSE, $A833=FALSE), -J833, IF(AND($P833=FALSE, $A833=TRUE), 0, IF($P833=TRUE, (J833 / $R833) * 100 * ($S833 / 100)-J833, ))), )</f>
        <v/>
      </c>
      <c r="AD833" s="32" t="str">
        <f t="shared" si="837"/>
        <v/>
      </c>
      <c r="AE833" s="32" t="str">
        <f t="shared" si="837"/>
        <v/>
      </c>
      <c r="AF833" s="32" t="str">
        <f t="shared" si="837"/>
        <v/>
      </c>
      <c r="AG833" s="32" t="str">
        <f t="shared" si="837"/>
        <v/>
      </c>
      <c r="AH833" s="33"/>
    </row>
    <row r="834" hidden="1" outlineLevel="3">
      <c r="A834" s="16" t="b">
        <v>0</v>
      </c>
      <c r="B834" s="17"/>
      <c r="C834" s="18"/>
      <c r="D834" s="34"/>
      <c r="E834" s="43"/>
      <c r="F834" s="44"/>
      <c r="G834" s="23"/>
      <c r="H834" s="23"/>
      <c r="I834" s="23"/>
      <c r="J834" s="23"/>
      <c r="K834" s="23"/>
      <c r="L834" s="23"/>
      <c r="M834" s="23"/>
      <c r="N834" s="23"/>
      <c r="O834" s="24"/>
      <c r="P834" s="16" t="b">
        <v>0</v>
      </c>
      <c r="Q834" s="24"/>
      <c r="R834" s="50"/>
      <c r="S834" s="34"/>
      <c r="T834" s="49"/>
      <c r="U834" s="24"/>
      <c r="V834" s="38" t="s">
        <v>29</v>
      </c>
      <c r="W834" s="29" t="s">
        <v>22</v>
      </c>
      <c r="X834" s="37" t="s">
        <v>619</v>
      </c>
      <c r="Y834" s="31"/>
      <c r="Z834" s="26" t="str">
        <f t="shared" si="5"/>
        <v/>
      </c>
      <c r="AA834" s="26" t="str">
        <f t="shared" si="6"/>
        <v/>
      </c>
      <c r="AB834" s="32" t="str">
        <f t="shared" si="7"/>
        <v/>
      </c>
      <c r="AC834" s="32" t="str">
        <f t="shared" ref="AC834:AG834" si="838">IF(J834&lt;&gt;"", IF(AND($P834=FALSE, $A834=FALSE), -J834, IF(AND($P834=FALSE, $A834=TRUE), 0, IF($P834=TRUE, (J834 / $R834) * 100 * ($S834 / 100)-J834, ))), )</f>
        <v/>
      </c>
      <c r="AD834" s="32" t="str">
        <f t="shared" si="838"/>
        <v/>
      </c>
      <c r="AE834" s="32" t="str">
        <f t="shared" si="838"/>
        <v/>
      </c>
      <c r="AF834" s="32" t="str">
        <f t="shared" si="838"/>
        <v/>
      </c>
      <c r="AG834" s="32" t="str">
        <f t="shared" si="838"/>
        <v/>
      </c>
      <c r="AH834" s="33"/>
    </row>
    <row r="835" hidden="1" outlineLevel="3">
      <c r="A835" s="16" t="b">
        <v>0</v>
      </c>
      <c r="B835" s="17"/>
      <c r="C835" s="18"/>
      <c r="D835" s="34"/>
      <c r="E835" s="43"/>
      <c r="F835" s="44"/>
      <c r="G835" s="23"/>
      <c r="H835" s="23"/>
      <c r="I835" s="23"/>
      <c r="J835" s="23"/>
      <c r="K835" s="23"/>
      <c r="L835" s="23"/>
      <c r="M835" s="23"/>
      <c r="N835" s="23"/>
      <c r="O835" s="24"/>
      <c r="P835" s="16" t="b">
        <v>0</v>
      </c>
      <c r="Q835" s="24"/>
      <c r="R835" s="50"/>
      <c r="S835" s="34"/>
      <c r="T835" s="49"/>
      <c r="U835" s="24"/>
      <c r="V835" s="38" t="s">
        <v>29</v>
      </c>
      <c r="W835" s="29" t="s">
        <v>22</v>
      </c>
      <c r="X835" s="37" t="s">
        <v>425</v>
      </c>
      <c r="Y835" s="31"/>
      <c r="Z835" s="26" t="str">
        <f t="shared" si="5"/>
        <v/>
      </c>
      <c r="AA835" s="26" t="str">
        <f t="shared" si="6"/>
        <v/>
      </c>
      <c r="AB835" s="32" t="str">
        <f t="shared" si="7"/>
        <v/>
      </c>
      <c r="AC835" s="32" t="str">
        <f t="shared" ref="AC835:AG835" si="839">IF(J835&lt;&gt;"", IF(AND($P835=FALSE, $A835=FALSE), -J835, IF(AND($P835=FALSE, $A835=TRUE), 0, IF($P835=TRUE, (J835 / $R835) * 100 * ($S835 / 100)-J835, ))), )</f>
        <v/>
      </c>
      <c r="AD835" s="32" t="str">
        <f t="shared" si="839"/>
        <v/>
      </c>
      <c r="AE835" s="32" t="str">
        <f t="shared" si="839"/>
        <v/>
      </c>
      <c r="AF835" s="32" t="str">
        <f t="shared" si="839"/>
        <v/>
      </c>
      <c r="AG835" s="32" t="str">
        <f t="shared" si="839"/>
        <v/>
      </c>
      <c r="AH835" s="33"/>
    </row>
    <row r="836" hidden="1" outlineLevel="3">
      <c r="A836" s="16" t="b">
        <v>0</v>
      </c>
      <c r="B836" s="17"/>
      <c r="C836" s="18"/>
      <c r="D836" s="34"/>
      <c r="E836" s="43"/>
      <c r="F836" s="44"/>
      <c r="G836" s="23"/>
      <c r="H836" s="23"/>
      <c r="I836" s="23"/>
      <c r="J836" s="23"/>
      <c r="K836" s="23"/>
      <c r="L836" s="23"/>
      <c r="M836" s="23"/>
      <c r="N836" s="23"/>
      <c r="O836" s="24"/>
      <c r="P836" s="16" t="b">
        <v>0</v>
      </c>
      <c r="Q836" s="24"/>
      <c r="R836" s="50"/>
      <c r="S836" s="34"/>
      <c r="T836" s="49"/>
      <c r="U836" s="24"/>
      <c r="V836" s="38" t="s">
        <v>29</v>
      </c>
      <c r="W836" s="29" t="s">
        <v>22</v>
      </c>
      <c r="X836" s="37" t="s">
        <v>620</v>
      </c>
      <c r="Y836" s="31"/>
      <c r="Z836" s="26" t="str">
        <f t="shared" si="5"/>
        <v/>
      </c>
      <c r="AA836" s="26" t="str">
        <f t="shared" si="6"/>
        <v/>
      </c>
      <c r="AB836" s="32" t="str">
        <f t="shared" si="7"/>
        <v/>
      </c>
      <c r="AC836" s="32" t="str">
        <f t="shared" ref="AC836:AG836" si="840">IF(J836&lt;&gt;"", IF(AND($P836=FALSE, $A836=FALSE), -J836, IF(AND($P836=FALSE, $A836=TRUE), 0, IF($P836=TRUE, (J836 / $R836) * 100 * ($S836 / 100)-J836, ))), )</f>
        <v/>
      </c>
      <c r="AD836" s="32" t="str">
        <f t="shared" si="840"/>
        <v/>
      </c>
      <c r="AE836" s="32" t="str">
        <f t="shared" si="840"/>
        <v/>
      </c>
      <c r="AF836" s="32" t="str">
        <f t="shared" si="840"/>
        <v/>
      </c>
      <c r="AG836" s="32" t="str">
        <f t="shared" si="840"/>
        <v/>
      </c>
      <c r="AH836" s="33"/>
    </row>
    <row r="837" hidden="1" outlineLevel="3">
      <c r="A837" s="16" t="b">
        <v>0</v>
      </c>
      <c r="B837" s="17"/>
      <c r="C837" s="18"/>
      <c r="D837" s="34"/>
      <c r="E837" s="43"/>
      <c r="F837" s="44"/>
      <c r="G837" s="23"/>
      <c r="H837" s="23"/>
      <c r="I837" s="23"/>
      <c r="J837" s="23"/>
      <c r="K837" s="23"/>
      <c r="L837" s="23"/>
      <c r="M837" s="23"/>
      <c r="N837" s="23"/>
      <c r="O837" s="24"/>
      <c r="P837" s="16" t="b">
        <v>0</v>
      </c>
      <c r="Q837" s="24"/>
      <c r="R837" s="50"/>
      <c r="S837" s="34"/>
      <c r="T837" s="49"/>
      <c r="U837" s="24"/>
      <c r="V837" s="38" t="s">
        <v>29</v>
      </c>
      <c r="W837" s="29" t="s">
        <v>22</v>
      </c>
      <c r="X837" s="37" t="s">
        <v>223</v>
      </c>
      <c r="Y837" s="31"/>
      <c r="Z837" s="26" t="str">
        <f t="shared" si="5"/>
        <v/>
      </c>
      <c r="AA837" s="26" t="str">
        <f t="shared" si="6"/>
        <v/>
      </c>
      <c r="AB837" s="32" t="str">
        <f t="shared" si="7"/>
        <v/>
      </c>
      <c r="AC837" s="32" t="str">
        <f t="shared" ref="AC837:AG837" si="841">IF(J837&lt;&gt;"", IF(AND($P837=FALSE, $A837=FALSE), -J837, IF(AND($P837=FALSE, $A837=TRUE), 0, IF($P837=TRUE, (J837 / $R837) * 100 * ($S837 / 100)-J837, ))), )</f>
        <v/>
      </c>
      <c r="AD837" s="32" t="str">
        <f t="shared" si="841"/>
        <v/>
      </c>
      <c r="AE837" s="32" t="str">
        <f t="shared" si="841"/>
        <v/>
      </c>
      <c r="AF837" s="32" t="str">
        <f t="shared" si="841"/>
        <v/>
      </c>
      <c r="AG837" s="32" t="str">
        <f t="shared" si="841"/>
        <v/>
      </c>
      <c r="AH837" s="33"/>
    </row>
    <row r="838" hidden="1" outlineLevel="2" collapsed="1">
      <c r="A838" s="16" t="b">
        <v>0</v>
      </c>
      <c r="B838" s="17"/>
      <c r="C838" s="18"/>
      <c r="D838" s="42">
        <v>45260.0</v>
      </c>
      <c r="E838" s="43" t="s">
        <v>60</v>
      </c>
      <c r="F838" s="53" t="s">
        <v>61</v>
      </c>
      <c r="G838" s="45">
        <v>2.0</v>
      </c>
      <c r="H838" s="45">
        <v>1.0</v>
      </c>
      <c r="I838" s="45">
        <v>3.0</v>
      </c>
      <c r="J838" s="46"/>
      <c r="K838" s="46"/>
      <c r="L838" s="45"/>
      <c r="M838" s="46"/>
      <c r="N838" s="46"/>
      <c r="O838" s="47"/>
      <c r="P838" s="16" t="b">
        <v>0</v>
      </c>
      <c r="Q838" s="24"/>
      <c r="R838" s="48">
        <v>6.0</v>
      </c>
      <c r="S838" s="45">
        <v>12.29</v>
      </c>
      <c r="T838" s="49" t="s">
        <v>621</v>
      </c>
      <c r="U838" s="47"/>
      <c r="V838" s="28"/>
      <c r="W838" s="29"/>
      <c r="X838" s="30"/>
      <c r="Y838" s="31"/>
      <c r="Z838" s="26">
        <f t="shared" si="5"/>
        <v>-2</v>
      </c>
      <c r="AA838" s="26">
        <f t="shared" si="6"/>
        <v>-3</v>
      </c>
      <c r="AB838" s="32">
        <f t="shared" si="7"/>
        <v>-1</v>
      </c>
      <c r="AC838" s="32" t="str">
        <f t="shared" ref="AC838:AG838" si="842">IF(J838&lt;&gt;"", IF(AND($P838=FALSE, $A838=FALSE), -J838, IF(AND($P838=FALSE, $A838=TRUE), 0, IF($P838=TRUE, (J838 / $R838) * 100 * ($S838 / 100)-J838, ))), )</f>
        <v/>
      </c>
      <c r="AD838" s="32" t="str">
        <f t="shared" si="842"/>
        <v/>
      </c>
      <c r="AE838" s="32" t="str">
        <f t="shared" si="842"/>
        <v/>
      </c>
      <c r="AF838" s="32" t="str">
        <f t="shared" si="842"/>
        <v/>
      </c>
      <c r="AG838" s="32" t="str">
        <f t="shared" si="842"/>
        <v/>
      </c>
      <c r="AH838" s="33"/>
    </row>
    <row r="839" hidden="1" outlineLevel="3">
      <c r="A839" s="16" t="b">
        <v>0</v>
      </c>
      <c r="B839" s="17"/>
      <c r="C839" s="18"/>
      <c r="D839" s="34"/>
      <c r="E839" s="43"/>
      <c r="F839" s="44"/>
      <c r="G839" s="23"/>
      <c r="H839" s="23"/>
      <c r="I839" s="23"/>
      <c r="J839" s="23"/>
      <c r="K839" s="23"/>
      <c r="L839" s="23"/>
      <c r="M839" s="23"/>
      <c r="N839" s="23"/>
      <c r="O839" s="24"/>
      <c r="P839" s="16" t="b">
        <v>0</v>
      </c>
      <c r="Q839" s="24"/>
      <c r="R839" s="50"/>
      <c r="S839" s="34"/>
      <c r="T839" s="49"/>
      <c r="U839" s="24"/>
      <c r="V839" s="38" t="s">
        <v>29</v>
      </c>
      <c r="W839" s="29" t="s">
        <v>22</v>
      </c>
      <c r="X839" s="37" t="s">
        <v>622</v>
      </c>
      <c r="Y839" s="31"/>
      <c r="Z839" s="26" t="str">
        <f t="shared" si="5"/>
        <v/>
      </c>
      <c r="AA839" s="26" t="str">
        <f t="shared" si="6"/>
        <v/>
      </c>
      <c r="AB839" s="32" t="str">
        <f t="shared" si="7"/>
        <v/>
      </c>
      <c r="AC839" s="32" t="str">
        <f t="shared" ref="AC839:AG839" si="843">IF(J839&lt;&gt;"", IF(AND($P839=FALSE, $A839=FALSE), -J839, IF(AND($P839=FALSE, $A839=TRUE), 0, IF($P839=TRUE, (J839 / $R839) * 100 * ($S839 / 100)-J839, ))), )</f>
        <v/>
      </c>
      <c r="AD839" s="32" t="str">
        <f t="shared" si="843"/>
        <v/>
      </c>
      <c r="AE839" s="32" t="str">
        <f t="shared" si="843"/>
        <v/>
      </c>
      <c r="AF839" s="32" t="str">
        <f t="shared" si="843"/>
        <v/>
      </c>
      <c r="AG839" s="32" t="str">
        <f t="shared" si="843"/>
        <v/>
      </c>
      <c r="AH839" s="33"/>
    </row>
    <row r="840" hidden="1" outlineLevel="3">
      <c r="A840" s="16" t="b">
        <v>0</v>
      </c>
      <c r="B840" s="17"/>
      <c r="C840" s="18"/>
      <c r="D840" s="34"/>
      <c r="E840" s="43"/>
      <c r="F840" s="44"/>
      <c r="G840" s="23"/>
      <c r="H840" s="23"/>
      <c r="I840" s="23"/>
      <c r="J840" s="23"/>
      <c r="K840" s="23"/>
      <c r="L840" s="23"/>
      <c r="M840" s="23"/>
      <c r="N840" s="23"/>
      <c r="O840" s="24"/>
      <c r="P840" s="16" t="b">
        <v>0</v>
      </c>
      <c r="Q840" s="24"/>
      <c r="R840" s="50"/>
      <c r="S840" s="34"/>
      <c r="T840" s="49"/>
      <c r="U840" s="24"/>
      <c r="V840" s="38" t="s">
        <v>29</v>
      </c>
      <c r="W840" s="29" t="s">
        <v>22</v>
      </c>
      <c r="X840" s="37" t="s">
        <v>623</v>
      </c>
      <c r="Y840" s="31"/>
      <c r="Z840" s="26" t="str">
        <f t="shared" si="5"/>
        <v/>
      </c>
      <c r="AA840" s="26" t="str">
        <f t="shared" si="6"/>
        <v/>
      </c>
      <c r="AB840" s="32" t="str">
        <f t="shared" si="7"/>
        <v/>
      </c>
      <c r="AC840" s="32" t="str">
        <f t="shared" ref="AC840:AG840" si="844">IF(J840&lt;&gt;"", IF(AND($P840=FALSE, $A840=FALSE), -J840, IF(AND($P840=FALSE, $A840=TRUE), 0, IF($P840=TRUE, (J840 / $R840) * 100 * ($S840 / 100)-J840, ))), )</f>
        <v/>
      </c>
      <c r="AD840" s="32" t="str">
        <f t="shared" si="844"/>
        <v/>
      </c>
      <c r="AE840" s="32" t="str">
        <f t="shared" si="844"/>
        <v/>
      </c>
      <c r="AF840" s="32" t="str">
        <f t="shared" si="844"/>
        <v/>
      </c>
      <c r="AG840" s="32" t="str">
        <f t="shared" si="844"/>
        <v/>
      </c>
      <c r="AH840" s="33"/>
    </row>
    <row r="841" hidden="1" outlineLevel="3">
      <c r="A841" s="16" t="b">
        <v>0</v>
      </c>
      <c r="B841" s="17"/>
      <c r="C841" s="18"/>
      <c r="D841" s="34"/>
      <c r="E841" s="43"/>
      <c r="F841" s="44"/>
      <c r="G841" s="23"/>
      <c r="H841" s="23"/>
      <c r="I841" s="23"/>
      <c r="J841" s="23"/>
      <c r="K841" s="23"/>
      <c r="L841" s="23"/>
      <c r="M841" s="23"/>
      <c r="N841" s="23"/>
      <c r="O841" s="24"/>
      <c r="P841" s="16" t="b">
        <v>0</v>
      </c>
      <c r="Q841" s="24"/>
      <c r="R841" s="50"/>
      <c r="S841" s="34"/>
      <c r="T841" s="49"/>
      <c r="U841" s="24"/>
      <c r="V841" s="28" t="s">
        <v>32</v>
      </c>
      <c r="W841" s="29" t="s">
        <v>22</v>
      </c>
      <c r="X841" s="37" t="s">
        <v>362</v>
      </c>
      <c r="Y841" s="31"/>
      <c r="Z841" s="26" t="str">
        <f t="shared" si="5"/>
        <v/>
      </c>
      <c r="AA841" s="26" t="str">
        <f t="shared" si="6"/>
        <v/>
      </c>
      <c r="AB841" s="32" t="str">
        <f t="shared" si="7"/>
        <v/>
      </c>
      <c r="AC841" s="32" t="str">
        <f t="shared" ref="AC841:AG841" si="845">IF(J841&lt;&gt;"", IF(AND($P841=FALSE, $A841=FALSE), -J841, IF(AND($P841=FALSE, $A841=TRUE), 0, IF($P841=TRUE, (J841 / $R841) * 100 * ($S841 / 100)-J841, ))), )</f>
        <v/>
      </c>
      <c r="AD841" s="32" t="str">
        <f t="shared" si="845"/>
        <v/>
      </c>
      <c r="AE841" s="32" t="str">
        <f t="shared" si="845"/>
        <v/>
      </c>
      <c r="AF841" s="32" t="str">
        <f t="shared" si="845"/>
        <v/>
      </c>
      <c r="AG841" s="32" t="str">
        <f t="shared" si="845"/>
        <v/>
      </c>
      <c r="AH841" s="33"/>
    </row>
    <row r="842" hidden="1" outlineLevel="3">
      <c r="A842" s="16" t="b">
        <v>0</v>
      </c>
      <c r="B842" s="17"/>
      <c r="C842" s="18"/>
      <c r="D842" s="34"/>
      <c r="E842" s="43"/>
      <c r="F842" s="44"/>
      <c r="G842" s="23"/>
      <c r="H842" s="23"/>
      <c r="I842" s="23"/>
      <c r="J842" s="23"/>
      <c r="K842" s="23"/>
      <c r="L842" s="23"/>
      <c r="M842" s="23"/>
      <c r="N842" s="23"/>
      <c r="O842" s="24"/>
      <c r="P842" s="16" t="b">
        <v>0</v>
      </c>
      <c r="Q842" s="24"/>
      <c r="R842" s="50"/>
      <c r="S842" s="34"/>
      <c r="T842" s="49"/>
      <c r="U842" s="24"/>
      <c r="V842" s="38" t="s">
        <v>29</v>
      </c>
      <c r="W842" s="29" t="s">
        <v>22</v>
      </c>
      <c r="X842" s="37" t="s">
        <v>624</v>
      </c>
      <c r="Y842" s="31"/>
      <c r="Z842" s="26" t="str">
        <f t="shared" si="5"/>
        <v/>
      </c>
      <c r="AA842" s="26" t="str">
        <f t="shared" si="6"/>
        <v/>
      </c>
      <c r="AB842" s="32" t="str">
        <f t="shared" si="7"/>
        <v/>
      </c>
      <c r="AC842" s="32" t="str">
        <f t="shared" ref="AC842:AG842" si="846">IF(J842&lt;&gt;"", IF(AND($P842=FALSE, $A842=FALSE), -J842, IF(AND($P842=FALSE, $A842=TRUE), 0, IF($P842=TRUE, (J842 / $R842) * 100 * ($S842 / 100)-J842, ))), )</f>
        <v/>
      </c>
      <c r="AD842" s="32" t="str">
        <f t="shared" si="846"/>
        <v/>
      </c>
      <c r="AE842" s="32" t="str">
        <f t="shared" si="846"/>
        <v/>
      </c>
      <c r="AF842" s="32" t="str">
        <f t="shared" si="846"/>
        <v/>
      </c>
      <c r="AG842" s="32" t="str">
        <f t="shared" si="846"/>
        <v/>
      </c>
      <c r="AH842" s="33"/>
    </row>
    <row r="843" hidden="1" outlineLevel="2" collapsed="1">
      <c r="A843" s="16" t="b">
        <v>0</v>
      </c>
      <c r="B843" s="17"/>
      <c r="C843" s="18"/>
      <c r="D843" s="42">
        <v>45260.0</v>
      </c>
      <c r="E843" s="43" t="s">
        <v>60</v>
      </c>
      <c r="F843" s="53" t="s">
        <v>61</v>
      </c>
      <c r="G843" s="45">
        <v>2.0</v>
      </c>
      <c r="H843" s="45">
        <v>1.0</v>
      </c>
      <c r="I843" s="45"/>
      <c r="J843" s="46"/>
      <c r="K843" s="46"/>
      <c r="L843" s="45"/>
      <c r="M843" s="46"/>
      <c r="N843" s="46"/>
      <c r="O843" s="47"/>
      <c r="P843" s="16" t="b">
        <v>0</v>
      </c>
      <c r="Q843" s="24"/>
      <c r="R843" s="48">
        <v>3.0</v>
      </c>
      <c r="S843" s="45">
        <v>7.24</v>
      </c>
      <c r="T843" s="49" t="s">
        <v>625</v>
      </c>
      <c r="U843" s="47"/>
      <c r="V843" s="28"/>
      <c r="W843" s="29"/>
      <c r="X843" s="30"/>
      <c r="Y843" s="31"/>
      <c r="Z843" s="26">
        <f t="shared" si="5"/>
        <v>-2</v>
      </c>
      <c r="AA843" s="26" t="str">
        <f t="shared" si="6"/>
        <v/>
      </c>
      <c r="AB843" s="32">
        <f t="shared" si="7"/>
        <v>-1</v>
      </c>
      <c r="AC843" s="32" t="str">
        <f t="shared" ref="AC843:AG843" si="847">IF(J843&lt;&gt;"", IF(AND($P843=FALSE, $A843=FALSE), -J843, IF(AND($P843=FALSE, $A843=TRUE), 0, IF($P843=TRUE, (J843 / $R843) * 100 * ($S843 / 100)-J843, ))), )</f>
        <v/>
      </c>
      <c r="AD843" s="32" t="str">
        <f t="shared" si="847"/>
        <v/>
      </c>
      <c r="AE843" s="32" t="str">
        <f t="shared" si="847"/>
        <v/>
      </c>
      <c r="AF843" s="32" t="str">
        <f t="shared" si="847"/>
        <v/>
      </c>
      <c r="AG843" s="32" t="str">
        <f t="shared" si="847"/>
        <v/>
      </c>
      <c r="AH843" s="33"/>
    </row>
    <row r="844" hidden="1" outlineLevel="3">
      <c r="A844" s="16" t="b">
        <v>0</v>
      </c>
      <c r="B844" s="17"/>
      <c r="C844" s="18"/>
      <c r="D844" s="34"/>
      <c r="E844" s="43"/>
      <c r="F844" s="44"/>
      <c r="G844" s="23"/>
      <c r="H844" s="23"/>
      <c r="I844" s="23"/>
      <c r="J844" s="23"/>
      <c r="K844" s="23"/>
      <c r="L844" s="23"/>
      <c r="M844" s="23"/>
      <c r="N844" s="23"/>
      <c r="O844" s="24"/>
      <c r="P844" s="16" t="b">
        <v>0</v>
      </c>
      <c r="Q844" s="24"/>
      <c r="R844" s="50"/>
      <c r="S844" s="34"/>
      <c r="T844" s="49"/>
      <c r="U844" s="24"/>
      <c r="V844" s="38" t="s">
        <v>29</v>
      </c>
      <c r="W844" s="29" t="s">
        <v>22</v>
      </c>
      <c r="X844" s="37" t="s">
        <v>195</v>
      </c>
      <c r="Y844" s="31"/>
      <c r="Z844" s="26" t="str">
        <f t="shared" si="5"/>
        <v/>
      </c>
      <c r="AA844" s="26" t="str">
        <f t="shared" si="6"/>
        <v/>
      </c>
      <c r="AB844" s="32" t="str">
        <f t="shared" si="7"/>
        <v/>
      </c>
      <c r="AC844" s="32" t="str">
        <f t="shared" ref="AC844:AG844" si="848">IF(J844&lt;&gt;"", IF(AND($P844=FALSE, $A844=FALSE), -J844, IF(AND($P844=FALSE, $A844=TRUE), 0, IF($P844=TRUE, (J844 / $R844) * 100 * ($S844 / 100)-J844, ))), )</f>
        <v/>
      </c>
      <c r="AD844" s="32" t="str">
        <f t="shared" si="848"/>
        <v/>
      </c>
      <c r="AE844" s="32" t="str">
        <f t="shared" si="848"/>
        <v/>
      </c>
      <c r="AF844" s="32" t="str">
        <f t="shared" si="848"/>
        <v/>
      </c>
      <c r="AG844" s="32" t="str">
        <f t="shared" si="848"/>
        <v/>
      </c>
      <c r="AH844" s="33"/>
    </row>
    <row r="845" hidden="1" outlineLevel="3">
      <c r="A845" s="16" t="b">
        <v>0</v>
      </c>
      <c r="B845" s="17"/>
      <c r="C845" s="18"/>
      <c r="D845" s="34"/>
      <c r="E845" s="43"/>
      <c r="F845" s="44"/>
      <c r="G845" s="23"/>
      <c r="H845" s="23"/>
      <c r="I845" s="23"/>
      <c r="J845" s="23"/>
      <c r="K845" s="23"/>
      <c r="L845" s="23"/>
      <c r="M845" s="23"/>
      <c r="N845" s="23"/>
      <c r="O845" s="24"/>
      <c r="P845" s="16" t="b">
        <v>0</v>
      </c>
      <c r="Q845" s="24"/>
      <c r="R845" s="50"/>
      <c r="S845" s="34"/>
      <c r="T845" s="49"/>
      <c r="U845" s="24"/>
      <c r="V845" s="38" t="s">
        <v>29</v>
      </c>
      <c r="W845" s="29" t="s">
        <v>22</v>
      </c>
      <c r="X845" s="37" t="s">
        <v>197</v>
      </c>
      <c r="Y845" s="31"/>
      <c r="Z845" s="26" t="str">
        <f t="shared" si="5"/>
        <v/>
      </c>
      <c r="AA845" s="26" t="str">
        <f t="shared" si="6"/>
        <v/>
      </c>
      <c r="AB845" s="32" t="str">
        <f t="shared" si="7"/>
        <v/>
      </c>
      <c r="AC845" s="32" t="str">
        <f t="shared" ref="AC845:AG845" si="849">IF(J845&lt;&gt;"", IF(AND($P845=FALSE, $A845=FALSE), -J845, IF(AND($P845=FALSE, $A845=TRUE), 0, IF($P845=TRUE, (J845 / $R845) * 100 * ($S845 / 100)-J845, ))), )</f>
        <v/>
      </c>
      <c r="AD845" s="32" t="str">
        <f t="shared" si="849"/>
        <v/>
      </c>
      <c r="AE845" s="32" t="str">
        <f t="shared" si="849"/>
        <v/>
      </c>
      <c r="AF845" s="32" t="str">
        <f t="shared" si="849"/>
        <v/>
      </c>
      <c r="AG845" s="32" t="str">
        <f t="shared" si="849"/>
        <v/>
      </c>
      <c r="AH845" s="33"/>
    </row>
    <row r="846" hidden="1" outlineLevel="3">
      <c r="A846" s="16" t="b">
        <v>0</v>
      </c>
      <c r="B846" s="17"/>
      <c r="C846" s="18"/>
      <c r="D846" s="34"/>
      <c r="E846" s="43"/>
      <c r="F846" s="44"/>
      <c r="G846" s="23"/>
      <c r="H846" s="23"/>
      <c r="I846" s="23"/>
      <c r="J846" s="23"/>
      <c r="K846" s="23"/>
      <c r="L846" s="23"/>
      <c r="M846" s="23"/>
      <c r="N846" s="23"/>
      <c r="O846" s="24"/>
      <c r="P846" s="16" t="b">
        <v>0</v>
      </c>
      <c r="Q846" s="24"/>
      <c r="R846" s="50"/>
      <c r="S846" s="34"/>
      <c r="T846" s="49"/>
      <c r="U846" s="24"/>
      <c r="V846" s="28" t="s">
        <v>32</v>
      </c>
      <c r="W846" s="29" t="s">
        <v>22</v>
      </c>
      <c r="X846" s="37" t="s">
        <v>626</v>
      </c>
      <c r="Y846" s="31"/>
      <c r="Z846" s="26" t="str">
        <f t="shared" si="5"/>
        <v/>
      </c>
      <c r="AA846" s="26" t="str">
        <f t="shared" si="6"/>
        <v/>
      </c>
      <c r="AB846" s="32" t="str">
        <f t="shared" si="7"/>
        <v/>
      </c>
      <c r="AC846" s="32" t="str">
        <f t="shared" ref="AC846:AG846" si="850">IF(J846&lt;&gt;"", IF(AND($P846=FALSE, $A846=FALSE), -J846, IF(AND($P846=FALSE, $A846=TRUE), 0, IF($P846=TRUE, (J846 / $R846) * 100 * ($S846 / 100)-J846, ))), )</f>
        <v/>
      </c>
      <c r="AD846" s="32" t="str">
        <f t="shared" si="850"/>
        <v/>
      </c>
      <c r="AE846" s="32" t="str">
        <f t="shared" si="850"/>
        <v/>
      </c>
      <c r="AF846" s="32" t="str">
        <f t="shared" si="850"/>
        <v/>
      </c>
      <c r="AG846" s="32" t="str">
        <f t="shared" si="850"/>
        <v/>
      </c>
      <c r="AH846" s="33"/>
    </row>
    <row r="847" hidden="1" outlineLevel="3">
      <c r="A847" s="16" t="b">
        <v>0</v>
      </c>
      <c r="B847" s="17"/>
      <c r="C847" s="18"/>
      <c r="D847" s="34"/>
      <c r="E847" s="43"/>
      <c r="F847" s="44"/>
      <c r="G847" s="23"/>
      <c r="H847" s="23"/>
      <c r="I847" s="23"/>
      <c r="J847" s="23"/>
      <c r="K847" s="23"/>
      <c r="L847" s="23"/>
      <c r="M847" s="23"/>
      <c r="N847" s="23"/>
      <c r="O847" s="24"/>
      <c r="P847" s="16" t="b">
        <v>0</v>
      </c>
      <c r="Q847" s="24"/>
      <c r="R847" s="50"/>
      <c r="S847" s="34"/>
      <c r="T847" s="49"/>
      <c r="U847" s="24"/>
      <c r="V847" s="38" t="s">
        <v>29</v>
      </c>
      <c r="W847" s="29" t="s">
        <v>22</v>
      </c>
      <c r="X847" s="37" t="s">
        <v>219</v>
      </c>
      <c r="Y847" s="31"/>
      <c r="Z847" s="26" t="str">
        <f t="shared" si="5"/>
        <v/>
      </c>
      <c r="AA847" s="26" t="str">
        <f t="shared" si="6"/>
        <v/>
      </c>
      <c r="AB847" s="32" t="str">
        <f t="shared" si="7"/>
        <v/>
      </c>
      <c r="AC847" s="32" t="str">
        <f t="shared" ref="AC847:AG847" si="851">IF(J847&lt;&gt;"", IF(AND($P847=FALSE, $A847=FALSE), -J847, IF(AND($P847=FALSE, $A847=TRUE), 0, IF($P847=TRUE, (J847 / $R847) * 100 * ($S847 / 100)-J847, ))), )</f>
        <v/>
      </c>
      <c r="AD847" s="32" t="str">
        <f t="shared" si="851"/>
        <v/>
      </c>
      <c r="AE847" s="32" t="str">
        <f t="shared" si="851"/>
        <v/>
      </c>
      <c r="AF847" s="32" t="str">
        <f t="shared" si="851"/>
        <v/>
      </c>
      <c r="AG847" s="32" t="str">
        <f t="shared" si="851"/>
        <v/>
      </c>
      <c r="AH847" s="33"/>
    </row>
    <row r="848" hidden="1" outlineLevel="2" collapsed="1">
      <c r="A848" s="16" t="b">
        <v>0</v>
      </c>
      <c r="B848" s="17"/>
      <c r="C848" s="18"/>
      <c r="D848" s="42">
        <v>45260.0</v>
      </c>
      <c r="E848" s="43" t="s">
        <v>60</v>
      </c>
      <c r="F848" s="53" t="s">
        <v>61</v>
      </c>
      <c r="G848" s="45">
        <v>2.0</v>
      </c>
      <c r="H848" s="45">
        <v>1.0</v>
      </c>
      <c r="I848" s="45">
        <v>3.0</v>
      </c>
      <c r="J848" s="46"/>
      <c r="K848" s="46"/>
      <c r="L848" s="45"/>
      <c r="M848" s="46"/>
      <c r="N848" s="46"/>
      <c r="O848" s="47"/>
      <c r="P848" s="16" t="b">
        <v>1</v>
      </c>
      <c r="Q848" s="24"/>
      <c r="R848" s="48">
        <v>6.0</v>
      </c>
      <c r="S848" s="45">
        <v>12.26</v>
      </c>
      <c r="T848" s="49" t="s">
        <v>132</v>
      </c>
      <c r="U848" s="47"/>
      <c r="V848" s="28"/>
      <c r="W848" s="29"/>
      <c r="X848" s="30"/>
      <c r="Y848" s="31"/>
      <c r="Z848" s="26">
        <f t="shared" si="5"/>
        <v>2.086666667</v>
      </c>
      <c r="AA848" s="26">
        <f t="shared" si="6"/>
        <v>3.13</v>
      </c>
      <c r="AB848" s="32">
        <f t="shared" si="7"/>
        <v>1.043333333</v>
      </c>
      <c r="AC848" s="32" t="str">
        <f t="shared" ref="AC848:AG848" si="852">IF(J848&lt;&gt;"", IF(AND($P848=FALSE, $A848=FALSE), -J848, IF(AND($P848=FALSE, $A848=TRUE), 0, IF($P848=TRUE, (J848 / $R848) * 100 * ($S848 / 100)-J848, ))), )</f>
        <v/>
      </c>
      <c r="AD848" s="32" t="str">
        <f t="shared" si="852"/>
        <v/>
      </c>
      <c r="AE848" s="32" t="str">
        <f t="shared" si="852"/>
        <v/>
      </c>
      <c r="AF848" s="32" t="str">
        <f t="shared" si="852"/>
        <v/>
      </c>
      <c r="AG848" s="32" t="str">
        <f t="shared" si="852"/>
        <v/>
      </c>
      <c r="AH848" s="33"/>
    </row>
    <row r="849" hidden="1" outlineLevel="3">
      <c r="A849" s="16" t="b">
        <v>0</v>
      </c>
      <c r="B849" s="17"/>
      <c r="C849" s="18"/>
      <c r="D849" s="34"/>
      <c r="E849" s="43"/>
      <c r="F849" s="44"/>
      <c r="G849" s="23"/>
      <c r="H849" s="23"/>
      <c r="I849" s="23"/>
      <c r="J849" s="23"/>
      <c r="K849" s="23"/>
      <c r="L849" s="23"/>
      <c r="M849" s="23"/>
      <c r="N849" s="23"/>
      <c r="O849" s="24"/>
      <c r="P849" s="16" t="b">
        <v>0</v>
      </c>
      <c r="Q849" s="24"/>
      <c r="R849" s="50"/>
      <c r="S849" s="34"/>
      <c r="T849" s="49"/>
      <c r="U849" s="24"/>
      <c r="V849" s="38" t="s">
        <v>29</v>
      </c>
      <c r="W849" s="29" t="s">
        <v>22</v>
      </c>
      <c r="X849" s="37" t="s">
        <v>627</v>
      </c>
      <c r="Y849" s="31"/>
      <c r="Z849" s="26" t="str">
        <f t="shared" si="5"/>
        <v/>
      </c>
      <c r="AA849" s="26" t="str">
        <f t="shared" si="6"/>
        <v/>
      </c>
      <c r="AB849" s="32" t="str">
        <f t="shared" si="7"/>
        <v/>
      </c>
      <c r="AC849" s="32" t="str">
        <f t="shared" ref="AC849:AG849" si="853">IF(J849&lt;&gt;"", IF(AND($P849=FALSE, $A849=FALSE), -J849, IF(AND($P849=FALSE, $A849=TRUE), 0, IF($P849=TRUE, (J849 / $R849) * 100 * ($S849 / 100)-J849, ))), )</f>
        <v/>
      </c>
      <c r="AD849" s="32" t="str">
        <f t="shared" si="853"/>
        <v/>
      </c>
      <c r="AE849" s="32" t="str">
        <f t="shared" si="853"/>
        <v/>
      </c>
      <c r="AF849" s="32" t="str">
        <f t="shared" si="853"/>
        <v/>
      </c>
      <c r="AG849" s="32" t="str">
        <f t="shared" si="853"/>
        <v/>
      </c>
      <c r="AH849" s="33"/>
    </row>
    <row r="850" hidden="1" outlineLevel="3">
      <c r="A850" s="16" t="b">
        <v>0</v>
      </c>
      <c r="B850" s="17"/>
      <c r="C850" s="18"/>
      <c r="D850" s="34"/>
      <c r="E850" s="43"/>
      <c r="F850" s="44"/>
      <c r="G850" s="23"/>
      <c r="H850" s="23"/>
      <c r="I850" s="23"/>
      <c r="J850" s="23"/>
      <c r="K850" s="23"/>
      <c r="L850" s="23"/>
      <c r="M850" s="23"/>
      <c r="N850" s="23"/>
      <c r="O850" s="24"/>
      <c r="P850" s="16" t="b">
        <v>0</v>
      </c>
      <c r="Q850" s="24"/>
      <c r="R850" s="50"/>
      <c r="S850" s="34"/>
      <c r="T850" s="49"/>
      <c r="U850" s="24"/>
      <c r="V850" s="38" t="s">
        <v>29</v>
      </c>
      <c r="W850" s="29" t="s">
        <v>22</v>
      </c>
      <c r="X850" s="37" t="s">
        <v>273</v>
      </c>
      <c r="Y850" s="31"/>
      <c r="Z850" s="26" t="str">
        <f t="shared" si="5"/>
        <v/>
      </c>
      <c r="AA850" s="26" t="str">
        <f t="shared" si="6"/>
        <v/>
      </c>
      <c r="AB850" s="32" t="str">
        <f t="shared" si="7"/>
        <v/>
      </c>
      <c r="AC850" s="32" t="str">
        <f t="shared" ref="AC850:AG850" si="854">IF(J850&lt;&gt;"", IF(AND($P850=FALSE, $A850=FALSE), -J850, IF(AND($P850=FALSE, $A850=TRUE), 0, IF($P850=TRUE, (J850 / $R850) * 100 * ($S850 / 100)-J850, ))), )</f>
        <v/>
      </c>
      <c r="AD850" s="32" t="str">
        <f t="shared" si="854"/>
        <v/>
      </c>
      <c r="AE850" s="32" t="str">
        <f t="shared" si="854"/>
        <v/>
      </c>
      <c r="AF850" s="32" t="str">
        <f t="shared" si="854"/>
        <v/>
      </c>
      <c r="AG850" s="32" t="str">
        <f t="shared" si="854"/>
        <v/>
      </c>
      <c r="AH850" s="33"/>
    </row>
    <row r="851" hidden="1" outlineLevel="3">
      <c r="A851" s="16" t="b">
        <v>0</v>
      </c>
      <c r="B851" s="17"/>
      <c r="C851" s="18"/>
      <c r="D851" s="34"/>
      <c r="E851" s="43"/>
      <c r="F851" s="44"/>
      <c r="G851" s="23"/>
      <c r="H851" s="23"/>
      <c r="I851" s="23"/>
      <c r="J851" s="23"/>
      <c r="K851" s="23"/>
      <c r="L851" s="23"/>
      <c r="M851" s="23"/>
      <c r="N851" s="23"/>
      <c r="O851" s="24"/>
      <c r="P851" s="16" t="b">
        <v>0</v>
      </c>
      <c r="Q851" s="24"/>
      <c r="R851" s="50"/>
      <c r="S851" s="34"/>
      <c r="T851" s="49"/>
      <c r="U851" s="24"/>
      <c r="V851" s="38" t="s">
        <v>29</v>
      </c>
      <c r="W851" s="29" t="s">
        <v>22</v>
      </c>
      <c r="X851" s="37" t="s">
        <v>628</v>
      </c>
      <c r="Y851" s="31"/>
      <c r="Z851" s="26" t="str">
        <f t="shared" si="5"/>
        <v/>
      </c>
      <c r="AA851" s="26" t="str">
        <f t="shared" si="6"/>
        <v/>
      </c>
      <c r="AB851" s="32" t="str">
        <f t="shared" si="7"/>
        <v/>
      </c>
      <c r="AC851" s="32" t="str">
        <f t="shared" ref="AC851:AG851" si="855">IF(J851&lt;&gt;"", IF(AND($P851=FALSE, $A851=FALSE), -J851, IF(AND($P851=FALSE, $A851=TRUE), 0, IF($P851=TRUE, (J851 / $R851) * 100 * ($S851 / 100)-J851, ))), )</f>
        <v/>
      </c>
      <c r="AD851" s="32" t="str">
        <f t="shared" si="855"/>
        <v/>
      </c>
      <c r="AE851" s="32" t="str">
        <f t="shared" si="855"/>
        <v/>
      </c>
      <c r="AF851" s="32" t="str">
        <f t="shared" si="855"/>
        <v/>
      </c>
      <c r="AG851" s="32" t="str">
        <f t="shared" si="855"/>
        <v/>
      </c>
      <c r="AH851" s="33"/>
    </row>
    <row r="852" hidden="1" outlineLevel="2">
      <c r="A852" s="16" t="b">
        <v>0</v>
      </c>
      <c r="B852" s="17"/>
      <c r="C852" s="18"/>
      <c r="D852" s="42">
        <v>45260.0</v>
      </c>
      <c r="E852" s="43" t="s">
        <v>60</v>
      </c>
      <c r="F852" s="53" t="s">
        <v>61</v>
      </c>
      <c r="G852" s="45">
        <v>2.0</v>
      </c>
      <c r="H852" s="45">
        <v>1.0</v>
      </c>
      <c r="I852" s="45"/>
      <c r="J852" s="46"/>
      <c r="K852" s="46"/>
      <c r="L852" s="45"/>
      <c r="M852" s="46"/>
      <c r="N852" s="46"/>
      <c r="O852" s="47"/>
      <c r="P852" s="16" t="b">
        <v>1</v>
      </c>
      <c r="Q852" s="24"/>
      <c r="R852" s="48">
        <v>3.0</v>
      </c>
      <c r="S852" s="45">
        <v>7.61</v>
      </c>
      <c r="T852" s="49" t="s">
        <v>316</v>
      </c>
      <c r="U852" s="47"/>
      <c r="V852" s="28"/>
      <c r="W852" s="29"/>
      <c r="X852" s="30"/>
      <c r="Y852" s="31"/>
      <c r="Z852" s="26">
        <f t="shared" si="5"/>
        <v>3.073333333</v>
      </c>
      <c r="AA852" s="26" t="str">
        <f t="shared" si="6"/>
        <v/>
      </c>
      <c r="AB852" s="32">
        <f t="shared" si="7"/>
        <v>1.536666667</v>
      </c>
      <c r="AC852" s="32" t="str">
        <f t="shared" ref="AC852:AG852" si="856">IF(J852&lt;&gt;"", IF(AND($P852=FALSE, $A852=FALSE), -J852, IF(AND($P852=FALSE, $A852=TRUE), 0, IF($P852=TRUE, (J852 / $R852) * 100 * ($S852 / 100)-J852, ))), )</f>
        <v/>
      </c>
      <c r="AD852" s="32" t="str">
        <f t="shared" si="856"/>
        <v/>
      </c>
      <c r="AE852" s="32" t="str">
        <f t="shared" si="856"/>
        <v/>
      </c>
      <c r="AF852" s="32" t="str">
        <f t="shared" si="856"/>
        <v/>
      </c>
      <c r="AG852" s="32" t="str">
        <f t="shared" si="856"/>
        <v/>
      </c>
      <c r="AH852" s="33"/>
    </row>
    <row r="853" hidden="1" outlineLevel="3">
      <c r="A853" s="16" t="b">
        <v>0</v>
      </c>
      <c r="B853" s="17"/>
      <c r="C853" s="18"/>
      <c r="D853" s="34"/>
      <c r="E853" s="43"/>
      <c r="F853" s="44"/>
      <c r="G853" s="23"/>
      <c r="H853" s="23"/>
      <c r="I853" s="23"/>
      <c r="J853" s="23"/>
      <c r="K853" s="23"/>
      <c r="L853" s="23"/>
      <c r="M853" s="23"/>
      <c r="N853" s="23"/>
      <c r="O853" s="24"/>
      <c r="P853" s="16" t="b">
        <v>0</v>
      </c>
      <c r="Q853" s="24"/>
      <c r="R853" s="50"/>
      <c r="S853" s="34"/>
      <c r="T853" s="49"/>
      <c r="U853" s="24"/>
      <c r="V853" s="38" t="s">
        <v>29</v>
      </c>
      <c r="W853" s="29" t="s">
        <v>22</v>
      </c>
      <c r="X853" s="37" t="s">
        <v>191</v>
      </c>
      <c r="Y853" s="31"/>
      <c r="Z853" s="26" t="str">
        <f t="shared" si="5"/>
        <v/>
      </c>
      <c r="AA853" s="26" t="str">
        <f t="shared" si="6"/>
        <v/>
      </c>
      <c r="AB853" s="32" t="str">
        <f t="shared" si="7"/>
        <v/>
      </c>
      <c r="AC853" s="32" t="str">
        <f t="shared" ref="AC853:AG853" si="857">IF(J853&lt;&gt;"", IF(AND($P853=FALSE, $A853=FALSE), -J853, IF(AND($P853=FALSE, $A853=TRUE), 0, IF($P853=TRUE, (J853 / $R853) * 100 * ($S853 / 100)-J853, ))), )</f>
        <v/>
      </c>
      <c r="AD853" s="32" t="str">
        <f t="shared" si="857"/>
        <v/>
      </c>
      <c r="AE853" s="32" t="str">
        <f t="shared" si="857"/>
        <v/>
      </c>
      <c r="AF853" s="32" t="str">
        <f t="shared" si="857"/>
        <v/>
      </c>
      <c r="AG853" s="32" t="str">
        <f t="shared" si="857"/>
        <v/>
      </c>
      <c r="AH853" s="33"/>
    </row>
    <row r="854" hidden="1" outlineLevel="3">
      <c r="A854" s="16" t="b">
        <v>0</v>
      </c>
      <c r="B854" s="17"/>
      <c r="C854" s="18"/>
      <c r="D854" s="34"/>
      <c r="E854" s="43"/>
      <c r="F854" s="44"/>
      <c r="G854" s="23"/>
      <c r="H854" s="23"/>
      <c r="I854" s="23"/>
      <c r="J854" s="23"/>
      <c r="K854" s="23"/>
      <c r="L854" s="23"/>
      <c r="M854" s="23"/>
      <c r="N854" s="23"/>
      <c r="O854" s="24"/>
      <c r="P854" s="16" t="b">
        <v>0</v>
      </c>
      <c r="Q854" s="24"/>
      <c r="R854" s="50"/>
      <c r="S854" s="34"/>
      <c r="T854" s="49"/>
      <c r="U854" s="24"/>
      <c r="V854" s="38" t="s">
        <v>29</v>
      </c>
      <c r="W854" s="29" t="s">
        <v>22</v>
      </c>
      <c r="X854" s="37" t="s">
        <v>189</v>
      </c>
      <c r="Y854" s="31"/>
      <c r="Z854" s="26" t="str">
        <f t="shared" si="5"/>
        <v/>
      </c>
      <c r="AA854" s="26" t="str">
        <f t="shared" si="6"/>
        <v/>
      </c>
      <c r="AB854" s="32" t="str">
        <f t="shared" si="7"/>
        <v/>
      </c>
      <c r="AC854" s="32" t="str">
        <f t="shared" ref="AC854:AG854" si="858">IF(J854&lt;&gt;"", IF(AND($P854=FALSE, $A854=FALSE), -J854, IF(AND($P854=FALSE, $A854=TRUE), 0, IF($P854=TRUE, (J854 / $R854) * 100 * ($S854 / 100)-J854, ))), )</f>
        <v/>
      </c>
      <c r="AD854" s="32" t="str">
        <f t="shared" si="858"/>
        <v/>
      </c>
      <c r="AE854" s="32" t="str">
        <f t="shared" si="858"/>
        <v/>
      </c>
      <c r="AF854" s="32" t="str">
        <f t="shared" si="858"/>
        <v/>
      </c>
      <c r="AG854" s="32" t="str">
        <f t="shared" si="858"/>
        <v/>
      </c>
      <c r="AH854" s="33"/>
    </row>
    <row r="855" hidden="1" outlineLevel="3">
      <c r="A855" s="16" t="b">
        <v>0</v>
      </c>
      <c r="B855" s="17"/>
      <c r="C855" s="18"/>
      <c r="D855" s="34"/>
      <c r="E855" s="43"/>
      <c r="F855" s="44"/>
      <c r="G855" s="23"/>
      <c r="H855" s="23"/>
      <c r="I855" s="23"/>
      <c r="J855" s="23"/>
      <c r="K855" s="23"/>
      <c r="L855" s="23"/>
      <c r="M855" s="23"/>
      <c r="N855" s="23"/>
      <c r="O855" s="24"/>
      <c r="P855" s="16" t="b">
        <v>0</v>
      </c>
      <c r="Q855" s="24"/>
      <c r="R855" s="50"/>
      <c r="S855" s="34"/>
      <c r="T855" s="49"/>
      <c r="U855" s="24"/>
      <c r="V855" s="38" t="s">
        <v>29</v>
      </c>
      <c r="W855" s="29" t="s">
        <v>22</v>
      </c>
      <c r="X855" s="37" t="s">
        <v>574</v>
      </c>
      <c r="Y855" s="31"/>
      <c r="Z855" s="26" t="str">
        <f t="shared" si="5"/>
        <v/>
      </c>
      <c r="AA855" s="26" t="str">
        <f t="shared" si="6"/>
        <v/>
      </c>
      <c r="AB855" s="32" t="str">
        <f t="shared" si="7"/>
        <v/>
      </c>
      <c r="AC855" s="32" t="str">
        <f t="shared" ref="AC855:AG855" si="859">IF(J855&lt;&gt;"", IF(AND($P855=FALSE, $A855=FALSE), -J855, IF(AND($P855=FALSE, $A855=TRUE), 0, IF($P855=TRUE, (J855 / $R855) * 100 * ($S855 / 100)-J855, ))), )</f>
        <v/>
      </c>
      <c r="AD855" s="32" t="str">
        <f t="shared" si="859"/>
        <v/>
      </c>
      <c r="AE855" s="32" t="str">
        <f t="shared" si="859"/>
        <v/>
      </c>
      <c r="AF855" s="32" t="str">
        <f t="shared" si="859"/>
        <v/>
      </c>
      <c r="AG855" s="32" t="str">
        <f t="shared" si="859"/>
        <v/>
      </c>
      <c r="AH855" s="33"/>
    </row>
    <row r="856" hidden="1" outlineLevel="3">
      <c r="A856" s="16" t="b">
        <v>0</v>
      </c>
      <c r="B856" s="17"/>
      <c r="C856" s="18"/>
      <c r="D856" s="34"/>
      <c r="E856" s="43"/>
      <c r="F856" s="44"/>
      <c r="G856" s="23"/>
      <c r="H856" s="23"/>
      <c r="I856" s="23"/>
      <c r="J856" s="23"/>
      <c r="K856" s="23"/>
      <c r="L856" s="23"/>
      <c r="M856" s="23"/>
      <c r="N856" s="23"/>
      <c r="O856" s="24"/>
      <c r="P856" s="16" t="b">
        <v>0</v>
      </c>
      <c r="Q856" s="24"/>
      <c r="R856" s="50"/>
      <c r="S856" s="34"/>
      <c r="T856" s="49"/>
      <c r="U856" s="24"/>
      <c r="V856" s="38" t="s">
        <v>29</v>
      </c>
      <c r="W856" s="29" t="s">
        <v>22</v>
      </c>
      <c r="X856" s="37" t="s">
        <v>629</v>
      </c>
      <c r="Y856" s="31"/>
      <c r="Z856" s="26" t="str">
        <f t="shared" si="5"/>
        <v/>
      </c>
      <c r="AA856" s="26" t="str">
        <f t="shared" si="6"/>
        <v/>
      </c>
      <c r="AB856" s="32" t="str">
        <f t="shared" si="7"/>
        <v/>
      </c>
      <c r="AC856" s="32" t="str">
        <f t="shared" ref="AC856:AG856" si="860">IF(J856&lt;&gt;"", IF(AND($P856=FALSE, $A856=FALSE), -J856, IF(AND($P856=FALSE, $A856=TRUE), 0, IF($P856=TRUE, (J856 / $R856) * 100 * ($S856 / 100)-J856, ))), )</f>
        <v/>
      </c>
      <c r="AD856" s="32" t="str">
        <f t="shared" si="860"/>
        <v/>
      </c>
      <c r="AE856" s="32" t="str">
        <f t="shared" si="860"/>
        <v/>
      </c>
      <c r="AF856" s="32" t="str">
        <f t="shared" si="860"/>
        <v/>
      </c>
      <c r="AG856" s="32" t="str">
        <f t="shared" si="860"/>
        <v/>
      </c>
      <c r="AH856" s="33"/>
    </row>
    <row r="857" hidden="1" outlineLevel="1" collapsed="1">
      <c r="A857" s="16" t="b">
        <v>0</v>
      </c>
      <c r="B857" s="17"/>
      <c r="C857" s="18"/>
      <c r="D857" s="42">
        <v>45261.0</v>
      </c>
      <c r="E857" s="43" t="s">
        <v>60</v>
      </c>
      <c r="F857" s="53" t="s">
        <v>630</v>
      </c>
      <c r="G857" s="45">
        <v>2.0</v>
      </c>
      <c r="H857" s="45">
        <v>1.0</v>
      </c>
      <c r="I857" s="45">
        <v>4.0</v>
      </c>
      <c r="J857" s="46"/>
      <c r="K857" s="46"/>
      <c r="L857" s="45"/>
      <c r="M857" s="46"/>
      <c r="N857" s="46"/>
      <c r="O857" s="47"/>
      <c r="P857" s="16" t="b">
        <v>1</v>
      </c>
      <c r="Q857" s="24"/>
      <c r="R857" s="48">
        <v>7.0</v>
      </c>
      <c r="S857" s="45">
        <v>14.42</v>
      </c>
      <c r="T857" s="49" t="s">
        <v>631</v>
      </c>
      <c r="U857" s="47"/>
      <c r="V857" s="28"/>
      <c r="W857" s="29"/>
      <c r="X857" s="30"/>
      <c r="Y857" s="31"/>
      <c r="Z857" s="26">
        <f t="shared" si="5"/>
        <v>2.12</v>
      </c>
      <c r="AA857" s="26">
        <f t="shared" si="6"/>
        <v>4.24</v>
      </c>
      <c r="AB857" s="32">
        <f t="shared" si="7"/>
        <v>1.06</v>
      </c>
      <c r="AC857" s="32" t="str">
        <f t="shared" ref="AC857:AG857" si="861">IF(J857&lt;&gt;"", IF(AND($P857=FALSE, $A857=FALSE), -J857, IF(AND($P857=FALSE, $A857=TRUE), 0, IF($P857=TRUE, (J857 / $R857) * 100 * ($S857 / 100)-J857, ))), )</f>
        <v/>
      </c>
      <c r="AD857" s="32" t="str">
        <f t="shared" si="861"/>
        <v/>
      </c>
      <c r="AE857" s="32" t="str">
        <f t="shared" si="861"/>
        <v/>
      </c>
      <c r="AF857" s="32" t="str">
        <f t="shared" si="861"/>
        <v/>
      </c>
      <c r="AG857" s="32" t="str">
        <f t="shared" si="861"/>
        <v/>
      </c>
      <c r="AH857" s="33"/>
    </row>
    <row r="858" hidden="1" outlineLevel="3">
      <c r="A858" s="16" t="b">
        <v>0</v>
      </c>
      <c r="B858" s="17"/>
      <c r="C858" s="18"/>
      <c r="D858" s="34"/>
      <c r="E858" s="43"/>
      <c r="F858" s="44"/>
      <c r="G858" s="23"/>
      <c r="H858" s="23"/>
      <c r="I858" s="23"/>
      <c r="J858" s="23"/>
      <c r="K858" s="23"/>
      <c r="L858" s="23"/>
      <c r="M858" s="23"/>
      <c r="N858" s="23"/>
      <c r="O858" s="24"/>
      <c r="P858" s="16" t="b">
        <v>0</v>
      </c>
      <c r="Q858" s="24"/>
      <c r="R858" s="50"/>
      <c r="S858" s="34"/>
      <c r="T858" s="49"/>
      <c r="U858" s="24"/>
      <c r="V858" s="38" t="s">
        <v>29</v>
      </c>
      <c r="W858" s="29" t="s">
        <v>22</v>
      </c>
      <c r="X858" s="37" t="s">
        <v>572</v>
      </c>
      <c r="Y858" s="31"/>
      <c r="Z858" s="26" t="str">
        <f t="shared" si="5"/>
        <v/>
      </c>
      <c r="AA858" s="26" t="str">
        <f t="shared" si="6"/>
        <v/>
      </c>
      <c r="AB858" s="32" t="str">
        <f t="shared" si="7"/>
        <v/>
      </c>
      <c r="AC858" s="32" t="str">
        <f t="shared" ref="AC858:AG858" si="862">IF(J858&lt;&gt;"", IF(AND($P858=FALSE, $A858=FALSE), -J858, IF(AND($P858=FALSE, $A858=TRUE), 0, IF($P858=TRUE, (J858 / $R858) * 100 * ($S858 / 100)-J858, ))), )</f>
        <v/>
      </c>
      <c r="AD858" s="32" t="str">
        <f t="shared" si="862"/>
        <v/>
      </c>
      <c r="AE858" s="32" t="str">
        <f t="shared" si="862"/>
        <v/>
      </c>
      <c r="AF858" s="32" t="str">
        <f t="shared" si="862"/>
        <v/>
      </c>
      <c r="AG858" s="32" t="str">
        <f t="shared" si="862"/>
        <v/>
      </c>
      <c r="AH858" s="33"/>
    </row>
    <row r="859" hidden="1" outlineLevel="3">
      <c r="A859" s="16" t="b">
        <v>0</v>
      </c>
      <c r="B859" s="17"/>
      <c r="C859" s="18"/>
      <c r="D859" s="34"/>
      <c r="E859" s="43"/>
      <c r="F859" s="44"/>
      <c r="G859" s="23"/>
      <c r="H859" s="23"/>
      <c r="I859" s="23"/>
      <c r="J859" s="23"/>
      <c r="K859" s="23"/>
      <c r="L859" s="23"/>
      <c r="M859" s="23"/>
      <c r="N859" s="23"/>
      <c r="O859" s="24"/>
      <c r="P859" s="16" t="b">
        <v>0</v>
      </c>
      <c r="Q859" s="24"/>
      <c r="R859" s="50"/>
      <c r="S859" s="34"/>
      <c r="T859" s="49"/>
      <c r="U859" s="24"/>
      <c r="V859" s="38" t="s">
        <v>29</v>
      </c>
      <c r="W859" s="29" t="s">
        <v>22</v>
      </c>
      <c r="X859" s="37" t="s">
        <v>632</v>
      </c>
      <c r="Y859" s="31"/>
      <c r="Z859" s="26" t="str">
        <f t="shared" si="5"/>
        <v/>
      </c>
      <c r="AA859" s="26" t="str">
        <f t="shared" si="6"/>
        <v/>
      </c>
      <c r="AB859" s="32" t="str">
        <f t="shared" si="7"/>
        <v/>
      </c>
      <c r="AC859" s="32" t="str">
        <f t="shared" ref="AC859:AG859" si="863">IF(J859&lt;&gt;"", IF(AND($P859=FALSE, $A859=FALSE), -J859, IF(AND($P859=FALSE, $A859=TRUE), 0, IF($P859=TRUE, (J859 / $R859) * 100 * ($S859 / 100)-J859, ))), )</f>
        <v/>
      </c>
      <c r="AD859" s="32" t="str">
        <f t="shared" si="863"/>
        <v/>
      </c>
      <c r="AE859" s="32" t="str">
        <f t="shared" si="863"/>
        <v/>
      </c>
      <c r="AF859" s="32" t="str">
        <f t="shared" si="863"/>
        <v/>
      </c>
      <c r="AG859" s="32" t="str">
        <f t="shared" si="863"/>
        <v/>
      </c>
      <c r="AH859" s="33"/>
    </row>
    <row r="860" hidden="1" outlineLevel="3">
      <c r="A860" s="16" t="b">
        <v>0</v>
      </c>
      <c r="B860" s="17"/>
      <c r="C860" s="18"/>
      <c r="D860" s="34"/>
      <c r="E860" s="43"/>
      <c r="F860" s="44"/>
      <c r="G860" s="23"/>
      <c r="H860" s="23"/>
      <c r="I860" s="23"/>
      <c r="J860" s="23"/>
      <c r="K860" s="23"/>
      <c r="L860" s="23"/>
      <c r="M860" s="23"/>
      <c r="N860" s="23"/>
      <c r="O860" s="24"/>
      <c r="P860" s="16" t="b">
        <v>0</v>
      </c>
      <c r="Q860" s="24"/>
      <c r="R860" s="50"/>
      <c r="S860" s="34"/>
      <c r="T860" s="49"/>
      <c r="U860" s="24"/>
      <c r="V860" s="38" t="s">
        <v>29</v>
      </c>
      <c r="W860" s="29" t="s">
        <v>22</v>
      </c>
      <c r="X860" s="37" t="s">
        <v>633</v>
      </c>
      <c r="Y860" s="31"/>
      <c r="Z860" s="26" t="str">
        <f t="shared" si="5"/>
        <v/>
      </c>
      <c r="AA860" s="26" t="str">
        <f t="shared" si="6"/>
        <v/>
      </c>
      <c r="AB860" s="32" t="str">
        <f t="shared" si="7"/>
        <v/>
      </c>
      <c r="AC860" s="32" t="str">
        <f t="shared" ref="AC860:AG860" si="864">IF(J860&lt;&gt;"", IF(AND($P860=FALSE, $A860=FALSE), -J860, IF(AND($P860=FALSE, $A860=TRUE), 0, IF($P860=TRUE, (J860 / $R860) * 100 * ($S860 / 100)-J860, ))), )</f>
        <v/>
      </c>
      <c r="AD860" s="32" t="str">
        <f t="shared" si="864"/>
        <v/>
      </c>
      <c r="AE860" s="32" t="str">
        <f t="shared" si="864"/>
        <v/>
      </c>
      <c r="AF860" s="32" t="str">
        <f t="shared" si="864"/>
        <v/>
      </c>
      <c r="AG860" s="32" t="str">
        <f t="shared" si="864"/>
        <v/>
      </c>
      <c r="AH860" s="33"/>
    </row>
    <row r="861" hidden="1" outlineLevel="2" collapsed="1">
      <c r="A861" s="16" t="b">
        <v>0</v>
      </c>
      <c r="B861" s="17"/>
      <c r="C861" s="18"/>
      <c r="D861" s="42">
        <v>45261.0</v>
      </c>
      <c r="E861" s="43" t="s">
        <v>60</v>
      </c>
      <c r="F861" s="53" t="s">
        <v>630</v>
      </c>
      <c r="G861" s="45">
        <v>2.0</v>
      </c>
      <c r="H861" s="45">
        <v>1.0</v>
      </c>
      <c r="I861" s="45">
        <v>4.0</v>
      </c>
      <c r="J861" s="46"/>
      <c r="K861" s="46"/>
      <c r="L861" s="45"/>
      <c r="M861" s="46"/>
      <c r="N861" s="46"/>
      <c r="O861" s="47"/>
      <c r="P861" s="16" t="b">
        <v>1</v>
      </c>
      <c r="Q861" s="24"/>
      <c r="R861" s="48">
        <v>7.0</v>
      </c>
      <c r="S861" s="45">
        <v>10.77</v>
      </c>
      <c r="T861" s="49">
        <v>-186.0</v>
      </c>
      <c r="U861" s="47"/>
      <c r="V861" s="28"/>
      <c r="W861" s="29"/>
      <c r="X861" s="30"/>
      <c r="Y861" s="31"/>
      <c r="Z861" s="26">
        <f t="shared" si="5"/>
        <v>1.077142857</v>
      </c>
      <c r="AA861" s="26">
        <f t="shared" si="6"/>
        <v>2.154285714</v>
      </c>
      <c r="AB861" s="32">
        <f t="shared" si="7"/>
        <v>0.5385714286</v>
      </c>
      <c r="AC861" s="32" t="str">
        <f t="shared" ref="AC861:AG861" si="865">IF(J861&lt;&gt;"", IF(AND($P861=FALSE, $A861=FALSE), -J861, IF(AND($P861=FALSE, $A861=TRUE), 0, IF($P861=TRUE, (J861 / $R861) * 100 * ($S861 / 100)-J861, ))), )</f>
        <v/>
      </c>
      <c r="AD861" s="32" t="str">
        <f t="shared" si="865"/>
        <v/>
      </c>
      <c r="AE861" s="32" t="str">
        <f t="shared" si="865"/>
        <v/>
      </c>
      <c r="AF861" s="32" t="str">
        <f t="shared" si="865"/>
        <v/>
      </c>
      <c r="AG861" s="32" t="str">
        <f t="shared" si="865"/>
        <v/>
      </c>
      <c r="AH861" s="33"/>
    </row>
    <row r="862" hidden="1" outlineLevel="3">
      <c r="A862" s="16" t="b">
        <v>0</v>
      </c>
      <c r="B862" s="17"/>
      <c r="C862" s="18"/>
      <c r="D862" s="34"/>
      <c r="E862" s="43"/>
      <c r="F862" s="44"/>
      <c r="G862" s="23"/>
      <c r="H862" s="23"/>
      <c r="I862" s="23"/>
      <c r="J862" s="23"/>
      <c r="K862" s="23"/>
      <c r="L862" s="23"/>
      <c r="M862" s="23"/>
      <c r="N862" s="23"/>
      <c r="O862" s="24"/>
      <c r="P862" s="16" t="b">
        <v>0</v>
      </c>
      <c r="Q862" s="24"/>
      <c r="R862" s="50"/>
      <c r="S862" s="34"/>
      <c r="T862" s="49"/>
      <c r="U862" s="24"/>
      <c r="V862" s="76" t="s">
        <v>358</v>
      </c>
      <c r="W862" s="29" t="s">
        <v>22</v>
      </c>
      <c r="X862" s="37" t="s">
        <v>634</v>
      </c>
      <c r="Y862" s="31"/>
      <c r="Z862" s="26" t="str">
        <f t="shared" si="5"/>
        <v/>
      </c>
      <c r="AA862" s="26" t="str">
        <f t="shared" si="6"/>
        <v/>
      </c>
      <c r="AB862" s="32" t="str">
        <f t="shared" si="7"/>
        <v/>
      </c>
      <c r="AC862" s="32" t="str">
        <f t="shared" ref="AC862:AG862" si="866">IF(J862&lt;&gt;"", IF(AND($P862=FALSE, $A862=FALSE), -J862, IF(AND($P862=FALSE, $A862=TRUE), 0, IF($P862=TRUE, (J862 / $R862) * 100 * ($S862 / 100)-J862, ))), )</f>
        <v/>
      </c>
      <c r="AD862" s="32" t="str">
        <f t="shared" si="866"/>
        <v/>
      </c>
      <c r="AE862" s="32" t="str">
        <f t="shared" si="866"/>
        <v/>
      </c>
      <c r="AF862" s="32" t="str">
        <f t="shared" si="866"/>
        <v/>
      </c>
      <c r="AG862" s="32" t="str">
        <f t="shared" si="866"/>
        <v/>
      </c>
      <c r="AH862" s="33"/>
    </row>
    <row r="863" hidden="1" outlineLevel="3">
      <c r="A863" s="16" t="b">
        <v>0</v>
      </c>
      <c r="B863" s="17"/>
      <c r="C863" s="18"/>
      <c r="D863" s="34"/>
      <c r="E863" s="43"/>
      <c r="F863" s="44"/>
      <c r="G863" s="23"/>
      <c r="H863" s="23"/>
      <c r="I863" s="23"/>
      <c r="J863" s="23"/>
      <c r="K863" s="23"/>
      <c r="L863" s="23"/>
      <c r="M863" s="23"/>
      <c r="N863" s="23"/>
      <c r="O863" s="24"/>
      <c r="P863" s="16" t="b">
        <v>0</v>
      </c>
      <c r="Q863" s="24"/>
      <c r="R863" s="50"/>
      <c r="S863" s="34"/>
      <c r="T863" s="49"/>
      <c r="U863" s="24"/>
      <c r="V863" s="38" t="s">
        <v>29</v>
      </c>
      <c r="W863" s="29" t="s">
        <v>22</v>
      </c>
      <c r="X863" s="37" t="s">
        <v>635</v>
      </c>
      <c r="Y863" s="31"/>
      <c r="Z863" s="26" t="str">
        <f t="shared" si="5"/>
        <v/>
      </c>
      <c r="AA863" s="26" t="str">
        <f t="shared" si="6"/>
        <v/>
      </c>
      <c r="AB863" s="32" t="str">
        <f t="shared" si="7"/>
        <v/>
      </c>
      <c r="AC863" s="32" t="str">
        <f t="shared" ref="AC863:AG863" si="867">IF(J863&lt;&gt;"", IF(AND($P863=FALSE, $A863=FALSE), -J863, IF(AND($P863=FALSE, $A863=TRUE), 0, IF($P863=TRUE, (J863 / $R863) * 100 * ($S863 / 100)-J863, ))), )</f>
        <v/>
      </c>
      <c r="AD863" s="32" t="str">
        <f t="shared" si="867"/>
        <v/>
      </c>
      <c r="AE863" s="32" t="str">
        <f t="shared" si="867"/>
        <v/>
      </c>
      <c r="AF863" s="32" t="str">
        <f t="shared" si="867"/>
        <v/>
      </c>
      <c r="AG863" s="32" t="str">
        <f t="shared" si="867"/>
        <v/>
      </c>
      <c r="AH863" s="33"/>
    </row>
    <row r="864" hidden="1" outlineLevel="3">
      <c r="A864" s="16" t="b">
        <v>0</v>
      </c>
      <c r="B864" s="17"/>
      <c r="C864" s="18"/>
      <c r="D864" s="34"/>
      <c r="E864" s="43"/>
      <c r="F864" s="44"/>
      <c r="G864" s="23"/>
      <c r="H864" s="23"/>
      <c r="I864" s="23"/>
      <c r="J864" s="23"/>
      <c r="K864" s="23"/>
      <c r="L864" s="23"/>
      <c r="M864" s="23"/>
      <c r="N864" s="23"/>
      <c r="O864" s="24"/>
      <c r="P864" s="16" t="b">
        <v>0</v>
      </c>
      <c r="Q864" s="24"/>
      <c r="R864" s="50"/>
      <c r="S864" s="34"/>
      <c r="T864" s="49"/>
      <c r="U864" s="24"/>
      <c r="V864" s="38" t="s">
        <v>29</v>
      </c>
      <c r="W864" s="29" t="s">
        <v>22</v>
      </c>
      <c r="X864" s="37" t="s">
        <v>636</v>
      </c>
      <c r="Y864" s="31"/>
      <c r="Z864" s="26" t="str">
        <f t="shared" si="5"/>
        <v/>
      </c>
      <c r="AA864" s="26" t="str">
        <f t="shared" si="6"/>
        <v/>
      </c>
      <c r="AB864" s="32" t="str">
        <f t="shared" si="7"/>
        <v/>
      </c>
      <c r="AC864" s="32" t="str">
        <f t="shared" ref="AC864:AG864" si="868">IF(J864&lt;&gt;"", IF(AND($P864=FALSE, $A864=FALSE), -J864, IF(AND($P864=FALSE, $A864=TRUE), 0, IF($P864=TRUE, (J864 / $R864) * 100 * ($S864 / 100)-J864, ))), )</f>
        <v/>
      </c>
      <c r="AD864" s="32" t="str">
        <f t="shared" si="868"/>
        <v/>
      </c>
      <c r="AE864" s="32" t="str">
        <f t="shared" si="868"/>
        <v/>
      </c>
      <c r="AF864" s="32" t="str">
        <f t="shared" si="868"/>
        <v/>
      </c>
      <c r="AG864" s="32" t="str">
        <f t="shared" si="868"/>
        <v/>
      </c>
      <c r="AH864" s="33"/>
    </row>
    <row r="865" hidden="1" outlineLevel="2" collapsed="1">
      <c r="A865" s="16" t="b">
        <v>0</v>
      </c>
      <c r="B865" s="17"/>
      <c r="C865" s="18"/>
      <c r="D865" s="42">
        <v>45261.0</v>
      </c>
      <c r="E865" s="43" t="s">
        <v>60</v>
      </c>
      <c r="F865" s="53" t="s">
        <v>630</v>
      </c>
      <c r="G865" s="45">
        <v>2.0</v>
      </c>
      <c r="H865" s="45">
        <v>1.0</v>
      </c>
      <c r="I865" s="45">
        <v>3.0</v>
      </c>
      <c r="J865" s="46"/>
      <c r="K865" s="46"/>
      <c r="L865" s="45"/>
      <c r="M865" s="46"/>
      <c r="N865" s="46"/>
      <c r="O865" s="47"/>
      <c r="P865" s="16" t="b">
        <v>1</v>
      </c>
      <c r="Q865" s="24"/>
      <c r="R865" s="48">
        <v>6.0</v>
      </c>
      <c r="S865" s="45">
        <v>13.79</v>
      </c>
      <c r="T865" s="49" t="s">
        <v>419</v>
      </c>
      <c r="U865" s="47"/>
      <c r="V865" s="28"/>
      <c r="W865" s="29"/>
      <c r="X865" s="30"/>
      <c r="Y865" s="31"/>
      <c r="Z865" s="26">
        <f t="shared" si="5"/>
        <v>2.596666667</v>
      </c>
      <c r="AA865" s="26">
        <f t="shared" si="6"/>
        <v>3.895</v>
      </c>
      <c r="AB865" s="32">
        <f t="shared" si="7"/>
        <v>1.298333333</v>
      </c>
      <c r="AC865" s="32" t="str">
        <f t="shared" ref="AC865:AG865" si="869">IF(J865&lt;&gt;"", IF(AND($P865=FALSE, $A865=FALSE), -J865, IF(AND($P865=FALSE, $A865=TRUE), 0, IF($P865=TRUE, (J865 / $R865) * 100 * ($S865 / 100)-J865, ))), )</f>
        <v/>
      </c>
      <c r="AD865" s="32" t="str">
        <f t="shared" si="869"/>
        <v/>
      </c>
      <c r="AE865" s="32" t="str">
        <f t="shared" si="869"/>
        <v/>
      </c>
      <c r="AF865" s="32" t="str">
        <f t="shared" si="869"/>
        <v/>
      </c>
      <c r="AG865" s="32" t="str">
        <f t="shared" si="869"/>
        <v/>
      </c>
      <c r="AH865" s="33"/>
    </row>
    <row r="866" hidden="1" outlineLevel="3">
      <c r="A866" s="16" t="b">
        <v>0</v>
      </c>
      <c r="B866" s="17"/>
      <c r="C866" s="18"/>
      <c r="D866" s="34"/>
      <c r="E866" s="43"/>
      <c r="F866" s="44"/>
      <c r="G866" s="23"/>
      <c r="H866" s="23"/>
      <c r="I866" s="23"/>
      <c r="J866" s="23"/>
      <c r="K866" s="23"/>
      <c r="L866" s="23"/>
      <c r="M866" s="23"/>
      <c r="N866" s="23"/>
      <c r="O866" s="24"/>
      <c r="P866" s="16" t="b">
        <v>0</v>
      </c>
      <c r="Q866" s="24"/>
      <c r="R866" s="50"/>
      <c r="S866" s="34"/>
      <c r="T866" s="49"/>
      <c r="U866" s="24"/>
      <c r="V866" s="38" t="s">
        <v>29</v>
      </c>
      <c r="W866" s="29" t="s">
        <v>22</v>
      </c>
      <c r="X866" s="37" t="s">
        <v>619</v>
      </c>
      <c r="Y866" s="31"/>
      <c r="Z866" s="26" t="str">
        <f t="shared" si="5"/>
        <v/>
      </c>
      <c r="AA866" s="26" t="str">
        <f t="shared" si="6"/>
        <v/>
      </c>
      <c r="AB866" s="32" t="str">
        <f t="shared" si="7"/>
        <v/>
      </c>
      <c r="AC866" s="32" t="str">
        <f t="shared" ref="AC866:AG866" si="870">IF(J866&lt;&gt;"", IF(AND($P866=FALSE, $A866=FALSE), -J866, IF(AND($P866=FALSE, $A866=TRUE), 0, IF($P866=TRUE, (J866 / $R866) * 100 * ($S866 / 100)-J866, ))), )</f>
        <v/>
      </c>
      <c r="AD866" s="32" t="str">
        <f t="shared" si="870"/>
        <v/>
      </c>
      <c r="AE866" s="32" t="str">
        <f t="shared" si="870"/>
        <v/>
      </c>
      <c r="AF866" s="32" t="str">
        <f t="shared" si="870"/>
        <v/>
      </c>
      <c r="AG866" s="32" t="str">
        <f t="shared" si="870"/>
        <v/>
      </c>
      <c r="AH866" s="33"/>
    </row>
    <row r="867" hidden="1" outlineLevel="3">
      <c r="A867" s="16" t="b">
        <v>0</v>
      </c>
      <c r="B867" s="17"/>
      <c r="C867" s="18"/>
      <c r="D867" s="34"/>
      <c r="E867" s="43"/>
      <c r="F867" s="44"/>
      <c r="G867" s="23"/>
      <c r="H867" s="23"/>
      <c r="I867" s="23"/>
      <c r="J867" s="23"/>
      <c r="K867" s="23"/>
      <c r="L867" s="23"/>
      <c r="M867" s="23"/>
      <c r="N867" s="23"/>
      <c r="O867" s="24"/>
      <c r="P867" s="16" t="b">
        <v>0</v>
      </c>
      <c r="Q867" s="24"/>
      <c r="R867" s="50"/>
      <c r="S867" s="34"/>
      <c r="T867" s="49"/>
      <c r="U867" s="24"/>
      <c r="V867" s="38" t="s">
        <v>29</v>
      </c>
      <c r="W867" s="29" t="s">
        <v>22</v>
      </c>
      <c r="X867" s="37" t="s">
        <v>425</v>
      </c>
      <c r="Y867" s="31"/>
      <c r="Z867" s="26" t="str">
        <f t="shared" si="5"/>
        <v/>
      </c>
      <c r="AA867" s="26" t="str">
        <f t="shared" si="6"/>
        <v/>
      </c>
      <c r="AB867" s="32" t="str">
        <f t="shared" si="7"/>
        <v/>
      </c>
      <c r="AC867" s="32" t="str">
        <f t="shared" ref="AC867:AG867" si="871">IF(J867&lt;&gt;"", IF(AND($P867=FALSE, $A867=FALSE), -J867, IF(AND($P867=FALSE, $A867=TRUE), 0, IF($P867=TRUE, (J867 / $R867) * 100 * ($S867 / 100)-J867, ))), )</f>
        <v/>
      </c>
      <c r="AD867" s="32" t="str">
        <f t="shared" si="871"/>
        <v/>
      </c>
      <c r="AE867" s="32" t="str">
        <f t="shared" si="871"/>
        <v/>
      </c>
      <c r="AF867" s="32" t="str">
        <f t="shared" si="871"/>
        <v/>
      </c>
      <c r="AG867" s="32" t="str">
        <f t="shared" si="871"/>
        <v/>
      </c>
      <c r="AH867" s="33"/>
    </row>
    <row r="868" hidden="1" outlineLevel="3">
      <c r="A868" s="16" t="b">
        <v>0</v>
      </c>
      <c r="B868" s="17"/>
      <c r="C868" s="18"/>
      <c r="D868" s="34"/>
      <c r="E868" s="43"/>
      <c r="F868" s="44"/>
      <c r="G868" s="23"/>
      <c r="H868" s="23"/>
      <c r="I868" s="23"/>
      <c r="J868" s="23"/>
      <c r="K868" s="23"/>
      <c r="L868" s="23"/>
      <c r="M868" s="23"/>
      <c r="N868" s="23"/>
      <c r="O868" s="24"/>
      <c r="P868" s="16" t="b">
        <v>0</v>
      </c>
      <c r="Q868" s="24"/>
      <c r="R868" s="50"/>
      <c r="S868" s="34"/>
      <c r="T868" s="49"/>
      <c r="U868" s="24"/>
      <c r="V868" s="38" t="s">
        <v>29</v>
      </c>
      <c r="W868" s="29" t="s">
        <v>22</v>
      </c>
      <c r="X868" s="37" t="s">
        <v>620</v>
      </c>
      <c r="Y868" s="31"/>
      <c r="Z868" s="26" t="str">
        <f t="shared" si="5"/>
        <v/>
      </c>
      <c r="AA868" s="26" t="str">
        <f t="shared" si="6"/>
        <v/>
      </c>
      <c r="AB868" s="32" t="str">
        <f t="shared" si="7"/>
        <v/>
      </c>
      <c r="AC868" s="32" t="str">
        <f t="shared" ref="AC868:AG868" si="872">IF(J868&lt;&gt;"", IF(AND($P868=FALSE, $A868=FALSE), -J868, IF(AND($P868=FALSE, $A868=TRUE), 0, IF($P868=TRUE, (J868 / $R868) * 100 * ($S868 / 100)-J868, ))), )</f>
        <v/>
      </c>
      <c r="AD868" s="32" t="str">
        <f t="shared" si="872"/>
        <v/>
      </c>
      <c r="AE868" s="32" t="str">
        <f t="shared" si="872"/>
        <v/>
      </c>
      <c r="AF868" s="32" t="str">
        <f t="shared" si="872"/>
        <v/>
      </c>
      <c r="AG868" s="32" t="str">
        <f t="shared" si="872"/>
        <v/>
      </c>
      <c r="AH868" s="33"/>
    </row>
    <row r="869" hidden="1" outlineLevel="3">
      <c r="A869" s="16" t="b">
        <v>0</v>
      </c>
      <c r="B869" s="17"/>
      <c r="C869" s="18"/>
      <c r="D869" s="34"/>
      <c r="E869" s="43"/>
      <c r="F869" s="44"/>
      <c r="G869" s="23"/>
      <c r="H869" s="23"/>
      <c r="I869" s="23"/>
      <c r="J869" s="23"/>
      <c r="K869" s="23"/>
      <c r="L869" s="23"/>
      <c r="M869" s="23"/>
      <c r="N869" s="23"/>
      <c r="O869" s="24"/>
      <c r="P869" s="16" t="b">
        <v>0</v>
      </c>
      <c r="Q869" s="24"/>
      <c r="R869" s="50"/>
      <c r="S869" s="34"/>
      <c r="T869" s="49"/>
      <c r="U869" s="24"/>
      <c r="V869" s="38" t="s">
        <v>29</v>
      </c>
      <c r="W869" s="29" t="s">
        <v>22</v>
      </c>
      <c r="X869" s="37" t="s">
        <v>291</v>
      </c>
      <c r="Y869" s="31"/>
      <c r="Z869" s="26" t="str">
        <f t="shared" si="5"/>
        <v/>
      </c>
      <c r="AA869" s="26" t="str">
        <f t="shared" si="6"/>
        <v/>
      </c>
      <c r="AB869" s="32" t="str">
        <f t="shared" si="7"/>
        <v/>
      </c>
      <c r="AC869" s="32" t="str">
        <f t="shared" ref="AC869:AG869" si="873">IF(J869&lt;&gt;"", IF(AND($P869=FALSE, $A869=FALSE), -J869, IF(AND($P869=FALSE, $A869=TRUE), 0, IF($P869=TRUE, (J869 / $R869) * 100 * ($S869 / 100)-J869, ))), )</f>
        <v/>
      </c>
      <c r="AD869" s="32" t="str">
        <f t="shared" si="873"/>
        <v/>
      </c>
      <c r="AE869" s="32" t="str">
        <f t="shared" si="873"/>
        <v/>
      </c>
      <c r="AF869" s="32" t="str">
        <f t="shared" si="873"/>
        <v/>
      </c>
      <c r="AG869" s="32" t="str">
        <f t="shared" si="873"/>
        <v/>
      </c>
      <c r="AH869" s="33"/>
    </row>
    <row r="870" hidden="1" outlineLevel="3">
      <c r="A870" s="16" t="b">
        <v>0</v>
      </c>
      <c r="B870" s="17"/>
      <c r="C870" s="18"/>
      <c r="D870" s="34"/>
      <c r="E870" s="43"/>
      <c r="F870" s="44"/>
      <c r="G870" s="23"/>
      <c r="H870" s="23"/>
      <c r="I870" s="23"/>
      <c r="J870" s="23"/>
      <c r="K870" s="23"/>
      <c r="L870" s="23"/>
      <c r="M870" s="23"/>
      <c r="N870" s="23"/>
      <c r="O870" s="24"/>
      <c r="P870" s="16" t="b">
        <v>0</v>
      </c>
      <c r="Q870" s="24"/>
      <c r="R870" s="50"/>
      <c r="S870" s="34"/>
      <c r="T870" s="49"/>
      <c r="U870" s="24"/>
      <c r="V870" s="38" t="s">
        <v>29</v>
      </c>
      <c r="W870" s="29" t="s">
        <v>22</v>
      </c>
      <c r="X870" s="37" t="s">
        <v>637</v>
      </c>
      <c r="Y870" s="31"/>
      <c r="Z870" s="26" t="str">
        <f t="shared" si="5"/>
        <v/>
      </c>
      <c r="AA870" s="26" t="str">
        <f t="shared" si="6"/>
        <v/>
      </c>
      <c r="AB870" s="32" t="str">
        <f t="shared" si="7"/>
        <v/>
      </c>
      <c r="AC870" s="32" t="str">
        <f t="shared" ref="AC870:AG870" si="874">IF(J870&lt;&gt;"", IF(AND($P870=FALSE, $A870=FALSE), -J870, IF(AND($P870=FALSE, $A870=TRUE), 0, IF($P870=TRUE, (J870 / $R870) * 100 * ($S870 / 100)-J870, ))), )</f>
        <v/>
      </c>
      <c r="AD870" s="32" t="str">
        <f t="shared" si="874"/>
        <v/>
      </c>
      <c r="AE870" s="32" t="str">
        <f t="shared" si="874"/>
        <v/>
      </c>
      <c r="AF870" s="32" t="str">
        <f t="shared" si="874"/>
        <v/>
      </c>
      <c r="AG870" s="32" t="str">
        <f t="shared" si="874"/>
        <v/>
      </c>
      <c r="AH870" s="33"/>
    </row>
    <row r="871" hidden="1" outlineLevel="2" collapsed="1">
      <c r="A871" s="16" t="b">
        <v>0</v>
      </c>
      <c r="B871" s="17"/>
      <c r="C871" s="18"/>
      <c r="D871" s="42">
        <v>45261.0</v>
      </c>
      <c r="E871" s="43" t="s">
        <v>60</v>
      </c>
      <c r="F871" s="53" t="s">
        <v>630</v>
      </c>
      <c r="G871" s="45">
        <v>2.0</v>
      </c>
      <c r="H871" s="45">
        <v>1.0</v>
      </c>
      <c r="I871" s="45">
        <v>3.0</v>
      </c>
      <c r="J871" s="46"/>
      <c r="K871" s="46"/>
      <c r="L871" s="45"/>
      <c r="M871" s="46"/>
      <c r="N871" s="46"/>
      <c r="O871" s="47"/>
      <c r="P871" s="16" t="b">
        <v>0</v>
      </c>
      <c r="Q871" s="24"/>
      <c r="R871" s="45">
        <v>7.0</v>
      </c>
      <c r="S871" s="45">
        <v>14.51</v>
      </c>
      <c r="T871" s="49" t="s">
        <v>638</v>
      </c>
      <c r="U871" s="47"/>
      <c r="V871" s="28"/>
      <c r="W871" s="29"/>
      <c r="X871" s="30"/>
      <c r="Y871" s="31"/>
      <c r="Z871" s="26">
        <f t="shared" si="5"/>
        <v>-2</v>
      </c>
      <c r="AA871" s="26">
        <f t="shared" si="6"/>
        <v>-3</v>
      </c>
      <c r="AB871" s="32">
        <f t="shared" si="7"/>
        <v>-1</v>
      </c>
      <c r="AC871" s="32" t="str">
        <f t="shared" ref="AC871:AG871" si="875">IF(J871&lt;&gt;"", IF(AND($P871=FALSE, $A871=FALSE), -J871, IF(AND($P871=FALSE, $A871=TRUE), 0, IF($P871=TRUE, (J871 / $R871) * 100 * ($S871 / 100)-J871, ))), )</f>
        <v/>
      </c>
      <c r="AD871" s="32" t="str">
        <f t="shared" si="875"/>
        <v/>
      </c>
      <c r="AE871" s="32" t="str">
        <f t="shared" si="875"/>
        <v/>
      </c>
      <c r="AF871" s="32" t="str">
        <f t="shared" si="875"/>
        <v/>
      </c>
      <c r="AG871" s="32" t="str">
        <f t="shared" si="875"/>
        <v/>
      </c>
      <c r="AH871" s="33"/>
    </row>
    <row r="872" hidden="1" outlineLevel="3">
      <c r="A872" s="16" t="b">
        <v>0</v>
      </c>
      <c r="B872" s="17"/>
      <c r="C872" s="18"/>
      <c r="D872" s="34"/>
      <c r="E872" s="43"/>
      <c r="F872" s="44"/>
      <c r="G872" s="23"/>
      <c r="H872" s="23"/>
      <c r="I872" s="23"/>
      <c r="J872" s="23"/>
      <c r="K872" s="23"/>
      <c r="L872" s="23"/>
      <c r="M872" s="23"/>
      <c r="N872" s="23"/>
      <c r="O872" s="24"/>
      <c r="P872" s="16" t="b">
        <v>0</v>
      </c>
      <c r="Q872" s="24"/>
      <c r="R872" s="50"/>
      <c r="S872" s="34"/>
      <c r="T872" s="49"/>
      <c r="U872" s="24"/>
      <c r="V872" s="28" t="s">
        <v>32</v>
      </c>
      <c r="W872" s="29" t="s">
        <v>22</v>
      </c>
      <c r="X872" s="37" t="s">
        <v>279</v>
      </c>
      <c r="Y872" s="31"/>
      <c r="Z872" s="26" t="str">
        <f t="shared" si="5"/>
        <v/>
      </c>
      <c r="AA872" s="26" t="str">
        <f t="shared" si="6"/>
        <v/>
      </c>
      <c r="AB872" s="32" t="str">
        <f t="shared" si="7"/>
        <v/>
      </c>
      <c r="AC872" s="32" t="str">
        <f t="shared" ref="AC872:AG872" si="876">IF(J872&lt;&gt;"", IF(AND($P872=FALSE, $A872=FALSE), -J872, IF(AND($P872=FALSE, $A872=TRUE), 0, IF($P872=TRUE, (J872 / $R872) * 100 * ($S872 / 100)-J872, ))), )</f>
        <v/>
      </c>
      <c r="AD872" s="32" t="str">
        <f t="shared" si="876"/>
        <v/>
      </c>
      <c r="AE872" s="32" t="str">
        <f t="shared" si="876"/>
        <v/>
      </c>
      <c r="AF872" s="32" t="str">
        <f t="shared" si="876"/>
        <v/>
      </c>
      <c r="AG872" s="32" t="str">
        <f t="shared" si="876"/>
        <v/>
      </c>
      <c r="AH872" s="33"/>
    </row>
    <row r="873" hidden="1" outlineLevel="3">
      <c r="A873" s="16" t="b">
        <v>0</v>
      </c>
      <c r="B873" s="17"/>
      <c r="C873" s="18"/>
      <c r="D873" s="34"/>
      <c r="E873" s="43"/>
      <c r="F873" s="44"/>
      <c r="G873" s="23"/>
      <c r="H873" s="23"/>
      <c r="I873" s="23"/>
      <c r="J873" s="23"/>
      <c r="K873" s="23"/>
      <c r="L873" s="23"/>
      <c r="M873" s="23"/>
      <c r="N873" s="23"/>
      <c r="O873" s="24"/>
      <c r="P873" s="16" t="b">
        <v>0</v>
      </c>
      <c r="Q873" s="24"/>
      <c r="R873" s="50"/>
      <c r="S873" s="34"/>
      <c r="T873" s="49"/>
      <c r="U873" s="24"/>
      <c r="V873" s="38" t="s">
        <v>29</v>
      </c>
      <c r="W873" s="29" t="s">
        <v>22</v>
      </c>
      <c r="X873" s="37" t="s">
        <v>639</v>
      </c>
      <c r="Y873" s="31"/>
      <c r="Z873" s="26" t="str">
        <f t="shared" si="5"/>
        <v/>
      </c>
      <c r="AA873" s="26" t="str">
        <f t="shared" si="6"/>
        <v/>
      </c>
      <c r="AB873" s="32" t="str">
        <f t="shared" si="7"/>
        <v/>
      </c>
      <c r="AC873" s="32" t="str">
        <f t="shared" ref="AC873:AG873" si="877">IF(J873&lt;&gt;"", IF(AND($P873=FALSE, $A873=FALSE), -J873, IF(AND($P873=FALSE, $A873=TRUE), 0, IF($P873=TRUE, (J873 / $R873) * 100 * ($S873 / 100)-J873, ))), )</f>
        <v/>
      </c>
      <c r="AD873" s="32" t="str">
        <f t="shared" si="877"/>
        <v/>
      </c>
      <c r="AE873" s="32" t="str">
        <f t="shared" si="877"/>
        <v/>
      </c>
      <c r="AF873" s="32" t="str">
        <f t="shared" si="877"/>
        <v/>
      </c>
      <c r="AG873" s="32" t="str">
        <f t="shared" si="877"/>
        <v/>
      </c>
      <c r="AH873" s="33"/>
    </row>
    <row r="874" hidden="1" outlineLevel="3">
      <c r="A874" s="16" t="b">
        <v>0</v>
      </c>
      <c r="B874" s="17"/>
      <c r="C874" s="18"/>
      <c r="D874" s="34"/>
      <c r="E874" s="43"/>
      <c r="F874" s="44"/>
      <c r="G874" s="23"/>
      <c r="H874" s="23"/>
      <c r="I874" s="23"/>
      <c r="J874" s="23"/>
      <c r="K874" s="23"/>
      <c r="L874" s="23"/>
      <c r="M874" s="23"/>
      <c r="N874" s="23"/>
      <c r="O874" s="24"/>
      <c r="P874" s="16" t="b">
        <v>0</v>
      </c>
      <c r="Q874" s="24"/>
      <c r="R874" s="50"/>
      <c r="S874" s="34"/>
      <c r="T874" s="49"/>
      <c r="U874" s="24"/>
      <c r="V874" s="28" t="s">
        <v>32</v>
      </c>
      <c r="W874" s="29" t="s">
        <v>22</v>
      </c>
      <c r="X874" s="37" t="s">
        <v>640</v>
      </c>
      <c r="Y874" s="31"/>
      <c r="Z874" s="26" t="str">
        <f t="shared" si="5"/>
        <v/>
      </c>
      <c r="AA874" s="26" t="str">
        <f t="shared" si="6"/>
        <v/>
      </c>
      <c r="AB874" s="32" t="str">
        <f t="shared" si="7"/>
        <v/>
      </c>
      <c r="AC874" s="32" t="str">
        <f t="shared" ref="AC874:AG874" si="878">IF(J874&lt;&gt;"", IF(AND($P874=FALSE, $A874=FALSE), -J874, IF(AND($P874=FALSE, $A874=TRUE), 0, IF($P874=TRUE, (J874 / $R874) * 100 * ($S874 / 100)-J874, ))), )</f>
        <v/>
      </c>
      <c r="AD874" s="32" t="str">
        <f t="shared" si="878"/>
        <v/>
      </c>
      <c r="AE874" s="32" t="str">
        <f t="shared" si="878"/>
        <v/>
      </c>
      <c r="AF874" s="32" t="str">
        <f t="shared" si="878"/>
        <v/>
      </c>
      <c r="AG874" s="32" t="str">
        <f t="shared" si="878"/>
        <v/>
      </c>
      <c r="AH874" s="33"/>
    </row>
    <row r="875" hidden="1" outlineLevel="2">
      <c r="A875" s="16" t="b">
        <v>0</v>
      </c>
      <c r="B875" s="17"/>
      <c r="C875" s="18"/>
      <c r="D875" s="42">
        <v>45261.0</v>
      </c>
      <c r="E875" s="43" t="s">
        <v>60</v>
      </c>
      <c r="F875" s="53" t="s">
        <v>630</v>
      </c>
      <c r="G875" s="45">
        <v>2.0</v>
      </c>
      <c r="H875" s="45">
        <v>1.0</v>
      </c>
      <c r="I875" s="45">
        <v>3.0</v>
      </c>
      <c r="J875" s="46"/>
      <c r="K875" s="46"/>
      <c r="L875" s="45"/>
      <c r="M875" s="46"/>
      <c r="N875" s="46"/>
      <c r="O875" s="47"/>
      <c r="P875" s="16" t="b">
        <v>0</v>
      </c>
      <c r="Q875" s="24"/>
      <c r="R875" s="45">
        <v>6.0</v>
      </c>
      <c r="S875" s="45">
        <v>13.29</v>
      </c>
      <c r="T875" s="49" t="s">
        <v>231</v>
      </c>
      <c r="U875" s="47"/>
      <c r="V875" s="28"/>
      <c r="W875" s="29"/>
      <c r="X875" s="30"/>
      <c r="Y875" s="31"/>
      <c r="Z875" s="26">
        <f t="shared" si="5"/>
        <v>-2</v>
      </c>
      <c r="AA875" s="26">
        <f t="shared" si="6"/>
        <v>-3</v>
      </c>
      <c r="AB875" s="32">
        <f t="shared" si="7"/>
        <v>-1</v>
      </c>
      <c r="AC875" s="32" t="str">
        <f t="shared" ref="AC875:AG875" si="879">IF(J875&lt;&gt;"", IF(AND($P875=FALSE, $A875=FALSE), -J875, IF(AND($P875=FALSE, $A875=TRUE), 0, IF($P875=TRUE, (J875 / $R875) * 100 * ($S875 / 100)-J875, ))), )</f>
        <v/>
      </c>
      <c r="AD875" s="32" t="str">
        <f t="shared" si="879"/>
        <v/>
      </c>
      <c r="AE875" s="32" t="str">
        <f t="shared" si="879"/>
        <v/>
      </c>
      <c r="AF875" s="32" t="str">
        <f t="shared" si="879"/>
        <v/>
      </c>
      <c r="AG875" s="32" t="str">
        <f t="shared" si="879"/>
        <v/>
      </c>
      <c r="AH875" s="33"/>
    </row>
    <row r="876" hidden="1" outlineLevel="3">
      <c r="A876" s="16" t="b">
        <v>0</v>
      </c>
      <c r="B876" s="17"/>
      <c r="C876" s="18"/>
      <c r="D876" s="34"/>
      <c r="E876" s="43"/>
      <c r="F876" s="44"/>
      <c r="G876" s="23"/>
      <c r="H876" s="23"/>
      <c r="I876" s="23"/>
      <c r="J876" s="23"/>
      <c r="K876" s="23"/>
      <c r="L876" s="23"/>
      <c r="M876" s="23"/>
      <c r="N876" s="23"/>
      <c r="O876" s="24"/>
      <c r="P876" s="16" t="b">
        <v>0</v>
      </c>
      <c r="Q876" s="24"/>
      <c r="R876" s="50"/>
      <c r="S876" s="34"/>
      <c r="T876" s="49"/>
      <c r="U876" s="24"/>
      <c r="V876" s="28" t="s">
        <v>32</v>
      </c>
      <c r="W876" s="29" t="s">
        <v>22</v>
      </c>
      <c r="X876" s="37" t="s">
        <v>239</v>
      </c>
      <c r="Y876" s="31"/>
      <c r="Z876" s="26" t="str">
        <f t="shared" si="5"/>
        <v/>
      </c>
      <c r="AA876" s="26" t="str">
        <f t="shared" si="6"/>
        <v/>
      </c>
      <c r="AB876" s="32" t="str">
        <f t="shared" si="7"/>
        <v/>
      </c>
      <c r="AC876" s="32" t="str">
        <f t="shared" ref="AC876:AG876" si="880">IF(J876&lt;&gt;"", IF(AND($P876=FALSE, $A876=FALSE), -J876, IF(AND($P876=FALSE, $A876=TRUE), 0, IF($P876=TRUE, (J876 / $R876) * 100 * ($S876 / 100)-J876, ))), )</f>
        <v/>
      </c>
      <c r="AD876" s="32" t="str">
        <f t="shared" si="880"/>
        <v/>
      </c>
      <c r="AE876" s="32" t="str">
        <f t="shared" si="880"/>
        <v/>
      </c>
      <c r="AF876" s="32" t="str">
        <f t="shared" si="880"/>
        <v/>
      </c>
      <c r="AG876" s="32" t="str">
        <f t="shared" si="880"/>
        <v/>
      </c>
      <c r="AH876" s="33"/>
    </row>
    <row r="877" hidden="1" outlineLevel="3">
      <c r="A877" s="16" t="b">
        <v>0</v>
      </c>
      <c r="B877" s="17"/>
      <c r="C877" s="18"/>
      <c r="D877" s="34"/>
      <c r="E877" s="43"/>
      <c r="F877" s="44"/>
      <c r="G877" s="23"/>
      <c r="H877" s="23"/>
      <c r="I877" s="23"/>
      <c r="J877" s="23"/>
      <c r="K877" s="23"/>
      <c r="L877" s="23"/>
      <c r="M877" s="23"/>
      <c r="N877" s="23"/>
      <c r="O877" s="24"/>
      <c r="P877" s="16" t="b">
        <v>0</v>
      </c>
      <c r="Q877" s="24"/>
      <c r="R877" s="50"/>
      <c r="S877" s="34"/>
      <c r="T877" s="49"/>
      <c r="U877" s="24"/>
      <c r="V877" s="38" t="s">
        <v>29</v>
      </c>
      <c r="W877" s="29" t="s">
        <v>22</v>
      </c>
      <c r="X877" s="37" t="s">
        <v>232</v>
      </c>
      <c r="Y877" s="31"/>
      <c r="Z877" s="26" t="str">
        <f t="shared" si="5"/>
        <v/>
      </c>
      <c r="AA877" s="26" t="str">
        <f t="shared" si="6"/>
        <v/>
      </c>
      <c r="AB877" s="32" t="str">
        <f t="shared" si="7"/>
        <v/>
      </c>
      <c r="AC877" s="32" t="str">
        <f t="shared" ref="AC877:AG877" si="881">IF(J877&lt;&gt;"", IF(AND($P877=FALSE, $A877=FALSE), -J877, IF(AND($P877=FALSE, $A877=TRUE), 0, IF($P877=TRUE, (J877 / $R877) * 100 * ($S877 / 100)-J877, ))), )</f>
        <v/>
      </c>
      <c r="AD877" s="32" t="str">
        <f t="shared" si="881"/>
        <v/>
      </c>
      <c r="AE877" s="32" t="str">
        <f t="shared" si="881"/>
        <v/>
      </c>
      <c r="AF877" s="32" t="str">
        <f t="shared" si="881"/>
        <v/>
      </c>
      <c r="AG877" s="32" t="str">
        <f t="shared" si="881"/>
        <v/>
      </c>
      <c r="AH877" s="33"/>
    </row>
    <row r="878" hidden="1" outlineLevel="3">
      <c r="A878" s="16" t="b">
        <v>0</v>
      </c>
      <c r="B878" s="17"/>
      <c r="C878" s="18"/>
      <c r="D878" s="34"/>
      <c r="E878" s="43"/>
      <c r="F878" s="44"/>
      <c r="G878" s="23"/>
      <c r="H878" s="23"/>
      <c r="I878" s="23"/>
      <c r="J878" s="23"/>
      <c r="K878" s="23"/>
      <c r="L878" s="23"/>
      <c r="M878" s="23"/>
      <c r="N878" s="23"/>
      <c r="O878" s="24"/>
      <c r="P878" s="16" t="b">
        <v>0</v>
      </c>
      <c r="Q878" s="24"/>
      <c r="R878" s="50"/>
      <c r="S878" s="34"/>
      <c r="T878" s="49"/>
      <c r="U878" s="24"/>
      <c r="V878" s="38" t="s">
        <v>29</v>
      </c>
      <c r="W878" s="29" t="s">
        <v>22</v>
      </c>
      <c r="X878" s="37" t="s">
        <v>217</v>
      </c>
      <c r="Y878" s="31"/>
      <c r="Z878" s="26" t="str">
        <f t="shared" si="5"/>
        <v/>
      </c>
      <c r="AA878" s="26" t="str">
        <f t="shared" si="6"/>
        <v/>
      </c>
      <c r="AB878" s="32" t="str">
        <f t="shared" si="7"/>
        <v/>
      </c>
      <c r="AC878" s="32" t="str">
        <f t="shared" ref="AC878:AG878" si="882">IF(J878&lt;&gt;"", IF(AND($P878=FALSE, $A878=FALSE), -J878, IF(AND($P878=FALSE, $A878=TRUE), 0, IF($P878=TRUE, (J878 / $R878) * 100 * ($S878 / 100)-J878, ))), )</f>
        <v/>
      </c>
      <c r="AD878" s="32" t="str">
        <f t="shared" si="882"/>
        <v/>
      </c>
      <c r="AE878" s="32" t="str">
        <f t="shared" si="882"/>
        <v/>
      </c>
      <c r="AF878" s="32" t="str">
        <f t="shared" si="882"/>
        <v/>
      </c>
      <c r="AG878" s="32" t="str">
        <f t="shared" si="882"/>
        <v/>
      </c>
      <c r="AH878" s="33"/>
    </row>
    <row r="879" hidden="1" outlineLevel="3">
      <c r="A879" s="16" t="b">
        <v>0</v>
      </c>
      <c r="B879" s="17"/>
      <c r="C879" s="18"/>
      <c r="D879" s="34"/>
      <c r="E879" s="43"/>
      <c r="F879" s="44"/>
      <c r="G879" s="23"/>
      <c r="H879" s="23"/>
      <c r="I879" s="23"/>
      <c r="J879" s="23"/>
      <c r="K879" s="23"/>
      <c r="L879" s="23"/>
      <c r="M879" s="23"/>
      <c r="N879" s="23"/>
      <c r="O879" s="24"/>
      <c r="P879" s="16" t="b">
        <v>0</v>
      </c>
      <c r="Q879" s="24"/>
      <c r="R879" s="50"/>
      <c r="S879" s="34"/>
      <c r="T879" s="49"/>
      <c r="U879" s="24"/>
      <c r="V879" s="28" t="s">
        <v>32</v>
      </c>
      <c r="W879" s="29" t="s">
        <v>22</v>
      </c>
      <c r="X879" s="37" t="s">
        <v>641</v>
      </c>
      <c r="Y879" s="31"/>
      <c r="Z879" s="26" t="str">
        <f t="shared" si="5"/>
        <v/>
      </c>
      <c r="AA879" s="26" t="str">
        <f t="shared" si="6"/>
        <v/>
      </c>
      <c r="AB879" s="32" t="str">
        <f t="shared" si="7"/>
        <v/>
      </c>
      <c r="AC879" s="32" t="str">
        <f t="shared" ref="AC879:AG879" si="883">IF(J879&lt;&gt;"", IF(AND($P879=FALSE, $A879=FALSE), -J879, IF(AND($P879=FALSE, $A879=TRUE), 0, IF($P879=TRUE, (J879 / $R879) * 100 * ($S879 / 100)-J879, ))), )</f>
        <v/>
      </c>
      <c r="AD879" s="32" t="str">
        <f t="shared" si="883"/>
        <v/>
      </c>
      <c r="AE879" s="32" t="str">
        <f t="shared" si="883"/>
        <v/>
      </c>
      <c r="AF879" s="32" t="str">
        <f t="shared" si="883"/>
        <v/>
      </c>
      <c r="AG879" s="32" t="str">
        <f t="shared" si="883"/>
        <v/>
      </c>
      <c r="AH879" s="33"/>
    </row>
    <row r="880" hidden="1" outlineLevel="1" collapsed="1">
      <c r="A880" s="16" t="b">
        <v>0</v>
      </c>
      <c r="B880" s="17"/>
      <c r="C880" s="18"/>
      <c r="D880" s="42">
        <v>45262.0</v>
      </c>
      <c r="E880" s="43" t="s">
        <v>60</v>
      </c>
      <c r="F880" s="53" t="s">
        <v>630</v>
      </c>
      <c r="G880" s="45">
        <v>2.5</v>
      </c>
      <c r="H880" s="45">
        <v>1.5</v>
      </c>
      <c r="I880" s="45"/>
      <c r="J880" s="46"/>
      <c r="K880" s="46"/>
      <c r="L880" s="45"/>
      <c r="M880" s="46"/>
      <c r="N880" s="46"/>
      <c r="O880" s="47"/>
      <c r="P880" s="16" t="b">
        <v>0</v>
      </c>
      <c r="Q880" s="24"/>
      <c r="R880" s="48">
        <v>4.0</v>
      </c>
      <c r="S880" s="45">
        <v>9.73</v>
      </c>
      <c r="T880" s="49" t="s">
        <v>62</v>
      </c>
      <c r="U880" s="47"/>
      <c r="V880" s="28"/>
      <c r="W880" s="29"/>
      <c r="X880" s="30"/>
      <c r="Y880" s="31"/>
      <c r="Z880" s="26">
        <f t="shared" si="5"/>
        <v>-2.5</v>
      </c>
      <c r="AA880" s="26" t="str">
        <f t="shared" si="6"/>
        <v/>
      </c>
      <c r="AB880" s="32">
        <f t="shared" si="7"/>
        <v>-1.5</v>
      </c>
      <c r="AC880" s="32" t="str">
        <f t="shared" ref="AC880:AG880" si="884">IF(J880&lt;&gt;"", IF(AND($P880=FALSE, $A880=FALSE), -J880, IF(AND($P880=FALSE, $A880=TRUE), 0, IF($P880=TRUE, (J880 / $R880) * 100 * ($S880 / 100)-J880, ))), )</f>
        <v/>
      </c>
      <c r="AD880" s="32" t="str">
        <f t="shared" si="884"/>
        <v/>
      </c>
      <c r="AE880" s="32" t="str">
        <f t="shared" si="884"/>
        <v/>
      </c>
      <c r="AF880" s="32" t="str">
        <f t="shared" si="884"/>
        <v/>
      </c>
      <c r="AG880" s="32" t="str">
        <f t="shared" si="884"/>
        <v/>
      </c>
      <c r="AH880" s="33"/>
    </row>
    <row r="881" hidden="1" outlineLevel="3">
      <c r="A881" s="16" t="b">
        <v>0</v>
      </c>
      <c r="B881" s="17"/>
      <c r="C881" s="18"/>
      <c r="D881" s="34"/>
      <c r="E881" s="43"/>
      <c r="F881" s="44"/>
      <c r="G881" s="23"/>
      <c r="H881" s="23"/>
      <c r="I881" s="23"/>
      <c r="J881" s="23"/>
      <c r="K881" s="23"/>
      <c r="L881" s="23"/>
      <c r="M881" s="23"/>
      <c r="N881" s="23"/>
      <c r="O881" s="24"/>
      <c r="P881" s="16" t="b">
        <v>0</v>
      </c>
      <c r="Q881" s="24"/>
      <c r="R881" s="50"/>
      <c r="S881" s="34"/>
      <c r="T881" s="49"/>
      <c r="U881" s="24"/>
      <c r="V881" s="38" t="s">
        <v>29</v>
      </c>
      <c r="W881" s="29" t="s">
        <v>22</v>
      </c>
      <c r="X881" s="37" t="s">
        <v>226</v>
      </c>
      <c r="Y881" s="31"/>
      <c r="Z881" s="26" t="str">
        <f t="shared" si="5"/>
        <v/>
      </c>
      <c r="AA881" s="26" t="str">
        <f t="shared" si="6"/>
        <v/>
      </c>
      <c r="AB881" s="32" t="str">
        <f t="shared" si="7"/>
        <v/>
      </c>
      <c r="AC881" s="32" t="str">
        <f t="shared" ref="AC881:AG881" si="885">IF(J881&lt;&gt;"", IF(AND($P881=FALSE, $A881=FALSE), -J881, IF(AND($P881=FALSE, $A881=TRUE), 0, IF($P881=TRUE, (J881 / $R881) * 100 * ($S881 / 100)-J881, ))), )</f>
        <v/>
      </c>
      <c r="AD881" s="32" t="str">
        <f t="shared" si="885"/>
        <v/>
      </c>
      <c r="AE881" s="32" t="str">
        <f t="shared" si="885"/>
        <v/>
      </c>
      <c r="AF881" s="32" t="str">
        <f t="shared" si="885"/>
        <v/>
      </c>
      <c r="AG881" s="32" t="str">
        <f t="shared" si="885"/>
        <v/>
      </c>
      <c r="AH881" s="33"/>
    </row>
    <row r="882" hidden="1" outlineLevel="3">
      <c r="A882" s="16" t="b">
        <v>0</v>
      </c>
      <c r="B882" s="17"/>
      <c r="C882" s="18"/>
      <c r="D882" s="34"/>
      <c r="E882" s="43"/>
      <c r="F882" s="44"/>
      <c r="G882" s="23"/>
      <c r="H882" s="23"/>
      <c r="I882" s="23"/>
      <c r="J882" s="23"/>
      <c r="K882" s="23"/>
      <c r="L882" s="23"/>
      <c r="M882" s="23"/>
      <c r="N882" s="23"/>
      <c r="O882" s="24"/>
      <c r="P882" s="16" t="b">
        <v>0</v>
      </c>
      <c r="Q882" s="24"/>
      <c r="R882" s="50"/>
      <c r="S882" s="34"/>
      <c r="T882" s="49"/>
      <c r="U882" s="24"/>
      <c r="V882" s="28" t="s">
        <v>32</v>
      </c>
      <c r="W882" s="29" t="s">
        <v>22</v>
      </c>
      <c r="X882" s="37" t="s">
        <v>471</v>
      </c>
      <c r="Y882" s="31"/>
      <c r="Z882" s="26" t="str">
        <f t="shared" si="5"/>
        <v/>
      </c>
      <c r="AA882" s="26" t="str">
        <f t="shared" si="6"/>
        <v/>
      </c>
      <c r="AB882" s="32" t="str">
        <f t="shared" si="7"/>
        <v/>
      </c>
      <c r="AC882" s="32" t="str">
        <f t="shared" ref="AC882:AG882" si="886">IF(J882&lt;&gt;"", IF(AND($P882=FALSE, $A882=FALSE), -J882, IF(AND($P882=FALSE, $A882=TRUE), 0, IF($P882=TRUE, (J882 / $R882) * 100 * ($S882 / 100)-J882, ))), )</f>
        <v/>
      </c>
      <c r="AD882" s="32" t="str">
        <f t="shared" si="886"/>
        <v/>
      </c>
      <c r="AE882" s="32" t="str">
        <f t="shared" si="886"/>
        <v/>
      </c>
      <c r="AF882" s="32" t="str">
        <f t="shared" si="886"/>
        <v/>
      </c>
      <c r="AG882" s="32" t="str">
        <f t="shared" si="886"/>
        <v/>
      </c>
      <c r="AH882" s="33"/>
    </row>
    <row r="883" hidden="1" outlineLevel="3">
      <c r="A883" s="16" t="b">
        <v>0</v>
      </c>
      <c r="B883" s="17"/>
      <c r="C883" s="18"/>
      <c r="D883" s="34"/>
      <c r="E883" s="43"/>
      <c r="F883" s="44"/>
      <c r="G883" s="23"/>
      <c r="H883" s="23"/>
      <c r="I883" s="23"/>
      <c r="J883" s="23"/>
      <c r="K883" s="23"/>
      <c r="L883" s="23"/>
      <c r="M883" s="23"/>
      <c r="N883" s="23"/>
      <c r="O883" s="24"/>
      <c r="P883" s="16" t="b">
        <v>0</v>
      </c>
      <c r="Q883" s="24"/>
      <c r="R883" s="50"/>
      <c r="S883" s="34"/>
      <c r="T883" s="49"/>
      <c r="U883" s="24"/>
      <c r="V883" s="38" t="s">
        <v>29</v>
      </c>
      <c r="W883" s="29" t="s">
        <v>22</v>
      </c>
      <c r="X883" s="37" t="s">
        <v>188</v>
      </c>
      <c r="Y883" s="31"/>
      <c r="Z883" s="26" t="str">
        <f t="shared" si="5"/>
        <v/>
      </c>
      <c r="AA883" s="26" t="str">
        <f t="shared" si="6"/>
        <v/>
      </c>
      <c r="AB883" s="32" t="str">
        <f t="shared" si="7"/>
        <v/>
      </c>
      <c r="AC883" s="32" t="str">
        <f t="shared" ref="AC883:AG883" si="887">IF(J883&lt;&gt;"", IF(AND($P883=FALSE, $A883=FALSE), -J883, IF(AND($P883=FALSE, $A883=TRUE), 0, IF($P883=TRUE, (J883 / $R883) * 100 * ($S883 / 100)-J883, ))), )</f>
        <v/>
      </c>
      <c r="AD883" s="32" t="str">
        <f t="shared" si="887"/>
        <v/>
      </c>
      <c r="AE883" s="32" t="str">
        <f t="shared" si="887"/>
        <v/>
      </c>
      <c r="AF883" s="32" t="str">
        <f t="shared" si="887"/>
        <v/>
      </c>
      <c r="AG883" s="32" t="str">
        <f t="shared" si="887"/>
        <v/>
      </c>
      <c r="AH883" s="33"/>
    </row>
    <row r="884" hidden="1" outlineLevel="2" collapsed="1">
      <c r="A884" s="16" t="b">
        <v>0</v>
      </c>
      <c r="B884" s="17"/>
      <c r="C884" s="18"/>
      <c r="D884" s="42">
        <v>45262.0</v>
      </c>
      <c r="E884" s="43" t="s">
        <v>60</v>
      </c>
      <c r="F884" s="53" t="s">
        <v>630</v>
      </c>
      <c r="G884" s="45">
        <v>2.5</v>
      </c>
      <c r="H884" s="45">
        <v>1.5</v>
      </c>
      <c r="I884" s="45">
        <v>4.0</v>
      </c>
      <c r="J884" s="46"/>
      <c r="K884" s="46"/>
      <c r="L884" s="45"/>
      <c r="M884" s="46"/>
      <c r="N884" s="46"/>
      <c r="O884" s="47"/>
      <c r="P884" s="16" t="b">
        <v>1</v>
      </c>
      <c r="Q884" s="24"/>
      <c r="R884" s="48">
        <v>8.0</v>
      </c>
      <c r="S884" s="45">
        <v>16.45</v>
      </c>
      <c r="T884" s="49" t="s">
        <v>631</v>
      </c>
      <c r="U884" s="47"/>
      <c r="V884" s="28"/>
      <c r="W884" s="29"/>
      <c r="X884" s="30"/>
      <c r="Y884" s="31"/>
      <c r="Z884" s="26">
        <f t="shared" si="5"/>
        <v>2.640625</v>
      </c>
      <c r="AA884" s="26">
        <f t="shared" si="6"/>
        <v>4.225</v>
      </c>
      <c r="AB884" s="32">
        <f t="shared" si="7"/>
        <v>1.584375</v>
      </c>
      <c r="AC884" s="32" t="str">
        <f t="shared" ref="AC884:AG884" si="888">IF(J884&lt;&gt;"", IF(AND($P884=FALSE, $A884=FALSE), -J884, IF(AND($P884=FALSE, $A884=TRUE), 0, IF($P884=TRUE, (J884 / $R884) * 100 * ($S884 / 100)-J884, ))), )</f>
        <v/>
      </c>
      <c r="AD884" s="32" t="str">
        <f t="shared" si="888"/>
        <v/>
      </c>
      <c r="AE884" s="32" t="str">
        <f t="shared" si="888"/>
        <v/>
      </c>
      <c r="AF884" s="32" t="str">
        <f t="shared" si="888"/>
        <v/>
      </c>
      <c r="AG884" s="32" t="str">
        <f t="shared" si="888"/>
        <v/>
      </c>
      <c r="AH884" s="33"/>
    </row>
    <row r="885" hidden="1" outlineLevel="3">
      <c r="A885" s="16" t="b">
        <v>0</v>
      </c>
      <c r="B885" s="17"/>
      <c r="C885" s="18"/>
      <c r="D885" s="34"/>
      <c r="E885" s="43"/>
      <c r="F885" s="44"/>
      <c r="G885" s="23"/>
      <c r="H885" s="23"/>
      <c r="I885" s="23"/>
      <c r="J885" s="23"/>
      <c r="K885" s="23"/>
      <c r="L885" s="23"/>
      <c r="M885" s="23"/>
      <c r="N885" s="23"/>
      <c r="O885" s="24"/>
      <c r="P885" s="16" t="b">
        <v>0</v>
      </c>
      <c r="Q885" s="24"/>
      <c r="R885" s="50"/>
      <c r="S885" s="34"/>
      <c r="T885" s="49"/>
      <c r="U885" s="24"/>
      <c r="V885" s="38" t="s">
        <v>29</v>
      </c>
      <c r="W885" s="29" t="s">
        <v>22</v>
      </c>
      <c r="X885" s="37" t="s">
        <v>624</v>
      </c>
      <c r="Y885" s="31"/>
      <c r="Z885" s="26" t="str">
        <f t="shared" si="5"/>
        <v/>
      </c>
      <c r="AA885" s="26" t="str">
        <f t="shared" si="6"/>
        <v/>
      </c>
      <c r="AB885" s="32" t="str">
        <f t="shared" si="7"/>
        <v/>
      </c>
      <c r="AC885" s="32" t="str">
        <f t="shared" ref="AC885:AG885" si="889">IF(J885&lt;&gt;"", IF(AND($P885=FALSE, $A885=FALSE), -J885, IF(AND($P885=FALSE, $A885=TRUE), 0, IF($P885=TRUE, (J885 / $R885) * 100 * ($S885 / 100)-J885, ))), )</f>
        <v/>
      </c>
      <c r="AD885" s="32" t="str">
        <f t="shared" si="889"/>
        <v/>
      </c>
      <c r="AE885" s="32" t="str">
        <f t="shared" si="889"/>
        <v/>
      </c>
      <c r="AF885" s="32" t="str">
        <f t="shared" si="889"/>
        <v/>
      </c>
      <c r="AG885" s="32" t="str">
        <f t="shared" si="889"/>
        <v/>
      </c>
      <c r="AH885" s="33"/>
    </row>
    <row r="886" hidden="1" outlineLevel="3">
      <c r="A886" s="16" t="b">
        <v>0</v>
      </c>
      <c r="B886" s="17"/>
      <c r="C886" s="18"/>
      <c r="D886" s="34"/>
      <c r="E886" s="43"/>
      <c r="F886" s="44"/>
      <c r="G886" s="23"/>
      <c r="H886" s="23"/>
      <c r="I886" s="23"/>
      <c r="J886" s="23"/>
      <c r="K886" s="23"/>
      <c r="L886" s="23"/>
      <c r="M886" s="23"/>
      <c r="N886" s="23"/>
      <c r="O886" s="24"/>
      <c r="P886" s="16" t="b">
        <v>0</v>
      </c>
      <c r="Q886" s="24"/>
      <c r="R886" s="50"/>
      <c r="S886" s="34"/>
      <c r="T886" s="49"/>
      <c r="U886" s="24"/>
      <c r="V886" s="38" t="s">
        <v>29</v>
      </c>
      <c r="W886" s="29" t="s">
        <v>22</v>
      </c>
      <c r="X886" s="37" t="s">
        <v>230</v>
      </c>
      <c r="Y886" s="31"/>
      <c r="Z886" s="26" t="str">
        <f t="shared" si="5"/>
        <v/>
      </c>
      <c r="AA886" s="26" t="str">
        <f t="shared" si="6"/>
        <v/>
      </c>
      <c r="AB886" s="32" t="str">
        <f t="shared" si="7"/>
        <v/>
      </c>
      <c r="AC886" s="32" t="str">
        <f t="shared" ref="AC886:AG886" si="890">IF(J886&lt;&gt;"", IF(AND($P886=FALSE, $A886=FALSE), -J886, IF(AND($P886=FALSE, $A886=TRUE), 0, IF($P886=TRUE, (J886 / $R886) * 100 * ($S886 / 100)-J886, ))), )</f>
        <v/>
      </c>
      <c r="AD886" s="32" t="str">
        <f t="shared" si="890"/>
        <v/>
      </c>
      <c r="AE886" s="32" t="str">
        <f t="shared" si="890"/>
        <v/>
      </c>
      <c r="AF886" s="32" t="str">
        <f t="shared" si="890"/>
        <v/>
      </c>
      <c r="AG886" s="32" t="str">
        <f t="shared" si="890"/>
        <v/>
      </c>
      <c r="AH886" s="33"/>
    </row>
    <row r="887" hidden="1" outlineLevel="3">
      <c r="A887" s="16" t="b">
        <v>0</v>
      </c>
      <c r="B887" s="17"/>
      <c r="C887" s="18"/>
      <c r="D887" s="34"/>
      <c r="E887" s="43"/>
      <c r="F887" s="44"/>
      <c r="G887" s="23"/>
      <c r="H887" s="23"/>
      <c r="I887" s="23"/>
      <c r="J887" s="23"/>
      <c r="K887" s="23"/>
      <c r="L887" s="23"/>
      <c r="M887" s="23"/>
      <c r="N887" s="23"/>
      <c r="O887" s="24"/>
      <c r="P887" s="16" t="b">
        <v>0</v>
      </c>
      <c r="Q887" s="24"/>
      <c r="R887" s="50"/>
      <c r="S887" s="34"/>
      <c r="T887" s="49"/>
      <c r="U887" s="24"/>
      <c r="V887" s="38" t="s">
        <v>29</v>
      </c>
      <c r="W887" s="29" t="s">
        <v>22</v>
      </c>
      <c r="X887" s="37" t="s">
        <v>642</v>
      </c>
      <c r="Y887" s="31"/>
      <c r="Z887" s="26" t="str">
        <f t="shared" si="5"/>
        <v/>
      </c>
      <c r="AA887" s="26" t="str">
        <f t="shared" si="6"/>
        <v/>
      </c>
      <c r="AB887" s="32" t="str">
        <f t="shared" si="7"/>
        <v/>
      </c>
      <c r="AC887" s="32" t="str">
        <f t="shared" ref="AC887:AG887" si="891">IF(J887&lt;&gt;"", IF(AND($P887=FALSE, $A887=FALSE), -J887, IF(AND($P887=FALSE, $A887=TRUE), 0, IF($P887=TRUE, (J887 / $R887) * 100 * ($S887 / 100)-J887, ))), )</f>
        <v/>
      </c>
      <c r="AD887" s="32" t="str">
        <f t="shared" si="891"/>
        <v/>
      </c>
      <c r="AE887" s="32" t="str">
        <f t="shared" si="891"/>
        <v/>
      </c>
      <c r="AF887" s="32" t="str">
        <f t="shared" si="891"/>
        <v/>
      </c>
      <c r="AG887" s="32" t="str">
        <f t="shared" si="891"/>
        <v/>
      </c>
      <c r="AH887" s="33"/>
    </row>
    <row r="888" hidden="1" outlineLevel="3">
      <c r="A888" s="16" t="b">
        <v>0</v>
      </c>
      <c r="B888" s="17"/>
      <c r="C888" s="18"/>
      <c r="D888" s="34"/>
      <c r="E888" s="43"/>
      <c r="F888" s="44"/>
      <c r="G888" s="23"/>
      <c r="H888" s="23"/>
      <c r="I888" s="23"/>
      <c r="J888" s="23"/>
      <c r="K888" s="23"/>
      <c r="L888" s="23"/>
      <c r="M888" s="23"/>
      <c r="N888" s="23"/>
      <c r="O888" s="24"/>
      <c r="P888" s="16" t="b">
        <v>0</v>
      </c>
      <c r="Q888" s="24"/>
      <c r="R888" s="50"/>
      <c r="S888" s="34"/>
      <c r="T888" s="49"/>
      <c r="U888" s="24"/>
      <c r="V888" s="38" t="s">
        <v>29</v>
      </c>
      <c r="W888" s="29" t="s">
        <v>22</v>
      </c>
      <c r="X888" s="37" t="s">
        <v>578</v>
      </c>
      <c r="Y888" s="31"/>
      <c r="Z888" s="26" t="str">
        <f t="shared" si="5"/>
        <v/>
      </c>
      <c r="AA888" s="26" t="str">
        <f t="shared" si="6"/>
        <v/>
      </c>
      <c r="AB888" s="32" t="str">
        <f t="shared" si="7"/>
        <v/>
      </c>
      <c r="AC888" s="32" t="str">
        <f t="shared" ref="AC888:AG888" si="892">IF(J888&lt;&gt;"", IF(AND($P888=FALSE, $A888=FALSE), -J888, IF(AND($P888=FALSE, $A888=TRUE), 0, IF($P888=TRUE, (J888 / $R888) * 100 * ($S888 / 100)-J888, ))), )</f>
        <v/>
      </c>
      <c r="AD888" s="32" t="str">
        <f t="shared" si="892"/>
        <v/>
      </c>
      <c r="AE888" s="32" t="str">
        <f t="shared" si="892"/>
        <v/>
      </c>
      <c r="AF888" s="32" t="str">
        <f t="shared" si="892"/>
        <v/>
      </c>
      <c r="AG888" s="32" t="str">
        <f t="shared" si="892"/>
        <v/>
      </c>
      <c r="AH888" s="33"/>
    </row>
    <row r="889" hidden="1" outlineLevel="2" collapsed="1">
      <c r="A889" s="16" t="b">
        <v>0</v>
      </c>
      <c r="B889" s="17"/>
      <c r="C889" s="18"/>
      <c r="D889" s="42">
        <v>45262.0</v>
      </c>
      <c r="E889" s="43" t="s">
        <v>60</v>
      </c>
      <c r="F889" s="53" t="s">
        <v>630</v>
      </c>
      <c r="G889" s="45">
        <v>2.5</v>
      </c>
      <c r="H889" s="45">
        <v>1.5</v>
      </c>
      <c r="I889" s="45">
        <v>4.0</v>
      </c>
      <c r="J889" s="46"/>
      <c r="K889" s="46"/>
      <c r="L889" s="45"/>
      <c r="M889" s="46"/>
      <c r="N889" s="46"/>
      <c r="O889" s="47"/>
      <c r="P889" s="16" t="b">
        <v>1</v>
      </c>
      <c r="Q889" s="24"/>
      <c r="R889" s="48">
        <v>8.0</v>
      </c>
      <c r="S889" s="45">
        <v>16.35</v>
      </c>
      <c r="T889" s="49" t="s">
        <v>132</v>
      </c>
      <c r="U889" s="47"/>
      <c r="V889" s="28"/>
      <c r="W889" s="29"/>
      <c r="X889" s="30"/>
      <c r="Y889" s="31"/>
      <c r="Z889" s="26">
        <f t="shared" si="5"/>
        <v>2.609375</v>
      </c>
      <c r="AA889" s="26">
        <f t="shared" si="6"/>
        <v>4.175</v>
      </c>
      <c r="AB889" s="32">
        <f t="shared" si="7"/>
        <v>1.565625</v>
      </c>
      <c r="AC889" s="32" t="str">
        <f t="shared" ref="AC889:AG889" si="893">IF(J889&lt;&gt;"", IF(AND($P889=FALSE, $A889=FALSE), -J889, IF(AND($P889=FALSE, $A889=TRUE), 0, IF($P889=TRUE, (J889 / $R889) * 100 * ($S889 / 100)-J889, ))), )</f>
        <v/>
      </c>
      <c r="AD889" s="32" t="str">
        <f t="shared" si="893"/>
        <v/>
      </c>
      <c r="AE889" s="32" t="str">
        <f t="shared" si="893"/>
        <v/>
      </c>
      <c r="AF889" s="32" t="str">
        <f t="shared" si="893"/>
        <v/>
      </c>
      <c r="AG889" s="32" t="str">
        <f t="shared" si="893"/>
        <v/>
      </c>
      <c r="AH889" s="33"/>
    </row>
    <row r="890" hidden="1" outlineLevel="3">
      <c r="A890" s="16" t="b">
        <v>0</v>
      </c>
      <c r="B890" s="17"/>
      <c r="C890" s="18"/>
      <c r="D890" s="34"/>
      <c r="E890" s="43"/>
      <c r="F890" s="44"/>
      <c r="G890" s="23"/>
      <c r="H890" s="23"/>
      <c r="I890" s="23"/>
      <c r="J890" s="23"/>
      <c r="K890" s="23"/>
      <c r="L890" s="23"/>
      <c r="M890" s="23"/>
      <c r="N890" s="23"/>
      <c r="O890" s="24"/>
      <c r="P890" s="16" t="b">
        <v>0</v>
      </c>
      <c r="Q890" s="24"/>
      <c r="R890" s="50"/>
      <c r="S890" s="34"/>
      <c r="T890" s="49"/>
      <c r="U890" s="24"/>
      <c r="V890" s="38" t="s">
        <v>29</v>
      </c>
      <c r="W890" s="29" t="s">
        <v>22</v>
      </c>
      <c r="X890" s="37" t="s">
        <v>279</v>
      </c>
      <c r="Y890" s="31"/>
      <c r="Z890" s="26" t="str">
        <f t="shared" si="5"/>
        <v/>
      </c>
      <c r="AA890" s="26" t="str">
        <f t="shared" si="6"/>
        <v/>
      </c>
      <c r="AB890" s="32" t="str">
        <f t="shared" si="7"/>
        <v/>
      </c>
      <c r="AC890" s="32" t="str">
        <f t="shared" ref="AC890:AG890" si="894">IF(J890&lt;&gt;"", IF(AND($P890=FALSE, $A890=FALSE), -J890, IF(AND($P890=FALSE, $A890=TRUE), 0, IF($P890=TRUE, (J890 / $R890) * 100 * ($S890 / 100)-J890, ))), )</f>
        <v/>
      </c>
      <c r="AD890" s="32" t="str">
        <f t="shared" si="894"/>
        <v/>
      </c>
      <c r="AE890" s="32" t="str">
        <f t="shared" si="894"/>
        <v/>
      </c>
      <c r="AF890" s="32" t="str">
        <f t="shared" si="894"/>
        <v/>
      </c>
      <c r="AG890" s="32" t="str">
        <f t="shared" si="894"/>
        <v/>
      </c>
      <c r="AH890" s="33"/>
    </row>
    <row r="891" hidden="1" outlineLevel="3">
      <c r="A891" s="16" t="b">
        <v>0</v>
      </c>
      <c r="B891" s="17"/>
      <c r="C891" s="18"/>
      <c r="D891" s="34"/>
      <c r="E891" s="43"/>
      <c r="F891" s="44"/>
      <c r="G891" s="23"/>
      <c r="H891" s="23"/>
      <c r="I891" s="23"/>
      <c r="J891" s="23"/>
      <c r="K891" s="23"/>
      <c r="L891" s="23"/>
      <c r="M891" s="23"/>
      <c r="N891" s="23"/>
      <c r="O891" s="24"/>
      <c r="P891" s="16" t="b">
        <v>0</v>
      </c>
      <c r="Q891" s="24"/>
      <c r="R891" s="50"/>
      <c r="S891" s="34"/>
      <c r="T891" s="49"/>
      <c r="U891" s="24"/>
      <c r="V891" s="38" t="s">
        <v>29</v>
      </c>
      <c r="W891" s="29" t="s">
        <v>22</v>
      </c>
      <c r="X891" s="37" t="s">
        <v>643</v>
      </c>
      <c r="Y891" s="31"/>
      <c r="Z891" s="26" t="str">
        <f t="shared" si="5"/>
        <v/>
      </c>
      <c r="AA891" s="26" t="str">
        <f t="shared" si="6"/>
        <v/>
      </c>
      <c r="AB891" s="32" t="str">
        <f t="shared" si="7"/>
        <v/>
      </c>
      <c r="AC891" s="32" t="str">
        <f t="shared" ref="AC891:AG891" si="895">IF(J891&lt;&gt;"", IF(AND($P891=FALSE, $A891=FALSE), -J891, IF(AND($P891=FALSE, $A891=TRUE), 0, IF($P891=TRUE, (J891 / $R891) * 100 * ($S891 / 100)-J891, ))), )</f>
        <v/>
      </c>
      <c r="AD891" s="32" t="str">
        <f t="shared" si="895"/>
        <v/>
      </c>
      <c r="AE891" s="32" t="str">
        <f t="shared" si="895"/>
        <v/>
      </c>
      <c r="AF891" s="32" t="str">
        <f t="shared" si="895"/>
        <v/>
      </c>
      <c r="AG891" s="32" t="str">
        <f t="shared" si="895"/>
        <v/>
      </c>
      <c r="AH891" s="33"/>
    </row>
    <row r="892" hidden="1" outlineLevel="3">
      <c r="A892" s="16" t="b">
        <v>0</v>
      </c>
      <c r="B892" s="17"/>
      <c r="C892" s="18"/>
      <c r="D892" s="34"/>
      <c r="E892" s="43"/>
      <c r="F892" s="44"/>
      <c r="G892" s="23"/>
      <c r="H892" s="23"/>
      <c r="I892" s="23"/>
      <c r="J892" s="23"/>
      <c r="K892" s="23"/>
      <c r="L892" s="23"/>
      <c r="M892" s="23"/>
      <c r="N892" s="23"/>
      <c r="O892" s="24"/>
      <c r="P892" s="16" t="b">
        <v>0</v>
      </c>
      <c r="Q892" s="24"/>
      <c r="R892" s="50"/>
      <c r="S892" s="34"/>
      <c r="T892" s="49"/>
      <c r="U892" s="24"/>
      <c r="V892" s="38" t="s">
        <v>29</v>
      </c>
      <c r="W892" s="29" t="s">
        <v>22</v>
      </c>
      <c r="X892" s="37" t="s">
        <v>644</v>
      </c>
      <c r="Y892" s="31"/>
      <c r="Z892" s="26" t="str">
        <f t="shared" si="5"/>
        <v/>
      </c>
      <c r="AA892" s="26" t="str">
        <f t="shared" si="6"/>
        <v/>
      </c>
      <c r="AB892" s="32" t="str">
        <f t="shared" si="7"/>
        <v/>
      </c>
      <c r="AC892" s="32" t="str">
        <f t="shared" ref="AC892:AG892" si="896">IF(J892&lt;&gt;"", IF(AND($P892=FALSE, $A892=FALSE), -J892, IF(AND($P892=FALSE, $A892=TRUE), 0, IF($P892=TRUE, (J892 / $R892) * 100 * ($S892 / 100)-J892, ))), )</f>
        <v/>
      </c>
      <c r="AD892" s="32" t="str">
        <f t="shared" si="896"/>
        <v/>
      </c>
      <c r="AE892" s="32" t="str">
        <f t="shared" si="896"/>
        <v/>
      </c>
      <c r="AF892" s="32" t="str">
        <f t="shared" si="896"/>
        <v/>
      </c>
      <c r="AG892" s="32" t="str">
        <f t="shared" si="896"/>
        <v/>
      </c>
      <c r="AH892" s="33"/>
    </row>
    <row r="893" hidden="1" outlineLevel="2" collapsed="1">
      <c r="A893" s="16" t="b">
        <v>0</v>
      </c>
      <c r="B893" s="17"/>
      <c r="C893" s="18"/>
      <c r="D893" s="42">
        <v>45262.0</v>
      </c>
      <c r="E893" s="43" t="s">
        <v>60</v>
      </c>
      <c r="F893" s="53" t="s">
        <v>630</v>
      </c>
      <c r="G893" s="45">
        <v>0.02</v>
      </c>
      <c r="H893" s="45">
        <v>0.01</v>
      </c>
      <c r="I893" s="45">
        <v>0.02</v>
      </c>
      <c r="J893" s="46"/>
      <c r="K893" s="46"/>
      <c r="L893" s="45"/>
      <c r="M893" s="46"/>
      <c r="N893" s="46"/>
      <c r="O893" s="47"/>
      <c r="P893" s="16" t="b">
        <v>0</v>
      </c>
      <c r="Q893" s="24"/>
      <c r="R893" s="48">
        <v>0.05</v>
      </c>
      <c r="S893" s="45">
        <v>12.29</v>
      </c>
      <c r="T893" s="49" t="s">
        <v>645</v>
      </c>
      <c r="U893" s="47"/>
      <c r="V893" s="28"/>
      <c r="W893" s="29"/>
      <c r="X893" s="30"/>
      <c r="Y893" s="31"/>
      <c r="Z893" s="26">
        <f t="shared" si="5"/>
        <v>-0.02</v>
      </c>
      <c r="AA893" s="26">
        <f t="shared" si="6"/>
        <v>-0.02</v>
      </c>
      <c r="AB893" s="32">
        <f t="shared" si="7"/>
        <v>-0.01</v>
      </c>
      <c r="AC893" s="32" t="str">
        <f t="shared" ref="AC893:AG893" si="897">IF(J893&lt;&gt;"", IF(AND($P893=FALSE, $A893=FALSE), -J893, IF(AND($P893=FALSE, $A893=TRUE), 0, IF($P893=TRUE, (J893 / $R893) * 100 * ($S893 / 100)-J893, ))), )</f>
        <v/>
      </c>
      <c r="AD893" s="32" t="str">
        <f t="shared" si="897"/>
        <v/>
      </c>
      <c r="AE893" s="32" t="str">
        <f t="shared" si="897"/>
        <v/>
      </c>
      <c r="AF893" s="32" t="str">
        <f t="shared" si="897"/>
        <v/>
      </c>
      <c r="AG893" s="32" t="str">
        <f t="shared" si="897"/>
        <v/>
      </c>
      <c r="AH893" s="33"/>
    </row>
    <row r="894" hidden="1" outlineLevel="3">
      <c r="A894" s="16" t="b">
        <v>0</v>
      </c>
      <c r="B894" s="17"/>
      <c r="C894" s="18"/>
      <c r="D894" s="34"/>
      <c r="E894" s="43"/>
      <c r="F894" s="44"/>
      <c r="G894" s="23"/>
      <c r="H894" s="23"/>
      <c r="I894" s="23"/>
      <c r="J894" s="23"/>
      <c r="K894" s="23"/>
      <c r="L894" s="23"/>
      <c r="M894" s="23"/>
      <c r="N894" s="23"/>
      <c r="O894" s="24"/>
      <c r="P894" s="16" t="b">
        <v>0</v>
      </c>
      <c r="Q894" s="24"/>
      <c r="R894" s="50"/>
      <c r="S894" s="34"/>
      <c r="T894" s="49"/>
      <c r="U894" s="24"/>
      <c r="V894" s="28" t="s">
        <v>32</v>
      </c>
      <c r="W894" s="29" t="s">
        <v>22</v>
      </c>
      <c r="X894" s="37" t="s">
        <v>219</v>
      </c>
      <c r="Y894" s="31"/>
      <c r="Z894" s="26" t="str">
        <f t="shared" si="5"/>
        <v/>
      </c>
      <c r="AA894" s="26" t="str">
        <f t="shared" si="6"/>
        <v/>
      </c>
      <c r="AB894" s="32" t="str">
        <f t="shared" si="7"/>
        <v/>
      </c>
      <c r="AC894" s="32" t="str">
        <f t="shared" ref="AC894:AG894" si="898">IF(J894&lt;&gt;"", IF(AND($P894=FALSE, $A894=FALSE), -J894, IF(AND($P894=FALSE, $A894=TRUE), 0, IF($P894=TRUE, (J894 / $R894) * 100 * ($S894 / 100)-J894, ))), )</f>
        <v/>
      </c>
      <c r="AD894" s="32" t="str">
        <f t="shared" si="898"/>
        <v/>
      </c>
      <c r="AE894" s="32" t="str">
        <f t="shared" si="898"/>
        <v/>
      </c>
      <c r="AF894" s="32" t="str">
        <f t="shared" si="898"/>
        <v/>
      </c>
      <c r="AG894" s="32" t="str">
        <f t="shared" si="898"/>
        <v/>
      </c>
      <c r="AH894" s="33"/>
    </row>
    <row r="895" hidden="1" outlineLevel="3">
      <c r="A895" s="16" t="b">
        <v>0</v>
      </c>
      <c r="B895" s="17"/>
      <c r="C895" s="18"/>
      <c r="D895" s="34"/>
      <c r="E895" s="43"/>
      <c r="F895" s="44"/>
      <c r="G895" s="23"/>
      <c r="H895" s="23"/>
      <c r="I895" s="23"/>
      <c r="J895" s="23"/>
      <c r="K895" s="23"/>
      <c r="L895" s="23"/>
      <c r="M895" s="23"/>
      <c r="N895" s="23"/>
      <c r="O895" s="24"/>
      <c r="P895" s="16" t="b">
        <v>0</v>
      </c>
      <c r="Q895" s="24"/>
      <c r="R895" s="50"/>
      <c r="S895" s="34"/>
      <c r="T895" s="49"/>
      <c r="U895" s="24"/>
      <c r="V895" s="38" t="s">
        <v>29</v>
      </c>
      <c r="W895" s="29" t="s">
        <v>22</v>
      </c>
      <c r="X895" s="37" t="s">
        <v>63</v>
      </c>
      <c r="Y895" s="31"/>
      <c r="Z895" s="26" t="str">
        <f t="shared" si="5"/>
        <v/>
      </c>
      <c r="AA895" s="26" t="str">
        <f t="shared" si="6"/>
        <v/>
      </c>
      <c r="AB895" s="32" t="str">
        <f t="shared" si="7"/>
        <v/>
      </c>
      <c r="AC895" s="32" t="str">
        <f t="shared" ref="AC895:AG895" si="899">IF(J895&lt;&gt;"", IF(AND($P895=FALSE, $A895=FALSE), -J895, IF(AND($P895=FALSE, $A895=TRUE), 0, IF($P895=TRUE, (J895 / $R895) * 100 * ($S895 / 100)-J895, ))), )</f>
        <v/>
      </c>
      <c r="AD895" s="32" t="str">
        <f t="shared" si="899"/>
        <v/>
      </c>
      <c r="AE895" s="32" t="str">
        <f t="shared" si="899"/>
        <v/>
      </c>
      <c r="AF895" s="32" t="str">
        <f t="shared" si="899"/>
        <v/>
      </c>
      <c r="AG895" s="32" t="str">
        <f t="shared" si="899"/>
        <v/>
      </c>
      <c r="AH895" s="33"/>
    </row>
    <row r="896" hidden="1" outlineLevel="3">
      <c r="A896" s="16" t="b">
        <v>0</v>
      </c>
      <c r="B896" s="17"/>
      <c r="C896" s="18"/>
      <c r="D896" s="34"/>
      <c r="E896" s="43"/>
      <c r="F896" s="44"/>
      <c r="G896" s="23"/>
      <c r="H896" s="23"/>
      <c r="I896" s="23"/>
      <c r="J896" s="23"/>
      <c r="K896" s="23"/>
      <c r="L896" s="23"/>
      <c r="M896" s="23"/>
      <c r="N896" s="23"/>
      <c r="O896" s="24"/>
      <c r="P896" s="16" t="b">
        <v>0</v>
      </c>
      <c r="Q896" s="24"/>
      <c r="R896" s="50"/>
      <c r="S896" s="34"/>
      <c r="T896" s="49"/>
      <c r="U896" s="24"/>
      <c r="V896" s="38" t="s">
        <v>29</v>
      </c>
      <c r="W896" s="29" t="s">
        <v>22</v>
      </c>
      <c r="X896" s="37" t="s">
        <v>236</v>
      </c>
      <c r="Y896" s="31"/>
      <c r="Z896" s="26" t="str">
        <f t="shared" si="5"/>
        <v/>
      </c>
      <c r="AA896" s="26" t="str">
        <f t="shared" si="6"/>
        <v/>
      </c>
      <c r="AB896" s="32" t="str">
        <f t="shared" si="7"/>
        <v/>
      </c>
      <c r="AC896" s="32" t="str">
        <f t="shared" ref="AC896:AG896" si="900">IF(J896&lt;&gt;"", IF(AND($P896=FALSE, $A896=FALSE), -J896, IF(AND($P896=FALSE, $A896=TRUE), 0, IF($P896=TRUE, (J896 / $R896) * 100 * ($S896 / 100)-J896, ))), )</f>
        <v/>
      </c>
      <c r="AD896" s="32" t="str">
        <f t="shared" si="900"/>
        <v/>
      </c>
      <c r="AE896" s="32" t="str">
        <f t="shared" si="900"/>
        <v/>
      </c>
      <c r="AF896" s="32" t="str">
        <f t="shared" si="900"/>
        <v/>
      </c>
      <c r="AG896" s="32" t="str">
        <f t="shared" si="900"/>
        <v/>
      </c>
      <c r="AH896" s="33"/>
    </row>
    <row r="897" hidden="1" outlineLevel="3">
      <c r="A897" s="16" t="b">
        <v>0</v>
      </c>
      <c r="B897" s="17"/>
      <c r="C897" s="18"/>
      <c r="D897" s="34"/>
      <c r="E897" s="43"/>
      <c r="F897" s="44"/>
      <c r="G897" s="23"/>
      <c r="H897" s="23"/>
      <c r="I897" s="23"/>
      <c r="J897" s="23"/>
      <c r="K897" s="23"/>
      <c r="L897" s="23"/>
      <c r="M897" s="23"/>
      <c r="N897" s="23"/>
      <c r="O897" s="24"/>
      <c r="P897" s="16" t="b">
        <v>0</v>
      </c>
      <c r="Q897" s="24"/>
      <c r="R897" s="50"/>
      <c r="S897" s="34"/>
      <c r="T897" s="49"/>
      <c r="U897" s="24"/>
      <c r="V897" s="38" t="s">
        <v>29</v>
      </c>
      <c r="W897" s="29" t="s">
        <v>22</v>
      </c>
      <c r="X897" s="37" t="s">
        <v>65</v>
      </c>
      <c r="Y897" s="31"/>
      <c r="Z897" s="26" t="str">
        <f t="shared" si="5"/>
        <v/>
      </c>
      <c r="AA897" s="26" t="str">
        <f t="shared" si="6"/>
        <v/>
      </c>
      <c r="AB897" s="32" t="str">
        <f t="shared" si="7"/>
        <v/>
      </c>
      <c r="AC897" s="32" t="str">
        <f t="shared" ref="AC897:AG897" si="901">IF(J897&lt;&gt;"", IF(AND($P897=FALSE, $A897=FALSE), -J897, IF(AND($P897=FALSE, $A897=TRUE), 0, IF($P897=TRUE, (J897 / $R897) * 100 * ($S897 / 100)-J897, ))), )</f>
        <v/>
      </c>
      <c r="AD897" s="32" t="str">
        <f t="shared" si="901"/>
        <v/>
      </c>
      <c r="AE897" s="32" t="str">
        <f t="shared" si="901"/>
        <v/>
      </c>
      <c r="AF897" s="32" t="str">
        <f t="shared" si="901"/>
        <v/>
      </c>
      <c r="AG897" s="32" t="str">
        <f t="shared" si="901"/>
        <v/>
      </c>
      <c r="AH897" s="33"/>
    </row>
    <row r="898" hidden="1" outlineLevel="2">
      <c r="A898" s="16" t="b">
        <v>0</v>
      </c>
      <c r="B898" s="17"/>
      <c r="C898" s="18"/>
      <c r="D898" s="42">
        <v>45262.0</v>
      </c>
      <c r="E898" s="43" t="s">
        <v>60</v>
      </c>
      <c r="F898" s="53" t="s">
        <v>630</v>
      </c>
      <c r="G898" s="45">
        <v>0.02</v>
      </c>
      <c r="H898" s="45">
        <v>0.01</v>
      </c>
      <c r="I898" s="45">
        <v>0.02</v>
      </c>
      <c r="J898" s="46"/>
      <c r="K898" s="46"/>
      <c r="L898" s="45"/>
      <c r="M898" s="46"/>
      <c r="N898" s="46"/>
      <c r="O898" s="47"/>
      <c r="P898" s="16" t="b">
        <v>1</v>
      </c>
      <c r="Q898" s="24"/>
      <c r="R898" s="48">
        <v>0.05</v>
      </c>
      <c r="S898" s="45">
        <v>12.53</v>
      </c>
      <c r="T898" s="49" t="s">
        <v>646</v>
      </c>
      <c r="U898" s="47"/>
      <c r="V898" s="28"/>
      <c r="W898" s="29"/>
      <c r="X898" s="30"/>
      <c r="Y898" s="31"/>
      <c r="Z898" s="26">
        <f t="shared" si="5"/>
        <v>4.992</v>
      </c>
      <c r="AA898" s="26">
        <f t="shared" si="6"/>
        <v>4.992</v>
      </c>
      <c r="AB898" s="32">
        <f t="shared" si="7"/>
        <v>2.496</v>
      </c>
      <c r="AC898" s="32" t="str">
        <f t="shared" ref="AC898:AG898" si="902">IF(J898&lt;&gt;"", IF(AND($P898=FALSE, $A898=FALSE), -J898, IF(AND($P898=FALSE, $A898=TRUE), 0, IF($P898=TRUE, (J898 / $R898) * 100 * ($S898 / 100)-J898, ))), )</f>
        <v/>
      </c>
      <c r="AD898" s="32" t="str">
        <f t="shared" si="902"/>
        <v/>
      </c>
      <c r="AE898" s="32" t="str">
        <f t="shared" si="902"/>
        <v/>
      </c>
      <c r="AF898" s="32" t="str">
        <f t="shared" si="902"/>
        <v/>
      </c>
      <c r="AG898" s="32" t="str">
        <f t="shared" si="902"/>
        <v/>
      </c>
      <c r="AH898" s="33"/>
    </row>
    <row r="899" hidden="1" outlineLevel="3">
      <c r="A899" s="16" t="b">
        <v>0</v>
      </c>
      <c r="B899" s="17"/>
      <c r="C899" s="18"/>
      <c r="D899" s="34"/>
      <c r="E899" s="43"/>
      <c r="F899" s="44"/>
      <c r="G899" s="23"/>
      <c r="H899" s="23"/>
      <c r="I899" s="23"/>
      <c r="J899" s="23"/>
      <c r="K899" s="23"/>
      <c r="L899" s="23"/>
      <c r="M899" s="23"/>
      <c r="N899" s="23"/>
      <c r="O899" s="24"/>
      <c r="P899" s="16" t="b">
        <v>0</v>
      </c>
      <c r="Q899" s="24"/>
      <c r="R899" s="50"/>
      <c r="S899" s="34"/>
      <c r="T899" s="49"/>
      <c r="U899" s="24"/>
      <c r="V899" s="38" t="s">
        <v>29</v>
      </c>
      <c r="W899" s="29" t="s">
        <v>22</v>
      </c>
      <c r="X899" s="37" t="s">
        <v>239</v>
      </c>
      <c r="Y899" s="31"/>
      <c r="Z899" s="26" t="str">
        <f t="shared" si="5"/>
        <v/>
      </c>
      <c r="AA899" s="26" t="str">
        <f t="shared" si="6"/>
        <v/>
      </c>
      <c r="AB899" s="32" t="str">
        <f t="shared" si="7"/>
        <v/>
      </c>
      <c r="AC899" s="32" t="str">
        <f t="shared" ref="AC899:AG899" si="903">IF(J899&lt;&gt;"", IF(AND($P899=FALSE, $A899=FALSE), -J899, IF(AND($P899=FALSE, $A899=TRUE), 0, IF($P899=TRUE, (J899 / $R899) * 100 * ($S899 / 100)-J899, ))), )</f>
        <v/>
      </c>
      <c r="AD899" s="32" t="str">
        <f t="shared" si="903"/>
        <v/>
      </c>
      <c r="AE899" s="32" t="str">
        <f t="shared" si="903"/>
        <v/>
      </c>
      <c r="AF899" s="32" t="str">
        <f t="shared" si="903"/>
        <v/>
      </c>
      <c r="AG899" s="32" t="str">
        <f t="shared" si="903"/>
        <v/>
      </c>
      <c r="AH899" s="33"/>
    </row>
    <row r="900" hidden="1" outlineLevel="3">
      <c r="A900" s="16" t="b">
        <v>0</v>
      </c>
      <c r="B900" s="17"/>
      <c r="C900" s="18"/>
      <c r="D900" s="34"/>
      <c r="E900" s="43"/>
      <c r="F900" s="44"/>
      <c r="G900" s="23"/>
      <c r="H900" s="23"/>
      <c r="I900" s="23"/>
      <c r="J900" s="23"/>
      <c r="K900" s="23"/>
      <c r="L900" s="23"/>
      <c r="M900" s="23"/>
      <c r="N900" s="23"/>
      <c r="O900" s="24"/>
      <c r="P900" s="16" t="b">
        <v>0</v>
      </c>
      <c r="Q900" s="24"/>
      <c r="R900" s="50"/>
      <c r="S900" s="34"/>
      <c r="T900" s="49"/>
      <c r="U900" s="24"/>
      <c r="V900" s="38" t="s">
        <v>29</v>
      </c>
      <c r="W900" s="29" t="s">
        <v>22</v>
      </c>
      <c r="X900" s="37" t="s">
        <v>217</v>
      </c>
      <c r="Y900" s="31"/>
      <c r="Z900" s="26" t="str">
        <f t="shared" si="5"/>
        <v/>
      </c>
      <c r="AA900" s="26" t="str">
        <f t="shared" si="6"/>
        <v/>
      </c>
      <c r="AB900" s="32" t="str">
        <f t="shared" si="7"/>
        <v/>
      </c>
      <c r="AC900" s="32" t="str">
        <f t="shared" ref="AC900:AG900" si="904">IF(J900&lt;&gt;"", IF(AND($P900=FALSE, $A900=FALSE), -J900, IF(AND($P900=FALSE, $A900=TRUE), 0, IF($P900=TRUE, (J900 / $R900) * 100 * ($S900 / 100)-J900, ))), )</f>
        <v/>
      </c>
      <c r="AD900" s="32" t="str">
        <f t="shared" si="904"/>
        <v/>
      </c>
      <c r="AE900" s="32" t="str">
        <f t="shared" si="904"/>
        <v/>
      </c>
      <c r="AF900" s="32" t="str">
        <f t="shared" si="904"/>
        <v/>
      </c>
      <c r="AG900" s="32" t="str">
        <f t="shared" si="904"/>
        <v/>
      </c>
      <c r="AH900" s="33"/>
    </row>
    <row r="901" hidden="1" outlineLevel="3">
      <c r="A901" s="16" t="b">
        <v>0</v>
      </c>
      <c r="B901" s="17"/>
      <c r="C901" s="18"/>
      <c r="D901" s="34"/>
      <c r="E901" s="43"/>
      <c r="F901" s="44"/>
      <c r="G901" s="23"/>
      <c r="H901" s="23"/>
      <c r="I901" s="23"/>
      <c r="J901" s="23"/>
      <c r="K901" s="23"/>
      <c r="L901" s="23"/>
      <c r="M901" s="23"/>
      <c r="N901" s="23"/>
      <c r="O901" s="24"/>
      <c r="P901" s="16" t="b">
        <v>0</v>
      </c>
      <c r="Q901" s="24"/>
      <c r="R901" s="50"/>
      <c r="S901" s="34"/>
      <c r="T901" s="49"/>
      <c r="U901" s="24"/>
      <c r="V901" s="38" t="s">
        <v>29</v>
      </c>
      <c r="W901" s="29" t="s">
        <v>22</v>
      </c>
      <c r="X901" s="37" t="s">
        <v>216</v>
      </c>
      <c r="Y901" s="31"/>
      <c r="Z901" s="26" t="str">
        <f t="shared" si="5"/>
        <v/>
      </c>
      <c r="AA901" s="26" t="str">
        <f t="shared" si="6"/>
        <v/>
      </c>
      <c r="AB901" s="32" t="str">
        <f t="shared" si="7"/>
        <v/>
      </c>
      <c r="AC901" s="32" t="str">
        <f t="shared" ref="AC901:AG901" si="905">IF(J901&lt;&gt;"", IF(AND($P901=FALSE, $A901=FALSE), -J901, IF(AND($P901=FALSE, $A901=TRUE), 0, IF($P901=TRUE, (J901 / $R901) * 100 * ($S901 / 100)-J901, ))), )</f>
        <v/>
      </c>
      <c r="AD901" s="32" t="str">
        <f t="shared" si="905"/>
        <v/>
      </c>
      <c r="AE901" s="32" t="str">
        <f t="shared" si="905"/>
        <v/>
      </c>
      <c r="AF901" s="32" t="str">
        <f t="shared" si="905"/>
        <v/>
      </c>
      <c r="AG901" s="32" t="str">
        <f t="shared" si="905"/>
        <v/>
      </c>
      <c r="AH901" s="33"/>
    </row>
    <row r="902" hidden="1" outlineLevel="1" collapsed="1">
      <c r="A902" s="16" t="b">
        <v>0</v>
      </c>
      <c r="B902" s="17"/>
      <c r="C902" s="18"/>
      <c r="D902" s="42">
        <v>45263.0</v>
      </c>
      <c r="E902" s="43" t="s">
        <v>24</v>
      </c>
      <c r="F902" s="44" t="s">
        <v>57</v>
      </c>
      <c r="G902" s="45">
        <v>3.0</v>
      </c>
      <c r="H902" s="45">
        <v>1.5</v>
      </c>
      <c r="I902" s="45">
        <v>3.0</v>
      </c>
      <c r="J902" s="46"/>
      <c r="K902" s="46"/>
      <c r="L902" s="45"/>
      <c r="M902" s="46"/>
      <c r="N902" s="46"/>
      <c r="O902" s="47"/>
      <c r="P902" s="16" t="b">
        <v>0</v>
      </c>
      <c r="Q902" s="24"/>
      <c r="R902" s="48">
        <v>7.5</v>
      </c>
      <c r="S902" s="45">
        <v>17.29</v>
      </c>
      <c r="T902" s="49" t="s">
        <v>525</v>
      </c>
      <c r="U902" s="47"/>
      <c r="V902" s="28"/>
      <c r="W902" s="29"/>
      <c r="X902" s="30"/>
      <c r="Y902" s="31"/>
      <c r="Z902" s="26">
        <f t="shared" si="5"/>
        <v>-3</v>
      </c>
      <c r="AA902" s="26">
        <f t="shared" si="6"/>
        <v>-3</v>
      </c>
      <c r="AB902" s="32">
        <f t="shared" si="7"/>
        <v>-1.5</v>
      </c>
      <c r="AC902" s="32" t="str">
        <f t="shared" ref="AC902:AG902" si="906">IF(J902&lt;&gt;"", IF(AND($P902=FALSE, $A902=FALSE), -J902, IF(AND($P902=FALSE, $A902=TRUE), 0, IF($P902=TRUE, (J902 / $R902) * 100 * ($S902 / 100)-J902, ))), )</f>
        <v/>
      </c>
      <c r="AD902" s="32" t="str">
        <f t="shared" si="906"/>
        <v/>
      </c>
      <c r="AE902" s="32" t="str">
        <f t="shared" si="906"/>
        <v/>
      </c>
      <c r="AF902" s="32" t="str">
        <f t="shared" si="906"/>
        <v/>
      </c>
      <c r="AG902" s="32" t="str">
        <f t="shared" si="906"/>
        <v/>
      </c>
      <c r="AH902" s="33"/>
    </row>
    <row r="903" hidden="1" outlineLevel="3">
      <c r="A903" s="16" t="b">
        <v>0</v>
      </c>
      <c r="B903" s="17"/>
      <c r="C903" s="18"/>
      <c r="D903" s="34"/>
      <c r="E903" s="43"/>
      <c r="F903" s="44"/>
      <c r="G903" s="23"/>
      <c r="H903" s="23"/>
      <c r="I903" s="23"/>
      <c r="J903" s="23"/>
      <c r="K903" s="23"/>
      <c r="L903" s="23"/>
      <c r="M903" s="23"/>
      <c r="N903" s="23"/>
      <c r="O903" s="24"/>
      <c r="P903" s="16" t="b">
        <v>0</v>
      </c>
      <c r="Q903" s="24"/>
      <c r="R903" s="50"/>
      <c r="S903" s="34"/>
      <c r="T903" s="49"/>
      <c r="U903" s="24"/>
      <c r="V903" s="38" t="s">
        <v>29</v>
      </c>
      <c r="W903" s="29" t="s">
        <v>22</v>
      </c>
      <c r="X903" s="37" t="s">
        <v>647</v>
      </c>
      <c r="Y903" s="31"/>
      <c r="Z903" s="26" t="str">
        <f t="shared" si="5"/>
        <v/>
      </c>
      <c r="AA903" s="26" t="str">
        <f t="shared" si="6"/>
        <v/>
      </c>
      <c r="AB903" s="32" t="str">
        <f t="shared" si="7"/>
        <v/>
      </c>
      <c r="AC903" s="32" t="str">
        <f t="shared" ref="AC903:AG903" si="907">IF(J903&lt;&gt;"", IF(AND($P903=FALSE, $A903=FALSE), -J903, IF(AND($P903=FALSE, $A903=TRUE), 0, IF($P903=TRUE, (J903 / $R903) * 100 * ($S903 / 100)-J903, ))), )</f>
        <v/>
      </c>
      <c r="AD903" s="32" t="str">
        <f t="shared" si="907"/>
        <v/>
      </c>
      <c r="AE903" s="32" t="str">
        <f t="shared" si="907"/>
        <v/>
      </c>
      <c r="AF903" s="32" t="str">
        <f t="shared" si="907"/>
        <v/>
      </c>
      <c r="AG903" s="32" t="str">
        <f t="shared" si="907"/>
        <v/>
      </c>
      <c r="AH903" s="33"/>
    </row>
    <row r="904" hidden="1" outlineLevel="3">
      <c r="A904" s="16" t="b">
        <v>0</v>
      </c>
      <c r="B904" s="17"/>
      <c r="C904" s="18"/>
      <c r="D904" s="34"/>
      <c r="E904" s="43"/>
      <c r="F904" s="44"/>
      <c r="G904" s="23"/>
      <c r="H904" s="23"/>
      <c r="I904" s="23"/>
      <c r="J904" s="23"/>
      <c r="K904" s="23"/>
      <c r="L904" s="23"/>
      <c r="M904" s="23"/>
      <c r="N904" s="23"/>
      <c r="O904" s="24"/>
      <c r="P904" s="16" t="b">
        <v>0</v>
      </c>
      <c r="Q904" s="24"/>
      <c r="R904" s="50"/>
      <c r="S904" s="34"/>
      <c r="T904" s="49"/>
      <c r="U904" s="24"/>
      <c r="V904" s="28" t="s">
        <v>32</v>
      </c>
      <c r="W904" s="29" t="s">
        <v>22</v>
      </c>
      <c r="X904" s="37" t="s">
        <v>547</v>
      </c>
      <c r="Y904" s="31"/>
      <c r="Z904" s="26" t="str">
        <f t="shared" si="5"/>
        <v/>
      </c>
      <c r="AA904" s="26" t="str">
        <f t="shared" si="6"/>
        <v/>
      </c>
      <c r="AB904" s="32" t="str">
        <f t="shared" si="7"/>
        <v/>
      </c>
      <c r="AC904" s="32" t="str">
        <f t="shared" ref="AC904:AG904" si="908">IF(J904&lt;&gt;"", IF(AND($P904=FALSE, $A904=FALSE), -J904, IF(AND($P904=FALSE, $A904=TRUE), 0, IF($P904=TRUE, (J904 / $R904) * 100 * ($S904 / 100)-J904, ))), )</f>
        <v/>
      </c>
      <c r="AD904" s="32" t="str">
        <f t="shared" si="908"/>
        <v/>
      </c>
      <c r="AE904" s="32" t="str">
        <f t="shared" si="908"/>
        <v/>
      </c>
      <c r="AF904" s="32" t="str">
        <f t="shared" si="908"/>
        <v/>
      </c>
      <c r="AG904" s="32" t="str">
        <f t="shared" si="908"/>
        <v/>
      </c>
      <c r="AH904" s="33"/>
    </row>
    <row r="905" hidden="1" outlineLevel="3">
      <c r="A905" s="16" t="b">
        <v>0</v>
      </c>
      <c r="B905" s="17"/>
      <c r="C905" s="18"/>
      <c r="D905" s="34"/>
      <c r="E905" s="43"/>
      <c r="F905" s="44"/>
      <c r="G905" s="23"/>
      <c r="H905" s="23"/>
      <c r="I905" s="23"/>
      <c r="J905" s="23"/>
      <c r="K905" s="23"/>
      <c r="L905" s="23"/>
      <c r="M905" s="23"/>
      <c r="N905" s="23"/>
      <c r="O905" s="24"/>
      <c r="P905" s="16" t="b">
        <v>0</v>
      </c>
      <c r="Q905" s="24"/>
      <c r="R905" s="50"/>
      <c r="S905" s="34"/>
      <c r="T905" s="49"/>
      <c r="U905" s="24"/>
      <c r="V905" s="28" t="s">
        <v>32</v>
      </c>
      <c r="W905" s="29" t="s">
        <v>22</v>
      </c>
      <c r="X905" s="37" t="s">
        <v>648</v>
      </c>
      <c r="Y905" s="31"/>
      <c r="Z905" s="26" t="str">
        <f t="shared" si="5"/>
        <v/>
      </c>
      <c r="AA905" s="26" t="str">
        <f t="shared" si="6"/>
        <v/>
      </c>
      <c r="AB905" s="32" t="str">
        <f t="shared" si="7"/>
        <v/>
      </c>
      <c r="AC905" s="32" t="str">
        <f t="shared" ref="AC905:AG905" si="909">IF(J905&lt;&gt;"", IF(AND($P905=FALSE, $A905=FALSE), -J905, IF(AND($P905=FALSE, $A905=TRUE), 0, IF($P905=TRUE, (J905 / $R905) * 100 * ($S905 / 100)-J905, ))), )</f>
        <v/>
      </c>
      <c r="AD905" s="32" t="str">
        <f t="shared" si="909"/>
        <v/>
      </c>
      <c r="AE905" s="32" t="str">
        <f t="shared" si="909"/>
        <v/>
      </c>
      <c r="AF905" s="32" t="str">
        <f t="shared" si="909"/>
        <v/>
      </c>
      <c r="AG905" s="32" t="str">
        <f t="shared" si="909"/>
        <v/>
      </c>
      <c r="AH905" s="33"/>
    </row>
    <row r="906" hidden="1" outlineLevel="3">
      <c r="A906" s="16" t="b">
        <v>0</v>
      </c>
      <c r="B906" s="17"/>
      <c r="C906" s="18"/>
      <c r="D906" s="34"/>
      <c r="E906" s="43"/>
      <c r="F906" s="44"/>
      <c r="G906" s="23"/>
      <c r="H906" s="23"/>
      <c r="I906" s="23"/>
      <c r="J906" s="23"/>
      <c r="K906" s="23"/>
      <c r="L906" s="23"/>
      <c r="M906" s="23"/>
      <c r="N906" s="23"/>
      <c r="O906" s="24"/>
      <c r="P906" s="16" t="b">
        <v>0</v>
      </c>
      <c r="Q906" s="24"/>
      <c r="R906" s="50"/>
      <c r="S906" s="34"/>
      <c r="T906" s="49"/>
      <c r="U906" s="24"/>
      <c r="V906" s="28" t="s">
        <v>32</v>
      </c>
      <c r="W906" s="29" t="s">
        <v>22</v>
      </c>
      <c r="X906" s="37" t="s">
        <v>253</v>
      </c>
      <c r="Y906" s="31"/>
      <c r="Z906" s="26" t="str">
        <f t="shared" si="5"/>
        <v/>
      </c>
      <c r="AA906" s="26" t="str">
        <f t="shared" si="6"/>
        <v/>
      </c>
      <c r="AB906" s="32" t="str">
        <f t="shared" si="7"/>
        <v/>
      </c>
      <c r="AC906" s="32" t="str">
        <f t="shared" ref="AC906:AG906" si="910">IF(J906&lt;&gt;"", IF(AND($P906=FALSE, $A906=FALSE), -J906, IF(AND($P906=FALSE, $A906=TRUE), 0, IF($P906=TRUE, (J906 / $R906) * 100 * ($S906 / 100)-J906, ))), )</f>
        <v/>
      </c>
      <c r="AD906" s="32" t="str">
        <f t="shared" si="910"/>
        <v/>
      </c>
      <c r="AE906" s="32" t="str">
        <f t="shared" si="910"/>
        <v/>
      </c>
      <c r="AF906" s="32" t="str">
        <f t="shared" si="910"/>
        <v/>
      </c>
      <c r="AG906" s="32" t="str">
        <f t="shared" si="910"/>
        <v/>
      </c>
      <c r="AH906" s="33"/>
    </row>
    <row r="907" hidden="1" outlineLevel="2" collapsed="1">
      <c r="A907" s="16" t="b">
        <v>0</v>
      </c>
      <c r="B907" s="17"/>
      <c r="C907" s="18"/>
      <c r="D907" s="42">
        <v>45263.0</v>
      </c>
      <c r="E907" s="43" t="s">
        <v>24</v>
      </c>
      <c r="F907" s="44" t="s">
        <v>57</v>
      </c>
      <c r="G907" s="45">
        <v>3.0</v>
      </c>
      <c r="H907" s="45">
        <v>1.5</v>
      </c>
      <c r="I907" s="45">
        <v>4.0</v>
      </c>
      <c r="J907" s="46"/>
      <c r="K907" s="46"/>
      <c r="L907" s="45"/>
      <c r="M907" s="46"/>
      <c r="N907" s="46"/>
      <c r="O907" s="47"/>
      <c r="P907" s="16" t="b">
        <v>0</v>
      </c>
      <c r="Q907" s="24"/>
      <c r="R907" s="48">
        <v>8.5</v>
      </c>
      <c r="S907" s="45">
        <v>20.85</v>
      </c>
      <c r="T907" s="49" t="s">
        <v>390</v>
      </c>
      <c r="U907" s="47"/>
      <c r="V907" s="28"/>
      <c r="W907" s="29"/>
      <c r="X907" s="30"/>
      <c r="Y907" s="31"/>
      <c r="Z907" s="26">
        <f t="shared" si="5"/>
        <v>-3</v>
      </c>
      <c r="AA907" s="26">
        <f t="shared" si="6"/>
        <v>-4</v>
      </c>
      <c r="AB907" s="32">
        <f t="shared" si="7"/>
        <v>-1.5</v>
      </c>
      <c r="AC907" s="32" t="str">
        <f t="shared" ref="AC907:AG907" si="911">IF(J907&lt;&gt;"", IF(AND($P907=FALSE, $A907=FALSE), -J907, IF(AND($P907=FALSE, $A907=TRUE), 0, IF($P907=TRUE, (J907 / $R907) * 100 * ($S907 / 100)-J907, ))), )</f>
        <v/>
      </c>
      <c r="AD907" s="32" t="str">
        <f t="shared" si="911"/>
        <v/>
      </c>
      <c r="AE907" s="32" t="str">
        <f t="shared" si="911"/>
        <v/>
      </c>
      <c r="AF907" s="32" t="str">
        <f t="shared" si="911"/>
        <v/>
      </c>
      <c r="AG907" s="32" t="str">
        <f t="shared" si="911"/>
        <v/>
      </c>
      <c r="AH907" s="33"/>
    </row>
    <row r="908" hidden="1" outlineLevel="3">
      <c r="A908" s="16" t="b">
        <v>0</v>
      </c>
      <c r="B908" s="17"/>
      <c r="C908" s="18"/>
      <c r="D908" s="34"/>
      <c r="E908" s="43"/>
      <c r="F908" s="44"/>
      <c r="G908" s="23"/>
      <c r="H908" s="23"/>
      <c r="I908" s="23"/>
      <c r="J908" s="23"/>
      <c r="K908" s="23"/>
      <c r="L908" s="23"/>
      <c r="M908" s="23"/>
      <c r="N908" s="23"/>
      <c r="O908" s="24"/>
      <c r="P908" s="16" t="b">
        <v>0</v>
      </c>
      <c r="Q908" s="24"/>
      <c r="R908" s="50"/>
      <c r="S908" s="34"/>
      <c r="T908" s="49"/>
      <c r="U908" s="24"/>
      <c r="V908" s="38" t="s">
        <v>29</v>
      </c>
      <c r="W908" s="29" t="s">
        <v>22</v>
      </c>
      <c r="X908" s="37" t="s">
        <v>649</v>
      </c>
      <c r="Y908" s="31"/>
      <c r="Z908" s="26" t="str">
        <f t="shared" si="5"/>
        <v/>
      </c>
      <c r="AA908" s="26" t="str">
        <f t="shared" si="6"/>
        <v/>
      </c>
      <c r="AB908" s="32" t="str">
        <f t="shared" si="7"/>
        <v/>
      </c>
      <c r="AC908" s="32" t="str">
        <f t="shared" ref="AC908:AG908" si="912">IF(J908&lt;&gt;"", IF(AND($P908=FALSE, $A908=FALSE), -J908, IF(AND($P908=FALSE, $A908=TRUE), 0, IF($P908=TRUE, (J908 / $R908) * 100 * ($S908 / 100)-J908, ))), )</f>
        <v/>
      </c>
      <c r="AD908" s="32" t="str">
        <f t="shared" si="912"/>
        <v/>
      </c>
      <c r="AE908" s="32" t="str">
        <f t="shared" si="912"/>
        <v/>
      </c>
      <c r="AF908" s="32" t="str">
        <f t="shared" si="912"/>
        <v/>
      </c>
      <c r="AG908" s="32" t="str">
        <f t="shared" si="912"/>
        <v/>
      </c>
      <c r="AH908" s="33"/>
    </row>
    <row r="909" hidden="1" outlineLevel="3">
      <c r="A909" s="16" t="b">
        <v>0</v>
      </c>
      <c r="B909" s="17"/>
      <c r="C909" s="18"/>
      <c r="D909" s="34"/>
      <c r="E909" s="43"/>
      <c r="F909" s="44"/>
      <c r="G909" s="23"/>
      <c r="H909" s="23"/>
      <c r="I909" s="23"/>
      <c r="J909" s="23"/>
      <c r="K909" s="23"/>
      <c r="L909" s="23"/>
      <c r="M909" s="23"/>
      <c r="N909" s="23"/>
      <c r="O909" s="24"/>
      <c r="P909" s="16" t="b">
        <v>0</v>
      </c>
      <c r="Q909" s="24"/>
      <c r="R909" s="50"/>
      <c r="S909" s="34"/>
      <c r="T909" s="49"/>
      <c r="U909" s="24"/>
      <c r="V909" s="28" t="s">
        <v>32</v>
      </c>
      <c r="W909" s="29" t="s">
        <v>22</v>
      </c>
      <c r="X909" s="37" t="s">
        <v>650</v>
      </c>
      <c r="Y909" s="31"/>
      <c r="Z909" s="26" t="str">
        <f t="shared" si="5"/>
        <v/>
      </c>
      <c r="AA909" s="26" t="str">
        <f t="shared" si="6"/>
        <v/>
      </c>
      <c r="AB909" s="32" t="str">
        <f t="shared" si="7"/>
        <v/>
      </c>
      <c r="AC909" s="32" t="str">
        <f t="shared" ref="AC909:AG909" si="913">IF(J909&lt;&gt;"", IF(AND($P909=FALSE, $A909=FALSE), -J909, IF(AND($P909=FALSE, $A909=TRUE), 0, IF($P909=TRUE, (J909 / $R909) * 100 * ($S909 / 100)-J909, ))), )</f>
        <v/>
      </c>
      <c r="AD909" s="32" t="str">
        <f t="shared" si="913"/>
        <v/>
      </c>
      <c r="AE909" s="32" t="str">
        <f t="shared" si="913"/>
        <v/>
      </c>
      <c r="AF909" s="32" t="str">
        <f t="shared" si="913"/>
        <v/>
      </c>
      <c r="AG909" s="32" t="str">
        <f t="shared" si="913"/>
        <v/>
      </c>
      <c r="AH909" s="33"/>
    </row>
    <row r="910" hidden="1" outlineLevel="3">
      <c r="A910" s="16" t="b">
        <v>0</v>
      </c>
      <c r="B910" s="17"/>
      <c r="C910" s="18"/>
      <c r="D910" s="34"/>
      <c r="E910" s="43"/>
      <c r="F910" s="44"/>
      <c r="G910" s="23"/>
      <c r="H910" s="23"/>
      <c r="I910" s="23"/>
      <c r="J910" s="23"/>
      <c r="K910" s="23"/>
      <c r="L910" s="23"/>
      <c r="M910" s="23"/>
      <c r="N910" s="23"/>
      <c r="O910" s="24"/>
      <c r="P910" s="16" t="b">
        <v>0</v>
      </c>
      <c r="Q910" s="24"/>
      <c r="R910" s="50"/>
      <c r="S910" s="34"/>
      <c r="T910" s="49"/>
      <c r="U910" s="24"/>
      <c r="V910" s="38" t="s">
        <v>29</v>
      </c>
      <c r="W910" s="29" t="s">
        <v>22</v>
      </c>
      <c r="X910" s="37" t="s">
        <v>651</v>
      </c>
      <c r="Y910" s="31"/>
      <c r="Z910" s="26" t="str">
        <f t="shared" si="5"/>
        <v/>
      </c>
      <c r="AA910" s="26" t="str">
        <f t="shared" si="6"/>
        <v/>
      </c>
      <c r="AB910" s="32" t="str">
        <f t="shared" si="7"/>
        <v/>
      </c>
      <c r="AC910" s="32" t="str">
        <f t="shared" ref="AC910:AG910" si="914">IF(J910&lt;&gt;"", IF(AND($P910=FALSE, $A910=FALSE), -J910, IF(AND($P910=FALSE, $A910=TRUE), 0, IF($P910=TRUE, (J910 / $R910) * 100 * ($S910 / 100)-J910, ))), )</f>
        <v/>
      </c>
      <c r="AD910" s="32" t="str">
        <f t="shared" si="914"/>
        <v/>
      </c>
      <c r="AE910" s="32" t="str">
        <f t="shared" si="914"/>
        <v/>
      </c>
      <c r="AF910" s="32" t="str">
        <f t="shared" si="914"/>
        <v/>
      </c>
      <c r="AG910" s="32" t="str">
        <f t="shared" si="914"/>
        <v/>
      </c>
      <c r="AH910" s="33"/>
    </row>
    <row r="911" hidden="1" outlineLevel="3">
      <c r="A911" s="16" t="b">
        <v>0</v>
      </c>
      <c r="B911" s="17"/>
      <c r="C911" s="18"/>
      <c r="D911" s="34"/>
      <c r="E911" s="43"/>
      <c r="F911" s="44"/>
      <c r="G911" s="23"/>
      <c r="H911" s="23"/>
      <c r="I911" s="23"/>
      <c r="J911" s="23"/>
      <c r="K911" s="23"/>
      <c r="L911" s="23"/>
      <c r="M911" s="23"/>
      <c r="N911" s="23"/>
      <c r="O911" s="24"/>
      <c r="P911" s="16" t="b">
        <v>0</v>
      </c>
      <c r="Q911" s="24"/>
      <c r="R911" s="50"/>
      <c r="S911" s="34"/>
      <c r="T911" s="49"/>
      <c r="U911" s="24"/>
      <c r="V911" s="28" t="s">
        <v>32</v>
      </c>
      <c r="W911" s="29" t="s">
        <v>22</v>
      </c>
      <c r="X911" s="37" t="s">
        <v>614</v>
      </c>
      <c r="Y911" s="31"/>
      <c r="Z911" s="26" t="str">
        <f t="shared" si="5"/>
        <v/>
      </c>
      <c r="AA911" s="26" t="str">
        <f t="shared" si="6"/>
        <v/>
      </c>
      <c r="AB911" s="32" t="str">
        <f t="shared" si="7"/>
        <v/>
      </c>
      <c r="AC911" s="32" t="str">
        <f t="shared" ref="AC911:AG911" si="915">IF(J911&lt;&gt;"", IF(AND($P911=FALSE, $A911=FALSE), -J911, IF(AND($P911=FALSE, $A911=TRUE), 0, IF($P911=TRUE, (J911 / $R911) * 100 * ($S911 / 100)-J911, ))), )</f>
        <v/>
      </c>
      <c r="AD911" s="32" t="str">
        <f t="shared" si="915"/>
        <v/>
      </c>
      <c r="AE911" s="32" t="str">
        <f t="shared" si="915"/>
        <v/>
      </c>
      <c r="AF911" s="32" t="str">
        <f t="shared" si="915"/>
        <v/>
      </c>
      <c r="AG911" s="32" t="str">
        <f t="shared" si="915"/>
        <v/>
      </c>
      <c r="AH911" s="33"/>
    </row>
    <row r="912" hidden="1" outlineLevel="2" collapsed="1">
      <c r="A912" s="16" t="b">
        <v>0</v>
      </c>
      <c r="B912" s="17"/>
      <c r="C912" s="18"/>
      <c r="D912" s="42">
        <v>45263.0</v>
      </c>
      <c r="E912" s="43" t="s">
        <v>24</v>
      </c>
      <c r="F912" s="44" t="s">
        <v>57</v>
      </c>
      <c r="G912" s="45">
        <v>3.0</v>
      </c>
      <c r="H912" s="45">
        <v>1.5</v>
      </c>
      <c r="I912" s="45">
        <v>3.0</v>
      </c>
      <c r="J912" s="46"/>
      <c r="K912" s="46"/>
      <c r="L912" s="45"/>
      <c r="M912" s="46"/>
      <c r="N912" s="46"/>
      <c r="O912" s="47"/>
      <c r="P912" s="16" t="b">
        <v>0</v>
      </c>
      <c r="Q912" s="24"/>
      <c r="R912" s="48">
        <v>7.5</v>
      </c>
      <c r="S912" s="45">
        <v>29.67</v>
      </c>
      <c r="T912" s="49" t="s">
        <v>652</v>
      </c>
      <c r="U912" s="47"/>
      <c r="V912" s="28"/>
      <c r="W912" s="29"/>
      <c r="X912" s="30"/>
      <c r="Y912" s="31"/>
      <c r="Z912" s="26">
        <f t="shared" si="5"/>
        <v>-3</v>
      </c>
      <c r="AA912" s="26">
        <f t="shared" si="6"/>
        <v>-3</v>
      </c>
      <c r="AB912" s="32">
        <f t="shared" si="7"/>
        <v>-1.5</v>
      </c>
      <c r="AC912" s="32" t="str">
        <f t="shared" ref="AC912:AG912" si="916">IF(J912&lt;&gt;"", IF(AND($P912=FALSE, $A912=FALSE), -J912, IF(AND($P912=FALSE, $A912=TRUE), 0, IF($P912=TRUE, (J912 / $R912) * 100 * ($S912 / 100)-J912, ))), )</f>
        <v/>
      </c>
      <c r="AD912" s="32" t="str">
        <f t="shared" si="916"/>
        <v/>
      </c>
      <c r="AE912" s="32" t="str">
        <f t="shared" si="916"/>
        <v/>
      </c>
      <c r="AF912" s="32" t="str">
        <f t="shared" si="916"/>
        <v/>
      </c>
      <c r="AG912" s="32" t="str">
        <f t="shared" si="916"/>
        <v/>
      </c>
      <c r="AH912" s="33"/>
    </row>
    <row r="913" hidden="1" outlineLevel="3">
      <c r="A913" s="16" t="b">
        <v>0</v>
      </c>
      <c r="B913" s="17"/>
      <c r="C913" s="18"/>
      <c r="D913" s="34"/>
      <c r="E913" s="43"/>
      <c r="F913" s="44"/>
      <c r="G913" s="23"/>
      <c r="H913" s="23"/>
      <c r="I913" s="23"/>
      <c r="J913" s="23"/>
      <c r="K913" s="23"/>
      <c r="L913" s="23"/>
      <c r="M913" s="23"/>
      <c r="N913" s="23"/>
      <c r="O913" s="24"/>
      <c r="P913" s="16" t="b">
        <v>0</v>
      </c>
      <c r="Q913" s="24"/>
      <c r="R913" s="50"/>
      <c r="S913" s="34"/>
      <c r="T913" s="49"/>
      <c r="U913" s="24"/>
      <c r="V913" s="28" t="s">
        <v>32</v>
      </c>
      <c r="W913" s="29" t="s">
        <v>22</v>
      </c>
      <c r="X913" s="37" t="s">
        <v>331</v>
      </c>
      <c r="Y913" s="31"/>
      <c r="Z913" s="26" t="str">
        <f t="shared" si="5"/>
        <v/>
      </c>
      <c r="AA913" s="26" t="str">
        <f t="shared" si="6"/>
        <v/>
      </c>
      <c r="AB913" s="32" t="str">
        <f t="shared" si="7"/>
        <v/>
      </c>
      <c r="AC913" s="32" t="str">
        <f t="shared" ref="AC913:AG913" si="917">IF(J913&lt;&gt;"", IF(AND($P913=FALSE, $A913=FALSE), -J913, IF(AND($P913=FALSE, $A913=TRUE), 0, IF($P913=TRUE, (J913 / $R913) * 100 * ($S913 / 100)-J913, ))), )</f>
        <v/>
      </c>
      <c r="AD913" s="32" t="str">
        <f t="shared" si="917"/>
        <v/>
      </c>
      <c r="AE913" s="32" t="str">
        <f t="shared" si="917"/>
        <v/>
      </c>
      <c r="AF913" s="32" t="str">
        <f t="shared" si="917"/>
        <v/>
      </c>
      <c r="AG913" s="32" t="str">
        <f t="shared" si="917"/>
        <v/>
      </c>
      <c r="AH913" s="33"/>
    </row>
    <row r="914" hidden="1" outlineLevel="3">
      <c r="A914" s="16" t="b">
        <v>0</v>
      </c>
      <c r="B914" s="17"/>
      <c r="C914" s="18"/>
      <c r="D914" s="34"/>
      <c r="E914" s="43"/>
      <c r="F914" s="44"/>
      <c r="G914" s="23"/>
      <c r="H914" s="23"/>
      <c r="I914" s="23"/>
      <c r="J914" s="23"/>
      <c r="K914" s="23"/>
      <c r="L914" s="23"/>
      <c r="M914" s="23"/>
      <c r="N914" s="23"/>
      <c r="O914" s="24"/>
      <c r="P914" s="16" t="b">
        <v>0</v>
      </c>
      <c r="Q914" s="24"/>
      <c r="R914" s="50"/>
      <c r="S914" s="34"/>
      <c r="T914" s="49"/>
      <c r="U914" s="24"/>
      <c r="V914" s="28" t="s">
        <v>32</v>
      </c>
      <c r="W914" s="29" t="s">
        <v>22</v>
      </c>
      <c r="X914" s="37" t="s">
        <v>332</v>
      </c>
      <c r="Y914" s="31"/>
      <c r="Z914" s="26" t="str">
        <f t="shared" si="5"/>
        <v/>
      </c>
      <c r="AA914" s="26" t="str">
        <f t="shared" si="6"/>
        <v/>
      </c>
      <c r="AB914" s="32" t="str">
        <f t="shared" si="7"/>
        <v/>
      </c>
      <c r="AC914" s="32" t="str">
        <f t="shared" ref="AC914:AG914" si="918">IF(J914&lt;&gt;"", IF(AND($P914=FALSE, $A914=FALSE), -J914, IF(AND($P914=FALSE, $A914=TRUE), 0, IF($P914=TRUE, (J914 / $R914) * 100 * ($S914 / 100)-J914, ))), )</f>
        <v/>
      </c>
      <c r="AD914" s="32" t="str">
        <f t="shared" si="918"/>
        <v/>
      </c>
      <c r="AE914" s="32" t="str">
        <f t="shared" si="918"/>
        <v/>
      </c>
      <c r="AF914" s="32" t="str">
        <f t="shared" si="918"/>
        <v/>
      </c>
      <c r="AG914" s="32" t="str">
        <f t="shared" si="918"/>
        <v/>
      </c>
      <c r="AH914" s="33"/>
    </row>
    <row r="915" hidden="1" outlineLevel="3">
      <c r="A915" s="16" t="b">
        <v>0</v>
      </c>
      <c r="B915" s="17"/>
      <c r="C915" s="18"/>
      <c r="D915" s="34"/>
      <c r="E915" s="43"/>
      <c r="F915" s="44"/>
      <c r="G915" s="23"/>
      <c r="H915" s="23"/>
      <c r="I915" s="23"/>
      <c r="J915" s="23"/>
      <c r="K915" s="23"/>
      <c r="L915" s="23"/>
      <c r="M915" s="23"/>
      <c r="N915" s="23"/>
      <c r="O915" s="24"/>
      <c r="P915" s="16" t="b">
        <v>0</v>
      </c>
      <c r="Q915" s="24"/>
      <c r="R915" s="50"/>
      <c r="S915" s="34"/>
      <c r="T915" s="49"/>
      <c r="U915" s="24"/>
      <c r="V915" s="28" t="s">
        <v>32</v>
      </c>
      <c r="W915" s="29" t="s">
        <v>22</v>
      </c>
      <c r="X915" s="37" t="s">
        <v>381</v>
      </c>
      <c r="Y915" s="31"/>
      <c r="Z915" s="26" t="str">
        <f t="shared" si="5"/>
        <v/>
      </c>
      <c r="AA915" s="26" t="str">
        <f t="shared" si="6"/>
        <v/>
      </c>
      <c r="AB915" s="32" t="str">
        <f t="shared" si="7"/>
        <v/>
      </c>
      <c r="AC915" s="32" t="str">
        <f t="shared" ref="AC915:AG915" si="919">IF(J915&lt;&gt;"", IF(AND($P915=FALSE, $A915=FALSE), -J915, IF(AND($P915=FALSE, $A915=TRUE), 0, IF($P915=TRUE, (J915 / $R915) * 100 * ($S915 / 100)-J915, ))), )</f>
        <v/>
      </c>
      <c r="AD915" s="32" t="str">
        <f t="shared" si="919"/>
        <v/>
      </c>
      <c r="AE915" s="32" t="str">
        <f t="shared" si="919"/>
        <v/>
      </c>
      <c r="AF915" s="32" t="str">
        <f t="shared" si="919"/>
        <v/>
      </c>
      <c r="AG915" s="32" t="str">
        <f t="shared" si="919"/>
        <v/>
      </c>
      <c r="AH915" s="33"/>
    </row>
    <row r="916" hidden="1" outlineLevel="3">
      <c r="A916" s="16" t="b">
        <v>0</v>
      </c>
      <c r="B916" s="17"/>
      <c r="C916" s="18"/>
      <c r="D916" s="34"/>
      <c r="E916" s="43"/>
      <c r="F916" s="44"/>
      <c r="G916" s="23"/>
      <c r="H916" s="23"/>
      <c r="I916" s="23"/>
      <c r="J916" s="23"/>
      <c r="K916" s="23"/>
      <c r="L916" s="23"/>
      <c r="M916" s="23"/>
      <c r="N916" s="23"/>
      <c r="O916" s="24"/>
      <c r="P916" s="16" t="b">
        <v>0</v>
      </c>
      <c r="Q916" s="24"/>
      <c r="R916" s="50"/>
      <c r="S916" s="34"/>
      <c r="T916" s="49"/>
      <c r="U916" s="24"/>
      <c r="V916" s="38" t="s">
        <v>29</v>
      </c>
      <c r="W916" s="29" t="s">
        <v>22</v>
      </c>
      <c r="X916" s="37" t="s">
        <v>653</v>
      </c>
      <c r="Y916" s="31"/>
      <c r="Z916" s="26" t="str">
        <f t="shared" si="5"/>
        <v/>
      </c>
      <c r="AA916" s="26" t="str">
        <f t="shared" si="6"/>
        <v/>
      </c>
      <c r="AB916" s="32" t="str">
        <f t="shared" si="7"/>
        <v/>
      </c>
      <c r="AC916" s="32" t="str">
        <f t="shared" ref="AC916:AG916" si="920">IF(J916&lt;&gt;"", IF(AND($P916=FALSE, $A916=FALSE), -J916, IF(AND($P916=FALSE, $A916=TRUE), 0, IF($P916=TRUE, (J916 / $R916) * 100 * ($S916 / 100)-J916, ))), )</f>
        <v/>
      </c>
      <c r="AD916" s="32" t="str">
        <f t="shared" si="920"/>
        <v/>
      </c>
      <c r="AE916" s="32" t="str">
        <f t="shared" si="920"/>
        <v/>
      </c>
      <c r="AF916" s="32" t="str">
        <f t="shared" si="920"/>
        <v/>
      </c>
      <c r="AG916" s="32" t="str">
        <f t="shared" si="920"/>
        <v/>
      </c>
      <c r="AH916" s="33"/>
    </row>
    <row r="917" hidden="1" outlineLevel="3">
      <c r="A917" s="16" t="b">
        <v>0</v>
      </c>
      <c r="B917" s="17"/>
      <c r="C917" s="18"/>
      <c r="D917" s="34"/>
      <c r="E917" s="43"/>
      <c r="F917" s="44"/>
      <c r="G917" s="23"/>
      <c r="H917" s="23"/>
      <c r="I917" s="23"/>
      <c r="J917" s="23"/>
      <c r="K917" s="23"/>
      <c r="L917" s="23"/>
      <c r="M917" s="23"/>
      <c r="N917" s="23"/>
      <c r="O917" s="24"/>
      <c r="P917" s="16" t="b">
        <v>0</v>
      </c>
      <c r="Q917" s="24"/>
      <c r="R917" s="50"/>
      <c r="S917" s="34"/>
      <c r="T917" s="49"/>
      <c r="U917" s="24"/>
      <c r="V917" s="28" t="s">
        <v>32</v>
      </c>
      <c r="W917" s="29" t="s">
        <v>22</v>
      </c>
      <c r="X917" s="37" t="s">
        <v>485</v>
      </c>
      <c r="Y917" s="31"/>
      <c r="Z917" s="26" t="str">
        <f t="shared" si="5"/>
        <v/>
      </c>
      <c r="AA917" s="26" t="str">
        <f t="shared" si="6"/>
        <v/>
      </c>
      <c r="AB917" s="32" t="str">
        <f t="shared" si="7"/>
        <v/>
      </c>
      <c r="AC917" s="32" t="str">
        <f t="shared" ref="AC917:AG917" si="921">IF(J917&lt;&gt;"", IF(AND($P917=FALSE, $A917=FALSE), -J917, IF(AND($P917=FALSE, $A917=TRUE), 0, IF($P917=TRUE, (J917 / $R917) * 100 * ($S917 / 100)-J917, ))), )</f>
        <v/>
      </c>
      <c r="AD917" s="32" t="str">
        <f t="shared" si="921"/>
        <v/>
      </c>
      <c r="AE917" s="32" t="str">
        <f t="shared" si="921"/>
        <v/>
      </c>
      <c r="AF917" s="32" t="str">
        <f t="shared" si="921"/>
        <v/>
      </c>
      <c r="AG917" s="32" t="str">
        <f t="shared" si="921"/>
        <v/>
      </c>
      <c r="AH917" s="33"/>
    </row>
    <row r="918" hidden="1" outlineLevel="3">
      <c r="A918" s="16" t="b">
        <v>0</v>
      </c>
      <c r="B918" s="17"/>
      <c r="C918" s="18"/>
      <c r="D918" s="34"/>
      <c r="E918" s="43"/>
      <c r="F918" s="44"/>
      <c r="G918" s="23"/>
      <c r="H918" s="23"/>
      <c r="I918" s="23"/>
      <c r="J918" s="23"/>
      <c r="K918" s="23"/>
      <c r="L918" s="23"/>
      <c r="M918" s="23"/>
      <c r="N918" s="23"/>
      <c r="O918" s="24"/>
      <c r="P918" s="16" t="b">
        <v>0</v>
      </c>
      <c r="Q918" s="24"/>
      <c r="R918" s="50"/>
      <c r="S918" s="34"/>
      <c r="T918" s="49"/>
      <c r="U918" s="24"/>
      <c r="V918" s="38" t="s">
        <v>29</v>
      </c>
      <c r="W918" s="29" t="s">
        <v>22</v>
      </c>
      <c r="X918" s="37" t="s">
        <v>654</v>
      </c>
      <c r="Y918" s="31"/>
      <c r="Z918" s="26" t="str">
        <f t="shared" si="5"/>
        <v/>
      </c>
      <c r="AA918" s="26" t="str">
        <f t="shared" si="6"/>
        <v/>
      </c>
      <c r="AB918" s="32" t="str">
        <f t="shared" si="7"/>
        <v/>
      </c>
      <c r="AC918" s="32" t="str">
        <f t="shared" ref="AC918:AG918" si="922">IF(J918&lt;&gt;"", IF(AND($P918=FALSE, $A918=FALSE), -J918, IF(AND($P918=FALSE, $A918=TRUE), 0, IF($P918=TRUE, (J918 / $R918) * 100 * ($S918 / 100)-J918, ))), )</f>
        <v/>
      </c>
      <c r="AD918" s="32" t="str">
        <f t="shared" si="922"/>
        <v/>
      </c>
      <c r="AE918" s="32" t="str">
        <f t="shared" si="922"/>
        <v/>
      </c>
      <c r="AF918" s="32" t="str">
        <f t="shared" si="922"/>
        <v/>
      </c>
      <c r="AG918" s="32" t="str">
        <f t="shared" si="922"/>
        <v/>
      </c>
      <c r="AH918" s="33"/>
    </row>
    <row r="919" hidden="1" outlineLevel="2" collapsed="1">
      <c r="A919" s="16" t="b">
        <v>0</v>
      </c>
      <c r="B919" s="17"/>
      <c r="C919" s="18"/>
      <c r="D919" s="42">
        <v>45263.0</v>
      </c>
      <c r="E919" s="43" t="s">
        <v>24</v>
      </c>
      <c r="F919" s="44" t="s">
        <v>57</v>
      </c>
      <c r="G919" s="45">
        <v>2.0</v>
      </c>
      <c r="H919" s="45">
        <v>1.0</v>
      </c>
      <c r="I919" s="45">
        <v>2.0</v>
      </c>
      <c r="J919" s="46"/>
      <c r="K919" s="46"/>
      <c r="L919" s="45"/>
      <c r="M919" s="46"/>
      <c r="N919" s="46"/>
      <c r="O919" s="47"/>
      <c r="P919" s="16" t="b">
        <v>0</v>
      </c>
      <c r="Q919" s="24"/>
      <c r="R919" s="48">
        <v>5.0</v>
      </c>
      <c r="S919" s="45">
        <v>16.5</v>
      </c>
      <c r="T919" s="49" t="s">
        <v>114</v>
      </c>
      <c r="U919" s="47"/>
      <c r="V919" s="28"/>
      <c r="W919" s="29"/>
      <c r="X919" s="30"/>
      <c r="Y919" s="31"/>
      <c r="Z919" s="26">
        <f t="shared" si="5"/>
        <v>-2</v>
      </c>
      <c r="AA919" s="26">
        <f t="shared" si="6"/>
        <v>-2</v>
      </c>
      <c r="AB919" s="32">
        <f t="shared" si="7"/>
        <v>-1</v>
      </c>
      <c r="AC919" s="32" t="str">
        <f t="shared" ref="AC919:AG919" si="923">IF(J919&lt;&gt;"", IF(AND($P919=FALSE, $A919=FALSE), -J919, IF(AND($P919=FALSE, $A919=TRUE), 0, IF($P919=TRUE, (J919 / $R919) * 100 * ($S919 / 100)-J919, ))), )</f>
        <v/>
      </c>
      <c r="AD919" s="32" t="str">
        <f t="shared" si="923"/>
        <v/>
      </c>
      <c r="AE919" s="32" t="str">
        <f t="shared" si="923"/>
        <v/>
      </c>
      <c r="AF919" s="32" t="str">
        <f t="shared" si="923"/>
        <v/>
      </c>
      <c r="AG919" s="32" t="str">
        <f t="shared" si="923"/>
        <v/>
      </c>
      <c r="AH919" s="33"/>
    </row>
    <row r="920" hidden="1" outlineLevel="3">
      <c r="A920" s="16" t="b">
        <v>0</v>
      </c>
      <c r="B920" s="17"/>
      <c r="C920" s="18"/>
      <c r="D920" s="34"/>
      <c r="E920" s="43"/>
      <c r="F920" s="44"/>
      <c r="G920" s="23"/>
      <c r="H920" s="23"/>
      <c r="I920" s="23"/>
      <c r="J920" s="23"/>
      <c r="K920" s="23"/>
      <c r="L920" s="23"/>
      <c r="M920" s="23"/>
      <c r="N920" s="23"/>
      <c r="O920" s="24"/>
      <c r="P920" s="16" t="b">
        <v>0</v>
      </c>
      <c r="Q920" s="24"/>
      <c r="R920" s="50"/>
      <c r="S920" s="34"/>
      <c r="T920" s="49"/>
      <c r="U920" s="24"/>
      <c r="V920" s="28" t="s">
        <v>32</v>
      </c>
      <c r="W920" s="29" t="s">
        <v>22</v>
      </c>
      <c r="X920" s="37" t="s">
        <v>655</v>
      </c>
      <c r="Y920" s="31"/>
      <c r="Z920" s="26" t="str">
        <f t="shared" si="5"/>
        <v/>
      </c>
      <c r="AA920" s="26" t="str">
        <f t="shared" si="6"/>
        <v/>
      </c>
      <c r="AB920" s="32" t="str">
        <f t="shared" si="7"/>
        <v/>
      </c>
      <c r="AC920" s="32" t="str">
        <f t="shared" ref="AC920:AG920" si="924">IF(J920&lt;&gt;"", IF(AND($P920=FALSE, $A920=FALSE), -J920, IF(AND($P920=FALSE, $A920=TRUE), 0, IF($P920=TRUE, (J920 / $R920) * 100 * ($S920 / 100)-J920, ))), )</f>
        <v/>
      </c>
      <c r="AD920" s="32" t="str">
        <f t="shared" si="924"/>
        <v/>
      </c>
      <c r="AE920" s="32" t="str">
        <f t="shared" si="924"/>
        <v/>
      </c>
      <c r="AF920" s="32" t="str">
        <f t="shared" si="924"/>
        <v/>
      </c>
      <c r="AG920" s="32" t="str">
        <f t="shared" si="924"/>
        <v/>
      </c>
      <c r="AH920" s="33"/>
    </row>
    <row r="921" hidden="1" outlineLevel="3">
      <c r="A921" s="16" t="b">
        <v>0</v>
      </c>
      <c r="B921" s="17"/>
      <c r="C921" s="18"/>
      <c r="D921" s="34"/>
      <c r="E921" s="43"/>
      <c r="F921" s="44"/>
      <c r="G921" s="23"/>
      <c r="H921" s="23"/>
      <c r="I921" s="23"/>
      <c r="J921" s="23"/>
      <c r="K921" s="23"/>
      <c r="L921" s="23"/>
      <c r="M921" s="23"/>
      <c r="N921" s="23"/>
      <c r="O921" s="24"/>
      <c r="P921" s="16" t="b">
        <v>0</v>
      </c>
      <c r="Q921" s="24"/>
      <c r="R921" s="50"/>
      <c r="S921" s="34"/>
      <c r="T921" s="49"/>
      <c r="U921" s="24"/>
      <c r="V921" s="28" t="s">
        <v>32</v>
      </c>
      <c r="W921" s="29" t="s">
        <v>22</v>
      </c>
      <c r="X921" s="37" t="s">
        <v>656</v>
      </c>
      <c r="Y921" s="31"/>
      <c r="Z921" s="26" t="str">
        <f t="shared" si="5"/>
        <v/>
      </c>
      <c r="AA921" s="26" t="str">
        <f t="shared" si="6"/>
        <v/>
      </c>
      <c r="AB921" s="32" t="str">
        <f t="shared" si="7"/>
        <v/>
      </c>
      <c r="AC921" s="32" t="str">
        <f t="shared" ref="AC921:AG921" si="925">IF(J921&lt;&gt;"", IF(AND($P921=FALSE, $A921=FALSE), -J921, IF(AND($P921=FALSE, $A921=TRUE), 0, IF($P921=TRUE, (J921 / $R921) * 100 * ($S921 / 100)-J921, ))), )</f>
        <v/>
      </c>
      <c r="AD921" s="32" t="str">
        <f t="shared" si="925"/>
        <v/>
      </c>
      <c r="AE921" s="32" t="str">
        <f t="shared" si="925"/>
        <v/>
      </c>
      <c r="AF921" s="32" t="str">
        <f t="shared" si="925"/>
        <v/>
      </c>
      <c r="AG921" s="32" t="str">
        <f t="shared" si="925"/>
        <v/>
      </c>
      <c r="AH921" s="33"/>
    </row>
    <row r="922" hidden="1" outlineLevel="2" collapsed="1">
      <c r="A922" s="16" t="b">
        <v>0</v>
      </c>
      <c r="B922" s="17"/>
      <c r="C922" s="18"/>
      <c r="D922" s="42">
        <v>45263.0</v>
      </c>
      <c r="E922" s="43" t="s">
        <v>24</v>
      </c>
      <c r="F922" s="44" t="s">
        <v>57</v>
      </c>
      <c r="G922" s="45">
        <v>3.0</v>
      </c>
      <c r="H922" s="45">
        <v>1.5</v>
      </c>
      <c r="I922" s="45"/>
      <c r="J922" s="46"/>
      <c r="K922" s="46"/>
      <c r="L922" s="45"/>
      <c r="M922" s="46"/>
      <c r="N922" s="46"/>
      <c r="O922" s="47"/>
      <c r="P922" s="16" t="b">
        <v>0</v>
      </c>
      <c r="Q922" s="24"/>
      <c r="R922" s="48">
        <v>4.5</v>
      </c>
      <c r="S922" s="45">
        <v>11.81</v>
      </c>
      <c r="T922" s="49" t="s">
        <v>224</v>
      </c>
      <c r="U922" s="47"/>
      <c r="V922" s="28"/>
      <c r="W922" s="29"/>
      <c r="X922" s="30"/>
      <c r="Y922" s="31"/>
      <c r="Z922" s="26">
        <f t="shared" si="5"/>
        <v>-3</v>
      </c>
      <c r="AA922" s="26" t="str">
        <f t="shared" si="6"/>
        <v/>
      </c>
      <c r="AB922" s="32">
        <f t="shared" si="7"/>
        <v>-1.5</v>
      </c>
      <c r="AC922" s="32" t="str">
        <f t="shared" ref="AC922:AG922" si="926">IF(J922&lt;&gt;"", IF(AND($P922=FALSE, $A922=FALSE), -J922, IF(AND($P922=FALSE, $A922=TRUE), 0, IF($P922=TRUE, (J922 / $R922) * 100 * ($S922 / 100)-J922, ))), )</f>
        <v/>
      </c>
      <c r="AD922" s="32" t="str">
        <f t="shared" si="926"/>
        <v/>
      </c>
      <c r="AE922" s="32" t="str">
        <f t="shared" si="926"/>
        <v/>
      </c>
      <c r="AF922" s="32" t="str">
        <f t="shared" si="926"/>
        <v/>
      </c>
      <c r="AG922" s="32" t="str">
        <f t="shared" si="926"/>
        <v/>
      </c>
      <c r="AH922" s="33"/>
    </row>
    <row r="923" hidden="1" outlineLevel="3">
      <c r="A923" s="16" t="b">
        <v>0</v>
      </c>
      <c r="B923" s="17"/>
      <c r="C923" s="18"/>
      <c r="D923" s="34"/>
      <c r="E923" s="43"/>
      <c r="F923" s="44"/>
      <c r="G923" s="23"/>
      <c r="H923" s="23"/>
      <c r="I923" s="23"/>
      <c r="J923" s="23"/>
      <c r="K923" s="23"/>
      <c r="L923" s="23"/>
      <c r="M923" s="23"/>
      <c r="N923" s="23"/>
      <c r="O923" s="24"/>
      <c r="P923" s="16" t="b">
        <v>0</v>
      </c>
      <c r="Q923" s="24"/>
      <c r="R923" s="50"/>
      <c r="S923" s="34"/>
      <c r="T923" s="49"/>
      <c r="U923" s="24"/>
      <c r="V923" s="38" t="s">
        <v>29</v>
      </c>
      <c r="W923" s="29" t="s">
        <v>22</v>
      </c>
      <c r="X923" s="37" t="s">
        <v>168</v>
      </c>
      <c r="Y923" s="31"/>
      <c r="Z923" s="26" t="str">
        <f t="shared" si="5"/>
        <v/>
      </c>
      <c r="AA923" s="26" t="str">
        <f t="shared" si="6"/>
        <v/>
      </c>
      <c r="AB923" s="32" t="str">
        <f t="shared" si="7"/>
        <v/>
      </c>
      <c r="AC923" s="32" t="str">
        <f t="shared" ref="AC923:AG923" si="927">IF(J923&lt;&gt;"", IF(AND($P923=FALSE, $A923=FALSE), -J923, IF(AND($P923=FALSE, $A923=TRUE), 0, IF($P923=TRUE, (J923 / $R923) * 100 * ($S923 / 100)-J923, ))), )</f>
        <v/>
      </c>
      <c r="AD923" s="32" t="str">
        <f t="shared" si="927"/>
        <v/>
      </c>
      <c r="AE923" s="32" t="str">
        <f t="shared" si="927"/>
        <v/>
      </c>
      <c r="AF923" s="32" t="str">
        <f t="shared" si="927"/>
        <v/>
      </c>
      <c r="AG923" s="32" t="str">
        <f t="shared" si="927"/>
        <v/>
      </c>
      <c r="AH923" s="33"/>
    </row>
    <row r="924" hidden="1" outlineLevel="3">
      <c r="A924" s="16" t="b">
        <v>0</v>
      </c>
      <c r="B924" s="17"/>
      <c r="C924" s="18"/>
      <c r="D924" s="34"/>
      <c r="E924" s="43"/>
      <c r="F924" s="44"/>
      <c r="G924" s="23"/>
      <c r="H924" s="23"/>
      <c r="I924" s="23"/>
      <c r="J924" s="23"/>
      <c r="K924" s="23"/>
      <c r="L924" s="23"/>
      <c r="M924" s="23"/>
      <c r="N924" s="23"/>
      <c r="O924" s="24"/>
      <c r="P924" s="16" t="b">
        <v>0</v>
      </c>
      <c r="Q924" s="24"/>
      <c r="R924" s="50"/>
      <c r="S924" s="34"/>
      <c r="T924" s="49"/>
      <c r="U924" s="24"/>
      <c r="V924" s="28" t="s">
        <v>32</v>
      </c>
      <c r="W924" s="29" t="s">
        <v>22</v>
      </c>
      <c r="X924" s="37" t="s">
        <v>657</v>
      </c>
      <c r="Y924" s="31"/>
      <c r="Z924" s="26" t="str">
        <f t="shared" si="5"/>
        <v/>
      </c>
      <c r="AA924" s="26" t="str">
        <f t="shared" si="6"/>
        <v/>
      </c>
      <c r="AB924" s="32" t="str">
        <f t="shared" si="7"/>
        <v/>
      </c>
      <c r="AC924" s="32" t="str">
        <f t="shared" ref="AC924:AG924" si="928">IF(J924&lt;&gt;"", IF(AND($P924=FALSE, $A924=FALSE), -J924, IF(AND($P924=FALSE, $A924=TRUE), 0, IF($P924=TRUE, (J924 / $R924) * 100 * ($S924 / 100)-J924, ))), )</f>
        <v/>
      </c>
      <c r="AD924" s="32" t="str">
        <f t="shared" si="928"/>
        <v/>
      </c>
      <c r="AE924" s="32" t="str">
        <f t="shared" si="928"/>
        <v/>
      </c>
      <c r="AF924" s="32" t="str">
        <f t="shared" si="928"/>
        <v/>
      </c>
      <c r="AG924" s="32" t="str">
        <f t="shared" si="928"/>
        <v/>
      </c>
      <c r="AH924" s="33"/>
    </row>
    <row r="925" hidden="1" outlineLevel="3">
      <c r="A925" s="16" t="b">
        <v>0</v>
      </c>
      <c r="B925" s="17"/>
      <c r="C925" s="18"/>
      <c r="D925" s="34"/>
      <c r="E925" s="43"/>
      <c r="F925" s="44"/>
      <c r="G925" s="23"/>
      <c r="H925" s="23"/>
      <c r="I925" s="23"/>
      <c r="J925" s="23"/>
      <c r="K925" s="23"/>
      <c r="L925" s="23"/>
      <c r="M925" s="23"/>
      <c r="N925" s="23"/>
      <c r="O925" s="24"/>
      <c r="P925" s="16" t="b">
        <v>0</v>
      </c>
      <c r="Q925" s="24"/>
      <c r="R925" s="50"/>
      <c r="S925" s="34"/>
      <c r="T925" s="49"/>
      <c r="U925" s="24"/>
      <c r="V925" s="28" t="s">
        <v>32</v>
      </c>
      <c r="W925" s="29" t="s">
        <v>22</v>
      </c>
      <c r="X925" s="37" t="s">
        <v>346</v>
      </c>
      <c r="Y925" s="31"/>
      <c r="Z925" s="26" t="str">
        <f t="shared" si="5"/>
        <v/>
      </c>
      <c r="AA925" s="26" t="str">
        <f t="shared" si="6"/>
        <v/>
      </c>
      <c r="AB925" s="32" t="str">
        <f t="shared" si="7"/>
        <v/>
      </c>
      <c r="AC925" s="32" t="str">
        <f t="shared" ref="AC925:AG925" si="929">IF(J925&lt;&gt;"", IF(AND($P925=FALSE, $A925=FALSE), -J925, IF(AND($P925=FALSE, $A925=TRUE), 0, IF($P925=TRUE, (J925 / $R925) * 100 * ($S925 / 100)-J925, ))), )</f>
        <v/>
      </c>
      <c r="AD925" s="32" t="str">
        <f t="shared" si="929"/>
        <v/>
      </c>
      <c r="AE925" s="32" t="str">
        <f t="shared" si="929"/>
        <v/>
      </c>
      <c r="AF925" s="32" t="str">
        <f t="shared" si="929"/>
        <v/>
      </c>
      <c r="AG925" s="32" t="str">
        <f t="shared" si="929"/>
        <v/>
      </c>
      <c r="AH925" s="33"/>
    </row>
    <row r="926" hidden="1" outlineLevel="3">
      <c r="A926" s="16" t="b">
        <v>0</v>
      </c>
      <c r="B926" s="17"/>
      <c r="C926" s="18"/>
      <c r="D926" s="34"/>
      <c r="E926" s="43"/>
      <c r="F926" s="44"/>
      <c r="G926" s="23"/>
      <c r="H926" s="23"/>
      <c r="I926" s="23"/>
      <c r="J926" s="23"/>
      <c r="K926" s="23"/>
      <c r="L926" s="23"/>
      <c r="M926" s="23"/>
      <c r="N926" s="23"/>
      <c r="O926" s="24"/>
      <c r="P926" s="16" t="b">
        <v>0</v>
      </c>
      <c r="Q926" s="24"/>
      <c r="R926" s="50"/>
      <c r="S926" s="34"/>
      <c r="T926" s="49"/>
      <c r="U926" s="24"/>
      <c r="V926" s="38" t="s">
        <v>29</v>
      </c>
      <c r="W926" s="29" t="s">
        <v>22</v>
      </c>
      <c r="X926" s="37" t="s">
        <v>658</v>
      </c>
      <c r="Y926" s="31"/>
      <c r="Z926" s="26" t="str">
        <f t="shared" si="5"/>
        <v/>
      </c>
      <c r="AA926" s="26" t="str">
        <f t="shared" si="6"/>
        <v/>
      </c>
      <c r="AB926" s="32" t="str">
        <f t="shared" si="7"/>
        <v/>
      </c>
      <c r="AC926" s="32" t="str">
        <f t="shared" ref="AC926:AG926" si="930">IF(J926&lt;&gt;"", IF(AND($P926=FALSE, $A926=FALSE), -J926, IF(AND($P926=FALSE, $A926=TRUE), 0, IF($P926=TRUE, (J926 / $R926) * 100 * ($S926 / 100)-J926, ))), )</f>
        <v/>
      </c>
      <c r="AD926" s="32" t="str">
        <f t="shared" si="930"/>
        <v/>
      </c>
      <c r="AE926" s="32" t="str">
        <f t="shared" si="930"/>
        <v/>
      </c>
      <c r="AF926" s="32" t="str">
        <f t="shared" si="930"/>
        <v/>
      </c>
      <c r="AG926" s="32" t="str">
        <f t="shared" si="930"/>
        <v/>
      </c>
      <c r="AH926" s="33"/>
    </row>
    <row r="927" hidden="1" outlineLevel="2" collapsed="1">
      <c r="A927" s="16" t="b">
        <v>0</v>
      </c>
      <c r="B927" s="17"/>
      <c r="C927" s="18"/>
      <c r="D927" s="42">
        <v>45263.0</v>
      </c>
      <c r="E927" s="43" t="s">
        <v>24</v>
      </c>
      <c r="F927" s="44" t="s">
        <v>57</v>
      </c>
      <c r="G927" s="45">
        <v>3.0</v>
      </c>
      <c r="H927" s="45">
        <v>1.5</v>
      </c>
      <c r="I927" s="45">
        <v>3.0</v>
      </c>
      <c r="J927" s="46"/>
      <c r="K927" s="46"/>
      <c r="L927" s="45"/>
      <c r="M927" s="46"/>
      <c r="N927" s="46"/>
      <c r="O927" s="47"/>
      <c r="P927" s="16" t="b">
        <v>0</v>
      </c>
      <c r="Q927" s="24"/>
      <c r="R927" s="48">
        <v>7.5</v>
      </c>
      <c r="S927" s="45">
        <v>18.04</v>
      </c>
      <c r="T927" s="49" t="s">
        <v>625</v>
      </c>
      <c r="U927" s="47"/>
      <c r="V927" s="28"/>
      <c r="W927" s="29"/>
      <c r="X927" s="30"/>
      <c r="Y927" s="31"/>
      <c r="Z927" s="26">
        <f t="shared" si="5"/>
        <v>-3</v>
      </c>
      <c r="AA927" s="26">
        <f t="shared" si="6"/>
        <v>-3</v>
      </c>
      <c r="AB927" s="32">
        <f t="shared" si="7"/>
        <v>-1.5</v>
      </c>
      <c r="AC927" s="32" t="str">
        <f t="shared" ref="AC927:AG927" si="931">IF(J927&lt;&gt;"", IF(AND($P927=FALSE, $A927=FALSE), -J927, IF(AND($P927=FALSE, $A927=TRUE), 0, IF($P927=TRUE, (J927 / $R927) * 100 * ($S927 / 100)-J927, ))), )</f>
        <v/>
      </c>
      <c r="AD927" s="32" t="str">
        <f t="shared" si="931"/>
        <v/>
      </c>
      <c r="AE927" s="32" t="str">
        <f t="shared" si="931"/>
        <v/>
      </c>
      <c r="AF927" s="32" t="str">
        <f t="shared" si="931"/>
        <v/>
      </c>
      <c r="AG927" s="32" t="str">
        <f t="shared" si="931"/>
        <v/>
      </c>
      <c r="AH927" s="33"/>
    </row>
    <row r="928" hidden="1" outlineLevel="3">
      <c r="A928" s="16" t="b">
        <v>0</v>
      </c>
      <c r="B928" s="17"/>
      <c r="C928" s="18"/>
      <c r="D928" s="34"/>
      <c r="E928" s="43"/>
      <c r="F928" s="44"/>
      <c r="G928" s="23"/>
      <c r="H928" s="23"/>
      <c r="I928" s="23"/>
      <c r="J928" s="23"/>
      <c r="K928" s="23"/>
      <c r="L928" s="23"/>
      <c r="M928" s="23"/>
      <c r="N928" s="23"/>
      <c r="O928" s="24"/>
      <c r="P928" s="16" t="b">
        <v>0</v>
      </c>
      <c r="Q928" s="24"/>
      <c r="R928" s="50"/>
      <c r="S928" s="34"/>
      <c r="T928" s="49"/>
      <c r="U928" s="24"/>
      <c r="V928" s="28" t="s">
        <v>32</v>
      </c>
      <c r="W928" s="29" t="s">
        <v>22</v>
      </c>
      <c r="X928" s="37" t="s">
        <v>659</v>
      </c>
      <c r="Y928" s="31"/>
      <c r="Z928" s="26" t="str">
        <f t="shared" si="5"/>
        <v/>
      </c>
      <c r="AA928" s="26" t="str">
        <f t="shared" si="6"/>
        <v/>
      </c>
      <c r="AB928" s="32" t="str">
        <f t="shared" si="7"/>
        <v/>
      </c>
      <c r="AC928" s="32" t="str">
        <f t="shared" ref="AC928:AG928" si="932">IF(J928&lt;&gt;"", IF(AND($P928=FALSE, $A928=FALSE), -J928, IF(AND($P928=FALSE, $A928=TRUE), 0, IF($P928=TRUE, (J928 / $R928) * 100 * ($S928 / 100)-J928, ))), )</f>
        <v/>
      </c>
      <c r="AD928" s="32" t="str">
        <f t="shared" si="932"/>
        <v/>
      </c>
      <c r="AE928" s="32" t="str">
        <f t="shared" si="932"/>
        <v/>
      </c>
      <c r="AF928" s="32" t="str">
        <f t="shared" si="932"/>
        <v/>
      </c>
      <c r="AG928" s="32" t="str">
        <f t="shared" si="932"/>
        <v/>
      </c>
      <c r="AH928" s="33"/>
    </row>
    <row r="929" hidden="1" outlineLevel="3">
      <c r="A929" s="16" t="b">
        <v>0</v>
      </c>
      <c r="B929" s="17"/>
      <c r="C929" s="18"/>
      <c r="D929" s="34"/>
      <c r="E929" s="43"/>
      <c r="F929" s="44"/>
      <c r="G929" s="23"/>
      <c r="H929" s="23"/>
      <c r="I929" s="23"/>
      <c r="J929" s="23"/>
      <c r="K929" s="23"/>
      <c r="L929" s="23"/>
      <c r="M929" s="23"/>
      <c r="N929" s="23"/>
      <c r="O929" s="24"/>
      <c r="P929" s="16" t="b">
        <v>0</v>
      </c>
      <c r="Q929" s="24"/>
      <c r="R929" s="50"/>
      <c r="S929" s="34"/>
      <c r="T929" s="49"/>
      <c r="U929" s="24"/>
      <c r="V929" s="28" t="s">
        <v>32</v>
      </c>
      <c r="W929" s="29" t="s">
        <v>22</v>
      </c>
      <c r="X929" s="37" t="s">
        <v>660</v>
      </c>
      <c r="Y929" s="31"/>
      <c r="Z929" s="26" t="str">
        <f t="shared" si="5"/>
        <v/>
      </c>
      <c r="AA929" s="26" t="str">
        <f t="shared" si="6"/>
        <v/>
      </c>
      <c r="AB929" s="32" t="str">
        <f t="shared" si="7"/>
        <v/>
      </c>
      <c r="AC929" s="32" t="str">
        <f t="shared" ref="AC929:AG929" si="933">IF(J929&lt;&gt;"", IF(AND($P929=FALSE, $A929=FALSE), -J929, IF(AND($P929=FALSE, $A929=TRUE), 0, IF($P929=TRUE, (J929 / $R929) * 100 * ($S929 / 100)-J929, ))), )</f>
        <v/>
      </c>
      <c r="AD929" s="32" t="str">
        <f t="shared" si="933"/>
        <v/>
      </c>
      <c r="AE929" s="32" t="str">
        <f t="shared" si="933"/>
        <v/>
      </c>
      <c r="AF929" s="32" t="str">
        <f t="shared" si="933"/>
        <v/>
      </c>
      <c r="AG929" s="32" t="str">
        <f t="shared" si="933"/>
        <v/>
      </c>
      <c r="AH929" s="33"/>
    </row>
    <row r="930" hidden="1" outlineLevel="3">
      <c r="A930" s="16" t="b">
        <v>0</v>
      </c>
      <c r="B930" s="17"/>
      <c r="C930" s="18"/>
      <c r="D930" s="34"/>
      <c r="E930" s="43"/>
      <c r="F930" s="44"/>
      <c r="G930" s="23"/>
      <c r="H930" s="23"/>
      <c r="I930" s="23"/>
      <c r="J930" s="23"/>
      <c r="K930" s="23"/>
      <c r="L930" s="23"/>
      <c r="M930" s="23"/>
      <c r="N930" s="23"/>
      <c r="O930" s="24"/>
      <c r="P930" s="16" t="b">
        <v>0</v>
      </c>
      <c r="Q930" s="24"/>
      <c r="R930" s="50"/>
      <c r="S930" s="34"/>
      <c r="T930" s="49"/>
      <c r="U930" s="24"/>
      <c r="V930" s="38" t="s">
        <v>29</v>
      </c>
      <c r="W930" s="29" t="s">
        <v>22</v>
      </c>
      <c r="X930" s="37" t="s">
        <v>661</v>
      </c>
      <c r="Y930" s="31"/>
      <c r="Z930" s="26" t="str">
        <f t="shared" si="5"/>
        <v/>
      </c>
      <c r="AA930" s="26" t="str">
        <f t="shared" si="6"/>
        <v/>
      </c>
      <c r="AB930" s="32" t="str">
        <f t="shared" si="7"/>
        <v/>
      </c>
      <c r="AC930" s="32" t="str">
        <f t="shared" ref="AC930:AG930" si="934">IF(J930&lt;&gt;"", IF(AND($P930=FALSE, $A930=FALSE), -J930, IF(AND($P930=FALSE, $A930=TRUE), 0, IF($P930=TRUE, (J930 / $R930) * 100 * ($S930 / 100)-J930, ))), )</f>
        <v/>
      </c>
      <c r="AD930" s="32" t="str">
        <f t="shared" si="934"/>
        <v/>
      </c>
      <c r="AE930" s="32" t="str">
        <f t="shared" si="934"/>
        <v/>
      </c>
      <c r="AF930" s="32" t="str">
        <f t="shared" si="934"/>
        <v/>
      </c>
      <c r="AG930" s="32" t="str">
        <f t="shared" si="934"/>
        <v/>
      </c>
      <c r="AH930" s="33"/>
    </row>
    <row r="931" hidden="1" outlineLevel="2" collapsed="1">
      <c r="A931" s="16" t="b">
        <v>0</v>
      </c>
      <c r="B931" s="17"/>
      <c r="C931" s="18"/>
      <c r="D931" s="42">
        <v>45263.0</v>
      </c>
      <c r="E931" s="43" t="s">
        <v>24</v>
      </c>
      <c r="F931" s="44" t="s">
        <v>57</v>
      </c>
      <c r="G931" s="45">
        <v>3.0</v>
      </c>
      <c r="H931" s="45">
        <v>1.5</v>
      </c>
      <c r="I931" s="45">
        <v>3.0</v>
      </c>
      <c r="J931" s="46"/>
      <c r="K931" s="46"/>
      <c r="L931" s="45"/>
      <c r="M931" s="46"/>
      <c r="N931" s="46"/>
      <c r="O931" s="47"/>
      <c r="P931" s="16" t="b">
        <v>1</v>
      </c>
      <c r="Q931" s="24"/>
      <c r="R931" s="48">
        <v>7.5</v>
      </c>
      <c r="S931" s="45">
        <v>18.13</v>
      </c>
      <c r="T931" s="49" t="s">
        <v>417</v>
      </c>
      <c r="U931" s="47"/>
      <c r="V931" s="28"/>
      <c r="W931" s="29"/>
      <c r="X931" s="30"/>
      <c r="Y931" s="31"/>
      <c r="Z931" s="26">
        <f t="shared" si="5"/>
        <v>4.252</v>
      </c>
      <c r="AA931" s="26">
        <f t="shared" si="6"/>
        <v>4.252</v>
      </c>
      <c r="AB931" s="32">
        <f t="shared" si="7"/>
        <v>2.126</v>
      </c>
      <c r="AC931" s="32" t="str">
        <f t="shared" ref="AC931:AG931" si="935">IF(J931&lt;&gt;"", IF(AND($P931=FALSE, $A931=FALSE), -J931, IF(AND($P931=FALSE, $A931=TRUE), 0, IF($P931=TRUE, (J931 / $R931) * 100 * ($S931 / 100)-J931, ))), )</f>
        <v/>
      </c>
      <c r="AD931" s="32" t="str">
        <f t="shared" si="935"/>
        <v/>
      </c>
      <c r="AE931" s="32" t="str">
        <f t="shared" si="935"/>
        <v/>
      </c>
      <c r="AF931" s="32" t="str">
        <f t="shared" si="935"/>
        <v/>
      </c>
      <c r="AG931" s="32" t="str">
        <f t="shared" si="935"/>
        <v/>
      </c>
      <c r="AH931" s="33"/>
    </row>
    <row r="932" hidden="1" outlineLevel="3">
      <c r="A932" s="16" t="b">
        <v>0</v>
      </c>
      <c r="B932" s="17"/>
      <c r="C932" s="18"/>
      <c r="D932" s="34"/>
      <c r="E932" s="43"/>
      <c r="F932" s="44"/>
      <c r="G932" s="23"/>
      <c r="H932" s="23"/>
      <c r="I932" s="23"/>
      <c r="J932" s="23"/>
      <c r="K932" s="23"/>
      <c r="L932" s="23"/>
      <c r="M932" s="23"/>
      <c r="N932" s="23"/>
      <c r="O932" s="24"/>
      <c r="P932" s="16" t="b">
        <v>0</v>
      </c>
      <c r="Q932" s="24"/>
      <c r="R932" s="50"/>
      <c r="S932" s="34"/>
      <c r="T932" s="49"/>
      <c r="U932" s="24"/>
      <c r="V932" s="38" t="s">
        <v>29</v>
      </c>
      <c r="W932" s="29" t="s">
        <v>22</v>
      </c>
      <c r="X932" s="37" t="s">
        <v>662</v>
      </c>
      <c r="Y932" s="31"/>
      <c r="Z932" s="26" t="str">
        <f t="shared" si="5"/>
        <v/>
      </c>
      <c r="AA932" s="26" t="str">
        <f t="shared" si="6"/>
        <v/>
      </c>
      <c r="AB932" s="32" t="str">
        <f t="shared" si="7"/>
        <v/>
      </c>
      <c r="AC932" s="32" t="str">
        <f t="shared" ref="AC932:AG932" si="936">IF(J932&lt;&gt;"", IF(AND($P932=FALSE, $A932=FALSE), -J932, IF(AND($P932=FALSE, $A932=TRUE), 0, IF($P932=TRUE, (J932 / $R932) * 100 * ($S932 / 100)-J932, ))), )</f>
        <v/>
      </c>
      <c r="AD932" s="32" t="str">
        <f t="shared" si="936"/>
        <v/>
      </c>
      <c r="AE932" s="32" t="str">
        <f t="shared" si="936"/>
        <v/>
      </c>
      <c r="AF932" s="32" t="str">
        <f t="shared" si="936"/>
        <v/>
      </c>
      <c r="AG932" s="32" t="str">
        <f t="shared" si="936"/>
        <v/>
      </c>
      <c r="AH932" s="33"/>
    </row>
    <row r="933" hidden="1" outlineLevel="3">
      <c r="A933" s="16" t="b">
        <v>0</v>
      </c>
      <c r="B933" s="17"/>
      <c r="C933" s="18"/>
      <c r="D933" s="34"/>
      <c r="E933" s="43"/>
      <c r="F933" s="44"/>
      <c r="G933" s="23"/>
      <c r="H933" s="23"/>
      <c r="I933" s="23"/>
      <c r="J933" s="23"/>
      <c r="K933" s="23"/>
      <c r="L933" s="23"/>
      <c r="M933" s="23"/>
      <c r="N933" s="23"/>
      <c r="O933" s="24"/>
      <c r="P933" s="16" t="b">
        <v>0</v>
      </c>
      <c r="Q933" s="24"/>
      <c r="R933" s="50"/>
      <c r="S933" s="34"/>
      <c r="T933" s="49"/>
      <c r="U933" s="24"/>
      <c r="V933" s="38" t="s">
        <v>29</v>
      </c>
      <c r="W933" s="29" t="s">
        <v>22</v>
      </c>
      <c r="X933" s="37" t="s">
        <v>663</v>
      </c>
      <c r="Y933" s="31"/>
      <c r="Z933" s="26" t="str">
        <f t="shared" si="5"/>
        <v/>
      </c>
      <c r="AA933" s="26" t="str">
        <f t="shared" si="6"/>
        <v/>
      </c>
      <c r="AB933" s="32" t="str">
        <f t="shared" si="7"/>
        <v/>
      </c>
      <c r="AC933" s="32" t="str">
        <f t="shared" ref="AC933:AG933" si="937">IF(J933&lt;&gt;"", IF(AND($P933=FALSE, $A933=FALSE), -J933, IF(AND($P933=FALSE, $A933=TRUE), 0, IF($P933=TRUE, (J933 / $R933) * 100 * ($S933 / 100)-J933, ))), )</f>
        <v/>
      </c>
      <c r="AD933" s="32" t="str">
        <f t="shared" si="937"/>
        <v/>
      </c>
      <c r="AE933" s="32" t="str">
        <f t="shared" si="937"/>
        <v/>
      </c>
      <c r="AF933" s="32" t="str">
        <f t="shared" si="937"/>
        <v/>
      </c>
      <c r="AG933" s="32" t="str">
        <f t="shared" si="937"/>
        <v/>
      </c>
      <c r="AH933" s="33"/>
    </row>
    <row r="934" hidden="1" outlineLevel="2" collapsed="1">
      <c r="A934" s="16" t="b">
        <v>0</v>
      </c>
      <c r="B934" s="17"/>
      <c r="C934" s="18"/>
      <c r="D934" s="42">
        <v>45263.0</v>
      </c>
      <c r="E934" s="43" t="s">
        <v>24</v>
      </c>
      <c r="F934" s="44" t="s">
        <v>57</v>
      </c>
      <c r="G934" s="45">
        <v>3.0</v>
      </c>
      <c r="H934" s="45">
        <v>1.5</v>
      </c>
      <c r="I934" s="45">
        <v>10.0</v>
      </c>
      <c r="J934" s="46"/>
      <c r="K934" s="46"/>
      <c r="L934" s="45"/>
      <c r="M934" s="46"/>
      <c r="N934" s="46"/>
      <c r="O934" s="47"/>
      <c r="P934" s="16" t="b">
        <v>0</v>
      </c>
      <c r="Q934" s="24"/>
      <c r="R934" s="48">
        <v>14.5</v>
      </c>
      <c r="S934" s="45">
        <v>33.35</v>
      </c>
      <c r="T934" s="49" t="s">
        <v>419</v>
      </c>
      <c r="U934" s="47"/>
      <c r="V934" s="28"/>
      <c r="W934" s="29"/>
      <c r="X934" s="37"/>
      <c r="Y934" s="31"/>
      <c r="Z934" s="26">
        <f t="shared" si="5"/>
        <v>-3</v>
      </c>
      <c r="AA934" s="26">
        <f t="shared" si="6"/>
        <v>-10</v>
      </c>
      <c r="AB934" s="32">
        <f t="shared" si="7"/>
        <v>-1.5</v>
      </c>
      <c r="AC934" s="32" t="str">
        <f t="shared" ref="AC934:AG934" si="938">IF(J934&lt;&gt;"", IF(AND($P934=FALSE, $A934=FALSE), -J934, IF(AND($P934=FALSE, $A934=TRUE), 0, IF($P934=TRUE, (J934 / $R934) * 100 * ($S934 / 100)-J934, ))), )</f>
        <v/>
      </c>
      <c r="AD934" s="32" t="str">
        <f t="shared" si="938"/>
        <v/>
      </c>
      <c r="AE934" s="32" t="str">
        <f t="shared" si="938"/>
        <v/>
      </c>
      <c r="AF934" s="32" t="str">
        <f t="shared" si="938"/>
        <v/>
      </c>
      <c r="AG934" s="32" t="str">
        <f t="shared" si="938"/>
        <v/>
      </c>
      <c r="AH934" s="33"/>
    </row>
    <row r="935" hidden="1" outlineLevel="3">
      <c r="A935" s="16" t="b">
        <v>0</v>
      </c>
      <c r="B935" s="17"/>
      <c r="C935" s="18"/>
      <c r="D935" s="34"/>
      <c r="E935" s="43"/>
      <c r="F935" s="44"/>
      <c r="G935" s="23"/>
      <c r="H935" s="23"/>
      <c r="I935" s="23"/>
      <c r="J935" s="23"/>
      <c r="K935" s="23"/>
      <c r="L935" s="23"/>
      <c r="M935" s="23"/>
      <c r="N935" s="23"/>
      <c r="O935" s="24"/>
      <c r="P935" s="16" t="b">
        <v>0</v>
      </c>
      <c r="Q935" s="24"/>
      <c r="R935" s="50"/>
      <c r="S935" s="34"/>
      <c r="T935" s="49"/>
      <c r="U935" s="24"/>
      <c r="V935" s="28" t="s">
        <v>32</v>
      </c>
      <c r="W935" s="29" t="s">
        <v>22</v>
      </c>
      <c r="X935" s="37" t="s">
        <v>664</v>
      </c>
      <c r="Y935" s="31"/>
      <c r="Z935" s="26" t="str">
        <f t="shared" si="5"/>
        <v/>
      </c>
      <c r="AA935" s="26" t="str">
        <f t="shared" si="6"/>
        <v/>
      </c>
      <c r="AB935" s="32" t="str">
        <f t="shared" si="7"/>
        <v/>
      </c>
      <c r="AC935" s="32" t="str">
        <f t="shared" ref="AC935:AG935" si="939">IF(J935&lt;&gt;"", IF(AND($P935=FALSE, $A935=FALSE), -J935, IF(AND($P935=FALSE, $A935=TRUE), 0, IF($P935=TRUE, (J935 / $R935) * 100 * ($S935 / 100)-J935, ))), )</f>
        <v/>
      </c>
      <c r="AD935" s="32" t="str">
        <f t="shared" si="939"/>
        <v/>
      </c>
      <c r="AE935" s="32" t="str">
        <f t="shared" si="939"/>
        <v/>
      </c>
      <c r="AF935" s="32" t="str">
        <f t="shared" si="939"/>
        <v/>
      </c>
      <c r="AG935" s="32" t="str">
        <f t="shared" si="939"/>
        <v/>
      </c>
      <c r="AH935" s="33"/>
    </row>
    <row r="936" hidden="1" outlineLevel="2" collapsed="1">
      <c r="A936" s="16" t="b">
        <v>0</v>
      </c>
      <c r="B936" s="17"/>
      <c r="C936" s="18"/>
      <c r="D936" s="42">
        <v>45263.0</v>
      </c>
      <c r="E936" s="43" t="s">
        <v>24</v>
      </c>
      <c r="F936" s="44" t="s">
        <v>57</v>
      </c>
      <c r="G936" s="45">
        <v>2.0</v>
      </c>
      <c r="H936" s="45">
        <v>1.0</v>
      </c>
      <c r="I936" s="45">
        <v>2.0</v>
      </c>
      <c r="J936" s="46"/>
      <c r="K936" s="46"/>
      <c r="L936" s="45"/>
      <c r="M936" s="46"/>
      <c r="N936" s="46"/>
      <c r="O936" s="47"/>
      <c r="P936" s="16" t="b">
        <v>1</v>
      </c>
      <c r="Q936" s="24"/>
      <c r="R936" s="48">
        <v>5.0</v>
      </c>
      <c r="S936" s="45">
        <v>18.0</v>
      </c>
      <c r="T936" s="49" t="s">
        <v>305</v>
      </c>
      <c r="U936" s="47"/>
      <c r="V936" s="28"/>
      <c r="W936" s="29"/>
      <c r="X936" s="30"/>
      <c r="Y936" s="31"/>
      <c r="Z936" s="26">
        <f t="shared" si="5"/>
        <v>5.2</v>
      </c>
      <c r="AA936" s="26">
        <f t="shared" si="6"/>
        <v>5.2</v>
      </c>
      <c r="AB936" s="32">
        <f t="shared" si="7"/>
        <v>2.6</v>
      </c>
      <c r="AC936" s="32" t="str">
        <f t="shared" ref="AC936:AG936" si="940">IF(J936&lt;&gt;"", IF(AND($P936=FALSE, $A936=FALSE), -J936, IF(AND($P936=FALSE, $A936=TRUE), 0, IF($P936=TRUE, (J936 / $R936) * 100 * ($S936 / 100)-J936, ))), )</f>
        <v/>
      </c>
      <c r="AD936" s="32" t="str">
        <f t="shared" si="940"/>
        <v/>
      </c>
      <c r="AE936" s="32" t="str">
        <f t="shared" si="940"/>
        <v/>
      </c>
      <c r="AF936" s="32" t="str">
        <f t="shared" si="940"/>
        <v/>
      </c>
      <c r="AG936" s="32" t="str">
        <f t="shared" si="940"/>
        <v/>
      </c>
      <c r="AH936" s="33"/>
    </row>
    <row r="937" hidden="1" outlineLevel="3">
      <c r="A937" s="16" t="b">
        <v>0</v>
      </c>
      <c r="B937" s="17"/>
      <c r="C937" s="18"/>
      <c r="D937" s="34"/>
      <c r="E937" s="43"/>
      <c r="F937" s="44"/>
      <c r="G937" s="23"/>
      <c r="H937" s="23"/>
      <c r="I937" s="23"/>
      <c r="J937" s="23"/>
      <c r="K937" s="23"/>
      <c r="L937" s="23"/>
      <c r="M937" s="23"/>
      <c r="N937" s="23"/>
      <c r="O937" s="24"/>
      <c r="P937" s="16" t="b">
        <v>0</v>
      </c>
      <c r="Q937" s="24"/>
      <c r="R937" s="50"/>
      <c r="S937" s="34"/>
      <c r="T937" s="49"/>
      <c r="U937" s="24"/>
      <c r="V937" s="38" t="s">
        <v>29</v>
      </c>
      <c r="W937" s="29" t="s">
        <v>22</v>
      </c>
      <c r="X937" s="37" t="s">
        <v>665</v>
      </c>
      <c r="Y937" s="31"/>
      <c r="Z937" s="26" t="str">
        <f t="shared" si="5"/>
        <v/>
      </c>
      <c r="AA937" s="26" t="str">
        <f t="shared" si="6"/>
        <v/>
      </c>
      <c r="AB937" s="32" t="str">
        <f t="shared" si="7"/>
        <v/>
      </c>
      <c r="AC937" s="32" t="str">
        <f t="shared" ref="AC937:AG937" si="941">IF(J937&lt;&gt;"", IF(AND($P937=FALSE, $A937=FALSE), -J937, IF(AND($P937=FALSE, $A937=TRUE), 0, IF($P937=TRUE, (J937 / $R937) * 100 * ($S937 / 100)-J937, ))), )</f>
        <v/>
      </c>
      <c r="AD937" s="32" t="str">
        <f t="shared" si="941"/>
        <v/>
      </c>
      <c r="AE937" s="32" t="str">
        <f t="shared" si="941"/>
        <v/>
      </c>
      <c r="AF937" s="32" t="str">
        <f t="shared" si="941"/>
        <v/>
      </c>
      <c r="AG937" s="32" t="str">
        <f t="shared" si="941"/>
        <v/>
      </c>
      <c r="AH937" s="33"/>
    </row>
    <row r="938" hidden="1" outlineLevel="2" collapsed="1">
      <c r="A938" s="16" t="b">
        <v>0</v>
      </c>
      <c r="B938" s="17"/>
      <c r="C938" s="18"/>
      <c r="D938" s="42">
        <v>45263.0</v>
      </c>
      <c r="E938" s="43" t="s">
        <v>24</v>
      </c>
      <c r="F938" s="44" t="s">
        <v>57</v>
      </c>
      <c r="G938" s="45">
        <v>3.0</v>
      </c>
      <c r="H938" s="45">
        <v>1.5</v>
      </c>
      <c r="I938" s="45"/>
      <c r="J938" s="46"/>
      <c r="K938" s="46"/>
      <c r="L938" s="45"/>
      <c r="M938" s="46"/>
      <c r="N938" s="46"/>
      <c r="O938" s="47"/>
      <c r="P938" s="16" t="b">
        <v>0</v>
      </c>
      <c r="Q938" s="24"/>
      <c r="R938" s="48">
        <v>4.5</v>
      </c>
      <c r="S938" s="45">
        <v>15.33</v>
      </c>
      <c r="T938" s="49" t="s">
        <v>666</v>
      </c>
      <c r="U938" s="47"/>
      <c r="V938" s="28"/>
      <c r="W938" s="29"/>
      <c r="X938" s="30"/>
      <c r="Y938" s="31"/>
      <c r="Z938" s="26">
        <f t="shared" si="5"/>
        <v>-3</v>
      </c>
      <c r="AA938" s="26" t="str">
        <f t="shared" si="6"/>
        <v/>
      </c>
      <c r="AB938" s="32">
        <f t="shared" si="7"/>
        <v>-1.5</v>
      </c>
      <c r="AC938" s="32" t="str">
        <f t="shared" ref="AC938:AG938" si="942">IF(J938&lt;&gt;"", IF(AND($P938=FALSE, $A938=FALSE), -J938, IF(AND($P938=FALSE, $A938=TRUE), 0, IF($P938=TRUE, (J938 / $R938) * 100 * ($S938 / 100)-J938, ))), )</f>
        <v/>
      </c>
      <c r="AD938" s="32" t="str">
        <f t="shared" si="942"/>
        <v/>
      </c>
      <c r="AE938" s="32" t="str">
        <f t="shared" si="942"/>
        <v/>
      </c>
      <c r="AF938" s="32" t="str">
        <f t="shared" si="942"/>
        <v/>
      </c>
      <c r="AG938" s="32" t="str">
        <f t="shared" si="942"/>
        <v/>
      </c>
      <c r="AH938" s="33"/>
    </row>
    <row r="939" hidden="1" outlineLevel="3">
      <c r="A939" s="16" t="b">
        <v>0</v>
      </c>
      <c r="B939" s="17"/>
      <c r="C939" s="18"/>
      <c r="D939" s="34"/>
      <c r="E939" s="43"/>
      <c r="F939" s="44"/>
      <c r="G939" s="23"/>
      <c r="H939" s="23"/>
      <c r="I939" s="23"/>
      <c r="J939" s="23"/>
      <c r="K939" s="23"/>
      <c r="L939" s="23"/>
      <c r="M939" s="23"/>
      <c r="N939" s="23"/>
      <c r="O939" s="24"/>
      <c r="P939" s="16" t="b">
        <v>0</v>
      </c>
      <c r="Q939" s="24"/>
      <c r="R939" s="50"/>
      <c r="S939" s="34"/>
      <c r="T939" s="49"/>
      <c r="U939" s="24"/>
      <c r="V939" s="38" t="s">
        <v>29</v>
      </c>
      <c r="W939" s="29" t="s">
        <v>22</v>
      </c>
      <c r="X939" s="37" t="s">
        <v>667</v>
      </c>
      <c r="Y939" s="31"/>
      <c r="Z939" s="26" t="str">
        <f t="shared" si="5"/>
        <v/>
      </c>
      <c r="AA939" s="26" t="str">
        <f t="shared" si="6"/>
        <v/>
      </c>
      <c r="AB939" s="32" t="str">
        <f t="shared" si="7"/>
        <v/>
      </c>
      <c r="AC939" s="32" t="str">
        <f t="shared" ref="AC939:AG939" si="943">IF(J939&lt;&gt;"", IF(AND($P939=FALSE, $A939=FALSE), -J939, IF(AND($P939=FALSE, $A939=TRUE), 0, IF($P939=TRUE, (J939 / $R939) * 100 * ($S939 / 100)-J939, ))), )</f>
        <v/>
      </c>
      <c r="AD939" s="32" t="str">
        <f t="shared" si="943"/>
        <v/>
      </c>
      <c r="AE939" s="32" t="str">
        <f t="shared" si="943"/>
        <v/>
      </c>
      <c r="AF939" s="32" t="str">
        <f t="shared" si="943"/>
        <v/>
      </c>
      <c r="AG939" s="32" t="str">
        <f t="shared" si="943"/>
        <v/>
      </c>
      <c r="AH939" s="33"/>
    </row>
    <row r="940" hidden="1" outlineLevel="3">
      <c r="A940" s="16" t="b">
        <v>0</v>
      </c>
      <c r="B940" s="17"/>
      <c r="C940" s="18"/>
      <c r="D940" s="34"/>
      <c r="E940" s="43"/>
      <c r="F940" s="44"/>
      <c r="G940" s="23"/>
      <c r="H940" s="23"/>
      <c r="I940" s="23"/>
      <c r="J940" s="23"/>
      <c r="K940" s="23"/>
      <c r="L940" s="23"/>
      <c r="M940" s="23"/>
      <c r="N940" s="23"/>
      <c r="O940" s="24"/>
      <c r="P940" s="16" t="b">
        <v>0</v>
      </c>
      <c r="Q940" s="24"/>
      <c r="R940" s="50"/>
      <c r="S940" s="34"/>
      <c r="T940" s="49"/>
      <c r="U940" s="24"/>
      <c r="V940" s="28" t="s">
        <v>32</v>
      </c>
      <c r="W940" s="29" t="s">
        <v>22</v>
      </c>
      <c r="X940" s="37" t="s">
        <v>668</v>
      </c>
      <c r="Y940" s="31"/>
      <c r="Z940" s="26" t="str">
        <f t="shared" si="5"/>
        <v/>
      </c>
      <c r="AA940" s="26" t="str">
        <f t="shared" si="6"/>
        <v/>
      </c>
      <c r="AB940" s="32" t="str">
        <f t="shared" si="7"/>
        <v/>
      </c>
      <c r="AC940" s="32" t="str">
        <f t="shared" ref="AC940:AG940" si="944">IF(J940&lt;&gt;"", IF(AND($P940=FALSE, $A940=FALSE), -J940, IF(AND($P940=FALSE, $A940=TRUE), 0, IF($P940=TRUE, (J940 / $R940) * 100 * ($S940 / 100)-J940, ))), )</f>
        <v/>
      </c>
      <c r="AD940" s="32" t="str">
        <f t="shared" si="944"/>
        <v/>
      </c>
      <c r="AE940" s="32" t="str">
        <f t="shared" si="944"/>
        <v/>
      </c>
      <c r="AF940" s="32" t="str">
        <f t="shared" si="944"/>
        <v/>
      </c>
      <c r="AG940" s="32" t="str">
        <f t="shared" si="944"/>
        <v/>
      </c>
      <c r="AH940" s="33"/>
    </row>
    <row r="941" hidden="1" outlineLevel="3">
      <c r="A941" s="16" t="b">
        <v>0</v>
      </c>
      <c r="B941" s="17"/>
      <c r="C941" s="18"/>
      <c r="D941" s="34"/>
      <c r="E941" s="43"/>
      <c r="F941" s="44"/>
      <c r="G941" s="23"/>
      <c r="H941" s="23"/>
      <c r="I941" s="23"/>
      <c r="J941" s="23"/>
      <c r="K941" s="23"/>
      <c r="L941" s="23"/>
      <c r="M941" s="23"/>
      <c r="N941" s="23"/>
      <c r="O941" s="24"/>
      <c r="P941" s="16" t="b">
        <v>0</v>
      </c>
      <c r="Q941" s="24"/>
      <c r="R941" s="50"/>
      <c r="S941" s="34"/>
      <c r="T941" s="49"/>
      <c r="U941" s="24"/>
      <c r="V941" s="38" t="s">
        <v>29</v>
      </c>
      <c r="W941" s="29" t="s">
        <v>22</v>
      </c>
      <c r="X941" s="37" t="s">
        <v>669</v>
      </c>
      <c r="Y941" s="31"/>
      <c r="Z941" s="26" t="str">
        <f t="shared" si="5"/>
        <v/>
      </c>
      <c r="AA941" s="26" t="str">
        <f t="shared" si="6"/>
        <v/>
      </c>
      <c r="AB941" s="32" t="str">
        <f t="shared" si="7"/>
        <v/>
      </c>
      <c r="AC941" s="32" t="str">
        <f t="shared" ref="AC941:AG941" si="945">IF(J941&lt;&gt;"", IF(AND($P941=FALSE, $A941=FALSE), -J941, IF(AND($P941=FALSE, $A941=TRUE), 0, IF($P941=TRUE, (J941 / $R941) * 100 * ($S941 / 100)-J941, ))), )</f>
        <v/>
      </c>
      <c r="AD941" s="32" t="str">
        <f t="shared" si="945"/>
        <v/>
      </c>
      <c r="AE941" s="32" t="str">
        <f t="shared" si="945"/>
        <v/>
      </c>
      <c r="AF941" s="32" t="str">
        <f t="shared" si="945"/>
        <v/>
      </c>
      <c r="AG941" s="32" t="str">
        <f t="shared" si="945"/>
        <v/>
      </c>
      <c r="AH941" s="33"/>
    </row>
    <row r="942" hidden="1" outlineLevel="3">
      <c r="A942" s="16" t="b">
        <v>0</v>
      </c>
      <c r="B942" s="17"/>
      <c r="C942" s="18"/>
      <c r="D942" s="34"/>
      <c r="E942" s="43"/>
      <c r="F942" s="44"/>
      <c r="G942" s="23"/>
      <c r="H942" s="23"/>
      <c r="I942" s="23"/>
      <c r="J942" s="23"/>
      <c r="K942" s="23"/>
      <c r="L942" s="23"/>
      <c r="M942" s="23"/>
      <c r="N942" s="23"/>
      <c r="O942" s="24"/>
      <c r="P942" s="16" t="b">
        <v>0</v>
      </c>
      <c r="Q942" s="24"/>
      <c r="R942" s="50"/>
      <c r="S942" s="34"/>
      <c r="T942" s="49"/>
      <c r="U942" s="24"/>
      <c r="V942" s="38" t="s">
        <v>29</v>
      </c>
      <c r="W942" s="29" t="s">
        <v>22</v>
      </c>
      <c r="X942" s="37" t="s">
        <v>670</v>
      </c>
      <c r="Y942" s="31"/>
      <c r="Z942" s="26" t="str">
        <f t="shared" si="5"/>
        <v/>
      </c>
      <c r="AA942" s="26" t="str">
        <f t="shared" si="6"/>
        <v/>
      </c>
      <c r="AB942" s="32" t="str">
        <f t="shared" si="7"/>
        <v/>
      </c>
      <c r="AC942" s="32" t="str">
        <f t="shared" ref="AC942:AG942" si="946">IF(J942&lt;&gt;"", IF(AND($P942=FALSE, $A942=FALSE), -J942, IF(AND($P942=FALSE, $A942=TRUE), 0, IF($P942=TRUE, (J942 / $R942) * 100 * ($S942 / 100)-J942, ))), )</f>
        <v/>
      </c>
      <c r="AD942" s="32" t="str">
        <f t="shared" si="946"/>
        <v/>
      </c>
      <c r="AE942" s="32" t="str">
        <f t="shared" si="946"/>
        <v/>
      </c>
      <c r="AF942" s="32" t="str">
        <f t="shared" si="946"/>
        <v/>
      </c>
      <c r="AG942" s="32" t="str">
        <f t="shared" si="946"/>
        <v/>
      </c>
      <c r="AH942" s="33"/>
    </row>
    <row r="943" hidden="1" outlineLevel="2" collapsed="1">
      <c r="A943" s="16" t="b">
        <v>0</v>
      </c>
      <c r="B943" s="17"/>
      <c r="C943" s="18"/>
      <c r="D943" s="42">
        <v>45263.0</v>
      </c>
      <c r="E943" s="43" t="s">
        <v>24</v>
      </c>
      <c r="F943" s="44" t="s">
        <v>57</v>
      </c>
      <c r="G943" s="45">
        <v>3.0</v>
      </c>
      <c r="H943" s="45">
        <v>1.5</v>
      </c>
      <c r="I943" s="45">
        <v>2.0</v>
      </c>
      <c r="J943" s="46"/>
      <c r="K943" s="46"/>
      <c r="L943" s="45"/>
      <c r="M943" s="46"/>
      <c r="N943" s="46"/>
      <c r="O943" s="47"/>
      <c r="P943" s="16" t="b">
        <v>1</v>
      </c>
      <c r="Q943" s="24"/>
      <c r="R943" s="48">
        <v>6.5</v>
      </c>
      <c r="S943" s="45">
        <v>15.28</v>
      </c>
      <c r="T943" s="49" t="s">
        <v>355</v>
      </c>
      <c r="U943" s="47"/>
      <c r="V943" s="28"/>
      <c r="W943" s="29"/>
      <c r="X943" s="30"/>
      <c r="Y943" s="31"/>
      <c r="Z943" s="26">
        <f t="shared" si="5"/>
        <v>4.052307692</v>
      </c>
      <c r="AA943" s="26">
        <f t="shared" si="6"/>
        <v>2.701538462</v>
      </c>
      <c r="AB943" s="32">
        <f t="shared" si="7"/>
        <v>2.026153846</v>
      </c>
      <c r="AC943" s="32" t="str">
        <f t="shared" ref="AC943:AG943" si="947">IF(J943&lt;&gt;"", IF(AND($P943=FALSE, $A943=FALSE), -J943, IF(AND($P943=FALSE, $A943=TRUE), 0, IF($P943=TRUE, (J943 / $R943) * 100 * ($S943 / 100)-J943, ))), )</f>
        <v/>
      </c>
      <c r="AD943" s="32" t="str">
        <f t="shared" si="947"/>
        <v/>
      </c>
      <c r="AE943" s="32" t="str">
        <f t="shared" si="947"/>
        <v/>
      </c>
      <c r="AF943" s="32" t="str">
        <f t="shared" si="947"/>
        <v/>
      </c>
      <c r="AG943" s="32" t="str">
        <f t="shared" si="947"/>
        <v/>
      </c>
      <c r="AH943" s="33"/>
    </row>
    <row r="944" hidden="1" outlineLevel="3">
      <c r="A944" s="16" t="b">
        <v>0</v>
      </c>
      <c r="B944" s="17"/>
      <c r="C944" s="18"/>
      <c r="D944" s="34"/>
      <c r="E944" s="43"/>
      <c r="F944" s="44"/>
      <c r="G944" s="23"/>
      <c r="H944" s="23"/>
      <c r="I944" s="23"/>
      <c r="J944" s="23"/>
      <c r="K944" s="23"/>
      <c r="L944" s="23"/>
      <c r="M944" s="23"/>
      <c r="N944" s="23"/>
      <c r="O944" s="24"/>
      <c r="P944" s="16" t="b">
        <v>0</v>
      </c>
      <c r="Q944" s="24"/>
      <c r="R944" s="50"/>
      <c r="S944" s="34"/>
      <c r="T944" s="49"/>
      <c r="U944" s="24"/>
      <c r="V944" s="38" t="s">
        <v>29</v>
      </c>
      <c r="W944" s="29" t="s">
        <v>22</v>
      </c>
      <c r="X944" s="37" t="s">
        <v>520</v>
      </c>
      <c r="Y944" s="31"/>
      <c r="Z944" s="26" t="str">
        <f t="shared" si="5"/>
        <v/>
      </c>
      <c r="AA944" s="26" t="str">
        <f t="shared" si="6"/>
        <v/>
      </c>
      <c r="AB944" s="32" t="str">
        <f t="shared" si="7"/>
        <v/>
      </c>
      <c r="AC944" s="32" t="str">
        <f t="shared" ref="AC944:AG944" si="948">IF(J944&lt;&gt;"", IF(AND($P944=FALSE, $A944=FALSE), -J944, IF(AND($P944=FALSE, $A944=TRUE), 0, IF($P944=TRUE, (J944 / $R944) * 100 * ($S944 / 100)-J944, ))), )</f>
        <v/>
      </c>
      <c r="AD944" s="32" t="str">
        <f t="shared" si="948"/>
        <v/>
      </c>
      <c r="AE944" s="32" t="str">
        <f t="shared" si="948"/>
        <v/>
      </c>
      <c r="AF944" s="32" t="str">
        <f t="shared" si="948"/>
        <v/>
      </c>
      <c r="AG944" s="32" t="str">
        <f t="shared" si="948"/>
        <v/>
      </c>
      <c r="AH944" s="33"/>
    </row>
    <row r="945" hidden="1" outlineLevel="2" collapsed="1">
      <c r="A945" s="16" t="b">
        <v>0</v>
      </c>
      <c r="B945" s="17"/>
      <c r="C945" s="18"/>
      <c r="D945" s="42">
        <v>45263.0</v>
      </c>
      <c r="E945" s="43" t="s">
        <v>24</v>
      </c>
      <c r="F945" s="44" t="s">
        <v>57</v>
      </c>
      <c r="G945" s="45">
        <v>4.0</v>
      </c>
      <c r="H945" s="45">
        <v>2.0</v>
      </c>
      <c r="I945" s="45">
        <v>2.0</v>
      </c>
      <c r="J945" s="46"/>
      <c r="K945" s="46"/>
      <c r="L945" s="45"/>
      <c r="M945" s="46"/>
      <c r="N945" s="46"/>
      <c r="O945" s="47"/>
      <c r="P945" s="16" t="b">
        <v>0</v>
      </c>
      <c r="Q945" s="24"/>
      <c r="R945" s="48">
        <v>8.0</v>
      </c>
      <c r="S945" s="45">
        <v>55.91</v>
      </c>
      <c r="T945" s="49" t="s">
        <v>671</v>
      </c>
      <c r="U945" s="47"/>
      <c r="V945" s="28"/>
      <c r="W945" s="29"/>
      <c r="X945" s="30"/>
      <c r="Y945" s="31"/>
      <c r="Z945" s="26">
        <f t="shared" si="5"/>
        <v>-4</v>
      </c>
      <c r="AA945" s="26">
        <f t="shared" si="6"/>
        <v>-2</v>
      </c>
      <c r="AB945" s="32">
        <f t="shared" si="7"/>
        <v>-2</v>
      </c>
      <c r="AC945" s="32" t="str">
        <f t="shared" ref="AC945:AG945" si="949">IF(J945&lt;&gt;"", IF(AND($P945=FALSE, $A945=FALSE), -J945, IF(AND($P945=FALSE, $A945=TRUE), 0, IF($P945=TRUE, (J945 / $R945) * 100 * ($S945 / 100)-J945, ))), )</f>
        <v/>
      </c>
      <c r="AD945" s="32" t="str">
        <f t="shared" si="949"/>
        <v/>
      </c>
      <c r="AE945" s="32" t="str">
        <f t="shared" si="949"/>
        <v/>
      </c>
      <c r="AF945" s="32" t="str">
        <f t="shared" si="949"/>
        <v/>
      </c>
      <c r="AG945" s="32" t="str">
        <f t="shared" si="949"/>
        <v/>
      </c>
      <c r="AH945" s="33"/>
    </row>
    <row r="946" hidden="1" outlineLevel="3">
      <c r="A946" s="16" t="b">
        <v>0</v>
      </c>
      <c r="B946" s="17"/>
      <c r="C946" s="18"/>
      <c r="D946" s="34"/>
      <c r="E946" s="43"/>
      <c r="F946" s="44"/>
      <c r="G946" s="23"/>
      <c r="H946" s="23"/>
      <c r="I946" s="23"/>
      <c r="J946" s="23"/>
      <c r="K946" s="23"/>
      <c r="L946" s="23"/>
      <c r="M946" s="23"/>
      <c r="N946" s="23"/>
      <c r="O946" s="24"/>
      <c r="P946" s="16" t="b">
        <v>0</v>
      </c>
      <c r="Q946" s="24"/>
      <c r="R946" s="50"/>
      <c r="S946" s="34"/>
      <c r="T946" s="49"/>
      <c r="U946" s="24"/>
      <c r="V946" s="38" t="s">
        <v>29</v>
      </c>
      <c r="W946" s="29" t="s">
        <v>22</v>
      </c>
      <c r="X946" s="37" t="s">
        <v>491</v>
      </c>
      <c r="Y946" s="31"/>
      <c r="Z946" s="26" t="str">
        <f t="shared" si="5"/>
        <v/>
      </c>
      <c r="AA946" s="26" t="str">
        <f t="shared" si="6"/>
        <v/>
      </c>
      <c r="AB946" s="32" t="str">
        <f t="shared" si="7"/>
        <v/>
      </c>
      <c r="AC946" s="32" t="str">
        <f t="shared" ref="AC946:AG946" si="950">IF(J946&lt;&gt;"", IF(AND($P946=FALSE, $A946=FALSE), -J946, IF(AND($P946=FALSE, $A946=TRUE), 0, IF($P946=TRUE, (J946 / $R946) * 100 * ($S946 / 100)-J946, ))), )</f>
        <v/>
      </c>
      <c r="AD946" s="32" t="str">
        <f t="shared" si="950"/>
        <v/>
      </c>
      <c r="AE946" s="32" t="str">
        <f t="shared" si="950"/>
        <v/>
      </c>
      <c r="AF946" s="32" t="str">
        <f t="shared" si="950"/>
        <v/>
      </c>
      <c r="AG946" s="32" t="str">
        <f t="shared" si="950"/>
        <v/>
      </c>
      <c r="AH946" s="33"/>
    </row>
    <row r="947" hidden="1" outlineLevel="3">
      <c r="A947" s="16" t="b">
        <v>0</v>
      </c>
      <c r="B947" s="17"/>
      <c r="C947" s="18"/>
      <c r="D947" s="34"/>
      <c r="E947" s="43"/>
      <c r="F947" s="44"/>
      <c r="G947" s="23"/>
      <c r="H947" s="23"/>
      <c r="I947" s="23"/>
      <c r="J947" s="23"/>
      <c r="K947" s="23"/>
      <c r="L947" s="23"/>
      <c r="M947" s="23"/>
      <c r="N947" s="23"/>
      <c r="O947" s="24"/>
      <c r="P947" s="16" t="b">
        <v>0</v>
      </c>
      <c r="Q947" s="24"/>
      <c r="R947" s="50"/>
      <c r="S947" s="34"/>
      <c r="T947" s="49"/>
      <c r="U947" s="24"/>
      <c r="V947" s="28" t="s">
        <v>32</v>
      </c>
      <c r="W947" s="29" t="s">
        <v>22</v>
      </c>
      <c r="X947" s="37" t="s">
        <v>672</v>
      </c>
      <c r="Y947" s="31"/>
      <c r="Z947" s="26" t="str">
        <f t="shared" si="5"/>
        <v/>
      </c>
      <c r="AA947" s="26" t="str">
        <f t="shared" si="6"/>
        <v/>
      </c>
      <c r="AB947" s="32" t="str">
        <f t="shared" si="7"/>
        <v/>
      </c>
      <c r="AC947" s="32" t="str">
        <f t="shared" ref="AC947:AG947" si="951">IF(J947&lt;&gt;"", IF(AND($P947=FALSE, $A947=FALSE), -J947, IF(AND($P947=FALSE, $A947=TRUE), 0, IF($P947=TRUE, (J947 / $R947) * 100 * ($S947 / 100)-J947, ))), )</f>
        <v/>
      </c>
      <c r="AD947" s="32" t="str">
        <f t="shared" si="951"/>
        <v/>
      </c>
      <c r="AE947" s="32" t="str">
        <f t="shared" si="951"/>
        <v/>
      </c>
      <c r="AF947" s="32" t="str">
        <f t="shared" si="951"/>
        <v/>
      </c>
      <c r="AG947" s="32" t="str">
        <f t="shared" si="951"/>
        <v/>
      </c>
      <c r="AH947" s="33"/>
    </row>
    <row r="948" hidden="1" outlineLevel="3">
      <c r="A948" s="16" t="b">
        <v>0</v>
      </c>
      <c r="B948" s="17"/>
      <c r="C948" s="18"/>
      <c r="D948" s="34"/>
      <c r="E948" s="43"/>
      <c r="F948" s="44"/>
      <c r="G948" s="23"/>
      <c r="H948" s="23"/>
      <c r="I948" s="23"/>
      <c r="J948" s="23"/>
      <c r="K948" s="23"/>
      <c r="L948" s="23"/>
      <c r="M948" s="23"/>
      <c r="N948" s="23"/>
      <c r="O948" s="24"/>
      <c r="P948" s="16" t="b">
        <v>0</v>
      </c>
      <c r="Q948" s="24"/>
      <c r="R948" s="50"/>
      <c r="S948" s="34"/>
      <c r="T948" s="49"/>
      <c r="U948" s="24"/>
      <c r="V948" s="38" t="s">
        <v>29</v>
      </c>
      <c r="W948" s="29" t="s">
        <v>22</v>
      </c>
      <c r="X948" s="37" t="s">
        <v>673</v>
      </c>
      <c r="Y948" s="31"/>
      <c r="Z948" s="26" t="str">
        <f t="shared" si="5"/>
        <v/>
      </c>
      <c r="AA948" s="26" t="str">
        <f t="shared" si="6"/>
        <v/>
      </c>
      <c r="AB948" s="32" t="str">
        <f t="shared" si="7"/>
        <v/>
      </c>
      <c r="AC948" s="32" t="str">
        <f t="shared" ref="AC948:AG948" si="952">IF(J948&lt;&gt;"", IF(AND($P948=FALSE, $A948=FALSE), -J948, IF(AND($P948=FALSE, $A948=TRUE), 0, IF($P948=TRUE, (J948 / $R948) * 100 * ($S948 / 100)-J948, ))), )</f>
        <v/>
      </c>
      <c r="AD948" s="32" t="str">
        <f t="shared" si="952"/>
        <v/>
      </c>
      <c r="AE948" s="32" t="str">
        <f t="shared" si="952"/>
        <v/>
      </c>
      <c r="AF948" s="32" t="str">
        <f t="shared" si="952"/>
        <v/>
      </c>
      <c r="AG948" s="32" t="str">
        <f t="shared" si="952"/>
        <v/>
      </c>
      <c r="AH948" s="33"/>
    </row>
    <row r="949" hidden="1" outlineLevel="3">
      <c r="A949" s="16" t="b">
        <v>0</v>
      </c>
      <c r="B949" s="17"/>
      <c r="C949" s="18"/>
      <c r="D949" s="34"/>
      <c r="E949" s="43"/>
      <c r="F949" s="44"/>
      <c r="G949" s="23"/>
      <c r="H949" s="23"/>
      <c r="I949" s="23"/>
      <c r="J949" s="23"/>
      <c r="K949" s="23"/>
      <c r="L949" s="23"/>
      <c r="M949" s="23"/>
      <c r="N949" s="23"/>
      <c r="O949" s="24"/>
      <c r="P949" s="16" t="b">
        <v>0</v>
      </c>
      <c r="Q949" s="24"/>
      <c r="R949" s="50"/>
      <c r="S949" s="34"/>
      <c r="T949" s="49"/>
      <c r="U949" s="24"/>
      <c r="V949" s="38" t="s">
        <v>29</v>
      </c>
      <c r="W949" s="29" t="s">
        <v>22</v>
      </c>
      <c r="X949" s="37" t="s">
        <v>493</v>
      </c>
      <c r="Y949" s="31"/>
      <c r="Z949" s="26" t="str">
        <f t="shared" si="5"/>
        <v/>
      </c>
      <c r="AA949" s="26" t="str">
        <f t="shared" si="6"/>
        <v/>
      </c>
      <c r="AB949" s="32" t="str">
        <f t="shared" si="7"/>
        <v/>
      </c>
      <c r="AC949" s="32" t="str">
        <f t="shared" ref="AC949:AG949" si="953">IF(J949&lt;&gt;"", IF(AND($P949=FALSE, $A949=FALSE), -J949, IF(AND($P949=FALSE, $A949=TRUE), 0, IF($P949=TRUE, (J949 / $R949) * 100 * ($S949 / 100)-J949, ))), )</f>
        <v/>
      </c>
      <c r="AD949" s="32" t="str">
        <f t="shared" si="953"/>
        <v/>
      </c>
      <c r="AE949" s="32" t="str">
        <f t="shared" si="953"/>
        <v/>
      </c>
      <c r="AF949" s="32" t="str">
        <f t="shared" si="953"/>
        <v/>
      </c>
      <c r="AG949" s="32" t="str">
        <f t="shared" si="953"/>
        <v/>
      </c>
      <c r="AH949" s="33"/>
    </row>
    <row r="950" hidden="1" outlineLevel="3">
      <c r="A950" s="16" t="b">
        <v>0</v>
      </c>
      <c r="B950" s="17"/>
      <c r="C950" s="18"/>
      <c r="D950" s="34"/>
      <c r="E950" s="43"/>
      <c r="F950" s="44"/>
      <c r="G950" s="23"/>
      <c r="H950" s="23"/>
      <c r="I950" s="23"/>
      <c r="J950" s="23"/>
      <c r="K950" s="23"/>
      <c r="L950" s="23"/>
      <c r="M950" s="23"/>
      <c r="N950" s="23"/>
      <c r="O950" s="24"/>
      <c r="P950" s="16" t="b">
        <v>0</v>
      </c>
      <c r="Q950" s="24"/>
      <c r="R950" s="50"/>
      <c r="S950" s="34"/>
      <c r="T950" s="49"/>
      <c r="U950" s="24"/>
      <c r="V950" s="38" t="s">
        <v>29</v>
      </c>
      <c r="W950" s="29" t="s">
        <v>22</v>
      </c>
      <c r="X950" s="37" t="s">
        <v>498</v>
      </c>
      <c r="Y950" s="31"/>
      <c r="Z950" s="26" t="str">
        <f t="shared" si="5"/>
        <v/>
      </c>
      <c r="AA950" s="26" t="str">
        <f t="shared" si="6"/>
        <v/>
      </c>
      <c r="AB950" s="32" t="str">
        <f t="shared" si="7"/>
        <v/>
      </c>
      <c r="AC950" s="32" t="str">
        <f t="shared" ref="AC950:AG950" si="954">IF(J950&lt;&gt;"", IF(AND($P950=FALSE, $A950=FALSE), -J950, IF(AND($P950=FALSE, $A950=TRUE), 0, IF($P950=TRUE, (J950 / $R950) * 100 * ($S950 / 100)-J950, ))), )</f>
        <v/>
      </c>
      <c r="AD950" s="32" t="str">
        <f t="shared" si="954"/>
        <v/>
      </c>
      <c r="AE950" s="32" t="str">
        <f t="shared" si="954"/>
        <v/>
      </c>
      <c r="AF950" s="32" t="str">
        <f t="shared" si="954"/>
        <v/>
      </c>
      <c r="AG950" s="32" t="str">
        <f t="shared" si="954"/>
        <v/>
      </c>
      <c r="AH950" s="33"/>
    </row>
    <row r="951" hidden="1" outlineLevel="2" collapsed="1">
      <c r="A951" s="16" t="b">
        <v>0</v>
      </c>
      <c r="B951" s="17"/>
      <c r="C951" s="18"/>
      <c r="D951" s="42">
        <v>45263.0</v>
      </c>
      <c r="E951" s="43" t="s">
        <v>24</v>
      </c>
      <c r="F951" s="44" t="s">
        <v>57</v>
      </c>
      <c r="G951" s="45">
        <v>3.0</v>
      </c>
      <c r="H951" s="45">
        <v>1.5</v>
      </c>
      <c r="I951" s="45">
        <v>2.0</v>
      </c>
      <c r="J951" s="46"/>
      <c r="K951" s="46"/>
      <c r="L951" s="45"/>
      <c r="M951" s="46"/>
      <c r="N951" s="46"/>
      <c r="O951" s="47"/>
      <c r="P951" s="16" t="b">
        <v>1</v>
      </c>
      <c r="Q951" s="24"/>
      <c r="R951" s="48">
        <v>6.5</v>
      </c>
      <c r="S951" s="45">
        <v>16.37</v>
      </c>
      <c r="T951" s="49" t="s">
        <v>674</v>
      </c>
      <c r="U951" s="47"/>
      <c r="V951" s="28"/>
      <c r="W951" s="29"/>
      <c r="X951" s="30"/>
      <c r="Y951" s="31"/>
      <c r="Z951" s="26">
        <f t="shared" si="5"/>
        <v>4.555384615</v>
      </c>
      <c r="AA951" s="26">
        <f t="shared" si="6"/>
        <v>3.036923077</v>
      </c>
      <c r="AB951" s="32">
        <f t="shared" si="7"/>
        <v>2.277692308</v>
      </c>
      <c r="AC951" s="32" t="str">
        <f t="shared" ref="AC951:AG951" si="955">IF(J951&lt;&gt;"", IF(AND($P951=FALSE, $A951=FALSE), -J951, IF(AND($P951=FALSE, $A951=TRUE), 0, IF($P951=TRUE, (J951 / $R951) * 100 * ($S951 / 100)-J951, ))), )</f>
        <v/>
      </c>
      <c r="AD951" s="32" t="str">
        <f t="shared" si="955"/>
        <v/>
      </c>
      <c r="AE951" s="32" t="str">
        <f t="shared" si="955"/>
        <v/>
      </c>
      <c r="AF951" s="32" t="str">
        <f t="shared" si="955"/>
        <v/>
      </c>
      <c r="AG951" s="32" t="str">
        <f t="shared" si="955"/>
        <v/>
      </c>
      <c r="AH951" s="33"/>
    </row>
    <row r="952" hidden="1" outlineLevel="3">
      <c r="A952" s="16" t="b">
        <v>0</v>
      </c>
      <c r="B952" s="17"/>
      <c r="C952" s="18"/>
      <c r="D952" s="34"/>
      <c r="E952" s="43"/>
      <c r="F952" s="44"/>
      <c r="G952" s="23"/>
      <c r="H952" s="23"/>
      <c r="I952" s="23"/>
      <c r="J952" s="23"/>
      <c r="K952" s="23"/>
      <c r="L952" s="23"/>
      <c r="M952" s="23"/>
      <c r="N952" s="23"/>
      <c r="O952" s="24"/>
      <c r="P952" s="16" t="b">
        <v>0</v>
      </c>
      <c r="Q952" s="24"/>
      <c r="R952" s="50"/>
      <c r="S952" s="34"/>
      <c r="T952" s="49"/>
      <c r="U952" s="24"/>
      <c r="V952" s="38" t="s">
        <v>29</v>
      </c>
      <c r="W952" s="29" t="s">
        <v>22</v>
      </c>
      <c r="X952" s="37" t="s">
        <v>675</v>
      </c>
      <c r="Y952" s="31"/>
      <c r="Z952" s="26" t="str">
        <f t="shared" si="5"/>
        <v/>
      </c>
      <c r="AA952" s="26" t="str">
        <f t="shared" si="6"/>
        <v/>
      </c>
      <c r="AB952" s="32" t="str">
        <f t="shared" si="7"/>
        <v/>
      </c>
      <c r="AC952" s="32" t="str">
        <f t="shared" ref="AC952:AG952" si="956">IF(J952&lt;&gt;"", IF(AND($P952=FALSE, $A952=FALSE), -J952, IF(AND($P952=FALSE, $A952=TRUE), 0, IF($P952=TRUE, (J952 / $R952) * 100 * ($S952 / 100)-J952, ))), )</f>
        <v/>
      </c>
      <c r="AD952" s="32" t="str">
        <f t="shared" si="956"/>
        <v/>
      </c>
      <c r="AE952" s="32" t="str">
        <f t="shared" si="956"/>
        <v/>
      </c>
      <c r="AF952" s="32" t="str">
        <f t="shared" si="956"/>
        <v/>
      </c>
      <c r="AG952" s="32" t="str">
        <f t="shared" si="956"/>
        <v/>
      </c>
      <c r="AH952" s="33"/>
    </row>
    <row r="953" hidden="1" outlineLevel="3">
      <c r="A953" s="16" t="b">
        <v>0</v>
      </c>
      <c r="B953" s="17"/>
      <c r="C953" s="18"/>
      <c r="D953" s="34"/>
      <c r="E953" s="43"/>
      <c r="F953" s="44"/>
      <c r="G953" s="23"/>
      <c r="H953" s="23"/>
      <c r="I953" s="23"/>
      <c r="J953" s="23"/>
      <c r="K953" s="23"/>
      <c r="L953" s="23"/>
      <c r="M953" s="23"/>
      <c r="N953" s="23"/>
      <c r="O953" s="24"/>
      <c r="P953" s="16" t="b">
        <v>0</v>
      </c>
      <c r="Q953" s="24"/>
      <c r="R953" s="50"/>
      <c r="S953" s="34"/>
      <c r="T953" s="49"/>
      <c r="U953" s="24"/>
      <c r="V953" s="38" t="s">
        <v>29</v>
      </c>
      <c r="W953" s="29" t="s">
        <v>22</v>
      </c>
      <c r="X953" s="37" t="s">
        <v>676</v>
      </c>
      <c r="Y953" s="31"/>
      <c r="Z953" s="26" t="str">
        <f t="shared" si="5"/>
        <v/>
      </c>
      <c r="AA953" s="26" t="str">
        <f t="shared" si="6"/>
        <v/>
      </c>
      <c r="AB953" s="32" t="str">
        <f t="shared" si="7"/>
        <v/>
      </c>
      <c r="AC953" s="32" t="str">
        <f t="shared" ref="AC953:AG953" si="957">IF(J953&lt;&gt;"", IF(AND($P953=FALSE, $A953=FALSE), -J953, IF(AND($P953=FALSE, $A953=TRUE), 0, IF($P953=TRUE, (J953 / $R953) * 100 * ($S953 / 100)-J953, ))), )</f>
        <v/>
      </c>
      <c r="AD953" s="32" t="str">
        <f t="shared" si="957"/>
        <v/>
      </c>
      <c r="AE953" s="32" t="str">
        <f t="shared" si="957"/>
        <v/>
      </c>
      <c r="AF953" s="32" t="str">
        <f t="shared" si="957"/>
        <v/>
      </c>
      <c r="AG953" s="32" t="str">
        <f t="shared" si="957"/>
        <v/>
      </c>
      <c r="AH953" s="33"/>
    </row>
    <row r="954" hidden="1" outlineLevel="3">
      <c r="A954" s="16" t="b">
        <v>0</v>
      </c>
      <c r="B954" s="17"/>
      <c r="C954" s="18"/>
      <c r="D954" s="34"/>
      <c r="E954" s="43"/>
      <c r="F954" s="44"/>
      <c r="G954" s="23"/>
      <c r="H954" s="23"/>
      <c r="I954" s="23"/>
      <c r="J954" s="23"/>
      <c r="K954" s="23"/>
      <c r="L954" s="23"/>
      <c r="M954" s="23"/>
      <c r="N954" s="23"/>
      <c r="O954" s="24"/>
      <c r="P954" s="16" t="b">
        <v>0</v>
      </c>
      <c r="Q954" s="24"/>
      <c r="R954" s="50"/>
      <c r="S954" s="34"/>
      <c r="T954" s="49"/>
      <c r="U954" s="24"/>
      <c r="V954" s="38" t="s">
        <v>29</v>
      </c>
      <c r="W954" s="29" t="s">
        <v>22</v>
      </c>
      <c r="X954" s="37" t="s">
        <v>677</v>
      </c>
      <c r="Y954" s="31"/>
      <c r="Z954" s="26" t="str">
        <f t="shared" si="5"/>
        <v/>
      </c>
      <c r="AA954" s="26" t="str">
        <f t="shared" si="6"/>
        <v/>
      </c>
      <c r="AB954" s="32" t="str">
        <f t="shared" si="7"/>
        <v/>
      </c>
      <c r="AC954" s="32" t="str">
        <f t="shared" ref="AC954:AG954" si="958">IF(J954&lt;&gt;"", IF(AND($P954=FALSE, $A954=FALSE), -J954, IF(AND($P954=FALSE, $A954=TRUE), 0, IF($P954=TRUE, (J954 / $R954) * 100 * ($S954 / 100)-J954, ))), )</f>
        <v/>
      </c>
      <c r="AD954" s="32" t="str">
        <f t="shared" si="958"/>
        <v/>
      </c>
      <c r="AE954" s="32" t="str">
        <f t="shared" si="958"/>
        <v/>
      </c>
      <c r="AF954" s="32" t="str">
        <f t="shared" si="958"/>
        <v/>
      </c>
      <c r="AG954" s="32" t="str">
        <f t="shared" si="958"/>
        <v/>
      </c>
      <c r="AH954" s="33"/>
    </row>
    <row r="955" hidden="1" outlineLevel="3">
      <c r="A955" s="16" t="b">
        <v>0</v>
      </c>
      <c r="B955" s="17"/>
      <c r="C955" s="18"/>
      <c r="D955" s="34"/>
      <c r="E955" s="43"/>
      <c r="F955" s="44"/>
      <c r="G955" s="23"/>
      <c r="H955" s="23"/>
      <c r="I955" s="23"/>
      <c r="J955" s="23"/>
      <c r="K955" s="23"/>
      <c r="L955" s="23"/>
      <c r="M955" s="23"/>
      <c r="N955" s="23"/>
      <c r="O955" s="24"/>
      <c r="P955" s="16" t="b">
        <v>0</v>
      </c>
      <c r="Q955" s="24"/>
      <c r="R955" s="50"/>
      <c r="S955" s="34"/>
      <c r="T955" s="49"/>
      <c r="U955" s="24"/>
      <c r="V955" s="38" t="s">
        <v>29</v>
      </c>
      <c r="W955" s="29" t="s">
        <v>22</v>
      </c>
      <c r="X955" s="37" t="s">
        <v>398</v>
      </c>
      <c r="Y955" s="31"/>
      <c r="Z955" s="26" t="str">
        <f t="shared" si="5"/>
        <v/>
      </c>
      <c r="AA955" s="26" t="str">
        <f t="shared" si="6"/>
        <v/>
      </c>
      <c r="AB955" s="32" t="str">
        <f t="shared" si="7"/>
        <v/>
      </c>
      <c r="AC955" s="32" t="str">
        <f t="shared" ref="AC955:AG955" si="959">IF(J955&lt;&gt;"", IF(AND($P955=FALSE, $A955=FALSE), -J955, IF(AND($P955=FALSE, $A955=TRUE), 0, IF($P955=TRUE, (J955 / $R955) * 100 * ($S955 / 100)-J955, ))), )</f>
        <v/>
      </c>
      <c r="AD955" s="32" t="str">
        <f t="shared" si="959"/>
        <v/>
      </c>
      <c r="AE955" s="32" t="str">
        <f t="shared" si="959"/>
        <v/>
      </c>
      <c r="AF955" s="32" t="str">
        <f t="shared" si="959"/>
        <v/>
      </c>
      <c r="AG955" s="32" t="str">
        <f t="shared" si="959"/>
        <v/>
      </c>
      <c r="AH955" s="33"/>
    </row>
    <row r="956" hidden="1" outlineLevel="2" collapsed="1">
      <c r="A956" s="16" t="b">
        <v>0</v>
      </c>
      <c r="B956" s="17"/>
      <c r="C956" s="18"/>
      <c r="D956" s="42">
        <v>45263.0</v>
      </c>
      <c r="E956" s="43" t="s">
        <v>24</v>
      </c>
      <c r="F956" s="44" t="s">
        <v>57</v>
      </c>
      <c r="G956" s="45">
        <v>4.0</v>
      </c>
      <c r="H956" s="45">
        <v>2.0</v>
      </c>
      <c r="I956" s="45">
        <v>4.0</v>
      </c>
      <c r="J956" s="77"/>
      <c r="K956" s="46"/>
      <c r="L956" s="45"/>
      <c r="M956" s="46"/>
      <c r="N956" s="46"/>
      <c r="O956" s="47"/>
      <c r="P956" s="16" t="b">
        <v>0</v>
      </c>
      <c r="Q956" s="24"/>
      <c r="R956" s="48">
        <v>10.0</v>
      </c>
      <c r="S956" s="45">
        <v>27.57</v>
      </c>
      <c r="T956" s="49" t="s">
        <v>678</v>
      </c>
      <c r="U956" s="47"/>
      <c r="V956" s="28"/>
      <c r="W956" s="29"/>
      <c r="X956" s="30"/>
      <c r="Y956" s="31"/>
      <c r="Z956" s="26">
        <f t="shared" si="5"/>
        <v>-4</v>
      </c>
      <c r="AA956" s="26">
        <f t="shared" si="6"/>
        <v>-4</v>
      </c>
      <c r="AB956" s="32">
        <f t="shared" si="7"/>
        <v>-2</v>
      </c>
      <c r="AC956" s="32" t="str">
        <f t="shared" ref="AC956:AG956" si="960">IF(J956&lt;&gt;"", IF(AND($P956=FALSE, $A956=FALSE), -J956, IF(AND($P956=FALSE, $A956=TRUE), 0, IF($P956=TRUE, (J956 / $R956) * 100 * ($S956 / 100)-J956, ))), )</f>
        <v/>
      </c>
      <c r="AD956" s="32" t="str">
        <f t="shared" si="960"/>
        <v/>
      </c>
      <c r="AE956" s="32" t="str">
        <f t="shared" si="960"/>
        <v/>
      </c>
      <c r="AF956" s="32" t="str">
        <f t="shared" si="960"/>
        <v/>
      </c>
      <c r="AG956" s="32" t="str">
        <f t="shared" si="960"/>
        <v/>
      </c>
      <c r="AH956" s="33"/>
    </row>
    <row r="957" hidden="1" outlineLevel="3">
      <c r="A957" s="16" t="b">
        <v>0</v>
      </c>
      <c r="B957" s="17"/>
      <c r="C957" s="18"/>
      <c r="D957" s="34"/>
      <c r="E957" s="43"/>
      <c r="F957" s="44"/>
      <c r="G957" s="23"/>
      <c r="H957" s="23"/>
      <c r="I957" s="23"/>
      <c r="J957" s="23"/>
      <c r="K957" s="23"/>
      <c r="L957" s="23"/>
      <c r="M957" s="23"/>
      <c r="N957" s="23"/>
      <c r="O957" s="24"/>
      <c r="P957" s="16" t="b">
        <v>0</v>
      </c>
      <c r="Q957" s="24"/>
      <c r="R957" s="50"/>
      <c r="S957" s="34"/>
      <c r="T957" s="49"/>
      <c r="U957" s="24"/>
      <c r="V957" s="28" t="s">
        <v>32</v>
      </c>
      <c r="W957" s="29" t="s">
        <v>22</v>
      </c>
      <c r="X957" s="37" t="s">
        <v>679</v>
      </c>
      <c r="Y957" s="31"/>
      <c r="Z957" s="26" t="str">
        <f t="shared" si="5"/>
        <v/>
      </c>
      <c r="AA957" s="26" t="str">
        <f t="shared" si="6"/>
        <v/>
      </c>
      <c r="AB957" s="32" t="str">
        <f t="shared" si="7"/>
        <v/>
      </c>
      <c r="AC957" s="32" t="str">
        <f t="shared" ref="AC957:AG957" si="961">IF(J957&lt;&gt;"", IF(AND($P957=FALSE, $A957=FALSE), -J957, IF(AND($P957=FALSE, $A957=TRUE), 0, IF($P957=TRUE, (J957 / $R957) * 100 * ($S957 / 100)-J957, ))), )</f>
        <v/>
      </c>
      <c r="AD957" s="32" t="str">
        <f t="shared" si="961"/>
        <v/>
      </c>
      <c r="AE957" s="32" t="str">
        <f t="shared" si="961"/>
        <v/>
      </c>
      <c r="AF957" s="32" t="str">
        <f t="shared" si="961"/>
        <v/>
      </c>
      <c r="AG957" s="32" t="str">
        <f t="shared" si="961"/>
        <v/>
      </c>
      <c r="AH957" s="33"/>
    </row>
    <row r="958" hidden="1" outlineLevel="3">
      <c r="A958" s="16" t="b">
        <v>0</v>
      </c>
      <c r="B958" s="17"/>
      <c r="C958" s="18"/>
      <c r="D958" s="34"/>
      <c r="E958" s="43"/>
      <c r="F958" s="44"/>
      <c r="G958" s="23"/>
      <c r="H958" s="23"/>
      <c r="I958" s="23"/>
      <c r="J958" s="23"/>
      <c r="K958" s="23"/>
      <c r="L958" s="23"/>
      <c r="M958" s="23"/>
      <c r="N958" s="23"/>
      <c r="O958" s="24"/>
      <c r="P958" s="16" t="b">
        <v>0</v>
      </c>
      <c r="Q958" s="24"/>
      <c r="R958" s="50"/>
      <c r="S958" s="34"/>
      <c r="T958" s="49"/>
      <c r="U958" s="24"/>
      <c r="V958" s="28" t="s">
        <v>32</v>
      </c>
      <c r="W958" s="29" t="s">
        <v>22</v>
      </c>
      <c r="X958" s="37" t="s">
        <v>444</v>
      </c>
      <c r="Y958" s="31"/>
      <c r="Z958" s="26" t="str">
        <f t="shared" si="5"/>
        <v/>
      </c>
      <c r="AA958" s="26" t="str">
        <f t="shared" si="6"/>
        <v/>
      </c>
      <c r="AB958" s="32" t="str">
        <f t="shared" si="7"/>
        <v/>
      </c>
      <c r="AC958" s="32" t="str">
        <f t="shared" ref="AC958:AG958" si="962">IF(J958&lt;&gt;"", IF(AND($P958=FALSE, $A958=FALSE), -J958, IF(AND($P958=FALSE, $A958=TRUE), 0, IF($P958=TRUE, (J958 / $R958) * 100 * ($S958 / 100)-J958, ))), )</f>
        <v/>
      </c>
      <c r="AD958" s="32" t="str">
        <f t="shared" si="962"/>
        <v/>
      </c>
      <c r="AE958" s="32" t="str">
        <f t="shared" si="962"/>
        <v/>
      </c>
      <c r="AF958" s="32" t="str">
        <f t="shared" si="962"/>
        <v/>
      </c>
      <c r="AG958" s="32" t="str">
        <f t="shared" si="962"/>
        <v/>
      </c>
      <c r="AH958" s="33"/>
    </row>
    <row r="959" hidden="1" outlineLevel="3">
      <c r="A959" s="16" t="b">
        <v>0</v>
      </c>
      <c r="B959" s="17"/>
      <c r="C959" s="18"/>
      <c r="D959" s="34"/>
      <c r="E959" s="43"/>
      <c r="F959" s="44"/>
      <c r="G959" s="23"/>
      <c r="H959" s="23"/>
      <c r="I959" s="23"/>
      <c r="J959" s="23"/>
      <c r="K959" s="23"/>
      <c r="L959" s="23"/>
      <c r="M959" s="23"/>
      <c r="N959" s="23"/>
      <c r="O959" s="24"/>
      <c r="P959" s="16" t="b">
        <v>0</v>
      </c>
      <c r="Q959" s="24"/>
      <c r="R959" s="50"/>
      <c r="S959" s="34"/>
      <c r="T959" s="49"/>
      <c r="U959" s="24"/>
      <c r="V959" s="38" t="s">
        <v>29</v>
      </c>
      <c r="W959" s="29" t="s">
        <v>22</v>
      </c>
      <c r="X959" s="37" t="s">
        <v>680</v>
      </c>
      <c r="Y959" s="31"/>
      <c r="Z959" s="26" t="str">
        <f t="shared" si="5"/>
        <v/>
      </c>
      <c r="AA959" s="26" t="str">
        <f t="shared" si="6"/>
        <v/>
      </c>
      <c r="AB959" s="32" t="str">
        <f t="shared" si="7"/>
        <v/>
      </c>
      <c r="AC959" s="32" t="str">
        <f t="shared" ref="AC959:AG959" si="963">IF(J959&lt;&gt;"", IF(AND($P959=FALSE, $A959=FALSE), -J959, IF(AND($P959=FALSE, $A959=TRUE), 0, IF($P959=TRUE, (J959 / $R959) * 100 * ($S959 / 100)-J959, ))), )</f>
        <v/>
      </c>
      <c r="AD959" s="32" t="str">
        <f t="shared" si="963"/>
        <v/>
      </c>
      <c r="AE959" s="32" t="str">
        <f t="shared" si="963"/>
        <v/>
      </c>
      <c r="AF959" s="32" t="str">
        <f t="shared" si="963"/>
        <v/>
      </c>
      <c r="AG959" s="32" t="str">
        <f t="shared" si="963"/>
        <v/>
      </c>
      <c r="AH959" s="33"/>
    </row>
    <row r="960" hidden="1" outlineLevel="3">
      <c r="A960" s="16" t="b">
        <v>0</v>
      </c>
      <c r="B960" s="17"/>
      <c r="C960" s="18"/>
      <c r="D960" s="34"/>
      <c r="E960" s="43"/>
      <c r="F960" s="44"/>
      <c r="G960" s="23"/>
      <c r="H960" s="23"/>
      <c r="I960" s="23"/>
      <c r="J960" s="23"/>
      <c r="K960" s="23"/>
      <c r="L960" s="23"/>
      <c r="M960" s="23"/>
      <c r="N960" s="23"/>
      <c r="O960" s="24"/>
      <c r="P960" s="16" t="b">
        <v>0</v>
      </c>
      <c r="Q960" s="24"/>
      <c r="R960" s="50"/>
      <c r="S960" s="34"/>
      <c r="T960" s="49"/>
      <c r="U960" s="24"/>
      <c r="V960" s="38" t="s">
        <v>29</v>
      </c>
      <c r="W960" s="29" t="s">
        <v>22</v>
      </c>
      <c r="X960" s="37" t="s">
        <v>681</v>
      </c>
      <c r="Y960" s="31"/>
      <c r="Z960" s="26" t="str">
        <f t="shared" si="5"/>
        <v/>
      </c>
      <c r="AA960" s="26" t="str">
        <f t="shared" si="6"/>
        <v/>
      </c>
      <c r="AB960" s="32" t="str">
        <f t="shared" si="7"/>
        <v/>
      </c>
      <c r="AC960" s="32" t="str">
        <f t="shared" ref="AC960:AG960" si="964">IF(J960&lt;&gt;"", IF(AND($P960=FALSE, $A960=FALSE), -J960, IF(AND($P960=FALSE, $A960=TRUE), 0, IF($P960=TRUE, (J960 / $R960) * 100 * ($S960 / 100)-J960, ))), )</f>
        <v/>
      </c>
      <c r="AD960" s="32" t="str">
        <f t="shared" si="964"/>
        <v/>
      </c>
      <c r="AE960" s="32" t="str">
        <f t="shared" si="964"/>
        <v/>
      </c>
      <c r="AF960" s="32" t="str">
        <f t="shared" si="964"/>
        <v/>
      </c>
      <c r="AG960" s="32" t="str">
        <f t="shared" si="964"/>
        <v/>
      </c>
      <c r="AH960" s="33"/>
    </row>
    <row r="961" hidden="1" outlineLevel="2">
      <c r="A961" s="16" t="b">
        <v>0</v>
      </c>
      <c r="B961" s="17"/>
      <c r="C961" s="18"/>
      <c r="D961" s="42">
        <v>45263.0</v>
      </c>
      <c r="E961" s="43" t="s">
        <v>24</v>
      </c>
      <c r="F961" s="44" t="s">
        <v>57</v>
      </c>
      <c r="G961" s="45">
        <v>3.0</v>
      </c>
      <c r="H961" s="45">
        <v>1.5</v>
      </c>
      <c r="I961" s="45"/>
      <c r="J961" s="77">
        <v>2.5</v>
      </c>
      <c r="K961" s="46"/>
      <c r="L961" s="45"/>
      <c r="M961" s="46"/>
      <c r="N961" s="46"/>
      <c r="O961" s="47"/>
      <c r="P961" s="16" t="b">
        <v>0</v>
      </c>
      <c r="Q961" s="24"/>
      <c r="R961" s="48">
        <v>7.0</v>
      </c>
      <c r="S961" s="45">
        <v>14.74</v>
      </c>
      <c r="T961" s="49" t="s">
        <v>378</v>
      </c>
      <c r="U961" s="47"/>
      <c r="V961" s="28"/>
      <c r="W961" s="29"/>
      <c r="X961" s="30"/>
      <c r="Y961" s="31"/>
      <c r="Z961" s="26">
        <f t="shared" si="5"/>
        <v>-3</v>
      </c>
      <c r="AA961" s="26" t="str">
        <f t="shared" si="6"/>
        <v/>
      </c>
      <c r="AB961" s="32">
        <f t="shared" si="7"/>
        <v>-1.5</v>
      </c>
      <c r="AC961" s="32">
        <f t="shared" ref="AC961:AG961" si="965">IF(J961&lt;&gt;"", IF(AND($P961=FALSE, $A961=FALSE), -J961, IF(AND($P961=FALSE, $A961=TRUE), 0, IF($P961=TRUE, (J961 / $R961) * 100 * ($S961 / 100)-J961, ))), )</f>
        <v>-2.5</v>
      </c>
      <c r="AD961" s="32" t="str">
        <f t="shared" si="965"/>
        <v/>
      </c>
      <c r="AE961" s="32" t="str">
        <f t="shared" si="965"/>
        <v/>
      </c>
      <c r="AF961" s="32" t="str">
        <f t="shared" si="965"/>
        <v/>
      </c>
      <c r="AG961" s="32" t="str">
        <f t="shared" si="965"/>
        <v/>
      </c>
      <c r="AH961" s="33"/>
    </row>
    <row r="962" hidden="1" outlineLevel="3">
      <c r="A962" s="16" t="b">
        <v>0</v>
      </c>
      <c r="B962" s="17"/>
      <c r="C962" s="18"/>
      <c r="D962" s="34"/>
      <c r="E962" s="43"/>
      <c r="F962" s="44"/>
      <c r="G962" s="23"/>
      <c r="H962" s="23"/>
      <c r="I962" s="23"/>
      <c r="J962" s="23"/>
      <c r="K962" s="23"/>
      <c r="L962" s="23"/>
      <c r="M962" s="23"/>
      <c r="N962" s="23"/>
      <c r="O962" s="24"/>
      <c r="P962" s="16" t="b">
        <v>0</v>
      </c>
      <c r="Q962" s="24"/>
      <c r="R962" s="50"/>
      <c r="S962" s="34"/>
      <c r="T962" s="49"/>
      <c r="U962" s="24"/>
      <c r="V962" s="38" t="s">
        <v>29</v>
      </c>
      <c r="W962" s="29" t="s">
        <v>22</v>
      </c>
      <c r="X962" s="37" t="s">
        <v>682</v>
      </c>
      <c r="Y962" s="31"/>
      <c r="Z962" s="26" t="str">
        <f t="shared" si="5"/>
        <v/>
      </c>
      <c r="AA962" s="26" t="str">
        <f t="shared" si="6"/>
        <v/>
      </c>
      <c r="AB962" s="32" t="str">
        <f t="shared" si="7"/>
        <v/>
      </c>
      <c r="AC962" s="32" t="str">
        <f t="shared" ref="AC962:AG962" si="966">IF(J962&lt;&gt;"", IF(AND($P962=FALSE, $A962=FALSE), -J962, IF(AND($P962=FALSE, $A962=TRUE), 0, IF($P962=TRUE, (J962 / $R962) * 100 * ($S962 / 100)-J962, ))), )</f>
        <v/>
      </c>
      <c r="AD962" s="32" t="str">
        <f t="shared" si="966"/>
        <v/>
      </c>
      <c r="AE962" s="32" t="str">
        <f t="shared" si="966"/>
        <v/>
      </c>
      <c r="AF962" s="32" t="str">
        <f t="shared" si="966"/>
        <v/>
      </c>
      <c r="AG962" s="32" t="str">
        <f t="shared" si="966"/>
        <v/>
      </c>
      <c r="AH962" s="33"/>
    </row>
    <row r="963" hidden="1" outlineLevel="3">
      <c r="A963" s="16" t="b">
        <v>0</v>
      </c>
      <c r="B963" s="17"/>
      <c r="C963" s="18"/>
      <c r="D963" s="34"/>
      <c r="E963" s="43"/>
      <c r="F963" s="44"/>
      <c r="G963" s="23"/>
      <c r="H963" s="23"/>
      <c r="I963" s="23"/>
      <c r="J963" s="23"/>
      <c r="K963" s="23"/>
      <c r="L963" s="23"/>
      <c r="M963" s="23"/>
      <c r="N963" s="23"/>
      <c r="O963" s="24"/>
      <c r="P963" s="16" t="b">
        <v>0</v>
      </c>
      <c r="Q963" s="24"/>
      <c r="R963" s="50"/>
      <c r="S963" s="34"/>
      <c r="T963" s="49"/>
      <c r="U963" s="24"/>
      <c r="V963" s="38" t="s">
        <v>29</v>
      </c>
      <c r="W963" s="29" t="s">
        <v>22</v>
      </c>
      <c r="X963" s="37" t="s">
        <v>393</v>
      </c>
      <c r="Y963" s="31"/>
      <c r="Z963" s="26" t="str">
        <f t="shared" si="5"/>
        <v/>
      </c>
      <c r="AA963" s="26" t="str">
        <f t="shared" si="6"/>
        <v/>
      </c>
      <c r="AB963" s="32" t="str">
        <f t="shared" si="7"/>
        <v/>
      </c>
      <c r="AC963" s="32" t="str">
        <f t="shared" ref="AC963:AG963" si="967">IF(J963&lt;&gt;"", IF(AND($P963=FALSE, $A963=FALSE), -J963, IF(AND($P963=FALSE, $A963=TRUE), 0, IF($P963=TRUE, (J963 / $R963) * 100 * ($S963 / 100)-J963, ))), )</f>
        <v/>
      </c>
      <c r="AD963" s="32" t="str">
        <f t="shared" si="967"/>
        <v/>
      </c>
      <c r="AE963" s="32" t="str">
        <f t="shared" si="967"/>
        <v/>
      </c>
      <c r="AF963" s="32" t="str">
        <f t="shared" si="967"/>
        <v/>
      </c>
      <c r="AG963" s="32" t="str">
        <f t="shared" si="967"/>
        <v/>
      </c>
      <c r="AH963" s="33"/>
    </row>
    <row r="964" hidden="1" outlineLevel="3">
      <c r="A964" s="16" t="b">
        <v>0</v>
      </c>
      <c r="B964" s="17"/>
      <c r="C964" s="18"/>
      <c r="D964" s="34"/>
      <c r="E964" s="43"/>
      <c r="F964" s="44"/>
      <c r="G964" s="23"/>
      <c r="H964" s="23"/>
      <c r="I964" s="23"/>
      <c r="J964" s="23"/>
      <c r="K964" s="23"/>
      <c r="L964" s="23"/>
      <c r="M964" s="23"/>
      <c r="N964" s="23"/>
      <c r="O964" s="24"/>
      <c r="P964" s="16" t="b">
        <v>0</v>
      </c>
      <c r="Q964" s="24"/>
      <c r="R964" s="50"/>
      <c r="S964" s="34"/>
      <c r="T964" s="49"/>
      <c r="U964" s="24"/>
      <c r="V964" s="38" t="s">
        <v>29</v>
      </c>
      <c r="W964" s="29" t="s">
        <v>22</v>
      </c>
      <c r="X964" s="37" t="s">
        <v>683</v>
      </c>
      <c r="Y964" s="31"/>
      <c r="Z964" s="26" t="str">
        <f t="shared" si="5"/>
        <v/>
      </c>
      <c r="AA964" s="26" t="str">
        <f t="shared" si="6"/>
        <v/>
      </c>
      <c r="AB964" s="32" t="str">
        <f t="shared" si="7"/>
        <v/>
      </c>
      <c r="AC964" s="32" t="str">
        <f t="shared" ref="AC964:AG964" si="968">IF(J964&lt;&gt;"", IF(AND($P964=FALSE, $A964=FALSE), -J964, IF(AND($P964=FALSE, $A964=TRUE), 0, IF($P964=TRUE, (J964 / $R964) * 100 * ($S964 / 100)-J964, ))), )</f>
        <v/>
      </c>
      <c r="AD964" s="32" t="str">
        <f t="shared" si="968"/>
        <v/>
      </c>
      <c r="AE964" s="32" t="str">
        <f t="shared" si="968"/>
        <v/>
      </c>
      <c r="AF964" s="32" t="str">
        <f t="shared" si="968"/>
        <v/>
      </c>
      <c r="AG964" s="32" t="str">
        <f t="shared" si="968"/>
        <v/>
      </c>
      <c r="AH964" s="33"/>
    </row>
    <row r="965" hidden="1" outlineLevel="3">
      <c r="A965" s="16" t="b">
        <v>0</v>
      </c>
      <c r="B965" s="17"/>
      <c r="C965" s="18"/>
      <c r="D965" s="34"/>
      <c r="E965" s="43"/>
      <c r="F965" s="44"/>
      <c r="G965" s="23"/>
      <c r="H965" s="23"/>
      <c r="I965" s="23"/>
      <c r="J965" s="23"/>
      <c r="K965" s="23"/>
      <c r="L965" s="23"/>
      <c r="M965" s="23"/>
      <c r="N965" s="23"/>
      <c r="O965" s="24"/>
      <c r="P965" s="16" t="b">
        <v>0</v>
      </c>
      <c r="Q965" s="24"/>
      <c r="R965" s="50"/>
      <c r="S965" s="34"/>
      <c r="T965" s="49"/>
      <c r="U965" s="24"/>
      <c r="V965" s="38" t="s">
        <v>29</v>
      </c>
      <c r="W965" s="29" t="s">
        <v>22</v>
      </c>
      <c r="X965" s="37" t="s">
        <v>684</v>
      </c>
      <c r="Y965" s="31"/>
      <c r="Z965" s="26" t="str">
        <f t="shared" si="5"/>
        <v/>
      </c>
      <c r="AA965" s="26" t="str">
        <f t="shared" si="6"/>
        <v/>
      </c>
      <c r="AB965" s="32" t="str">
        <f t="shared" si="7"/>
        <v/>
      </c>
      <c r="AC965" s="32" t="str">
        <f t="shared" ref="AC965:AG965" si="969">IF(J965&lt;&gt;"", IF(AND($P965=FALSE, $A965=FALSE), -J965, IF(AND($P965=FALSE, $A965=TRUE), 0, IF($P965=TRUE, (J965 / $R965) * 100 * ($S965 / 100)-J965, ))), )</f>
        <v/>
      </c>
      <c r="AD965" s="32" t="str">
        <f t="shared" si="969"/>
        <v/>
      </c>
      <c r="AE965" s="32" t="str">
        <f t="shared" si="969"/>
        <v/>
      </c>
      <c r="AF965" s="32" t="str">
        <f t="shared" si="969"/>
        <v/>
      </c>
      <c r="AG965" s="32" t="str">
        <f t="shared" si="969"/>
        <v/>
      </c>
      <c r="AH965" s="33"/>
    </row>
    <row r="966" hidden="1" outlineLevel="3">
      <c r="A966" s="16" t="b">
        <v>0</v>
      </c>
      <c r="B966" s="17"/>
      <c r="C966" s="18"/>
      <c r="D966" s="34"/>
      <c r="E966" s="43"/>
      <c r="F966" s="44"/>
      <c r="G966" s="23"/>
      <c r="H966" s="23"/>
      <c r="I966" s="23"/>
      <c r="J966" s="23"/>
      <c r="K966" s="23"/>
      <c r="L966" s="23"/>
      <c r="M966" s="23"/>
      <c r="N966" s="23"/>
      <c r="O966" s="24"/>
      <c r="P966" s="16" t="b">
        <v>0</v>
      </c>
      <c r="Q966" s="24"/>
      <c r="R966" s="50"/>
      <c r="S966" s="34"/>
      <c r="T966" s="49"/>
      <c r="U966" s="24"/>
      <c r="V966" s="28" t="s">
        <v>32</v>
      </c>
      <c r="W966" s="29" t="s">
        <v>22</v>
      </c>
      <c r="X966" s="37" t="s">
        <v>685</v>
      </c>
      <c r="Y966" s="31"/>
      <c r="Z966" s="26" t="str">
        <f t="shared" si="5"/>
        <v/>
      </c>
      <c r="AA966" s="26" t="str">
        <f t="shared" si="6"/>
        <v/>
      </c>
      <c r="AB966" s="32" t="str">
        <f t="shared" si="7"/>
        <v/>
      </c>
      <c r="AC966" s="32" t="str">
        <f t="shared" ref="AC966:AG966" si="970">IF(J966&lt;&gt;"", IF(AND($P966=FALSE, $A966=FALSE), -J966, IF(AND($P966=FALSE, $A966=TRUE), 0, IF($P966=TRUE, (J966 / $R966) * 100 * ($S966 / 100)-J966, ))), )</f>
        <v/>
      </c>
      <c r="AD966" s="32" t="str">
        <f t="shared" si="970"/>
        <v/>
      </c>
      <c r="AE966" s="32" t="str">
        <f t="shared" si="970"/>
        <v/>
      </c>
      <c r="AF966" s="32" t="str">
        <f t="shared" si="970"/>
        <v/>
      </c>
      <c r="AG966" s="32" t="str">
        <f t="shared" si="970"/>
        <v/>
      </c>
      <c r="AH966" s="33"/>
    </row>
    <row r="967" hidden="1" outlineLevel="1" collapsed="1">
      <c r="A967" s="16" t="b">
        <v>0</v>
      </c>
      <c r="B967" s="17"/>
      <c r="C967" s="18"/>
      <c r="D967" s="42">
        <v>45264.0</v>
      </c>
      <c r="E967" s="43" t="s">
        <v>60</v>
      </c>
      <c r="F967" s="53" t="s">
        <v>630</v>
      </c>
      <c r="G967" s="45">
        <v>2.5</v>
      </c>
      <c r="H967" s="45">
        <v>1.5</v>
      </c>
      <c r="I967" s="45">
        <v>2.5</v>
      </c>
      <c r="J967" s="46"/>
      <c r="K967" s="46"/>
      <c r="L967" s="45"/>
      <c r="M967" s="46"/>
      <c r="N967" s="46"/>
      <c r="O967" s="47"/>
      <c r="P967" s="16" t="b">
        <v>0</v>
      </c>
      <c r="Q967" s="24"/>
      <c r="R967" s="48">
        <v>6.5</v>
      </c>
      <c r="S967" s="45">
        <v>13.26</v>
      </c>
      <c r="T967" s="49" t="s">
        <v>132</v>
      </c>
      <c r="U967" s="47"/>
      <c r="V967" s="28"/>
      <c r="W967" s="29"/>
      <c r="X967" s="30"/>
      <c r="Y967" s="31"/>
      <c r="Z967" s="26">
        <f t="shared" si="5"/>
        <v>-2.5</v>
      </c>
      <c r="AA967" s="26">
        <f t="shared" si="6"/>
        <v>-2.5</v>
      </c>
      <c r="AB967" s="32">
        <f t="shared" si="7"/>
        <v>-1.5</v>
      </c>
      <c r="AC967" s="32" t="str">
        <f t="shared" ref="AC967:AG967" si="971">IF(J967&lt;&gt;"", IF(AND($P967=FALSE, $A967=FALSE), -J967, IF(AND($P967=FALSE, $A967=TRUE), 0, IF($P967=TRUE, (J967 / $R967) * 100 * ($S967 / 100)-J967, ))), )</f>
        <v/>
      </c>
      <c r="AD967" s="32" t="str">
        <f t="shared" si="971"/>
        <v/>
      </c>
      <c r="AE967" s="32" t="str">
        <f t="shared" si="971"/>
        <v/>
      </c>
      <c r="AF967" s="32" t="str">
        <f t="shared" si="971"/>
        <v/>
      </c>
      <c r="AG967" s="32" t="str">
        <f t="shared" si="971"/>
        <v/>
      </c>
      <c r="AH967" s="33"/>
    </row>
    <row r="968" hidden="1" outlineLevel="3">
      <c r="A968" s="16" t="b">
        <v>0</v>
      </c>
      <c r="B968" s="17"/>
      <c r="C968" s="18"/>
      <c r="D968" s="34"/>
      <c r="E968" s="43"/>
      <c r="F968" s="44"/>
      <c r="G968" s="23"/>
      <c r="H968" s="23"/>
      <c r="I968" s="23"/>
      <c r="J968" s="23"/>
      <c r="K968" s="23"/>
      <c r="L968" s="23"/>
      <c r="M968" s="23"/>
      <c r="N968" s="23"/>
      <c r="O968" s="24"/>
      <c r="P968" s="16" t="b">
        <v>0</v>
      </c>
      <c r="Q968" s="24"/>
      <c r="R968" s="50"/>
      <c r="S968" s="34"/>
      <c r="T968" s="49"/>
      <c r="U968" s="24"/>
      <c r="V968" s="28" t="s">
        <v>32</v>
      </c>
      <c r="W968" s="29" t="s">
        <v>22</v>
      </c>
      <c r="X968" s="37" t="s">
        <v>686</v>
      </c>
      <c r="Y968" s="31"/>
      <c r="Z968" s="26" t="str">
        <f t="shared" si="5"/>
        <v/>
      </c>
      <c r="AA968" s="26" t="str">
        <f t="shared" si="6"/>
        <v/>
      </c>
      <c r="AB968" s="32" t="str">
        <f t="shared" si="7"/>
        <v/>
      </c>
      <c r="AC968" s="32" t="str">
        <f t="shared" ref="AC968:AG968" si="972">IF(J968&lt;&gt;"", IF(AND($P968=FALSE, $A968=FALSE), -J968, IF(AND($P968=FALSE, $A968=TRUE), 0, IF($P968=TRUE, (J968 / $R968) * 100 * ($S968 / 100)-J968, ))), )</f>
        <v/>
      </c>
      <c r="AD968" s="32" t="str">
        <f t="shared" si="972"/>
        <v/>
      </c>
      <c r="AE968" s="32" t="str">
        <f t="shared" si="972"/>
        <v/>
      </c>
      <c r="AF968" s="32" t="str">
        <f t="shared" si="972"/>
        <v/>
      </c>
      <c r="AG968" s="32" t="str">
        <f t="shared" si="972"/>
        <v/>
      </c>
      <c r="AH968" s="33"/>
    </row>
    <row r="969" hidden="1" outlineLevel="3">
      <c r="A969" s="16" t="b">
        <v>0</v>
      </c>
      <c r="B969" s="17"/>
      <c r="C969" s="18"/>
      <c r="D969" s="34"/>
      <c r="E969" s="43"/>
      <c r="F969" s="44"/>
      <c r="G969" s="23"/>
      <c r="H969" s="23"/>
      <c r="I969" s="23"/>
      <c r="J969" s="23"/>
      <c r="K969" s="23"/>
      <c r="L969" s="23"/>
      <c r="M969" s="23"/>
      <c r="N969" s="23"/>
      <c r="O969" s="24"/>
      <c r="P969" s="16" t="b">
        <v>0</v>
      </c>
      <c r="Q969" s="24"/>
      <c r="R969" s="50"/>
      <c r="S969" s="34"/>
      <c r="T969" s="49"/>
      <c r="U969" s="24"/>
      <c r="V969" s="38" t="s">
        <v>29</v>
      </c>
      <c r="W969" s="29" t="s">
        <v>22</v>
      </c>
      <c r="X969" s="37" t="s">
        <v>186</v>
      </c>
      <c r="Y969" s="31"/>
      <c r="Z969" s="26" t="str">
        <f t="shared" si="5"/>
        <v/>
      </c>
      <c r="AA969" s="26" t="str">
        <f t="shared" si="6"/>
        <v/>
      </c>
      <c r="AB969" s="32" t="str">
        <f t="shared" si="7"/>
        <v/>
      </c>
      <c r="AC969" s="32" t="str">
        <f t="shared" ref="AC969:AG969" si="973">IF(J969&lt;&gt;"", IF(AND($P969=FALSE, $A969=FALSE), -J969, IF(AND($P969=FALSE, $A969=TRUE), 0, IF($P969=TRUE, (J969 / $R969) * 100 * ($S969 / 100)-J969, ))), )</f>
        <v/>
      </c>
      <c r="AD969" s="32" t="str">
        <f t="shared" si="973"/>
        <v/>
      </c>
      <c r="AE969" s="32" t="str">
        <f t="shared" si="973"/>
        <v/>
      </c>
      <c r="AF969" s="32" t="str">
        <f t="shared" si="973"/>
        <v/>
      </c>
      <c r="AG969" s="32" t="str">
        <f t="shared" si="973"/>
        <v/>
      </c>
      <c r="AH969" s="33"/>
    </row>
    <row r="970" hidden="1" outlineLevel="3">
      <c r="A970" s="16" t="b">
        <v>0</v>
      </c>
      <c r="B970" s="17"/>
      <c r="C970" s="18"/>
      <c r="D970" s="34"/>
      <c r="E970" s="43"/>
      <c r="F970" s="44"/>
      <c r="G970" s="23"/>
      <c r="H970" s="23"/>
      <c r="I970" s="23"/>
      <c r="J970" s="23"/>
      <c r="K970" s="23"/>
      <c r="L970" s="23"/>
      <c r="M970" s="23"/>
      <c r="N970" s="23"/>
      <c r="O970" s="24"/>
      <c r="P970" s="16" t="b">
        <v>0</v>
      </c>
      <c r="Q970" s="24"/>
      <c r="R970" s="50"/>
      <c r="S970" s="34"/>
      <c r="T970" s="49"/>
      <c r="U970" s="24"/>
      <c r="V970" s="38" t="s">
        <v>29</v>
      </c>
      <c r="W970" s="29" t="s">
        <v>22</v>
      </c>
      <c r="X970" s="37" t="s">
        <v>687</v>
      </c>
      <c r="Y970" s="31"/>
      <c r="Z970" s="26" t="str">
        <f t="shared" si="5"/>
        <v/>
      </c>
      <c r="AA970" s="26" t="str">
        <f t="shared" si="6"/>
        <v/>
      </c>
      <c r="AB970" s="32" t="str">
        <f t="shared" si="7"/>
        <v/>
      </c>
      <c r="AC970" s="32" t="str">
        <f t="shared" ref="AC970:AG970" si="974">IF(J970&lt;&gt;"", IF(AND($P970=FALSE, $A970=FALSE), -J970, IF(AND($P970=FALSE, $A970=TRUE), 0, IF($P970=TRUE, (J970 / $R970) * 100 * ($S970 / 100)-J970, ))), )</f>
        <v/>
      </c>
      <c r="AD970" s="32" t="str">
        <f t="shared" si="974"/>
        <v/>
      </c>
      <c r="AE970" s="32" t="str">
        <f t="shared" si="974"/>
        <v/>
      </c>
      <c r="AF970" s="32" t="str">
        <f t="shared" si="974"/>
        <v/>
      </c>
      <c r="AG970" s="32" t="str">
        <f t="shared" si="974"/>
        <v/>
      </c>
      <c r="AH970" s="33"/>
    </row>
    <row r="971" hidden="1" outlineLevel="2" collapsed="1">
      <c r="A971" s="16" t="b">
        <v>0</v>
      </c>
      <c r="B971" s="17"/>
      <c r="C971" s="18"/>
      <c r="D971" s="42">
        <v>45264.0</v>
      </c>
      <c r="E971" s="43" t="s">
        <v>60</v>
      </c>
      <c r="F971" s="53" t="s">
        <v>630</v>
      </c>
      <c r="G971" s="48">
        <v>2.5</v>
      </c>
      <c r="H971" s="48">
        <v>1.5</v>
      </c>
      <c r="I971" s="78">
        <v>2.5</v>
      </c>
      <c r="J971" s="79"/>
      <c r="K971" s="79"/>
      <c r="L971" s="48"/>
      <c r="M971" s="79"/>
      <c r="N971" s="79"/>
      <c r="O971" s="47"/>
      <c r="P971" s="16" t="b">
        <v>0</v>
      </c>
      <c r="Q971" s="24"/>
      <c r="R971" s="48">
        <v>6.5</v>
      </c>
      <c r="S971" s="45">
        <v>14.4</v>
      </c>
      <c r="T971" s="49" t="s">
        <v>231</v>
      </c>
      <c r="U971" s="47"/>
      <c r="V971" s="28"/>
      <c r="W971" s="29"/>
      <c r="X971" s="30"/>
      <c r="Y971" s="31"/>
      <c r="Z971" s="26">
        <f t="shared" si="5"/>
        <v>-2.5</v>
      </c>
      <c r="AA971" s="26">
        <f t="shared" si="6"/>
        <v>-2.5</v>
      </c>
      <c r="AB971" s="32">
        <f t="shared" si="7"/>
        <v>-1.5</v>
      </c>
      <c r="AC971" s="32" t="str">
        <f t="shared" ref="AC971:AG971" si="975">IF(J971&lt;&gt;"", IF(AND($P971=FALSE, $A971=FALSE), -J971, IF(AND($P971=FALSE, $A971=TRUE), 0, IF($P971=TRUE, (J971 / $R971) * 100 * ($S971 / 100)-J971, ))), )</f>
        <v/>
      </c>
      <c r="AD971" s="32" t="str">
        <f t="shared" si="975"/>
        <v/>
      </c>
      <c r="AE971" s="32" t="str">
        <f t="shared" si="975"/>
        <v/>
      </c>
      <c r="AF971" s="32" t="str">
        <f t="shared" si="975"/>
        <v/>
      </c>
      <c r="AG971" s="32" t="str">
        <f t="shared" si="975"/>
        <v/>
      </c>
      <c r="AH971" s="33"/>
    </row>
    <row r="972" hidden="1" outlineLevel="3">
      <c r="A972" s="16" t="b">
        <v>0</v>
      </c>
      <c r="B972" s="17"/>
      <c r="C972" s="18"/>
      <c r="D972" s="34"/>
      <c r="E972" s="43"/>
      <c r="F972" s="44"/>
      <c r="G972" s="23"/>
      <c r="H972" s="23"/>
      <c r="I972" s="23"/>
      <c r="J972" s="23"/>
      <c r="K972" s="23"/>
      <c r="L972" s="23"/>
      <c r="M972" s="23"/>
      <c r="N972" s="23"/>
      <c r="O972" s="24"/>
      <c r="P972" s="16" t="b">
        <v>0</v>
      </c>
      <c r="Q972" s="24"/>
      <c r="R972" s="50"/>
      <c r="S972" s="34"/>
      <c r="T972" s="49"/>
      <c r="U972" s="24"/>
      <c r="V972" s="38" t="s">
        <v>29</v>
      </c>
      <c r="W972" s="29" t="s">
        <v>22</v>
      </c>
      <c r="X972" s="37" t="s">
        <v>688</v>
      </c>
      <c r="Y972" s="31"/>
      <c r="Z972" s="26" t="str">
        <f t="shared" si="5"/>
        <v/>
      </c>
      <c r="AA972" s="26" t="str">
        <f t="shared" si="6"/>
        <v/>
      </c>
      <c r="AB972" s="32" t="str">
        <f t="shared" si="7"/>
        <v/>
      </c>
      <c r="AC972" s="32" t="str">
        <f t="shared" ref="AC972:AG972" si="976">IF(J972&lt;&gt;"", IF(AND($P972=FALSE, $A972=FALSE), -J972, IF(AND($P972=FALSE, $A972=TRUE), 0, IF($P972=TRUE, (J972 / $R972) * 100 * ($S972 / 100)-J972, ))), )</f>
        <v/>
      </c>
      <c r="AD972" s="32" t="str">
        <f t="shared" si="976"/>
        <v/>
      </c>
      <c r="AE972" s="32" t="str">
        <f t="shared" si="976"/>
        <v/>
      </c>
      <c r="AF972" s="32" t="str">
        <f t="shared" si="976"/>
        <v/>
      </c>
      <c r="AG972" s="32" t="str">
        <f t="shared" si="976"/>
        <v/>
      </c>
      <c r="AH972" s="33"/>
    </row>
    <row r="973" hidden="1" outlineLevel="3">
      <c r="A973" s="16" t="b">
        <v>0</v>
      </c>
      <c r="B973" s="17"/>
      <c r="C973" s="18"/>
      <c r="D973" s="34"/>
      <c r="E973" s="43"/>
      <c r="F973" s="44"/>
      <c r="G973" s="23"/>
      <c r="H973" s="23"/>
      <c r="I973" s="23"/>
      <c r="J973" s="23"/>
      <c r="K973" s="23"/>
      <c r="L973" s="23"/>
      <c r="M973" s="23"/>
      <c r="N973" s="23"/>
      <c r="O973" s="24"/>
      <c r="P973" s="16" t="b">
        <v>0</v>
      </c>
      <c r="Q973" s="24"/>
      <c r="R973" s="50"/>
      <c r="S973" s="34"/>
      <c r="T973" s="49"/>
      <c r="U973" s="24"/>
      <c r="V973" s="28" t="s">
        <v>32</v>
      </c>
      <c r="W973" s="29" t="s">
        <v>22</v>
      </c>
      <c r="X973" s="37" t="s">
        <v>279</v>
      </c>
      <c r="Y973" s="31"/>
      <c r="Z973" s="26" t="str">
        <f t="shared" si="5"/>
        <v/>
      </c>
      <c r="AA973" s="26" t="str">
        <f t="shared" si="6"/>
        <v/>
      </c>
      <c r="AB973" s="32" t="str">
        <f t="shared" si="7"/>
        <v/>
      </c>
      <c r="AC973" s="32" t="str">
        <f t="shared" ref="AC973:AG973" si="977">IF(J973&lt;&gt;"", IF(AND($P973=FALSE, $A973=FALSE), -J973, IF(AND($P973=FALSE, $A973=TRUE), 0, IF($P973=TRUE, (J973 / $R973) * 100 * ($S973 / 100)-J973, ))), )</f>
        <v/>
      </c>
      <c r="AD973" s="32" t="str">
        <f t="shared" si="977"/>
        <v/>
      </c>
      <c r="AE973" s="32" t="str">
        <f t="shared" si="977"/>
        <v/>
      </c>
      <c r="AF973" s="32" t="str">
        <f t="shared" si="977"/>
        <v/>
      </c>
      <c r="AG973" s="32" t="str">
        <f t="shared" si="977"/>
        <v/>
      </c>
      <c r="AH973" s="33"/>
    </row>
    <row r="974" hidden="1" outlineLevel="3">
      <c r="A974" s="16" t="b">
        <v>0</v>
      </c>
      <c r="B974" s="17"/>
      <c r="C974" s="18"/>
      <c r="D974" s="34"/>
      <c r="E974" s="43"/>
      <c r="F974" s="44"/>
      <c r="G974" s="23"/>
      <c r="H974" s="23"/>
      <c r="I974" s="23"/>
      <c r="J974" s="23"/>
      <c r="K974" s="23"/>
      <c r="L974" s="23"/>
      <c r="M974" s="23"/>
      <c r="N974" s="23"/>
      <c r="O974" s="24"/>
      <c r="P974" s="16" t="b">
        <v>0</v>
      </c>
      <c r="Q974" s="24"/>
      <c r="R974" s="50"/>
      <c r="S974" s="34"/>
      <c r="T974" s="49"/>
      <c r="U974" s="24"/>
      <c r="V974" s="38" t="s">
        <v>29</v>
      </c>
      <c r="W974" s="29" t="s">
        <v>22</v>
      </c>
      <c r="X974" s="37" t="s">
        <v>689</v>
      </c>
      <c r="Y974" s="31"/>
      <c r="Z974" s="26" t="str">
        <f t="shared" si="5"/>
        <v/>
      </c>
      <c r="AA974" s="26" t="str">
        <f t="shared" si="6"/>
        <v/>
      </c>
      <c r="AB974" s="32" t="str">
        <f t="shared" si="7"/>
        <v/>
      </c>
      <c r="AC974" s="32" t="str">
        <f t="shared" ref="AC974:AG974" si="978">IF(J974&lt;&gt;"", IF(AND($P974=FALSE, $A974=FALSE), -J974, IF(AND($P974=FALSE, $A974=TRUE), 0, IF($P974=TRUE, (J974 / $R974) * 100 * ($S974 / 100)-J974, ))), )</f>
        <v/>
      </c>
      <c r="AD974" s="32" t="str">
        <f t="shared" si="978"/>
        <v/>
      </c>
      <c r="AE974" s="32" t="str">
        <f t="shared" si="978"/>
        <v/>
      </c>
      <c r="AF974" s="32" t="str">
        <f t="shared" si="978"/>
        <v/>
      </c>
      <c r="AG974" s="32" t="str">
        <f t="shared" si="978"/>
        <v/>
      </c>
      <c r="AH974" s="33"/>
    </row>
    <row r="975" hidden="1" outlineLevel="2" collapsed="1">
      <c r="A975" s="16" t="b">
        <v>0</v>
      </c>
      <c r="B975" s="17"/>
      <c r="C975" s="18"/>
      <c r="D975" s="42">
        <v>45264.0</v>
      </c>
      <c r="E975" s="43" t="s">
        <v>24</v>
      </c>
      <c r="F975" s="44" t="s">
        <v>57</v>
      </c>
      <c r="G975" s="45">
        <v>3.0</v>
      </c>
      <c r="H975" s="45">
        <v>1.5</v>
      </c>
      <c r="I975" s="45">
        <v>25.0</v>
      </c>
      <c r="J975" s="77">
        <v>2.5</v>
      </c>
      <c r="K975" s="46"/>
      <c r="L975" s="45"/>
      <c r="M975" s="46"/>
      <c r="N975" s="46"/>
      <c r="O975" s="47"/>
      <c r="P975" s="16" t="b">
        <v>0</v>
      </c>
      <c r="Q975" s="24"/>
      <c r="R975" s="48">
        <v>32.0</v>
      </c>
      <c r="S975" s="45">
        <v>63.88</v>
      </c>
      <c r="T975" s="49">
        <v>-100.0</v>
      </c>
      <c r="U975" s="47"/>
      <c r="V975" s="28"/>
      <c r="W975" s="29"/>
      <c r="X975" s="30"/>
      <c r="Y975" s="31"/>
      <c r="Z975" s="26">
        <f t="shared" si="5"/>
        <v>-3</v>
      </c>
      <c r="AA975" s="26">
        <f t="shared" si="6"/>
        <v>-25</v>
      </c>
      <c r="AB975" s="32">
        <f t="shared" si="7"/>
        <v>-1.5</v>
      </c>
      <c r="AC975" s="32">
        <f t="shared" ref="AC975:AG975" si="979">IF(J975&lt;&gt;"", IF(AND($P975=FALSE, $A975=FALSE), -J975, IF(AND($P975=FALSE, $A975=TRUE), 0, IF($P975=TRUE, (J975 / $R975) * 100 * ($S975 / 100)-J975, ))), )</f>
        <v>-2.5</v>
      </c>
      <c r="AD975" s="32" t="str">
        <f t="shared" si="979"/>
        <v/>
      </c>
      <c r="AE975" s="32" t="str">
        <f t="shared" si="979"/>
        <v/>
      </c>
      <c r="AF975" s="32" t="str">
        <f t="shared" si="979"/>
        <v/>
      </c>
      <c r="AG975" s="32" t="str">
        <f t="shared" si="979"/>
        <v/>
      </c>
      <c r="AH975" s="33"/>
    </row>
    <row r="976" hidden="1" outlineLevel="3">
      <c r="A976" s="16" t="b">
        <v>0</v>
      </c>
      <c r="B976" s="17"/>
      <c r="C976" s="18"/>
      <c r="D976" s="19"/>
      <c r="E976" s="20"/>
      <c r="F976" s="21"/>
      <c r="G976" s="22"/>
      <c r="H976" s="22"/>
      <c r="I976" s="23"/>
      <c r="J976" s="22"/>
      <c r="K976" s="23"/>
      <c r="L976" s="22"/>
      <c r="M976" s="23"/>
      <c r="N976" s="23"/>
      <c r="O976" s="24"/>
      <c r="P976" s="16" t="b">
        <v>0</v>
      </c>
      <c r="Q976" s="24"/>
      <c r="R976" s="25"/>
      <c r="S976" s="26"/>
      <c r="T976" s="27"/>
      <c r="U976" s="24"/>
      <c r="V976" s="38" t="s">
        <v>29</v>
      </c>
      <c r="W976" s="29" t="s">
        <v>22</v>
      </c>
      <c r="X976" s="37" t="s">
        <v>690</v>
      </c>
      <c r="Y976" s="31"/>
      <c r="Z976" s="26" t="str">
        <f t="shared" si="5"/>
        <v/>
      </c>
      <c r="AA976" s="26" t="str">
        <f t="shared" si="6"/>
        <v/>
      </c>
      <c r="AB976" s="32" t="str">
        <f t="shared" si="7"/>
        <v/>
      </c>
      <c r="AC976" s="32" t="str">
        <f t="shared" ref="AC976:AG976" si="980">IF(J976&lt;&gt;"", IF(AND($P976=FALSE, $A976=FALSE), -J976, IF(AND($P976=FALSE, $A976=TRUE), 0, IF($P976=TRUE, (J976 / $R976) * 100 * ($S976 / 100)-J976, ))), )</f>
        <v/>
      </c>
      <c r="AD976" s="32" t="str">
        <f t="shared" si="980"/>
        <v/>
      </c>
      <c r="AE976" s="32" t="str">
        <f t="shared" si="980"/>
        <v/>
      </c>
      <c r="AF976" s="32" t="str">
        <f t="shared" si="980"/>
        <v/>
      </c>
      <c r="AG976" s="32" t="str">
        <f t="shared" si="980"/>
        <v/>
      </c>
      <c r="AH976" s="33"/>
    </row>
    <row r="977" hidden="1" outlineLevel="3">
      <c r="A977" s="16" t="b">
        <v>0</v>
      </c>
      <c r="B977" s="17"/>
      <c r="C977" s="18"/>
      <c r="D977" s="19"/>
      <c r="E977" s="20"/>
      <c r="F977" s="21"/>
      <c r="G977" s="22"/>
      <c r="H977" s="22"/>
      <c r="I977" s="23"/>
      <c r="J977" s="22"/>
      <c r="K977" s="23"/>
      <c r="L977" s="22"/>
      <c r="M977" s="23"/>
      <c r="N977" s="23"/>
      <c r="O977" s="24"/>
      <c r="P977" s="16" t="b">
        <v>0</v>
      </c>
      <c r="Q977" s="24"/>
      <c r="R977" s="25"/>
      <c r="S977" s="26"/>
      <c r="T977" s="27"/>
      <c r="U977" s="24"/>
      <c r="V977" s="28" t="s">
        <v>32</v>
      </c>
      <c r="W977" s="29" t="s">
        <v>22</v>
      </c>
      <c r="X977" s="37" t="s">
        <v>691</v>
      </c>
      <c r="Y977" s="31"/>
      <c r="Z977" s="26" t="str">
        <f t="shared" si="5"/>
        <v/>
      </c>
      <c r="AA977" s="26" t="str">
        <f t="shared" si="6"/>
        <v/>
      </c>
      <c r="AB977" s="32" t="str">
        <f t="shared" si="7"/>
        <v/>
      </c>
      <c r="AC977" s="32" t="str">
        <f t="shared" ref="AC977:AG977" si="981">IF(J977&lt;&gt;"", IF(AND($P977=FALSE, $A977=FALSE), -J977, IF(AND($P977=FALSE, $A977=TRUE), 0, IF($P977=TRUE, (J977 / $R977) * 100 * ($S977 / 100)-J977, ))), )</f>
        <v/>
      </c>
      <c r="AD977" s="32" t="str">
        <f t="shared" si="981"/>
        <v/>
      </c>
      <c r="AE977" s="32" t="str">
        <f t="shared" si="981"/>
        <v/>
      </c>
      <c r="AF977" s="32" t="str">
        <f t="shared" si="981"/>
        <v/>
      </c>
      <c r="AG977" s="32" t="str">
        <f t="shared" si="981"/>
        <v/>
      </c>
      <c r="AH977" s="33"/>
    </row>
    <row r="978" hidden="1" outlineLevel="3">
      <c r="A978" s="16" t="b">
        <v>0</v>
      </c>
      <c r="B978" s="17"/>
      <c r="C978" s="18"/>
      <c r="D978" s="19"/>
      <c r="E978" s="20"/>
      <c r="F978" s="21"/>
      <c r="G978" s="22"/>
      <c r="H978" s="22"/>
      <c r="I978" s="23"/>
      <c r="J978" s="22"/>
      <c r="K978" s="23"/>
      <c r="L978" s="22"/>
      <c r="M978" s="23"/>
      <c r="N978" s="23"/>
      <c r="O978" s="24"/>
      <c r="P978" s="16" t="b">
        <v>0</v>
      </c>
      <c r="Q978" s="24"/>
      <c r="R978" s="25"/>
      <c r="S978" s="26"/>
      <c r="T978" s="27"/>
      <c r="U978" s="24"/>
      <c r="V978" s="28" t="s">
        <v>32</v>
      </c>
      <c r="W978" s="29" t="s">
        <v>22</v>
      </c>
      <c r="X978" s="37" t="s">
        <v>692</v>
      </c>
      <c r="Y978" s="31"/>
      <c r="Z978" s="26" t="str">
        <f t="shared" si="5"/>
        <v/>
      </c>
      <c r="AA978" s="26" t="str">
        <f t="shared" si="6"/>
        <v/>
      </c>
      <c r="AB978" s="32" t="str">
        <f t="shared" si="7"/>
        <v/>
      </c>
      <c r="AC978" s="32" t="str">
        <f t="shared" ref="AC978:AG978" si="982">IF(J978&lt;&gt;"", IF(AND($P978=FALSE, $A978=FALSE), -J978, IF(AND($P978=FALSE, $A978=TRUE), 0, IF($P978=TRUE, (J978 / $R978) * 100 * ($S978 / 100)-J978, ))), )</f>
        <v/>
      </c>
      <c r="AD978" s="32" t="str">
        <f t="shared" si="982"/>
        <v/>
      </c>
      <c r="AE978" s="32" t="str">
        <f t="shared" si="982"/>
        <v/>
      </c>
      <c r="AF978" s="32" t="str">
        <f t="shared" si="982"/>
        <v/>
      </c>
      <c r="AG978" s="32" t="str">
        <f t="shared" si="982"/>
        <v/>
      </c>
      <c r="AH978" s="33"/>
    </row>
    <row r="979" hidden="1" outlineLevel="3">
      <c r="A979" s="16" t="b">
        <v>0</v>
      </c>
      <c r="B979" s="17"/>
      <c r="C979" s="18"/>
      <c r="D979" s="19"/>
      <c r="E979" s="20"/>
      <c r="F979" s="21"/>
      <c r="G979" s="22"/>
      <c r="H979" s="22"/>
      <c r="I979" s="23"/>
      <c r="J979" s="22"/>
      <c r="K979" s="23"/>
      <c r="L979" s="22"/>
      <c r="M979" s="23"/>
      <c r="N979" s="23"/>
      <c r="O979" s="24"/>
      <c r="P979" s="16" t="b">
        <v>0</v>
      </c>
      <c r="Q979" s="24"/>
      <c r="R979" s="25"/>
      <c r="S979" s="26"/>
      <c r="T979" s="27"/>
      <c r="U979" s="24"/>
      <c r="V979" s="28" t="s">
        <v>32</v>
      </c>
      <c r="W979" s="29" t="s">
        <v>22</v>
      </c>
      <c r="X979" s="37" t="s">
        <v>693</v>
      </c>
      <c r="Y979" s="31"/>
      <c r="Z979" s="26" t="str">
        <f t="shared" si="5"/>
        <v/>
      </c>
      <c r="AA979" s="26" t="str">
        <f t="shared" si="6"/>
        <v/>
      </c>
      <c r="AB979" s="32" t="str">
        <f t="shared" si="7"/>
        <v/>
      </c>
      <c r="AC979" s="32" t="str">
        <f t="shared" ref="AC979:AG979" si="983">IF(J979&lt;&gt;"", IF(AND($P979=FALSE, $A979=FALSE), -J979, IF(AND($P979=FALSE, $A979=TRUE), 0, IF($P979=TRUE, (J979 / $R979) * 100 * ($S979 / 100)-J979, ))), )</f>
        <v/>
      </c>
      <c r="AD979" s="32" t="str">
        <f t="shared" si="983"/>
        <v/>
      </c>
      <c r="AE979" s="32" t="str">
        <f t="shared" si="983"/>
        <v/>
      </c>
      <c r="AF979" s="32" t="str">
        <f t="shared" si="983"/>
        <v/>
      </c>
      <c r="AG979" s="32" t="str">
        <f t="shared" si="983"/>
        <v/>
      </c>
      <c r="AH979" s="33"/>
    </row>
    <row r="980" hidden="1" outlineLevel="2" collapsed="1">
      <c r="A980" s="16" t="b">
        <v>0</v>
      </c>
      <c r="B980" s="17"/>
      <c r="C980" s="18"/>
      <c r="D980" s="42">
        <v>45264.0</v>
      </c>
      <c r="E980" s="43" t="s">
        <v>24</v>
      </c>
      <c r="F980" s="44" t="s">
        <v>57</v>
      </c>
      <c r="G980" s="45">
        <v>0.5</v>
      </c>
      <c r="H980" s="45">
        <v>0.25</v>
      </c>
      <c r="I980" s="45">
        <v>4.25</v>
      </c>
      <c r="J980" s="77"/>
      <c r="K980" s="46"/>
      <c r="L980" s="45"/>
      <c r="M980" s="46"/>
      <c r="N980" s="46"/>
      <c r="O980" s="47"/>
      <c r="P980" s="16" t="b">
        <v>0</v>
      </c>
      <c r="Q980" s="24"/>
      <c r="R980" s="48">
        <v>5.0</v>
      </c>
      <c r="S980" s="45">
        <v>140.0</v>
      </c>
      <c r="T980" s="49" t="s">
        <v>694</v>
      </c>
      <c r="U980" s="47"/>
      <c r="V980" s="28"/>
      <c r="W980" s="29"/>
      <c r="X980" s="30"/>
      <c r="Y980" s="31"/>
      <c r="Z980" s="26">
        <f t="shared" si="5"/>
        <v>-0.5</v>
      </c>
      <c r="AA980" s="26">
        <f t="shared" si="6"/>
        <v>-4.25</v>
      </c>
      <c r="AB980" s="32">
        <f t="shared" si="7"/>
        <v>-0.25</v>
      </c>
      <c r="AC980" s="32" t="str">
        <f t="shared" ref="AC980:AG980" si="984">IF(J980&lt;&gt;"", IF(AND($P980=FALSE, $A980=FALSE), -J980, IF(AND($P980=FALSE, $A980=TRUE), 0, IF($P980=TRUE, (J980 / $R980) * 100 * ($S980 / 100)-J980, ))), )</f>
        <v/>
      </c>
      <c r="AD980" s="32" t="str">
        <f t="shared" si="984"/>
        <v/>
      </c>
      <c r="AE980" s="32" t="str">
        <f t="shared" si="984"/>
        <v/>
      </c>
      <c r="AF980" s="32" t="str">
        <f t="shared" si="984"/>
        <v/>
      </c>
      <c r="AG980" s="32" t="str">
        <f t="shared" si="984"/>
        <v/>
      </c>
      <c r="AH980" s="33"/>
    </row>
    <row r="981" hidden="1" outlineLevel="3">
      <c r="A981" s="16" t="b">
        <v>0</v>
      </c>
      <c r="B981" s="17"/>
      <c r="C981" s="18"/>
      <c r="D981" s="19"/>
      <c r="E981" s="20"/>
      <c r="F981" s="21"/>
      <c r="G981" s="22"/>
      <c r="H981" s="22"/>
      <c r="I981" s="23"/>
      <c r="J981" s="22"/>
      <c r="K981" s="23"/>
      <c r="L981" s="22"/>
      <c r="M981" s="23"/>
      <c r="N981" s="23"/>
      <c r="O981" s="24"/>
      <c r="P981" s="16" t="b">
        <v>0</v>
      </c>
      <c r="Q981" s="24"/>
      <c r="R981" s="25"/>
      <c r="S981" s="26"/>
      <c r="T981" s="27"/>
      <c r="U981" s="24"/>
      <c r="V981" s="28" t="s">
        <v>32</v>
      </c>
      <c r="W981" s="29" t="s">
        <v>22</v>
      </c>
      <c r="X981" s="37" t="s">
        <v>695</v>
      </c>
      <c r="Y981" s="31"/>
      <c r="Z981" s="26" t="str">
        <f t="shared" si="5"/>
        <v/>
      </c>
      <c r="AA981" s="26" t="str">
        <f t="shared" si="6"/>
        <v/>
      </c>
      <c r="AB981" s="32" t="str">
        <f t="shared" si="7"/>
        <v/>
      </c>
      <c r="AC981" s="32" t="str">
        <f t="shared" ref="AC981:AG981" si="985">IF(J981&lt;&gt;"", IF(AND($P981=FALSE, $A981=FALSE), -J981, IF(AND($P981=FALSE, $A981=TRUE), 0, IF($P981=TRUE, (J981 / $R981) * 100 * ($S981 / 100)-J981, ))), )</f>
        <v/>
      </c>
      <c r="AD981" s="32" t="str">
        <f t="shared" si="985"/>
        <v/>
      </c>
      <c r="AE981" s="32" t="str">
        <f t="shared" si="985"/>
        <v/>
      </c>
      <c r="AF981" s="32" t="str">
        <f t="shared" si="985"/>
        <v/>
      </c>
      <c r="AG981" s="32" t="str">
        <f t="shared" si="985"/>
        <v/>
      </c>
      <c r="AH981" s="33"/>
    </row>
    <row r="982" hidden="1" outlineLevel="2">
      <c r="A982" s="16" t="b">
        <v>0</v>
      </c>
      <c r="B982" s="17"/>
      <c r="C982" s="18"/>
      <c r="D982" s="42">
        <v>45264.0</v>
      </c>
      <c r="E982" s="43" t="s">
        <v>24</v>
      </c>
      <c r="F982" s="44" t="s">
        <v>57</v>
      </c>
      <c r="G982" s="45">
        <v>0.5</v>
      </c>
      <c r="H982" s="45">
        <v>0.25</v>
      </c>
      <c r="I982" s="45">
        <v>4.28</v>
      </c>
      <c r="J982" s="77">
        <v>0.5</v>
      </c>
      <c r="K982" s="46"/>
      <c r="L982" s="45"/>
      <c r="M982" s="46"/>
      <c r="N982" s="46"/>
      <c r="O982" s="47"/>
      <c r="P982" s="16" t="b">
        <v>0</v>
      </c>
      <c r="Q982" s="24"/>
      <c r="R982" s="48">
        <v>5.53</v>
      </c>
      <c r="S982" s="45">
        <v>117.62</v>
      </c>
      <c r="T982" s="49" t="s">
        <v>696</v>
      </c>
      <c r="U982" s="47"/>
      <c r="V982" s="28"/>
      <c r="W982" s="29"/>
      <c r="X982" s="30"/>
      <c r="Y982" s="31"/>
      <c r="Z982" s="26">
        <f t="shared" si="5"/>
        <v>-0.5</v>
      </c>
      <c r="AA982" s="26">
        <f t="shared" si="6"/>
        <v>-4.28</v>
      </c>
      <c r="AB982" s="32">
        <f t="shared" si="7"/>
        <v>-0.25</v>
      </c>
      <c r="AC982" s="32">
        <f t="shared" ref="AC982:AG982" si="986">IF(J982&lt;&gt;"", IF(AND($P982=FALSE, $A982=FALSE), -J982, IF(AND($P982=FALSE, $A982=TRUE), 0, IF($P982=TRUE, (J982 / $R982) * 100 * ($S982 / 100)-J982, ))), )</f>
        <v>-0.5</v>
      </c>
      <c r="AD982" s="32" t="str">
        <f t="shared" si="986"/>
        <v/>
      </c>
      <c r="AE982" s="32" t="str">
        <f t="shared" si="986"/>
        <v/>
      </c>
      <c r="AF982" s="32" t="str">
        <f t="shared" si="986"/>
        <v/>
      </c>
      <c r="AG982" s="32" t="str">
        <f t="shared" si="986"/>
        <v/>
      </c>
      <c r="AH982" s="33"/>
    </row>
    <row r="983" hidden="1" outlineLevel="3">
      <c r="A983" s="16" t="b">
        <v>0</v>
      </c>
      <c r="B983" s="17"/>
      <c r="C983" s="18"/>
      <c r="D983" s="19"/>
      <c r="E983" s="20"/>
      <c r="F983" s="21"/>
      <c r="G983" s="22"/>
      <c r="H983" s="22"/>
      <c r="I983" s="23"/>
      <c r="J983" s="22"/>
      <c r="K983" s="23"/>
      <c r="L983" s="22"/>
      <c r="M983" s="23"/>
      <c r="N983" s="23"/>
      <c r="O983" s="24"/>
      <c r="P983" s="16" t="b">
        <v>0</v>
      </c>
      <c r="Q983" s="24"/>
      <c r="R983" s="25"/>
      <c r="S983" s="26"/>
      <c r="T983" s="27"/>
      <c r="U983" s="24"/>
      <c r="V983" s="28" t="s">
        <v>32</v>
      </c>
      <c r="W983" s="29" t="s">
        <v>22</v>
      </c>
      <c r="X983" s="37" t="s">
        <v>697</v>
      </c>
      <c r="Y983" s="31"/>
      <c r="Z983" s="26" t="str">
        <f t="shared" si="5"/>
        <v/>
      </c>
      <c r="AA983" s="26" t="str">
        <f t="shared" si="6"/>
        <v/>
      </c>
      <c r="AB983" s="32" t="str">
        <f t="shared" si="7"/>
        <v/>
      </c>
      <c r="AC983" s="32" t="str">
        <f t="shared" ref="AC983:AG983" si="987">IF(J983&lt;&gt;"", IF(AND($P983=FALSE, $A983=FALSE), -J983, IF(AND($P983=FALSE, $A983=TRUE), 0, IF($P983=TRUE, (J983 / $R983) * 100 * ($S983 / 100)-J983, ))), )</f>
        <v/>
      </c>
      <c r="AD983" s="32" t="str">
        <f t="shared" si="987"/>
        <v/>
      </c>
      <c r="AE983" s="32" t="str">
        <f t="shared" si="987"/>
        <v/>
      </c>
      <c r="AF983" s="32" t="str">
        <f t="shared" si="987"/>
        <v/>
      </c>
      <c r="AG983" s="32" t="str">
        <f t="shared" si="987"/>
        <v/>
      </c>
      <c r="AH983" s="33"/>
    </row>
    <row r="984" hidden="1" outlineLevel="3">
      <c r="A984" s="16" t="b">
        <v>0</v>
      </c>
      <c r="B984" s="17"/>
      <c r="C984" s="18"/>
      <c r="D984" s="19"/>
      <c r="E984" s="20"/>
      <c r="F984" s="21"/>
      <c r="G984" s="22"/>
      <c r="H984" s="22"/>
      <c r="I984" s="23"/>
      <c r="J984" s="22"/>
      <c r="K984" s="23"/>
      <c r="L984" s="22"/>
      <c r="M984" s="23"/>
      <c r="N984" s="23"/>
      <c r="O984" s="24"/>
      <c r="P984" s="16" t="b">
        <v>0</v>
      </c>
      <c r="Q984" s="24"/>
      <c r="R984" s="25"/>
      <c r="S984" s="26"/>
      <c r="T984" s="27"/>
      <c r="U984" s="24"/>
      <c r="V984" s="38" t="s">
        <v>29</v>
      </c>
      <c r="W984" s="29" t="s">
        <v>22</v>
      </c>
      <c r="X984" s="37" t="s">
        <v>698</v>
      </c>
      <c r="Y984" s="31"/>
      <c r="Z984" s="26" t="str">
        <f t="shared" si="5"/>
        <v/>
      </c>
      <c r="AA984" s="26" t="str">
        <f t="shared" si="6"/>
        <v/>
      </c>
      <c r="AB984" s="32" t="str">
        <f t="shared" si="7"/>
        <v/>
      </c>
      <c r="AC984" s="32" t="str">
        <f t="shared" ref="AC984:AG984" si="988">IF(J984&lt;&gt;"", IF(AND($P984=FALSE, $A984=FALSE), -J984, IF(AND($P984=FALSE, $A984=TRUE), 0, IF($P984=TRUE, (J984 / $R984) * 100 * ($S984 / 100)-J984, ))), )</f>
        <v/>
      </c>
      <c r="AD984" s="32" t="str">
        <f t="shared" si="988"/>
        <v/>
      </c>
      <c r="AE984" s="32" t="str">
        <f t="shared" si="988"/>
        <v/>
      </c>
      <c r="AF984" s="32" t="str">
        <f t="shared" si="988"/>
        <v/>
      </c>
      <c r="AG984" s="32" t="str">
        <f t="shared" si="988"/>
        <v/>
      </c>
      <c r="AH984" s="33"/>
    </row>
    <row r="985" hidden="1" outlineLevel="3">
      <c r="A985" s="16" t="b">
        <v>0</v>
      </c>
      <c r="B985" s="17"/>
      <c r="C985" s="18"/>
      <c r="D985" s="19"/>
      <c r="E985" s="20"/>
      <c r="F985" s="21"/>
      <c r="G985" s="22"/>
      <c r="H985" s="22"/>
      <c r="I985" s="23"/>
      <c r="J985" s="22"/>
      <c r="K985" s="23"/>
      <c r="L985" s="22"/>
      <c r="M985" s="23"/>
      <c r="N985" s="23"/>
      <c r="O985" s="24"/>
      <c r="P985" s="16" t="b">
        <v>0</v>
      </c>
      <c r="Q985" s="24"/>
      <c r="R985" s="25"/>
      <c r="S985" s="26"/>
      <c r="T985" s="27"/>
      <c r="U985" s="24"/>
      <c r="V985" s="28" t="s">
        <v>32</v>
      </c>
      <c r="W985" s="29" t="s">
        <v>22</v>
      </c>
      <c r="X985" s="37" t="s">
        <v>699</v>
      </c>
      <c r="Y985" s="31"/>
      <c r="Z985" s="26" t="str">
        <f t="shared" si="5"/>
        <v/>
      </c>
      <c r="AA985" s="26" t="str">
        <f t="shared" si="6"/>
        <v/>
      </c>
      <c r="AB985" s="32" t="str">
        <f t="shared" si="7"/>
        <v/>
      </c>
      <c r="AC985" s="32" t="str">
        <f t="shared" ref="AC985:AG985" si="989">IF(J985&lt;&gt;"", IF(AND($P985=FALSE, $A985=FALSE), -J985, IF(AND($P985=FALSE, $A985=TRUE), 0, IF($P985=TRUE, (J985 / $R985) * 100 * ($S985 / 100)-J985, ))), )</f>
        <v/>
      </c>
      <c r="AD985" s="32" t="str">
        <f t="shared" si="989"/>
        <v/>
      </c>
      <c r="AE985" s="32" t="str">
        <f t="shared" si="989"/>
        <v/>
      </c>
      <c r="AF985" s="32" t="str">
        <f t="shared" si="989"/>
        <v/>
      </c>
      <c r="AG985" s="32" t="str">
        <f t="shared" si="989"/>
        <v/>
      </c>
      <c r="AH985" s="33"/>
    </row>
    <row r="986" hidden="1" outlineLevel="3">
      <c r="A986" s="16" t="b">
        <v>0</v>
      </c>
      <c r="B986" s="17"/>
      <c r="C986" s="18"/>
      <c r="D986" s="19"/>
      <c r="E986" s="20"/>
      <c r="F986" s="21"/>
      <c r="G986" s="22"/>
      <c r="H986" s="22"/>
      <c r="I986" s="23"/>
      <c r="J986" s="22"/>
      <c r="K986" s="23"/>
      <c r="L986" s="22"/>
      <c r="M986" s="23"/>
      <c r="N986" s="23"/>
      <c r="O986" s="24"/>
      <c r="P986" s="16" t="b">
        <v>0</v>
      </c>
      <c r="Q986" s="24"/>
      <c r="R986" s="25"/>
      <c r="S986" s="26"/>
      <c r="T986" s="27"/>
      <c r="U986" s="24"/>
      <c r="V986" s="28" t="s">
        <v>32</v>
      </c>
      <c r="W986" s="29" t="s">
        <v>22</v>
      </c>
      <c r="X986" s="37" t="s">
        <v>700</v>
      </c>
      <c r="Y986" s="31"/>
      <c r="Z986" s="26" t="str">
        <f t="shared" si="5"/>
        <v/>
      </c>
      <c r="AA986" s="26" t="str">
        <f t="shared" si="6"/>
        <v/>
      </c>
      <c r="AB986" s="32" t="str">
        <f t="shared" si="7"/>
        <v/>
      </c>
      <c r="AC986" s="32" t="str">
        <f t="shared" ref="AC986:AG986" si="990">IF(J986&lt;&gt;"", IF(AND($P986=FALSE, $A986=FALSE), -J986, IF(AND($P986=FALSE, $A986=TRUE), 0, IF($P986=TRUE, (J986 / $R986) * 100 * ($S986 / 100)-J986, ))), )</f>
        <v/>
      </c>
      <c r="AD986" s="32" t="str">
        <f t="shared" si="990"/>
        <v/>
      </c>
      <c r="AE986" s="32" t="str">
        <f t="shared" si="990"/>
        <v/>
      </c>
      <c r="AF986" s="32" t="str">
        <f t="shared" si="990"/>
        <v/>
      </c>
      <c r="AG986" s="32" t="str">
        <f t="shared" si="990"/>
        <v/>
      </c>
      <c r="AH986" s="33"/>
    </row>
    <row r="987" hidden="1" outlineLevel="3">
      <c r="A987" s="16" t="b">
        <v>0</v>
      </c>
      <c r="B987" s="17"/>
      <c r="C987" s="18"/>
      <c r="D987" s="19"/>
      <c r="E987" s="20"/>
      <c r="F987" s="21"/>
      <c r="G987" s="22"/>
      <c r="H987" s="22"/>
      <c r="I987" s="23"/>
      <c r="J987" s="22"/>
      <c r="K987" s="23"/>
      <c r="L987" s="22"/>
      <c r="M987" s="23"/>
      <c r="N987" s="23"/>
      <c r="O987" s="24"/>
      <c r="P987" s="16" t="b">
        <v>0</v>
      </c>
      <c r="Q987" s="24"/>
      <c r="R987" s="25"/>
      <c r="S987" s="26"/>
      <c r="T987" s="27"/>
      <c r="U987" s="24"/>
      <c r="V987" s="28" t="s">
        <v>32</v>
      </c>
      <c r="W987" s="29" t="s">
        <v>22</v>
      </c>
      <c r="X987" s="37" t="s">
        <v>701</v>
      </c>
      <c r="Y987" s="31"/>
      <c r="Z987" s="26" t="str">
        <f t="shared" si="5"/>
        <v/>
      </c>
      <c r="AA987" s="26" t="str">
        <f t="shared" si="6"/>
        <v/>
      </c>
      <c r="AB987" s="32" t="str">
        <f t="shared" si="7"/>
        <v/>
      </c>
      <c r="AC987" s="32" t="str">
        <f t="shared" ref="AC987:AG987" si="991">IF(J987&lt;&gt;"", IF(AND($P987=FALSE, $A987=FALSE), -J987, IF(AND($P987=FALSE, $A987=TRUE), 0, IF($P987=TRUE, (J987 / $R987) * 100 * ($S987 / 100)-J987, ))), )</f>
        <v/>
      </c>
      <c r="AD987" s="32" t="str">
        <f t="shared" si="991"/>
        <v/>
      </c>
      <c r="AE987" s="32" t="str">
        <f t="shared" si="991"/>
        <v/>
      </c>
      <c r="AF987" s="32" t="str">
        <f t="shared" si="991"/>
        <v/>
      </c>
      <c r="AG987" s="32" t="str">
        <f t="shared" si="991"/>
        <v/>
      </c>
      <c r="AH987" s="33"/>
    </row>
    <row r="988" hidden="1" outlineLevel="3">
      <c r="A988" s="16" t="b">
        <v>0</v>
      </c>
      <c r="B988" s="17"/>
      <c r="C988" s="18"/>
      <c r="D988" s="19"/>
      <c r="E988" s="20"/>
      <c r="F988" s="21"/>
      <c r="G988" s="22"/>
      <c r="H988" s="22"/>
      <c r="I988" s="23"/>
      <c r="J988" s="22"/>
      <c r="K988" s="23"/>
      <c r="L988" s="22"/>
      <c r="M988" s="23"/>
      <c r="N988" s="23"/>
      <c r="O988" s="24"/>
      <c r="P988" s="16" t="b">
        <v>0</v>
      </c>
      <c r="Q988" s="24"/>
      <c r="R988" s="25"/>
      <c r="S988" s="26"/>
      <c r="T988" s="27"/>
      <c r="U988" s="24"/>
      <c r="V988" s="38" t="s">
        <v>29</v>
      </c>
      <c r="W988" s="29" t="s">
        <v>22</v>
      </c>
      <c r="X988" s="37" t="s">
        <v>702</v>
      </c>
      <c r="Y988" s="31"/>
      <c r="Z988" s="26" t="str">
        <f t="shared" si="5"/>
        <v/>
      </c>
      <c r="AA988" s="26" t="str">
        <f t="shared" si="6"/>
        <v/>
      </c>
      <c r="AB988" s="32" t="str">
        <f t="shared" si="7"/>
        <v/>
      </c>
      <c r="AC988" s="32" t="str">
        <f t="shared" ref="AC988:AG988" si="992">IF(J988&lt;&gt;"", IF(AND($P988=FALSE, $A988=FALSE), -J988, IF(AND($P988=FALSE, $A988=TRUE), 0, IF($P988=TRUE, (J988 / $R988) * 100 * ($S988 / 100)-J988, ))), )</f>
        <v/>
      </c>
      <c r="AD988" s="32" t="str">
        <f t="shared" si="992"/>
        <v/>
      </c>
      <c r="AE988" s="32" t="str">
        <f t="shared" si="992"/>
        <v/>
      </c>
      <c r="AF988" s="32" t="str">
        <f t="shared" si="992"/>
        <v/>
      </c>
      <c r="AG988" s="32" t="str">
        <f t="shared" si="992"/>
        <v/>
      </c>
      <c r="AH988" s="33"/>
    </row>
    <row r="989" hidden="1" outlineLevel="1" collapsed="1">
      <c r="A989" s="16" t="b">
        <v>0</v>
      </c>
      <c r="B989" s="17"/>
      <c r="C989" s="18"/>
      <c r="D989" s="42">
        <v>45265.0</v>
      </c>
      <c r="E989" s="80" t="s">
        <v>60</v>
      </c>
      <c r="F989" s="53" t="s">
        <v>630</v>
      </c>
      <c r="G989" s="45">
        <v>3.33</v>
      </c>
      <c r="H989" s="45">
        <v>3.33</v>
      </c>
      <c r="I989" s="45">
        <v>3.34</v>
      </c>
      <c r="J989" s="77"/>
      <c r="K989" s="46"/>
      <c r="L989" s="45"/>
      <c r="M989" s="46"/>
      <c r="N989" s="46"/>
      <c r="O989" s="47"/>
      <c r="P989" s="16" t="b">
        <v>0</v>
      </c>
      <c r="Q989" s="24"/>
      <c r="R989" s="48">
        <v>10.0</v>
      </c>
      <c r="S989" s="45">
        <v>153.55</v>
      </c>
      <c r="T989" s="49" t="s">
        <v>703</v>
      </c>
      <c r="U989" s="47"/>
      <c r="V989" s="28"/>
      <c r="W989" s="29"/>
      <c r="X989" s="30"/>
      <c r="Y989" s="31"/>
      <c r="Z989" s="26">
        <f t="shared" si="5"/>
        <v>-3.33</v>
      </c>
      <c r="AA989" s="26">
        <f t="shared" si="6"/>
        <v>-3.34</v>
      </c>
      <c r="AB989" s="32">
        <f t="shared" si="7"/>
        <v>-3.33</v>
      </c>
      <c r="AC989" s="32" t="str">
        <f t="shared" ref="AC989:AG989" si="993">IF(J989&lt;&gt;"", IF(AND($P989=FALSE, $A989=FALSE), -J989, IF(AND($P989=FALSE, $A989=TRUE), 0, IF($P989=TRUE, (J989 / $R989) * 100 * ($S989 / 100)-J989, ))), )</f>
        <v/>
      </c>
      <c r="AD989" s="32" t="str">
        <f t="shared" si="993"/>
        <v/>
      </c>
      <c r="AE989" s="32" t="str">
        <f t="shared" si="993"/>
        <v/>
      </c>
      <c r="AF989" s="32" t="str">
        <f t="shared" si="993"/>
        <v/>
      </c>
      <c r="AG989" s="32" t="str">
        <f t="shared" si="993"/>
        <v/>
      </c>
      <c r="AH989" s="33"/>
    </row>
    <row r="990" hidden="1" outlineLevel="3">
      <c r="A990" s="16" t="b">
        <v>0</v>
      </c>
      <c r="B990" s="17"/>
      <c r="C990" s="18"/>
      <c r="D990" s="19"/>
      <c r="E990" s="20"/>
      <c r="F990" s="21"/>
      <c r="G990" s="22"/>
      <c r="H990" s="22"/>
      <c r="I990" s="23"/>
      <c r="J990" s="22"/>
      <c r="K990" s="23"/>
      <c r="L990" s="22"/>
      <c r="M990" s="23"/>
      <c r="N990" s="23"/>
      <c r="O990" s="24"/>
      <c r="P990" s="16" t="b">
        <v>0</v>
      </c>
      <c r="Q990" s="24"/>
      <c r="R990" s="25"/>
      <c r="S990" s="26"/>
      <c r="T990" s="27"/>
      <c r="U990" s="24"/>
      <c r="V990" s="38" t="s">
        <v>29</v>
      </c>
      <c r="W990" s="29" t="s">
        <v>22</v>
      </c>
      <c r="X990" s="37" t="s">
        <v>704</v>
      </c>
      <c r="Y990" s="31"/>
      <c r="Z990" s="26" t="str">
        <f t="shared" si="5"/>
        <v/>
      </c>
      <c r="AA990" s="26" t="str">
        <f t="shared" si="6"/>
        <v/>
      </c>
      <c r="AB990" s="32" t="str">
        <f t="shared" si="7"/>
        <v/>
      </c>
      <c r="AC990" s="32" t="str">
        <f t="shared" ref="AC990:AG990" si="994">IF(J990&lt;&gt;"", IF(AND($P990=FALSE, $A990=FALSE), -J990, IF(AND($P990=FALSE, $A990=TRUE), 0, IF($P990=TRUE, (J990 / $R990) * 100 * ($S990 / 100)-J990, ))), )</f>
        <v/>
      </c>
      <c r="AD990" s="32" t="str">
        <f t="shared" si="994"/>
        <v/>
      </c>
      <c r="AE990" s="32" t="str">
        <f t="shared" si="994"/>
        <v/>
      </c>
      <c r="AF990" s="32" t="str">
        <f t="shared" si="994"/>
        <v/>
      </c>
      <c r="AG990" s="32" t="str">
        <f t="shared" si="994"/>
        <v/>
      </c>
      <c r="AH990" s="33"/>
    </row>
    <row r="991" hidden="1" outlineLevel="3">
      <c r="A991" s="16" t="b">
        <v>0</v>
      </c>
      <c r="B991" s="17"/>
      <c r="C991" s="18"/>
      <c r="D991" s="19"/>
      <c r="E991" s="20"/>
      <c r="F991" s="21"/>
      <c r="G991" s="22"/>
      <c r="H991" s="22"/>
      <c r="I991" s="23"/>
      <c r="J991" s="22"/>
      <c r="K991" s="23"/>
      <c r="L991" s="22"/>
      <c r="M991" s="23"/>
      <c r="N991" s="23"/>
      <c r="O991" s="24"/>
      <c r="P991" s="16" t="b">
        <v>0</v>
      </c>
      <c r="Q991" s="24"/>
      <c r="R991" s="25"/>
      <c r="S991" s="26"/>
      <c r="T991" s="27"/>
      <c r="U991" s="24"/>
      <c r="V991" s="28" t="s">
        <v>32</v>
      </c>
      <c r="W991" s="29" t="s">
        <v>22</v>
      </c>
      <c r="X991" s="37" t="s">
        <v>705</v>
      </c>
      <c r="Y991" s="31"/>
      <c r="Z991" s="26" t="str">
        <f t="shared" si="5"/>
        <v/>
      </c>
      <c r="AA991" s="26" t="str">
        <f t="shared" si="6"/>
        <v/>
      </c>
      <c r="AB991" s="32" t="str">
        <f t="shared" si="7"/>
        <v/>
      </c>
      <c r="AC991" s="32" t="str">
        <f t="shared" ref="AC991:AG991" si="995">IF(J991&lt;&gt;"", IF(AND($P991=FALSE, $A991=FALSE), -J991, IF(AND($P991=FALSE, $A991=TRUE), 0, IF($P991=TRUE, (J991 / $R991) * 100 * ($S991 / 100)-J991, ))), )</f>
        <v/>
      </c>
      <c r="AD991" s="32" t="str">
        <f t="shared" si="995"/>
        <v/>
      </c>
      <c r="AE991" s="32" t="str">
        <f t="shared" si="995"/>
        <v/>
      </c>
      <c r="AF991" s="32" t="str">
        <f t="shared" si="995"/>
        <v/>
      </c>
      <c r="AG991" s="32" t="str">
        <f t="shared" si="995"/>
        <v/>
      </c>
      <c r="AH991" s="33"/>
    </row>
    <row r="992" hidden="1" outlineLevel="3">
      <c r="A992" s="16" t="b">
        <v>0</v>
      </c>
      <c r="B992" s="17"/>
      <c r="C992" s="18"/>
      <c r="D992" s="19"/>
      <c r="E992" s="20"/>
      <c r="F992" s="21"/>
      <c r="G992" s="22"/>
      <c r="H992" s="22"/>
      <c r="I992" s="23"/>
      <c r="J992" s="22"/>
      <c r="K992" s="23"/>
      <c r="L992" s="22"/>
      <c r="M992" s="23"/>
      <c r="N992" s="23"/>
      <c r="O992" s="24"/>
      <c r="P992" s="16" t="b">
        <v>0</v>
      </c>
      <c r="Q992" s="24"/>
      <c r="R992" s="25"/>
      <c r="S992" s="26"/>
      <c r="T992" s="27"/>
      <c r="U992" s="24"/>
      <c r="V992" s="38" t="s">
        <v>29</v>
      </c>
      <c r="W992" s="29" t="s">
        <v>22</v>
      </c>
      <c r="X992" s="37" t="s">
        <v>706</v>
      </c>
      <c r="Y992" s="31"/>
      <c r="Z992" s="26" t="str">
        <f t="shared" si="5"/>
        <v/>
      </c>
      <c r="AA992" s="26" t="str">
        <f t="shared" si="6"/>
        <v/>
      </c>
      <c r="AB992" s="32" t="str">
        <f t="shared" si="7"/>
        <v/>
      </c>
      <c r="AC992" s="32" t="str">
        <f t="shared" ref="AC992:AG992" si="996">IF(J992&lt;&gt;"", IF(AND($P992=FALSE, $A992=FALSE), -J992, IF(AND($P992=FALSE, $A992=TRUE), 0, IF($P992=TRUE, (J992 / $R992) * 100 * ($S992 / 100)-J992, ))), )</f>
        <v/>
      </c>
      <c r="AD992" s="32" t="str">
        <f t="shared" si="996"/>
        <v/>
      </c>
      <c r="AE992" s="32" t="str">
        <f t="shared" si="996"/>
        <v/>
      </c>
      <c r="AF992" s="32" t="str">
        <f t="shared" si="996"/>
        <v/>
      </c>
      <c r="AG992" s="32" t="str">
        <f t="shared" si="996"/>
        <v/>
      </c>
      <c r="AH992" s="33"/>
    </row>
    <row r="993" hidden="1" outlineLevel="3">
      <c r="A993" s="16" t="b">
        <v>0</v>
      </c>
      <c r="B993" s="17"/>
      <c r="C993" s="18"/>
      <c r="D993" s="19"/>
      <c r="E993" s="20"/>
      <c r="F993" s="21"/>
      <c r="G993" s="22"/>
      <c r="H993" s="22"/>
      <c r="I993" s="23"/>
      <c r="J993" s="22"/>
      <c r="K993" s="23"/>
      <c r="L993" s="22"/>
      <c r="M993" s="23"/>
      <c r="N993" s="23"/>
      <c r="O993" s="24"/>
      <c r="P993" s="16" t="b">
        <v>0</v>
      </c>
      <c r="Q993" s="24"/>
      <c r="R993" s="25"/>
      <c r="S993" s="26"/>
      <c r="T993" s="27"/>
      <c r="U993" s="24"/>
      <c r="V993" s="38" t="s">
        <v>29</v>
      </c>
      <c r="W993" s="29" t="s">
        <v>22</v>
      </c>
      <c r="X993" s="37" t="s">
        <v>707</v>
      </c>
      <c r="Y993" s="31"/>
      <c r="Z993" s="26" t="str">
        <f t="shared" si="5"/>
        <v/>
      </c>
      <c r="AA993" s="26" t="str">
        <f t="shared" si="6"/>
        <v/>
      </c>
      <c r="AB993" s="32" t="str">
        <f t="shared" si="7"/>
        <v/>
      </c>
      <c r="AC993" s="32" t="str">
        <f t="shared" ref="AC993:AG993" si="997">IF(J993&lt;&gt;"", IF(AND($P993=FALSE, $A993=FALSE), -J993, IF(AND($P993=FALSE, $A993=TRUE), 0, IF($P993=TRUE, (J993 / $R993) * 100 * ($S993 / 100)-J993, ))), )</f>
        <v/>
      </c>
      <c r="AD993" s="32" t="str">
        <f t="shared" si="997"/>
        <v/>
      </c>
      <c r="AE993" s="32" t="str">
        <f t="shared" si="997"/>
        <v/>
      </c>
      <c r="AF993" s="32" t="str">
        <f t="shared" si="997"/>
        <v/>
      </c>
      <c r="AG993" s="32" t="str">
        <f t="shared" si="997"/>
        <v/>
      </c>
      <c r="AH993" s="33"/>
    </row>
    <row r="994" hidden="1" outlineLevel="3">
      <c r="A994" s="16" t="b">
        <v>0</v>
      </c>
      <c r="B994" s="17"/>
      <c r="C994" s="18"/>
      <c r="D994" s="19"/>
      <c r="E994" s="20"/>
      <c r="F994" s="21"/>
      <c r="G994" s="22"/>
      <c r="H994" s="22"/>
      <c r="I994" s="23"/>
      <c r="J994" s="22"/>
      <c r="K994" s="23"/>
      <c r="L994" s="22"/>
      <c r="M994" s="23"/>
      <c r="N994" s="23"/>
      <c r="O994" s="24"/>
      <c r="P994" s="16" t="b">
        <v>0</v>
      </c>
      <c r="Q994" s="24"/>
      <c r="R994" s="25"/>
      <c r="S994" s="26"/>
      <c r="T994" s="27"/>
      <c r="U994" s="24"/>
      <c r="V994" s="38" t="s">
        <v>29</v>
      </c>
      <c r="W994" s="29" t="s">
        <v>22</v>
      </c>
      <c r="X994" s="37" t="s">
        <v>708</v>
      </c>
      <c r="Y994" s="31"/>
      <c r="Z994" s="26" t="str">
        <f t="shared" si="5"/>
        <v/>
      </c>
      <c r="AA994" s="26" t="str">
        <f t="shared" si="6"/>
        <v/>
      </c>
      <c r="AB994" s="32" t="str">
        <f t="shared" si="7"/>
        <v/>
      </c>
      <c r="AC994" s="32" t="str">
        <f t="shared" ref="AC994:AG994" si="998">IF(J994&lt;&gt;"", IF(AND($P994=FALSE, $A994=FALSE), -J994, IF(AND($P994=FALSE, $A994=TRUE), 0, IF($P994=TRUE, (J994 / $R994) * 100 * ($S994 / 100)-J994, ))), )</f>
        <v/>
      </c>
      <c r="AD994" s="32" t="str">
        <f t="shared" si="998"/>
        <v/>
      </c>
      <c r="AE994" s="32" t="str">
        <f t="shared" si="998"/>
        <v/>
      </c>
      <c r="AF994" s="32" t="str">
        <f t="shared" si="998"/>
        <v/>
      </c>
      <c r="AG994" s="32" t="str">
        <f t="shared" si="998"/>
        <v/>
      </c>
      <c r="AH994" s="33"/>
    </row>
    <row r="995" hidden="1" outlineLevel="2" collapsed="1">
      <c r="A995" s="16" t="b">
        <v>0</v>
      </c>
      <c r="B995" s="17"/>
      <c r="C995" s="18"/>
      <c r="D995" s="42">
        <v>45265.0</v>
      </c>
      <c r="E995" s="80" t="s">
        <v>60</v>
      </c>
      <c r="F995" s="53" t="s">
        <v>630</v>
      </c>
      <c r="G995" s="45">
        <v>2.5</v>
      </c>
      <c r="H995" s="45">
        <v>1.5</v>
      </c>
      <c r="I995" s="45">
        <v>3.0</v>
      </c>
      <c r="J995" s="77"/>
      <c r="K995" s="46"/>
      <c r="L995" s="45"/>
      <c r="M995" s="46"/>
      <c r="N995" s="46"/>
      <c r="O995" s="47"/>
      <c r="P995" s="16" t="b">
        <v>0</v>
      </c>
      <c r="Q995" s="24"/>
      <c r="R995" s="48">
        <v>7.0</v>
      </c>
      <c r="S995" s="45">
        <v>14.86</v>
      </c>
      <c r="T995" s="49" t="s">
        <v>511</v>
      </c>
      <c r="U995" s="47"/>
      <c r="V995" s="28"/>
      <c r="W995" s="29"/>
      <c r="X995" s="30"/>
      <c r="Y995" s="31"/>
      <c r="Z995" s="26">
        <f t="shared" si="5"/>
        <v>-2.5</v>
      </c>
      <c r="AA995" s="26">
        <f t="shared" si="6"/>
        <v>-3</v>
      </c>
      <c r="AB995" s="32">
        <f t="shared" si="7"/>
        <v>-1.5</v>
      </c>
      <c r="AC995" s="32" t="str">
        <f t="shared" ref="AC995:AG995" si="999">IF(J995&lt;&gt;"", IF(AND($P995=FALSE, $A995=FALSE), -J995, IF(AND($P995=FALSE, $A995=TRUE), 0, IF($P995=TRUE, (J995 / $R995) * 100 * ($S995 / 100)-J995, ))), )</f>
        <v/>
      </c>
      <c r="AD995" s="32" t="str">
        <f t="shared" si="999"/>
        <v/>
      </c>
      <c r="AE995" s="32" t="str">
        <f t="shared" si="999"/>
        <v/>
      </c>
      <c r="AF995" s="32" t="str">
        <f t="shared" si="999"/>
        <v/>
      </c>
      <c r="AG995" s="32" t="str">
        <f t="shared" si="999"/>
        <v/>
      </c>
      <c r="AH995" s="33"/>
    </row>
    <row r="996" hidden="1" outlineLevel="3">
      <c r="A996" s="16" t="b">
        <v>0</v>
      </c>
      <c r="B996" s="17"/>
      <c r="C996" s="18"/>
      <c r="D996" s="19"/>
      <c r="E996" s="20"/>
      <c r="F996" s="21"/>
      <c r="G996" s="22"/>
      <c r="H996" s="22"/>
      <c r="I996" s="23"/>
      <c r="J996" s="22"/>
      <c r="K996" s="23"/>
      <c r="L996" s="22"/>
      <c r="M996" s="23"/>
      <c r="N996" s="23"/>
      <c r="O996" s="24"/>
      <c r="P996" s="16" t="b">
        <v>0</v>
      </c>
      <c r="Q996" s="24"/>
      <c r="R996" s="25"/>
      <c r="S996" s="26"/>
      <c r="T996" s="27"/>
      <c r="U996" s="24"/>
      <c r="V996" s="38" t="s">
        <v>29</v>
      </c>
      <c r="W996" s="29" t="s">
        <v>22</v>
      </c>
      <c r="X996" s="37" t="s">
        <v>709</v>
      </c>
      <c r="Y996" s="31"/>
      <c r="Z996" s="26" t="str">
        <f t="shared" si="5"/>
        <v/>
      </c>
      <c r="AA996" s="26" t="str">
        <f t="shared" si="6"/>
        <v/>
      </c>
      <c r="AB996" s="32" t="str">
        <f t="shared" si="7"/>
        <v/>
      </c>
      <c r="AC996" s="32" t="str">
        <f t="shared" ref="AC996:AG996" si="1000">IF(J996&lt;&gt;"", IF(AND($P996=FALSE, $A996=FALSE), -J996, IF(AND($P996=FALSE, $A996=TRUE), 0, IF($P996=TRUE, (J996 / $R996) * 100 * ($S996 / 100)-J996, ))), )</f>
        <v/>
      </c>
      <c r="AD996" s="32" t="str">
        <f t="shared" si="1000"/>
        <v/>
      </c>
      <c r="AE996" s="32" t="str">
        <f t="shared" si="1000"/>
        <v/>
      </c>
      <c r="AF996" s="32" t="str">
        <f t="shared" si="1000"/>
        <v/>
      </c>
      <c r="AG996" s="32" t="str">
        <f t="shared" si="1000"/>
        <v/>
      </c>
      <c r="AH996" s="33"/>
    </row>
    <row r="997" hidden="1" outlineLevel="3">
      <c r="A997" s="16" t="b">
        <v>0</v>
      </c>
      <c r="B997" s="17"/>
      <c r="C997" s="18"/>
      <c r="D997" s="19"/>
      <c r="E997" s="20"/>
      <c r="F997" s="21"/>
      <c r="G997" s="22"/>
      <c r="H997" s="22"/>
      <c r="I997" s="23"/>
      <c r="J997" s="22"/>
      <c r="K997" s="23"/>
      <c r="L997" s="22"/>
      <c r="M997" s="23"/>
      <c r="N997" s="23"/>
      <c r="O997" s="24"/>
      <c r="P997" s="16" t="b">
        <v>0</v>
      </c>
      <c r="Q997" s="24"/>
      <c r="R997" s="25"/>
      <c r="S997" s="26"/>
      <c r="T997" s="27"/>
      <c r="U997" s="24"/>
      <c r="V997" s="28" t="s">
        <v>32</v>
      </c>
      <c r="W997" s="29" t="s">
        <v>22</v>
      </c>
      <c r="X997" s="37" t="s">
        <v>710</v>
      </c>
      <c r="Y997" s="31"/>
      <c r="Z997" s="26" t="str">
        <f t="shared" si="5"/>
        <v/>
      </c>
      <c r="AA997" s="26" t="str">
        <f t="shared" si="6"/>
        <v/>
      </c>
      <c r="AB997" s="32" t="str">
        <f t="shared" si="7"/>
        <v/>
      </c>
      <c r="AC997" s="32" t="str">
        <f t="shared" ref="AC997:AG997" si="1001">IF(J997&lt;&gt;"", IF(AND($P997=FALSE, $A997=FALSE), -J997, IF(AND($P997=FALSE, $A997=TRUE), 0, IF($P997=TRUE, (J997 / $R997) * 100 * ($S997 / 100)-J997, ))), )</f>
        <v/>
      </c>
      <c r="AD997" s="32" t="str">
        <f t="shared" si="1001"/>
        <v/>
      </c>
      <c r="AE997" s="32" t="str">
        <f t="shared" si="1001"/>
        <v/>
      </c>
      <c r="AF997" s="32" t="str">
        <f t="shared" si="1001"/>
        <v/>
      </c>
      <c r="AG997" s="32" t="str">
        <f t="shared" si="1001"/>
        <v/>
      </c>
      <c r="AH997" s="33"/>
    </row>
    <row r="998" hidden="1" outlineLevel="3">
      <c r="A998" s="16" t="b">
        <v>0</v>
      </c>
      <c r="B998" s="17"/>
      <c r="C998" s="18"/>
      <c r="D998" s="19"/>
      <c r="E998" s="20"/>
      <c r="F998" s="21"/>
      <c r="G998" s="22"/>
      <c r="H998" s="22"/>
      <c r="I998" s="23"/>
      <c r="J998" s="22"/>
      <c r="K998" s="23"/>
      <c r="L998" s="22"/>
      <c r="M998" s="23"/>
      <c r="N998" s="23"/>
      <c r="O998" s="24"/>
      <c r="P998" s="16" t="b">
        <v>0</v>
      </c>
      <c r="Q998" s="24"/>
      <c r="R998" s="25"/>
      <c r="S998" s="26"/>
      <c r="T998" s="27"/>
      <c r="U998" s="24"/>
      <c r="V998" s="38" t="s">
        <v>29</v>
      </c>
      <c r="W998" s="29" t="s">
        <v>22</v>
      </c>
      <c r="X998" s="37" t="s">
        <v>575</v>
      </c>
      <c r="Y998" s="31"/>
      <c r="Z998" s="26" t="str">
        <f t="shared" si="5"/>
        <v/>
      </c>
      <c r="AA998" s="26" t="str">
        <f t="shared" si="6"/>
        <v/>
      </c>
      <c r="AB998" s="32" t="str">
        <f t="shared" si="7"/>
        <v/>
      </c>
      <c r="AC998" s="32" t="str">
        <f t="shared" ref="AC998:AG998" si="1002">IF(J998&lt;&gt;"", IF(AND($P998=FALSE, $A998=FALSE), -J998, IF(AND($P998=FALSE, $A998=TRUE), 0, IF($P998=TRUE, (J998 / $R998) * 100 * ($S998 / 100)-J998, ))), )</f>
        <v/>
      </c>
      <c r="AD998" s="32" t="str">
        <f t="shared" si="1002"/>
        <v/>
      </c>
      <c r="AE998" s="32" t="str">
        <f t="shared" si="1002"/>
        <v/>
      </c>
      <c r="AF998" s="32" t="str">
        <f t="shared" si="1002"/>
        <v/>
      </c>
      <c r="AG998" s="32" t="str">
        <f t="shared" si="1002"/>
        <v/>
      </c>
      <c r="AH998" s="33"/>
    </row>
    <row r="999" hidden="1" outlineLevel="2" collapsed="1">
      <c r="A999" s="16" t="b">
        <v>0</v>
      </c>
      <c r="B999" s="17"/>
      <c r="C999" s="18"/>
      <c r="D999" s="42">
        <v>45265.0</v>
      </c>
      <c r="E999" s="80" t="s">
        <v>60</v>
      </c>
      <c r="F999" s="53" t="s">
        <v>630</v>
      </c>
      <c r="G999" s="45">
        <v>2.5</v>
      </c>
      <c r="H999" s="45">
        <v>1.5</v>
      </c>
      <c r="I999" s="45">
        <v>3.0</v>
      </c>
      <c r="J999" s="77"/>
      <c r="K999" s="46"/>
      <c r="L999" s="45"/>
      <c r="M999" s="46"/>
      <c r="N999" s="46"/>
      <c r="O999" s="47"/>
      <c r="P999" s="16" t="b">
        <v>0</v>
      </c>
      <c r="Q999" s="24"/>
      <c r="R999" s="48">
        <v>7.0</v>
      </c>
      <c r="S999" s="45">
        <v>15.39</v>
      </c>
      <c r="T999" s="49" t="s">
        <v>221</v>
      </c>
      <c r="U999" s="47"/>
      <c r="V999" s="28"/>
      <c r="W999" s="29"/>
      <c r="X999" s="30"/>
      <c r="Y999" s="31"/>
      <c r="Z999" s="26">
        <f t="shared" si="5"/>
        <v>-2.5</v>
      </c>
      <c r="AA999" s="26">
        <f t="shared" si="6"/>
        <v>-3</v>
      </c>
      <c r="AB999" s="32">
        <f t="shared" si="7"/>
        <v>-1.5</v>
      </c>
      <c r="AC999" s="32" t="str">
        <f t="shared" ref="AC999:AG999" si="1003">IF(J999&lt;&gt;"", IF(AND($P999=FALSE, $A999=FALSE), -J999, IF(AND($P999=FALSE, $A999=TRUE), 0, IF($P999=TRUE, (J999 / $R999) * 100 * ($S999 / 100)-J999, ))), )</f>
        <v/>
      </c>
      <c r="AD999" s="32" t="str">
        <f t="shared" si="1003"/>
        <v/>
      </c>
      <c r="AE999" s="32" t="str">
        <f t="shared" si="1003"/>
        <v/>
      </c>
      <c r="AF999" s="32" t="str">
        <f t="shared" si="1003"/>
        <v/>
      </c>
      <c r="AG999" s="32" t="str">
        <f t="shared" si="1003"/>
        <v/>
      </c>
      <c r="AH999" s="33"/>
    </row>
    <row r="1000" hidden="1" outlineLevel="3">
      <c r="A1000" s="16" t="b">
        <v>0</v>
      </c>
      <c r="B1000" s="17"/>
      <c r="C1000" s="18"/>
      <c r="D1000" s="19"/>
      <c r="E1000" s="20"/>
      <c r="F1000" s="21"/>
      <c r="G1000" s="22"/>
      <c r="H1000" s="22"/>
      <c r="I1000" s="23"/>
      <c r="J1000" s="22"/>
      <c r="K1000" s="23"/>
      <c r="L1000" s="22"/>
      <c r="M1000" s="23"/>
      <c r="N1000" s="23"/>
      <c r="O1000" s="24"/>
      <c r="P1000" s="16" t="b">
        <v>0</v>
      </c>
      <c r="Q1000" s="24"/>
      <c r="R1000" s="25"/>
      <c r="S1000" s="26"/>
      <c r="T1000" s="27"/>
      <c r="U1000" s="24"/>
      <c r="V1000" s="38" t="s">
        <v>29</v>
      </c>
      <c r="W1000" s="29" t="s">
        <v>22</v>
      </c>
      <c r="X1000" s="37" t="s">
        <v>711</v>
      </c>
      <c r="Y1000" s="31"/>
      <c r="Z1000" s="26" t="str">
        <f t="shared" si="5"/>
        <v/>
      </c>
      <c r="AA1000" s="26" t="str">
        <f t="shared" si="6"/>
        <v/>
      </c>
      <c r="AB1000" s="32" t="str">
        <f t="shared" si="7"/>
        <v/>
      </c>
      <c r="AC1000" s="32" t="str">
        <f t="shared" ref="AC1000:AG1000" si="1004">IF(J1000&lt;&gt;"", IF(AND($P1000=FALSE, $A1000=FALSE), -J1000, IF(AND($P1000=FALSE, $A1000=TRUE), 0, IF($P1000=TRUE, (J1000 / $R1000) * 100 * ($S1000 / 100)-J1000, ))), )</f>
        <v/>
      </c>
      <c r="AD1000" s="32" t="str">
        <f t="shared" si="1004"/>
        <v/>
      </c>
      <c r="AE1000" s="32" t="str">
        <f t="shared" si="1004"/>
        <v/>
      </c>
      <c r="AF1000" s="32" t="str">
        <f t="shared" si="1004"/>
        <v/>
      </c>
      <c r="AG1000" s="32" t="str">
        <f t="shared" si="1004"/>
        <v/>
      </c>
      <c r="AH1000" s="33"/>
    </row>
    <row r="1001" hidden="1" outlineLevel="3">
      <c r="A1001" s="16" t="b">
        <v>0</v>
      </c>
      <c r="B1001" s="17"/>
      <c r="C1001" s="18"/>
      <c r="D1001" s="19"/>
      <c r="E1001" s="20"/>
      <c r="F1001" s="21"/>
      <c r="G1001" s="22"/>
      <c r="H1001" s="22"/>
      <c r="I1001" s="23"/>
      <c r="J1001" s="22"/>
      <c r="K1001" s="23"/>
      <c r="L1001" s="22"/>
      <c r="M1001" s="23"/>
      <c r="N1001" s="23"/>
      <c r="O1001" s="24"/>
      <c r="P1001" s="16" t="b">
        <v>0</v>
      </c>
      <c r="Q1001" s="24"/>
      <c r="R1001" s="25"/>
      <c r="S1001" s="26"/>
      <c r="T1001" s="27"/>
      <c r="U1001" s="24"/>
      <c r="V1001" s="28" t="s">
        <v>32</v>
      </c>
      <c r="W1001" s="29" t="s">
        <v>22</v>
      </c>
      <c r="X1001" s="37" t="s">
        <v>712</v>
      </c>
      <c r="Y1001" s="31"/>
      <c r="Z1001" s="26" t="str">
        <f t="shared" si="5"/>
        <v/>
      </c>
      <c r="AA1001" s="26" t="str">
        <f t="shared" si="6"/>
        <v/>
      </c>
      <c r="AB1001" s="32" t="str">
        <f t="shared" si="7"/>
        <v/>
      </c>
      <c r="AC1001" s="32" t="str">
        <f t="shared" ref="AC1001:AG1001" si="1005">IF(J1001&lt;&gt;"", IF(AND($P1001=FALSE, $A1001=FALSE), -J1001, IF(AND($P1001=FALSE, $A1001=TRUE), 0, IF($P1001=TRUE, (J1001 / $R1001) * 100 * ($S1001 / 100)-J1001, ))), )</f>
        <v/>
      </c>
      <c r="AD1001" s="32" t="str">
        <f t="shared" si="1005"/>
        <v/>
      </c>
      <c r="AE1001" s="32" t="str">
        <f t="shared" si="1005"/>
        <v/>
      </c>
      <c r="AF1001" s="32" t="str">
        <f t="shared" si="1005"/>
        <v/>
      </c>
      <c r="AG1001" s="32" t="str">
        <f t="shared" si="1005"/>
        <v/>
      </c>
      <c r="AH1001" s="33"/>
    </row>
    <row r="1002" hidden="1" outlineLevel="3">
      <c r="A1002" s="16" t="b">
        <v>0</v>
      </c>
      <c r="B1002" s="17"/>
      <c r="C1002" s="18"/>
      <c r="D1002" s="19"/>
      <c r="E1002" s="20"/>
      <c r="F1002" s="21"/>
      <c r="G1002" s="22"/>
      <c r="H1002" s="22"/>
      <c r="I1002" s="23"/>
      <c r="J1002" s="22"/>
      <c r="K1002" s="23"/>
      <c r="L1002" s="22"/>
      <c r="M1002" s="23"/>
      <c r="N1002" s="23"/>
      <c r="O1002" s="24"/>
      <c r="P1002" s="16" t="b">
        <v>0</v>
      </c>
      <c r="Q1002" s="24"/>
      <c r="R1002" s="25"/>
      <c r="S1002" s="26"/>
      <c r="T1002" s="27"/>
      <c r="U1002" s="24"/>
      <c r="V1002" s="38" t="s">
        <v>29</v>
      </c>
      <c r="W1002" s="29" t="s">
        <v>22</v>
      </c>
      <c r="X1002" s="37" t="s">
        <v>713</v>
      </c>
      <c r="Y1002" s="31"/>
      <c r="Z1002" s="26" t="str">
        <f t="shared" si="5"/>
        <v/>
      </c>
      <c r="AA1002" s="26" t="str">
        <f t="shared" si="6"/>
        <v/>
      </c>
      <c r="AB1002" s="32" t="str">
        <f t="shared" si="7"/>
        <v/>
      </c>
      <c r="AC1002" s="32" t="str">
        <f t="shared" ref="AC1002:AG1002" si="1006">IF(J1002&lt;&gt;"", IF(AND($P1002=FALSE, $A1002=FALSE), -J1002, IF(AND($P1002=FALSE, $A1002=TRUE), 0, IF($P1002=TRUE, (J1002 / $R1002) * 100 * ($S1002 / 100)-J1002, ))), )</f>
        <v/>
      </c>
      <c r="AD1002" s="32" t="str">
        <f t="shared" si="1006"/>
        <v/>
      </c>
      <c r="AE1002" s="32" t="str">
        <f t="shared" si="1006"/>
        <v/>
      </c>
      <c r="AF1002" s="32" t="str">
        <f t="shared" si="1006"/>
        <v/>
      </c>
      <c r="AG1002" s="32" t="str">
        <f t="shared" si="1006"/>
        <v/>
      </c>
      <c r="AH1002" s="33"/>
    </row>
    <row r="1003" hidden="1" outlineLevel="2">
      <c r="A1003" s="16" t="b">
        <v>0</v>
      </c>
      <c r="B1003" s="17"/>
      <c r="C1003" s="18"/>
      <c r="D1003" s="42">
        <v>45265.0</v>
      </c>
      <c r="E1003" s="80" t="s">
        <v>60</v>
      </c>
      <c r="F1003" s="53" t="s">
        <v>630</v>
      </c>
      <c r="G1003" s="45">
        <v>2.5</v>
      </c>
      <c r="H1003" s="45">
        <v>1.5</v>
      </c>
      <c r="I1003" s="45">
        <v>3.0</v>
      </c>
      <c r="J1003" s="77"/>
      <c r="K1003" s="46"/>
      <c r="L1003" s="45"/>
      <c r="M1003" s="46"/>
      <c r="N1003" s="46"/>
      <c r="O1003" s="47"/>
      <c r="P1003" s="16" t="b">
        <v>0</v>
      </c>
      <c r="Q1003" s="24"/>
      <c r="R1003" s="48">
        <v>7.0</v>
      </c>
      <c r="S1003" s="45">
        <v>15.8</v>
      </c>
      <c r="T1003" s="49" t="s">
        <v>269</v>
      </c>
      <c r="U1003" s="47"/>
      <c r="V1003" s="28"/>
      <c r="W1003" s="29"/>
      <c r="X1003" s="30"/>
      <c r="Y1003" s="31"/>
      <c r="Z1003" s="26">
        <f t="shared" si="5"/>
        <v>-2.5</v>
      </c>
      <c r="AA1003" s="26">
        <f t="shared" si="6"/>
        <v>-3</v>
      </c>
      <c r="AB1003" s="32">
        <f t="shared" si="7"/>
        <v>-1.5</v>
      </c>
      <c r="AC1003" s="32" t="str">
        <f t="shared" ref="AC1003:AG1003" si="1007">IF(J1003&lt;&gt;"", IF(AND($P1003=FALSE, $A1003=FALSE), -J1003, IF(AND($P1003=FALSE, $A1003=TRUE), 0, IF($P1003=TRUE, (J1003 / $R1003) * 100 * ($S1003 / 100)-J1003, ))), )</f>
        <v/>
      </c>
      <c r="AD1003" s="32" t="str">
        <f t="shared" si="1007"/>
        <v/>
      </c>
      <c r="AE1003" s="32" t="str">
        <f t="shared" si="1007"/>
        <v/>
      </c>
      <c r="AF1003" s="32" t="str">
        <f t="shared" si="1007"/>
        <v/>
      </c>
      <c r="AG1003" s="32" t="str">
        <f t="shared" si="1007"/>
        <v/>
      </c>
      <c r="AH1003" s="33"/>
    </row>
    <row r="1004" hidden="1" outlineLevel="3">
      <c r="A1004" s="16" t="b">
        <v>0</v>
      </c>
      <c r="B1004" s="17"/>
      <c r="C1004" s="18"/>
      <c r="D1004" s="19"/>
      <c r="E1004" s="20"/>
      <c r="F1004" s="21"/>
      <c r="G1004" s="22"/>
      <c r="H1004" s="22"/>
      <c r="I1004" s="23"/>
      <c r="J1004" s="22"/>
      <c r="K1004" s="23"/>
      <c r="L1004" s="22"/>
      <c r="M1004" s="23"/>
      <c r="N1004" s="23"/>
      <c r="O1004" s="24"/>
      <c r="P1004" s="16" t="b">
        <v>0</v>
      </c>
      <c r="Q1004" s="24"/>
      <c r="R1004" s="25"/>
      <c r="S1004" s="26"/>
      <c r="T1004" s="27"/>
      <c r="U1004" s="24"/>
      <c r="V1004" s="38" t="s">
        <v>29</v>
      </c>
      <c r="W1004" s="29" t="s">
        <v>22</v>
      </c>
      <c r="X1004" s="37" t="s">
        <v>714</v>
      </c>
      <c r="Y1004" s="31"/>
      <c r="Z1004" s="26" t="str">
        <f t="shared" si="5"/>
        <v/>
      </c>
      <c r="AA1004" s="26" t="str">
        <f t="shared" si="6"/>
        <v/>
      </c>
      <c r="AB1004" s="32" t="str">
        <f t="shared" si="7"/>
        <v/>
      </c>
      <c r="AC1004" s="32" t="str">
        <f t="shared" ref="AC1004:AG1004" si="1008">IF(J1004&lt;&gt;"", IF(AND($P1004=FALSE, $A1004=FALSE), -J1004, IF(AND($P1004=FALSE, $A1004=TRUE), 0, IF($P1004=TRUE, (J1004 / $R1004) * 100 * ($S1004 / 100)-J1004, ))), )</f>
        <v/>
      </c>
      <c r="AD1004" s="32" t="str">
        <f t="shared" si="1008"/>
        <v/>
      </c>
      <c r="AE1004" s="32" t="str">
        <f t="shared" si="1008"/>
        <v/>
      </c>
      <c r="AF1004" s="32" t="str">
        <f t="shared" si="1008"/>
        <v/>
      </c>
      <c r="AG1004" s="32" t="str">
        <f t="shared" si="1008"/>
        <v/>
      </c>
      <c r="AH1004" s="33"/>
    </row>
    <row r="1005" hidden="1" outlineLevel="3">
      <c r="A1005" s="16" t="b">
        <v>0</v>
      </c>
      <c r="B1005" s="17"/>
      <c r="C1005" s="18"/>
      <c r="D1005" s="19"/>
      <c r="E1005" s="20"/>
      <c r="F1005" s="21"/>
      <c r="G1005" s="22"/>
      <c r="H1005" s="22"/>
      <c r="I1005" s="23"/>
      <c r="J1005" s="22"/>
      <c r="K1005" s="23"/>
      <c r="L1005" s="22"/>
      <c r="M1005" s="23"/>
      <c r="N1005" s="23"/>
      <c r="O1005" s="24"/>
      <c r="P1005" s="16" t="b">
        <v>0</v>
      </c>
      <c r="Q1005" s="24"/>
      <c r="R1005" s="25"/>
      <c r="S1005" s="26"/>
      <c r="T1005" s="27"/>
      <c r="U1005" s="24"/>
      <c r="V1005" s="28" t="s">
        <v>32</v>
      </c>
      <c r="W1005" s="29" t="s">
        <v>22</v>
      </c>
      <c r="X1005" s="37" t="s">
        <v>478</v>
      </c>
      <c r="Y1005" s="31"/>
      <c r="Z1005" s="26" t="str">
        <f t="shared" si="5"/>
        <v/>
      </c>
      <c r="AA1005" s="26" t="str">
        <f t="shared" si="6"/>
        <v/>
      </c>
      <c r="AB1005" s="32" t="str">
        <f t="shared" si="7"/>
        <v/>
      </c>
      <c r="AC1005" s="32" t="str">
        <f t="shared" ref="AC1005:AG1005" si="1009">IF(J1005&lt;&gt;"", IF(AND($P1005=FALSE, $A1005=FALSE), -J1005, IF(AND($P1005=FALSE, $A1005=TRUE), 0, IF($P1005=TRUE, (J1005 / $R1005) * 100 * ($S1005 / 100)-J1005, ))), )</f>
        <v/>
      </c>
      <c r="AD1005" s="32" t="str">
        <f t="shared" si="1009"/>
        <v/>
      </c>
      <c r="AE1005" s="32" t="str">
        <f t="shared" si="1009"/>
        <v/>
      </c>
      <c r="AF1005" s="32" t="str">
        <f t="shared" si="1009"/>
        <v/>
      </c>
      <c r="AG1005" s="32" t="str">
        <f t="shared" si="1009"/>
        <v/>
      </c>
      <c r="AH1005" s="33"/>
    </row>
    <row r="1006" hidden="1" outlineLevel="3">
      <c r="A1006" s="16" t="b">
        <v>0</v>
      </c>
      <c r="B1006" s="17"/>
      <c r="C1006" s="18"/>
      <c r="D1006" s="19"/>
      <c r="E1006" s="20"/>
      <c r="F1006" s="21"/>
      <c r="G1006" s="22"/>
      <c r="H1006" s="22"/>
      <c r="I1006" s="23"/>
      <c r="J1006" s="22"/>
      <c r="K1006" s="23"/>
      <c r="L1006" s="22"/>
      <c r="M1006" s="23"/>
      <c r="N1006" s="23"/>
      <c r="O1006" s="24"/>
      <c r="P1006" s="16" t="b">
        <v>0</v>
      </c>
      <c r="Q1006" s="24"/>
      <c r="R1006" s="25"/>
      <c r="S1006" s="26"/>
      <c r="T1006" s="27"/>
      <c r="U1006" s="24"/>
      <c r="V1006" s="38" t="s">
        <v>29</v>
      </c>
      <c r="W1006" s="29" t="s">
        <v>22</v>
      </c>
      <c r="X1006" s="37" t="s">
        <v>198</v>
      </c>
      <c r="Y1006" s="31"/>
      <c r="Z1006" s="26" t="str">
        <f t="shared" si="5"/>
        <v/>
      </c>
      <c r="AA1006" s="26" t="str">
        <f t="shared" si="6"/>
        <v/>
      </c>
      <c r="AB1006" s="32" t="str">
        <f t="shared" si="7"/>
        <v/>
      </c>
      <c r="AC1006" s="32" t="str">
        <f t="shared" ref="AC1006:AG1006" si="1010">IF(J1006&lt;&gt;"", IF(AND($P1006=FALSE, $A1006=FALSE), -J1006, IF(AND($P1006=FALSE, $A1006=TRUE), 0, IF($P1006=TRUE, (J1006 / $R1006) * 100 * ($S1006 / 100)-J1006, ))), )</f>
        <v/>
      </c>
      <c r="AD1006" s="32" t="str">
        <f t="shared" si="1010"/>
        <v/>
      </c>
      <c r="AE1006" s="32" t="str">
        <f t="shared" si="1010"/>
        <v/>
      </c>
      <c r="AF1006" s="32" t="str">
        <f t="shared" si="1010"/>
        <v/>
      </c>
      <c r="AG1006" s="32" t="str">
        <f t="shared" si="1010"/>
        <v/>
      </c>
      <c r="AH1006" s="33"/>
    </row>
    <row r="1007" hidden="1" outlineLevel="1" collapsed="1">
      <c r="A1007" s="16" t="b">
        <v>0</v>
      </c>
      <c r="B1007" s="17"/>
      <c r="C1007" s="18"/>
      <c r="D1007" s="42">
        <v>45266.0</v>
      </c>
      <c r="E1007" s="80" t="s">
        <v>60</v>
      </c>
      <c r="F1007" s="53" t="s">
        <v>630</v>
      </c>
      <c r="G1007" s="45">
        <v>2.0</v>
      </c>
      <c r="H1007" s="48">
        <v>1.5</v>
      </c>
      <c r="I1007" s="45">
        <v>2.5</v>
      </c>
      <c r="J1007" s="79"/>
      <c r="K1007" s="79"/>
      <c r="L1007" s="45">
        <v>1.0</v>
      </c>
      <c r="M1007" s="46"/>
      <c r="N1007" s="46"/>
      <c r="O1007" s="47"/>
      <c r="P1007" s="16" t="b">
        <v>0</v>
      </c>
      <c r="Q1007" s="24"/>
      <c r="R1007" s="48">
        <v>7.0</v>
      </c>
      <c r="S1007" s="45">
        <v>27.37</v>
      </c>
      <c r="T1007" s="49" t="s">
        <v>715</v>
      </c>
      <c r="U1007" s="47"/>
      <c r="V1007" s="28"/>
      <c r="W1007" s="29"/>
      <c r="X1007" s="30"/>
      <c r="Y1007" s="31"/>
      <c r="Z1007" s="26">
        <f t="shared" si="5"/>
        <v>-2</v>
      </c>
      <c r="AA1007" s="26">
        <f t="shared" si="6"/>
        <v>-2.5</v>
      </c>
      <c r="AB1007" s="32">
        <f t="shared" si="7"/>
        <v>-1.5</v>
      </c>
      <c r="AC1007" s="32" t="str">
        <f t="shared" ref="AC1007:AG1007" si="1011">IF(J1007&lt;&gt;"", IF(AND($P1007=FALSE, $A1007=FALSE), -J1007, IF(AND($P1007=FALSE, $A1007=TRUE), 0, IF($P1007=TRUE, (J1007 / $R1007) * 100 * ($S1007 / 100)-J1007, ))), )</f>
        <v/>
      </c>
      <c r="AD1007" s="32" t="str">
        <f t="shared" si="1011"/>
        <v/>
      </c>
      <c r="AE1007" s="32">
        <f t="shared" si="1011"/>
        <v>-1</v>
      </c>
      <c r="AF1007" s="32" t="str">
        <f t="shared" si="1011"/>
        <v/>
      </c>
      <c r="AG1007" s="32" t="str">
        <f t="shared" si="1011"/>
        <v/>
      </c>
      <c r="AH1007" s="33"/>
    </row>
    <row r="1008" hidden="1" outlineLevel="3">
      <c r="A1008" s="16" t="b">
        <v>0</v>
      </c>
      <c r="B1008" s="17"/>
      <c r="C1008" s="18"/>
      <c r="D1008" s="19"/>
      <c r="E1008" s="20"/>
      <c r="F1008" s="21"/>
      <c r="G1008" s="22"/>
      <c r="H1008" s="22"/>
      <c r="I1008" s="23"/>
      <c r="J1008" s="22"/>
      <c r="K1008" s="23"/>
      <c r="L1008" s="22"/>
      <c r="M1008" s="23"/>
      <c r="N1008" s="23"/>
      <c r="O1008" s="24"/>
      <c r="P1008" s="16" t="b">
        <v>0</v>
      </c>
      <c r="Q1008" s="24"/>
      <c r="R1008" s="25"/>
      <c r="S1008" s="26"/>
      <c r="T1008" s="27"/>
      <c r="U1008" s="24"/>
      <c r="V1008" s="38" t="s">
        <v>29</v>
      </c>
      <c r="W1008" s="29" t="s">
        <v>22</v>
      </c>
      <c r="X1008" s="37" t="s">
        <v>615</v>
      </c>
      <c r="Y1008" s="31"/>
      <c r="Z1008" s="26" t="str">
        <f t="shared" si="5"/>
        <v/>
      </c>
      <c r="AA1008" s="26" t="str">
        <f t="shared" si="6"/>
        <v/>
      </c>
      <c r="AB1008" s="32" t="str">
        <f t="shared" si="7"/>
        <v/>
      </c>
      <c r="AC1008" s="32" t="str">
        <f t="shared" ref="AC1008:AG1008" si="1012">IF(J1008&lt;&gt;"", IF(AND($P1008=FALSE, $A1008=FALSE), -J1008, IF(AND($P1008=FALSE, $A1008=TRUE), 0, IF($P1008=TRUE, (J1008 / $R1008) * 100 * ($S1008 / 100)-J1008, ))), )</f>
        <v/>
      </c>
      <c r="AD1008" s="32" t="str">
        <f t="shared" si="1012"/>
        <v/>
      </c>
      <c r="AE1008" s="32" t="str">
        <f t="shared" si="1012"/>
        <v/>
      </c>
      <c r="AF1008" s="32" t="str">
        <f t="shared" si="1012"/>
        <v/>
      </c>
      <c r="AG1008" s="32" t="str">
        <f t="shared" si="1012"/>
        <v/>
      </c>
      <c r="AH1008" s="33"/>
    </row>
    <row r="1009" hidden="1" outlineLevel="3">
      <c r="A1009" s="16" t="b">
        <v>0</v>
      </c>
      <c r="B1009" s="17"/>
      <c r="C1009" s="18"/>
      <c r="D1009" s="19"/>
      <c r="E1009" s="20"/>
      <c r="F1009" s="21"/>
      <c r="G1009" s="22"/>
      <c r="H1009" s="22"/>
      <c r="I1009" s="23"/>
      <c r="J1009" s="22"/>
      <c r="K1009" s="23"/>
      <c r="L1009" s="22"/>
      <c r="M1009" s="23"/>
      <c r="N1009" s="23"/>
      <c r="O1009" s="24"/>
      <c r="P1009" s="16" t="b">
        <v>0</v>
      </c>
      <c r="Q1009" s="24"/>
      <c r="R1009" s="25"/>
      <c r="S1009" s="26"/>
      <c r="T1009" s="27"/>
      <c r="U1009" s="24"/>
      <c r="V1009" s="38" t="s">
        <v>29</v>
      </c>
      <c r="W1009" s="29" t="s">
        <v>22</v>
      </c>
      <c r="X1009" s="37" t="s">
        <v>363</v>
      </c>
      <c r="Y1009" s="31"/>
      <c r="Z1009" s="26" t="str">
        <f t="shared" si="5"/>
        <v/>
      </c>
      <c r="AA1009" s="26" t="str">
        <f t="shared" si="6"/>
        <v/>
      </c>
      <c r="AB1009" s="32" t="str">
        <f t="shared" si="7"/>
        <v/>
      </c>
      <c r="AC1009" s="32" t="str">
        <f t="shared" ref="AC1009:AG1009" si="1013">IF(J1009&lt;&gt;"", IF(AND($P1009=FALSE, $A1009=FALSE), -J1009, IF(AND($P1009=FALSE, $A1009=TRUE), 0, IF($P1009=TRUE, (J1009 / $R1009) * 100 * ($S1009 / 100)-J1009, ))), )</f>
        <v/>
      </c>
      <c r="AD1009" s="32" t="str">
        <f t="shared" si="1013"/>
        <v/>
      </c>
      <c r="AE1009" s="32" t="str">
        <f t="shared" si="1013"/>
        <v/>
      </c>
      <c r="AF1009" s="32" t="str">
        <f t="shared" si="1013"/>
        <v/>
      </c>
      <c r="AG1009" s="32" t="str">
        <f t="shared" si="1013"/>
        <v/>
      </c>
      <c r="AH1009" s="33"/>
    </row>
    <row r="1010" hidden="1" outlineLevel="3">
      <c r="A1010" s="16" t="b">
        <v>0</v>
      </c>
      <c r="B1010" s="17"/>
      <c r="C1010" s="18"/>
      <c r="D1010" s="19"/>
      <c r="E1010" s="20"/>
      <c r="F1010" s="21"/>
      <c r="G1010" s="22"/>
      <c r="H1010" s="22"/>
      <c r="I1010" s="23"/>
      <c r="J1010" s="22"/>
      <c r="K1010" s="23"/>
      <c r="L1010" s="22"/>
      <c r="M1010" s="23"/>
      <c r="N1010" s="23"/>
      <c r="O1010" s="24"/>
      <c r="P1010" s="16" t="b">
        <v>0</v>
      </c>
      <c r="Q1010" s="24"/>
      <c r="R1010" s="25"/>
      <c r="S1010" s="26"/>
      <c r="T1010" s="27"/>
      <c r="U1010" s="24"/>
      <c r="V1010" s="38" t="s">
        <v>29</v>
      </c>
      <c r="W1010" s="29" t="s">
        <v>22</v>
      </c>
      <c r="X1010" s="37" t="s">
        <v>716</v>
      </c>
      <c r="Y1010" s="31"/>
      <c r="Z1010" s="26" t="str">
        <f t="shared" si="5"/>
        <v/>
      </c>
      <c r="AA1010" s="26" t="str">
        <f t="shared" si="6"/>
        <v/>
      </c>
      <c r="AB1010" s="32" t="str">
        <f t="shared" si="7"/>
        <v/>
      </c>
      <c r="AC1010" s="32" t="str">
        <f t="shared" ref="AC1010:AG1010" si="1014">IF(J1010&lt;&gt;"", IF(AND($P1010=FALSE, $A1010=FALSE), -J1010, IF(AND($P1010=FALSE, $A1010=TRUE), 0, IF($P1010=TRUE, (J1010 / $R1010) * 100 * ($S1010 / 100)-J1010, ))), )</f>
        <v/>
      </c>
      <c r="AD1010" s="32" t="str">
        <f t="shared" si="1014"/>
        <v/>
      </c>
      <c r="AE1010" s="32" t="str">
        <f t="shared" si="1014"/>
        <v/>
      </c>
      <c r="AF1010" s="32" t="str">
        <f t="shared" si="1014"/>
        <v/>
      </c>
      <c r="AG1010" s="32" t="str">
        <f t="shared" si="1014"/>
        <v/>
      </c>
      <c r="AH1010" s="33"/>
    </row>
    <row r="1011" hidden="1" outlineLevel="3">
      <c r="A1011" s="16" t="b">
        <v>0</v>
      </c>
      <c r="B1011" s="17"/>
      <c r="C1011" s="18"/>
      <c r="D1011" s="19"/>
      <c r="E1011" s="20"/>
      <c r="F1011" s="21"/>
      <c r="G1011" s="22"/>
      <c r="H1011" s="22"/>
      <c r="I1011" s="23"/>
      <c r="J1011" s="22"/>
      <c r="K1011" s="23"/>
      <c r="L1011" s="22"/>
      <c r="M1011" s="23"/>
      <c r="N1011" s="23"/>
      <c r="O1011" s="24"/>
      <c r="P1011" s="16" t="b">
        <v>0</v>
      </c>
      <c r="Q1011" s="24"/>
      <c r="R1011" s="25"/>
      <c r="S1011" s="26"/>
      <c r="T1011" s="27"/>
      <c r="U1011" s="24"/>
      <c r="V1011" s="28" t="s">
        <v>32</v>
      </c>
      <c r="W1011" s="29" t="s">
        <v>22</v>
      </c>
      <c r="X1011" s="37" t="s">
        <v>226</v>
      </c>
      <c r="Y1011" s="31"/>
      <c r="Z1011" s="26" t="str">
        <f t="shared" si="5"/>
        <v/>
      </c>
      <c r="AA1011" s="26" t="str">
        <f t="shared" si="6"/>
        <v/>
      </c>
      <c r="AB1011" s="32" t="str">
        <f t="shared" si="7"/>
        <v/>
      </c>
      <c r="AC1011" s="32" t="str">
        <f t="shared" ref="AC1011:AG1011" si="1015">IF(J1011&lt;&gt;"", IF(AND($P1011=FALSE, $A1011=FALSE), -J1011, IF(AND($P1011=FALSE, $A1011=TRUE), 0, IF($P1011=TRUE, (J1011 / $R1011) * 100 * ($S1011 / 100)-J1011, ))), )</f>
        <v/>
      </c>
      <c r="AD1011" s="32" t="str">
        <f t="shared" si="1015"/>
        <v/>
      </c>
      <c r="AE1011" s="32" t="str">
        <f t="shared" si="1015"/>
        <v/>
      </c>
      <c r="AF1011" s="32" t="str">
        <f t="shared" si="1015"/>
        <v/>
      </c>
      <c r="AG1011" s="32" t="str">
        <f t="shared" si="1015"/>
        <v/>
      </c>
      <c r="AH1011" s="33"/>
    </row>
    <row r="1012" hidden="1" outlineLevel="2" collapsed="1">
      <c r="A1012" s="81" t="b">
        <v>0</v>
      </c>
      <c r="B1012" s="17"/>
      <c r="C1012" s="18"/>
      <c r="D1012" s="67">
        <v>45266.0</v>
      </c>
      <c r="E1012" s="80" t="s">
        <v>60</v>
      </c>
      <c r="F1012" s="82" t="s">
        <v>630</v>
      </c>
      <c r="G1012" s="45">
        <v>2.0</v>
      </c>
      <c r="H1012" s="48">
        <v>1.5</v>
      </c>
      <c r="I1012" s="45">
        <v>2.5</v>
      </c>
      <c r="J1012" s="79"/>
      <c r="K1012" s="79"/>
      <c r="L1012" s="45">
        <v>1.0</v>
      </c>
      <c r="M1012" s="79"/>
      <c r="N1012" s="79"/>
      <c r="O1012" s="47"/>
      <c r="P1012" s="81" t="b">
        <v>0</v>
      </c>
      <c r="Q1012" s="24"/>
      <c r="R1012" s="48">
        <v>7.0</v>
      </c>
      <c r="S1012" s="45">
        <v>16.12</v>
      </c>
      <c r="T1012" s="49" t="s">
        <v>419</v>
      </c>
      <c r="U1012" s="47"/>
      <c r="V1012" s="28"/>
      <c r="W1012" s="29"/>
      <c r="X1012" s="30"/>
      <c r="Y1012" s="83"/>
      <c r="Z1012" s="26">
        <f t="shared" si="5"/>
        <v>-2</v>
      </c>
      <c r="AA1012" s="26">
        <f t="shared" si="6"/>
        <v>-2.5</v>
      </c>
      <c r="AB1012" s="32">
        <f t="shared" si="7"/>
        <v>-1.5</v>
      </c>
      <c r="AC1012" s="32" t="str">
        <f t="shared" ref="AC1012:AG1012" si="1016">IF(J1012&lt;&gt;"", IF(AND($P1012=FALSE, $A1012=FALSE), -J1012, IF(AND($P1012=FALSE, $A1012=TRUE), 0, IF($P1012=TRUE, (J1012 / $R1012) * 100 * ($S1012 / 100)-J1012, ))), )</f>
        <v/>
      </c>
      <c r="AD1012" s="32" t="str">
        <f t="shared" si="1016"/>
        <v/>
      </c>
      <c r="AE1012" s="32">
        <f t="shared" si="1016"/>
        <v>-1</v>
      </c>
      <c r="AF1012" s="32" t="str">
        <f t="shared" si="1016"/>
        <v/>
      </c>
      <c r="AG1012" s="32" t="str">
        <f t="shared" si="1016"/>
        <v/>
      </c>
      <c r="AH1012" s="33"/>
    </row>
    <row r="1013" hidden="1" outlineLevel="3">
      <c r="A1013" s="16" t="b">
        <v>0</v>
      </c>
      <c r="B1013" s="17"/>
      <c r="C1013" s="18"/>
      <c r="D1013" s="19"/>
      <c r="E1013" s="20"/>
      <c r="F1013" s="21"/>
      <c r="G1013" s="22"/>
      <c r="H1013" s="22"/>
      <c r="I1013" s="23"/>
      <c r="J1013" s="22"/>
      <c r="K1013" s="23"/>
      <c r="L1013" s="22"/>
      <c r="M1013" s="23"/>
      <c r="N1013" s="23"/>
      <c r="O1013" s="24"/>
      <c r="P1013" s="16" t="b">
        <v>0</v>
      </c>
      <c r="Q1013" s="24"/>
      <c r="R1013" s="25"/>
      <c r="S1013" s="26"/>
      <c r="T1013" s="27"/>
      <c r="U1013" s="24"/>
      <c r="V1013" s="28" t="s">
        <v>32</v>
      </c>
      <c r="W1013" s="29" t="s">
        <v>22</v>
      </c>
      <c r="X1013" s="37" t="s">
        <v>572</v>
      </c>
      <c r="Y1013" s="31"/>
      <c r="Z1013" s="26" t="str">
        <f t="shared" si="5"/>
        <v/>
      </c>
      <c r="AA1013" s="26" t="str">
        <f t="shared" si="6"/>
        <v/>
      </c>
      <c r="AB1013" s="32" t="str">
        <f t="shared" si="7"/>
        <v/>
      </c>
      <c r="AC1013" s="32" t="str">
        <f t="shared" ref="AC1013:AG1013" si="1017">IF(J1013&lt;&gt;"", IF(AND($P1013=FALSE, $A1013=FALSE), -J1013, IF(AND($P1013=FALSE, $A1013=TRUE), 0, IF($P1013=TRUE, (J1013 / $R1013) * 100 * ($S1013 / 100)-J1013, ))), )</f>
        <v/>
      </c>
      <c r="AD1013" s="32" t="str">
        <f t="shared" si="1017"/>
        <v/>
      </c>
      <c r="AE1013" s="32" t="str">
        <f t="shared" si="1017"/>
        <v/>
      </c>
      <c r="AF1013" s="32" t="str">
        <f t="shared" si="1017"/>
        <v/>
      </c>
      <c r="AG1013" s="32" t="str">
        <f t="shared" si="1017"/>
        <v/>
      </c>
      <c r="AH1013" s="33"/>
    </row>
    <row r="1014" hidden="1" outlineLevel="3">
      <c r="A1014" s="16" t="b">
        <v>0</v>
      </c>
      <c r="B1014" s="17"/>
      <c r="C1014" s="18"/>
      <c r="D1014" s="19"/>
      <c r="E1014" s="20"/>
      <c r="F1014" s="21"/>
      <c r="G1014" s="22"/>
      <c r="H1014" s="22"/>
      <c r="I1014" s="23"/>
      <c r="J1014" s="22"/>
      <c r="K1014" s="23"/>
      <c r="L1014" s="22"/>
      <c r="M1014" s="23"/>
      <c r="N1014" s="23"/>
      <c r="O1014" s="24"/>
      <c r="P1014" s="16" t="b">
        <v>0</v>
      </c>
      <c r="Q1014" s="24"/>
      <c r="R1014" s="25"/>
      <c r="S1014" s="26"/>
      <c r="T1014" s="27"/>
      <c r="U1014" s="24"/>
      <c r="V1014" s="38" t="s">
        <v>29</v>
      </c>
      <c r="W1014" s="29" t="s">
        <v>22</v>
      </c>
      <c r="X1014" s="37" t="s">
        <v>179</v>
      </c>
      <c r="Y1014" s="31"/>
      <c r="Z1014" s="26" t="str">
        <f t="shared" si="5"/>
        <v/>
      </c>
      <c r="AA1014" s="26" t="str">
        <f t="shared" si="6"/>
        <v/>
      </c>
      <c r="AB1014" s="32" t="str">
        <f t="shared" si="7"/>
        <v/>
      </c>
      <c r="AC1014" s="32" t="str">
        <f t="shared" ref="AC1014:AG1014" si="1018">IF(J1014&lt;&gt;"", IF(AND($P1014=FALSE, $A1014=FALSE), -J1014, IF(AND($P1014=FALSE, $A1014=TRUE), 0, IF($P1014=TRUE, (J1014 / $R1014) * 100 * ($S1014 / 100)-J1014, ))), )</f>
        <v/>
      </c>
      <c r="AD1014" s="32" t="str">
        <f t="shared" si="1018"/>
        <v/>
      </c>
      <c r="AE1014" s="32" t="str">
        <f t="shared" si="1018"/>
        <v/>
      </c>
      <c r="AF1014" s="32" t="str">
        <f t="shared" si="1018"/>
        <v/>
      </c>
      <c r="AG1014" s="32" t="str">
        <f t="shared" si="1018"/>
        <v/>
      </c>
      <c r="AH1014" s="33"/>
    </row>
    <row r="1015" hidden="1" outlineLevel="3">
      <c r="A1015" s="16" t="b">
        <v>0</v>
      </c>
      <c r="B1015" s="17"/>
      <c r="C1015" s="18"/>
      <c r="D1015" s="19"/>
      <c r="E1015" s="20"/>
      <c r="F1015" s="21"/>
      <c r="G1015" s="22"/>
      <c r="H1015" s="22"/>
      <c r="I1015" s="23"/>
      <c r="J1015" s="22"/>
      <c r="K1015" s="23"/>
      <c r="L1015" s="22"/>
      <c r="M1015" s="23"/>
      <c r="N1015" s="23"/>
      <c r="O1015" s="24"/>
      <c r="P1015" s="16" t="b">
        <v>0</v>
      </c>
      <c r="Q1015" s="24"/>
      <c r="R1015" s="25"/>
      <c r="S1015" s="26"/>
      <c r="T1015" s="27"/>
      <c r="U1015" s="24"/>
      <c r="V1015" s="38" t="s">
        <v>29</v>
      </c>
      <c r="W1015" s="29" t="s">
        <v>22</v>
      </c>
      <c r="X1015" s="37" t="s">
        <v>454</v>
      </c>
      <c r="Y1015" s="31"/>
      <c r="Z1015" s="26" t="str">
        <f t="shared" si="5"/>
        <v/>
      </c>
      <c r="AA1015" s="26" t="str">
        <f t="shared" si="6"/>
        <v/>
      </c>
      <c r="AB1015" s="32" t="str">
        <f t="shared" si="7"/>
        <v/>
      </c>
      <c r="AC1015" s="32" t="str">
        <f t="shared" ref="AC1015:AG1015" si="1019">IF(J1015&lt;&gt;"", IF(AND($P1015=FALSE, $A1015=FALSE), -J1015, IF(AND($P1015=FALSE, $A1015=TRUE), 0, IF($P1015=TRUE, (J1015 / $R1015) * 100 * ($S1015 / 100)-J1015, ))), )</f>
        <v/>
      </c>
      <c r="AD1015" s="32" t="str">
        <f t="shared" si="1019"/>
        <v/>
      </c>
      <c r="AE1015" s="32" t="str">
        <f t="shared" si="1019"/>
        <v/>
      </c>
      <c r="AF1015" s="32" t="str">
        <f t="shared" si="1019"/>
        <v/>
      </c>
      <c r="AG1015" s="32" t="str">
        <f t="shared" si="1019"/>
        <v/>
      </c>
      <c r="AH1015" s="33"/>
    </row>
    <row r="1016" hidden="1" outlineLevel="2" collapsed="1">
      <c r="A1016" s="81" t="b">
        <v>0</v>
      </c>
      <c r="B1016" s="17"/>
      <c r="C1016" s="18"/>
      <c r="D1016" s="67">
        <v>45266.0</v>
      </c>
      <c r="E1016" s="80" t="s">
        <v>60</v>
      </c>
      <c r="F1016" s="82" t="s">
        <v>630</v>
      </c>
      <c r="G1016" s="45">
        <v>2.0</v>
      </c>
      <c r="H1016" s="48">
        <v>1.5</v>
      </c>
      <c r="I1016" s="45">
        <v>2.5</v>
      </c>
      <c r="J1016" s="79"/>
      <c r="K1016" s="79"/>
      <c r="L1016" s="45">
        <v>1.0</v>
      </c>
      <c r="M1016" s="79"/>
      <c r="N1016" s="79"/>
      <c r="O1016" s="47"/>
      <c r="P1016" s="81" t="b">
        <v>0</v>
      </c>
      <c r="Q1016" s="24"/>
      <c r="R1016" s="48">
        <v>7.0</v>
      </c>
      <c r="S1016" s="45">
        <v>14.4</v>
      </c>
      <c r="T1016" s="49" t="s">
        <v>631</v>
      </c>
      <c r="U1016" s="47"/>
      <c r="V1016" s="28"/>
      <c r="W1016" s="29"/>
      <c r="X1016" s="30"/>
      <c r="Y1016" s="83"/>
      <c r="Z1016" s="26">
        <f t="shared" si="5"/>
        <v>-2</v>
      </c>
      <c r="AA1016" s="26">
        <f t="shared" si="6"/>
        <v>-2.5</v>
      </c>
      <c r="AB1016" s="32">
        <f t="shared" si="7"/>
        <v>-1.5</v>
      </c>
      <c r="AC1016" s="32" t="str">
        <f t="shared" ref="AC1016:AG1016" si="1020">IF(J1016&lt;&gt;"", IF(AND($P1016=FALSE, $A1016=FALSE), -J1016, IF(AND($P1016=FALSE, $A1016=TRUE), 0, IF($P1016=TRUE, (J1016 / $R1016) * 100 * ($S1016 / 100)-J1016, ))), )</f>
        <v/>
      </c>
      <c r="AD1016" s="32" t="str">
        <f t="shared" si="1020"/>
        <v/>
      </c>
      <c r="AE1016" s="32">
        <f t="shared" si="1020"/>
        <v>-1</v>
      </c>
      <c r="AF1016" s="32" t="str">
        <f t="shared" si="1020"/>
        <v/>
      </c>
      <c r="AG1016" s="32" t="str">
        <f t="shared" si="1020"/>
        <v/>
      </c>
      <c r="AH1016" s="33"/>
    </row>
    <row r="1017" hidden="1" outlineLevel="3">
      <c r="A1017" s="16" t="b">
        <v>0</v>
      </c>
      <c r="B1017" s="17"/>
      <c r="C1017" s="18"/>
      <c r="D1017" s="19"/>
      <c r="E1017" s="20"/>
      <c r="F1017" s="21"/>
      <c r="G1017" s="22"/>
      <c r="H1017" s="22"/>
      <c r="I1017" s="23"/>
      <c r="J1017" s="22"/>
      <c r="K1017" s="23"/>
      <c r="L1017" s="22"/>
      <c r="M1017" s="23"/>
      <c r="N1017" s="23"/>
      <c r="O1017" s="24"/>
      <c r="P1017" s="16" t="b">
        <v>0</v>
      </c>
      <c r="Q1017" s="24"/>
      <c r="R1017" s="25"/>
      <c r="S1017" s="26"/>
      <c r="T1017" s="27"/>
      <c r="U1017" s="24"/>
      <c r="V1017" s="28" t="s">
        <v>32</v>
      </c>
      <c r="W1017" s="29" t="s">
        <v>22</v>
      </c>
      <c r="X1017" s="37" t="s">
        <v>272</v>
      </c>
      <c r="Y1017" s="31"/>
      <c r="Z1017" s="26" t="str">
        <f t="shared" si="5"/>
        <v/>
      </c>
      <c r="AA1017" s="26" t="str">
        <f t="shared" si="6"/>
        <v/>
      </c>
      <c r="AB1017" s="32" t="str">
        <f t="shared" si="7"/>
        <v/>
      </c>
      <c r="AC1017" s="32" t="str">
        <f t="shared" ref="AC1017:AG1017" si="1021">IF(J1017&lt;&gt;"", IF(AND($P1017=FALSE, $A1017=FALSE), -J1017, IF(AND($P1017=FALSE, $A1017=TRUE), 0, IF($P1017=TRUE, (J1017 / $R1017) * 100 * ($S1017 / 100)-J1017, ))), )</f>
        <v/>
      </c>
      <c r="AD1017" s="32" t="str">
        <f t="shared" si="1021"/>
        <v/>
      </c>
      <c r="AE1017" s="32" t="str">
        <f t="shared" si="1021"/>
        <v/>
      </c>
      <c r="AF1017" s="32" t="str">
        <f t="shared" si="1021"/>
        <v/>
      </c>
      <c r="AG1017" s="32" t="str">
        <f t="shared" si="1021"/>
        <v/>
      </c>
      <c r="AH1017" s="33"/>
    </row>
    <row r="1018" hidden="1" outlineLevel="3">
      <c r="A1018" s="16" t="b">
        <v>0</v>
      </c>
      <c r="B1018" s="17"/>
      <c r="C1018" s="18"/>
      <c r="D1018" s="19"/>
      <c r="E1018" s="20"/>
      <c r="F1018" s="21"/>
      <c r="G1018" s="22"/>
      <c r="H1018" s="22"/>
      <c r="I1018" s="23"/>
      <c r="J1018" s="22"/>
      <c r="K1018" s="23"/>
      <c r="L1018" s="22"/>
      <c r="M1018" s="23"/>
      <c r="N1018" s="23"/>
      <c r="O1018" s="24"/>
      <c r="P1018" s="16" t="b">
        <v>0</v>
      </c>
      <c r="Q1018" s="24"/>
      <c r="R1018" s="25"/>
      <c r="S1018" s="26"/>
      <c r="T1018" s="27"/>
      <c r="U1018" s="24"/>
      <c r="V1018" s="38" t="s">
        <v>29</v>
      </c>
      <c r="W1018" s="29" t="s">
        <v>22</v>
      </c>
      <c r="X1018" s="37" t="s">
        <v>717</v>
      </c>
      <c r="Y1018" s="31"/>
      <c r="Z1018" s="26" t="str">
        <f t="shared" si="5"/>
        <v/>
      </c>
      <c r="AA1018" s="26" t="str">
        <f t="shared" si="6"/>
        <v/>
      </c>
      <c r="AB1018" s="32" t="str">
        <f t="shared" si="7"/>
        <v/>
      </c>
      <c r="AC1018" s="32" t="str">
        <f t="shared" ref="AC1018:AG1018" si="1022">IF(J1018&lt;&gt;"", IF(AND($P1018=FALSE, $A1018=FALSE), -J1018, IF(AND($P1018=FALSE, $A1018=TRUE), 0, IF($P1018=TRUE, (J1018 / $R1018) * 100 * ($S1018 / 100)-J1018, ))), )</f>
        <v/>
      </c>
      <c r="AD1018" s="32" t="str">
        <f t="shared" si="1022"/>
        <v/>
      </c>
      <c r="AE1018" s="32" t="str">
        <f t="shared" si="1022"/>
        <v/>
      </c>
      <c r="AF1018" s="32" t="str">
        <f t="shared" si="1022"/>
        <v/>
      </c>
      <c r="AG1018" s="32" t="str">
        <f t="shared" si="1022"/>
        <v/>
      </c>
      <c r="AH1018" s="33"/>
    </row>
    <row r="1019" hidden="1" outlineLevel="3">
      <c r="A1019" s="16" t="b">
        <v>0</v>
      </c>
      <c r="B1019" s="17"/>
      <c r="C1019" s="18"/>
      <c r="D1019" s="19"/>
      <c r="E1019" s="20"/>
      <c r="F1019" s="21"/>
      <c r="G1019" s="22"/>
      <c r="H1019" s="22"/>
      <c r="I1019" s="23"/>
      <c r="J1019" s="22"/>
      <c r="K1019" s="23"/>
      <c r="L1019" s="22"/>
      <c r="M1019" s="23"/>
      <c r="N1019" s="23"/>
      <c r="O1019" s="24"/>
      <c r="P1019" s="16" t="b">
        <v>0</v>
      </c>
      <c r="Q1019" s="24"/>
      <c r="R1019" s="25"/>
      <c r="S1019" s="26"/>
      <c r="T1019" s="27"/>
      <c r="U1019" s="24"/>
      <c r="V1019" s="38" t="s">
        <v>29</v>
      </c>
      <c r="W1019" s="29" t="s">
        <v>22</v>
      </c>
      <c r="X1019" s="37" t="s">
        <v>718</v>
      </c>
      <c r="Y1019" s="31"/>
      <c r="Z1019" s="26" t="str">
        <f t="shared" si="5"/>
        <v/>
      </c>
      <c r="AA1019" s="26" t="str">
        <f t="shared" si="6"/>
        <v/>
      </c>
      <c r="AB1019" s="32" t="str">
        <f t="shared" si="7"/>
        <v/>
      </c>
      <c r="AC1019" s="32" t="str">
        <f t="shared" ref="AC1019:AG1019" si="1023">IF(J1019&lt;&gt;"", IF(AND($P1019=FALSE, $A1019=FALSE), -J1019, IF(AND($P1019=FALSE, $A1019=TRUE), 0, IF($P1019=TRUE, (J1019 / $R1019) * 100 * ($S1019 / 100)-J1019, ))), )</f>
        <v/>
      </c>
      <c r="AD1019" s="32" t="str">
        <f t="shared" si="1023"/>
        <v/>
      </c>
      <c r="AE1019" s="32" t="str">
        <f t="shared" si="1023"/>
        <v/>
      </c>
      <c r="AF1019" s="32" t="str">
        <f t="shared" si="1023"/>
        <v/>
      </c>
      <c r="AG1019" s="32" t="str">
        <f t="shared" si="1023"/>
        <v/>
      </c>
      <c r="AH1019" s="33"/>
    </row>
    <row r="1020" hidden="1" outlineLevel="2" collapsed="1">
      <c r="A1020" s="16" t="b">
        <v>0</v>
      </c>
      <c r="B1020" s="17"/>
      <c r="C1020" s="18"/>
      <c r="D1020" s="42">
        <v>45266.0</v>
      </c>
      <c r="E1020" s="80" t="s">
        <v>60</v>
      </c>
      <c r="F1020" s="53" t="s">
        <v>630</v>
      </c>
      <c r="G1020" s="45">
        <v>0.01</v>
      </c>
      <c r="H1020" s="45">
        <v>0.01</v>
      </c>
      <c r="I1020" s="45">
        <v>0.01</v>
      </c>
      <c r="J1020" s="77"/>
      <c r="K1020" s="46"/>
      <c r="L1020" s="45"/>
      <c r="M1020" s="46"/>
      <c r="N1020" s="46"/>
      <c r="O1020" s="47"/>
      <c r="P1020" s="16" t="b">
        <v>1</v>
      </c>
      <c r="Q1020" s="24"/>
      <c r="R1020" s="48">
        <v>0.03</v>
      </c>
      <c r="S1020" s="45">
        <v>9.58</v>
      </c>
      <c r="T1020" s="49" t="s">
        <v>719</v>
      </c>
      <c r="U1020" s="47"/>
      <c r="V1020" s="28"/>
      <c r="W1020" s="29"/>
      <c r="X1020" s="30"/>
      <c r="Y1020" s="31"/>
      <c r="Z1020" s="26">
        <f t="shared" si="5"/>
        <v>3.183333333</v>
      </c>
      <c r="AA1020" s="26">
        <f t="shared" si="6"/>
        <v>3.183333333</v>
      </c>
      <c r="AB1020" s="32">
        <f t="shared" si="7"/>
        <v>3.183333333</v>
      </c>
      <c r="AC1020" s="32" t="str">
        <f t="shared" ref="AC1020:AG1020" si="1024">IF(J1020&lt;&gt;"", IF(AND($P1020=FALSE, $A1020=FALSE), -J1020, IF(AND($P1020=FALSE, $A1020=TRUE), 0, IF($P1020=TRUE, (J1020 / $R1020) * 100 * ($S1020 / 100)-J1020, ))), )</f>
        <v/>
      </c>
      <c r="AD1020" s="32" t="str">
        <f t="shared" si="1024"/>
        <v/>
      </c>
      <c r="AE1020" s="32" t="str">
        <f t="shared" si="1024"/>
        <v/>
      </c>
      <c r="AF1020" s="32" t="str">
        <f t="shared" si="1024"/>
        <v/>
      </c>
      <c r="AG1020" s="32" t="str">
        <f t="shared" si="1024"/>
        <v/>
      </c>
      <c r="AH1020" s="33"/>
    </row>
    <row r="1021" hidden="1" outlineLevel="3">
      <c r="A1021" s="16" t="b">
        <v>0</v>
      </c>
      <c r="B1021" s="17"/>
      <c r="C1021" s="18"/>
      <c r="D1021" s="19"/>
      <c r="E1021" s="20"/>
      <c r="F1021" s="21"/>
      <c r="G1021" s="22"/>
      <c r="H1021" s="22"/>
      <c r="I1021" s="23"/>
      <c r="J1021" s="22"/>
      <c r="K1021" s="23"/>
      <c r="L1021" s="22"/>
      <c r="M1021" s="23"/>
      <c r="N1021" s="23"/>
      <c r="O1021" s="24"/>
      <c r="P1021" s="16" t="b">
        <v>0</v>
      </c>
      <c r="Q1021" s="24"/>
      <c r="R1021" s="25"/>
      <c r="S1021" s="26"/>
      <c r="T1021" s="27"/>
      <c r="U1021" s="24"/>
      <c r="V1021" s="38" t="s">
        <v>29</v>
      </c>
      <c r="W1021" s="29" t="s">
        <v>22</v>
      </c>
      <c r="X1021" s="37" t="s">
        <v>63</v>
      </c>
      <c r="Y1021" s="31"/>
      <c r="Z1021" s="26" t="str">
        <f t="shared" si="5"/>
        <v/>
      </c>
      <c r="AA1021" s="26" t="str">
        <f t="shared" si="6"/>
        <v/>
      </c>
      <c r="AB1021" s="32" t="str">
        <f t="shared" si="7"/>
        <v/>
      </c>
      <c r="AC1021" s="32" t="str">
        <f t="shared" ref="AC1021:AG1021" si="1025">IF(J1021&lt;&gt;"", IF(AND($P1021=FALSE, $A1021=FALSE), -J1021, IF(AND($P1021=FALSE, $A1021=TRUE), 0, IF($P1021=TRUE, (J1021 / $R1021) * 100 * ($S1021 / 100)-J1021, ))), )</f>
        <v/>
      </c>
      <c r="AD1021" s="32" t="str">
        <f t="shared" si="1025"/>
        <v/>
      </c>
      <c r="AE1021" s="32" t="str">
        <f t="shared" si="1025"/>
        <v/>
      </c>
      <c r="AF1021" s="32" t="str">
        <f t="shared" si="1025"/>
        <v/>
      </c>
      <c r="AG1021" s="32" t="str">
        <f t="shared" si="1025"/>
        <v/>
      </c>
      <c r="AH1021" s="33"/>
    </row>
    <row r="1022" hidden="1" outlineLevel="3">
      <c r="A1022" s="16" t="b">
        <v>0</v>
      </c>
      <c r="B1022" s="17"/>
      <c r="C1022" s="18"/>
      <c r="D1022" s="19"/>
      <c r="E1022" s="20"/>
      <c r="F1022" s="21"/>
      <c r="G1022" s="22"/>
      <c r="H1022" s="22"/>
      <c r="I1022" s="23"/>
      <c r="J1022" s="22"/>
      <c r="K1022" s="23"/>
      <c r="L1022" s="22"/>
      <c r="M1022" s="23"/>
      <c r="N1022" s="23"/>
      <c r="O1022" s="24"/>
      <c r="P1022" s="16" t="b">
        <v>0</v>
      </c>
      <c r="Q1022" s="24"/>
      <c r="R1022" s="25"/>
      <c r="S1022" s="26"/>
      <c r="T1022" s="27"/>
      <c r="U1022" s="24"/>
      <c r="V1022" s="38" t="s">
        <v>29</v>
      </c>
      <c r="W1022" s="29" t="s">
        <v>22</v>
      </c>
      <c r="X1022" s="37" t="s">
        <v>720</v>
      </c>
      <c r="Y1022" s="31"/>
      <c r="Z1022" s="26" t="str">
        <f t="shared" si="5"/>
        <v/>
      </c>
      <c r="AA1022" s="26" t="str">
        <f t="shared" si="6"/>
        <v/>
      </c>
      <c r="AB1022" s="32" t="str">
        <f t="shared" si="7"/>
        <v/>
      </c>
      <c r="AC1022" s="32" t="str">
        <f t="shared" ref="AC1022:AG1022" si="1026">IF(J1022&lt;&gt;"", IF(AND($P1022=FALSE, $A1022=FALSE), -J1022, IF(AND($P1022=FALSE, $A1022=TRUE), 0, IF($P1022=TRUE, (J1022 / $R1022) * 100 * ($S1022 / 100)-J1022, ))), )</f>
        <v/>
      </c>
      <c r="AD1022" s="32" t="str">
        <f t="shared" si="1026"/>
        <v/>
      </c>
      <c r="AE1022" s="32" t="str">
        <f t="shared" si="1026"/>
        <v/>
      </c>
      <c r="AF1022" s="32" t="str">
        <f t="shared" si="1026"/>
        <v/>
      </c>
      <c r="AG1022" s="32" t="str">
        <f t="shared" si="1026"/>
        <v/>
      </c>
      <c r="AH1022" s="33"/>
    </row>
    <row r="1023" hidden="1" outlineLevel="3">
      <c r="A1023" s="16" t="b">
        <v>0</v>
      </c>
      <c r="B1023" s="17"/>
      <c r="C1023" s="18"/>
      <c r="D1023" s="19"/>
      <c r="E1023" s="20"/>
      <c r="F1023" s="21"/>
      <c r="G1023" s="22"/>
      <c r="H1023" s="22"/>
      <c r="I1023" s="23"/>
      <c r="J1023" s="22"/>
      <c r="K1023" s="23"/>
      <c r="L1023" s="22"/>
      <c r="M1023" s="23"/>
      <c r="N1023" s="23"/>
      <c r="O1023" s="24"/>
      <c r="P1023" s="16" t="b">
        <v>0</v>
      </c>
      <c r="Q1023" s="24"/>
      <c r="R1023" s="25"/>
      <c r="S1023" s="26"/>
      <c r="T1023" s="27"/>
      <c r="U1023" s="24"/>
      <c r="V1023" s="38" t="s">
        <v>29</v>
      </c>
      <c r="W1023" s="29" t="s">
        <v>22</v>
      </c>
      <c r="X1023" s="37" t="s">
        <v>721</v>
      </c>
      <c r="Y1023" s="31"/>
      <c r="Z1023" s="26" t="str">
        <f t="shared" si="5"/>
        <v/>
      </c>
      <c r="AA1023" s="26" t="str">
        <f t="shared" si="6"/>
        <v/>
      </c>
      <c r="AB1023" s="32" t="str">
        <f t="shared" si="7"/>
        <v/>
      </c>
      <c r="AC1023" s="32" t="str">
        <f t="shared" ref="AC1023:AG1023" si="1027">IF(J1023&lt;&gt;"", IF(AND($P1023=FALSE, $A1023=FALSE), -J1023, IF(AND($P1023=FALSE, $A1023=TRUE), 0, IF($P1023=TRUE, (J1023 / $R1023) * 100 * ($S1023 / 100)-J1023, ))), )</f>
        <v/>
      </c>
      <c r="AD1023" s="32" t="str">
        <f t="shared" si="1027"/>
        <v/>
      </c>
      <c r="AE1023" s="32" t="str">
        <f t="shared" si="1027"/>
        <v/>
      </c>
      <c r="AF1023" s="32" t="str">
        <f t="shared" si="1027"/>
        <v/>
      </c>
      <c r="AG1023" s="32" t="str">
        <f t="shared" si="1027"/>
        <v/>
      </c>
      <c r="AH1023" s="33"/>
    </row>
    <row r="1024" hidden="1" outlineLevel="2">
      <c r="A1024" s="81" t="b">
        <v>0</v>
      </c>
      <c r="B1024" s="17"/>
      <c r="C1024" s="18"/>
      <c r="D1024" s="67">
        <v>45266.0</v>
      </c>
      <c r="E1024" s="80" t="s">
        <v>60</v>
      </c>
      <c r="F1024" s="82" t="s">
        <v>630</v>
      </c>
      <c r="G1024" s="48">
        <v>2.5</v>
      </c>
      <c r="H1024" s="48">
        <v>1.5</v>
      </c>
      <c r="I1024" s="48">
        <v>3.0</v>
      </c>
      <c r="J1024" s="79"/>
      <c r="K1024" s="79"/>
      <c r="L1024" s="48">
        <v>3.0</v>
      </c>
      <c r="M1024" s="79"/>
      <c r="N1024" s="79"/>
      <c r="O1024" s="47"/>
      <c r="P1024" s="20" t="b">
        <v>0</v>
      </c>
      <c r="Q1024" s="24"/>
      <c r="R1024" s="48">
        <v>10.0</v>
      </c>
      <c r="S1024" s="45">
        <v>21.64</v>
      </c>
      <c r="T1024" s="49" t="s">
        <v>489</v>
      </c>
      <c r="U1024" s="47"/>
      <c r="V1024" s="28"/>
      <c r="W1024" s="29"/>
      <c r="X1024" s="30"/>
      <c r="Y1024" s="84"/>
      <c r="Z1024" s="26">
        <f t="shared" si="5"/>
        <v>-2.5</v>
      </c>
      <c r="AA1024" s="26">
        <f t="shared" si="6"/>
        <v>-3</v>
      </c>
      <c r="AB1024" s="32">
        <f t="shared" si="7"/>
        <v>-1.5</v>
      </c>
      <c r="AC1024" s="32" t="str">
        <f t="shared" ref="AC1024:AG1024" si="1028">IF(J1024&lt;&gt;"", IF(AND($P1024=FALSE, $A1024=FALSE), -J1024, IF(AND($P1024=FALSE, $A1024=TRUE), 0, IF($P1024=TRUE, (J1024 / $R1024) * 100 * ($S1024 / 100)-J1024, ))), )</f>
        <v/>
      </c>
      <c r="AD1024" s="32" t="str">
        <f t="shared" si="1028"/>
        <v/>
      </c>
      <c r="AE1024" s="32">
        <f t="shared" si="1028"/>
        <v>-3</v>
      </c>
      <c r="AF1024" s="32" t="str">
        <f t="shared" si="1028"/>
        <v/>
      </c>
      <c r="AG1024" s="32" t="str">
        <f t="shared" si="1028"/>
        <v/>
      </c>
      <c r="AH1024" s="33"/>
    </row>
    <row r="1025" hidden="1" outlineLevel="3">
      <c r="A1025" s="16" t="b">
        <v>0</v>
      </c>
      <c r="B1025" s="17"/>
      <c r="C1025" s="18"/>
      <c r="D1025" s="19"/>
      <c r="E1025" s="20"/>
      <c r="F1025" s="21"/>
      <c r="G1025" s="22"/>
      <c r="H1025" s="22"/>
      <c r="I1025" s="23"/>
      <c r="J1025" s="22"/>
      <c r="K1025" s="23"/>
      <c r="L1025" s="22"/>
      <c r="M1025" s="23"/>
      <c r="N1025" s="23"/>
      <c r="O1025" s="24"/>
      <c r="P1025" s="16" t="b">
        <v>0</v>
      </c>
      <c r="Q1025" s="24"/>
      <c r="R1025" s="25"/>
      <c r="S1025" s="26"/>
      <c r="T1025" s="27"/>
      <c r="U1025" s="24"/>
      <c r="V1025" s="28" t="s">
        <v>32</v>
      </c>
      <c r="W1025" s="29" t="s">
        <v>22</v>
      </c>
      <c r="X1025" s="37" t="s">
        <v>722</v>
      </c>
      <c r="Y1025" s="31"/>
      <c r="Z1025" s="26" t="str">
        <f t="shared" si="5"/>
        <v/>
      </c>
      <c r="AA1025" s="26" t="str">
        <f t="shared" si="6"/>
        <v/>
      </c>
      <c r="AB1025" s="32" t="str">
        <f t="shared" si="7"/>
        <v/>
      </c>
      <c r="AC1025" s="32" t="str">
        <f t="shared" ref="AC1025:AG1025" si="1029">IF(J1025&lt;&gt;"", IF(AND($P1025=FALSE, $A1025=FALSE), -J1025, IF(AND($P1025=FALSE, $A1025=TRUE), 0, IF($P1025=TRUE, (J1025 / $R1025) * 100 * ($S1025 / 100)-J1025, ))), )</f>
        <v/>
      </c>
      <c r="AD1025" s="32" t="str">
        <f t="shared" si="1029"/>
        <v/>
      </c>
      <c r="AE1025" s="32" t="str">
        <f t="shared" si="1029"/>
        <v/>
      </c>
      <c r="AF1025" s="32" t="str">
        <f t="shared" si="1029"/>
        <v/>
      </c>
      <c r="AG1025" s="32" t="str">
        <f t="shared" si="1029"/>
        <v/>
      </c>
      <c r="AH1025" s="33"/>
    </row>
    <row r="1026" hidden="1" outlineLevel="3">
      <c r="A1026" s="16" t="b">
        <v>0</v>
      </c>
      <c r="B1026" s="17"/>
      <c r="C1026" s="18"/>
      <c r="D1026" s="19"/>
      <c r="E1026" s="20"/>
      <c r="F1026" s="21"/>
      <c r="G1026" s="22"/>
      <c r="H1026" s="22"/>
      <c r="I1026" s="23"/>
      <c r="J1026" s="22"/>
      <c r="K1026" s="23"/>
      <c r="L1026" s="22"/>
      <c r="M1026" s="23"/>
      <c r="N1026" s="23"/>
      <c r="O1026" s="24"/>
      <c r="P1026" s="16" t="b">
        <v>0</v>
      </c>
      <c r="Q1026" s="24"/>
      <c r="R1026" s="25"/>
      <c r="S1026" s="26"/>
      <c r="T1026" s="27"/>
      <c r="U1026" s="24"/>
      <c r="V1026" s="38" t="s">
        <v>29</v>
      </c>
      <c r="W1026" s="29" t="s">
        <v>22</v>
      </c>
      <c r="X1026" s="37" t="s">
        <v>723</v>
      </c>
      <c r="Y1026" s="31"/>
      <c r="Z1026" s="26" t="str">
        <f t="shared" si="5"/>
        <v/>
      </c>
      <c r="AA1026" s="26" t="str">
        <f t="shared" si="6"/>
        <v/>
      </c>
      <c r="AB1026" s="32" t="str">
        <f t="shared" si="7"/>
        <v/>
      </c>
      <c r="AC1026" s="32" t="str">
        <f t="shared" ref="AC1026:AG1026" si="1030">IF(J1026&lt;&gt;"", IF(AND($P1026=FALSE, $A1026=FALSE), -J1026, IF(AND($P1026=FALSE, $A1026=TRUE), 0, IF($P1026=TRUE, (J1026 / $R1026) * 100 * ($S1026 / 100)-J1026, ))), )</f>
        <v/>
      </c>
      <c r="AD1026" s="32" t="str">
        <f t="shared" si="1030"/>
        <v/>
      </c>
      <c r="AE1026" s="32" t="str">
        <f t="shared" si="1030"/>
        <v/>
      </c>
      <c r="AF1026" s="32" t="str">
        <f t="shared" si="1030"/>
        <v/>
      </c>
      <c r="AG1026" s="32" t="str">
        <f t="shared" si="1030"/>
        <v/>
      </c>
      <c r="AH1026" s="33"/>
    </row>
    <row r="1027" hidden="1" outlineLevel="3">
      <c r="A1027" s="16" t="b">
        <v>0</v>
      </c>
      <c r="B1027" s="17"/>
      <c r="C1027" s="18"/>
      <c r="D1027" s="19"/>
      <c r="E1027" s="20"/>
      <c r="F1027" s="21"/>
      <c r="G1027" s="22"/>
      <c r="H1027" s="22"/>
      <c r="I1027" s="23"/>
      <c r="J1027" s="22"/>
      <c r="K1027" s="23"/>
      <c r="L1027" s="22"/>
      <c r="M1027" s="23"/>
      <c r="N1027" s="23"/>
      <c r="O1027" s="24"/>
      <c r="P1027" s="16" t="b">
        <v>0</v>
      </c>
      <c r="Q1027" s="24"/>
      <c r="R1027" s="25"/>
      <c r="S1027" s="26"/>
      <c r="T1027" s="27"/>
      <c r="U1027" s="24"/>
      <c r="V1027" s="38" t="s">
        <v>29</v>
      </c>
      <c r="W1027" s="29" t="s">
        <v>22</v>
      </c>
      <c r="X1027" s="37" t="s">
        <v>217</v>
      </c>
      <c r="Y1027" s="31"/>
      <c r="Z1027" s="26" t="str">
        <f t="shared" si="5"/>
        <v/>
      </c>
      <c r="AA1027" s="26" t="str">
        <f t="shared" si="6"/>
        <v/>
      </c>
      <c r="AB1027" s="32" t="str">
        <f t="shared" si="7"/>
        <v/>
      </c>
      <c r="AC1027" s="32" t="str">
        <f t="shared" ref="AC1027:AG1027" si="1031">IF(J1027&lt;&gt;"", IF(AND($P1027=FALSE, $A1027=FALSE), -J1027, IF(AND($P1027=FALSE, $A1027=TRUE), 0, IF($P1027=TRUE, (J1027 / $R1027) * 100 * ($S1027 / 100)-J1027, ))), )</f>
        <v/>
      </c>
      <c r="AD1027" s="32" t="str">
        <f t="shared" si="1031"/>
        <v/>
      </c>
      <c r="AE1027" s="32" t="str">
        <f t="shared" si="1031"/>
        <v/>
      </c>
      <c r="AF1027" s="32" t="str">
        <f t="shared" si="1031"/>
        <v/>
      </c>
      <c r="AG1027" s="32" t="str">
        <f t="shared" si="1031"/>
        <v/>
      </c>
      <c r="AH1027" s="33"/>
    </row>
    <row r="1028" hidden="1" outlineLevel="1" collapsed="1">
      <c r="A1028" s="16" t="b">
        <v>0</v>
      </c>
      <c r="B1028" s="17"/>
      <c r="C1028" s="18"/>
      <c r="D1028" s="42">
        <v>45267.0</v>
      </c>
      <c r="E1028" s="43" t="s">
        <v>24</v>
      </c>
      <c r="F1028" s="53" t="s">
        <v>724</v>
      </c>
      <c r="G1028" s="45">
        <v>2.5</v>
      </c>
      <c r="H1028" s="45">
        <v>1.5</v>
      </c>
      <c r="I1028" s="45">
        <v>6.0</v>
      </c>
      <c r="J1028" s="46"/>
      <c r="K1028" s="46"/>
      <c r="L1028" s="45"/>
      <c r="M1028" s="46"/>
      <c r="N1028" s="46"/>
      <c r="O1028" s="47"/>
      <c r="P1028" s="16" t="b">
        <v>0</v>
      </c>
      <c r="Q1028" s="24"/>
      <c r="R1028" s="48">
        <v>10.0</v>
      </c>
      <c r="S1028" s="45">
        <v>22.6</v>
      </c>
      <c r="T1028" s="49" t="s">
        <v>269</v>
      </c>
      <c r="U1028" s="47"/>
      <c r="V1028" s="28"/>
      <c r="W1028" s="29"/>
      <c r="X1028" s="30"/>
      <c r="Y1028" s="31"/>
      <c r="Z1028" s="26">
        <f t="shared" si="5"/>
        <v>-2.5</v>
      </c>
      <c r="AA1028" s="26">
        <f t="shared" si="6"/>
        <v>-6</v>
      </c>
      <c r="AB1028" s="32">
        <f t="shared" si="7"/>
        <v>-1.5</v>
      </c>
      <c r="AC1028" s="32" t="str">
        <f t="shared" ref="AC1028:AG1028" si="1032">IF(J1028&lt;&gt;"", IF(AND($P1028=FALSE, $A1028=FALSE), -J1028, IF(AND($P1028=FALSE, $A1028=TRUE), 0, IF($P1028=TRUE, (J1028 / $R1028) * 100 * ($S1028 / 100)-J1028, ))), )</f>
        <v/>
      </c>
      <c r="AD1028" s="32" t="str">
        <f t="shared" si="1032"/>
        <v/>
      </c>
      <c r="AE1028" s="32" t="str">
        <f t="shared" si="1032"/>
        <v/>
      </c>
      <c r="AF1028" s="32" t="str">
        <f t="shared" si="1032"/>
        <v/>
      </c>
      <c r="AG1028" s="32" t="str">
        <f t="shared" si="1032"/>
        <v/>
      </c>
      <c r="AH1028" s="33"/>
    </row>
    <row r="1029" hidden="1" outlineLevel="3">
      <c r="A1029" s="16" t="b">
        <v>0</v>
      </c>
      <c r="B1029" s="17"/>
      <c r="C1029" s="18"/>
      <c r="D1029" s="19"/>
      <c r="E1029" s="20"/>
      <c r="F1029" s="21"/>
      <c r="G1029" s="22"/>
      <c r="H1029" s="22"/>
      <c r="I1029" s="23"/>
      <c r="J1029" s="22"/>
      <c r="K1029" s="23"/>
      <c r="L1029" s="22"/>
      <c r="M1029" s="23"/>
      <c r="N1029" s="23"/>
      <c r="O1029" s="24"/>
      <c r="P1029" s="16" t="b">
        <v>0</v>
      </c>
      <c r="Q1029" s="24"/>
      <c r="R1029" s="25"/>
      <c r="S1029" s="26"/>
      <c r="T1029" s="27"/>
      <c r="U1029" s="24"/>
      <c r="V1029" s="28" t="s">
        <v>32</v>
      </c>
      <c r="W1029" s="29" t="s">
        <v>22</v>
      </c>
      <c r="X1029" s="50" t="s">
        <v>667</v>
      </c>
      <c r="Y1029" s="31"/>
      <c r="Z1029" s="26" t="str">
        <f t="shared" si="5"/>
        <v/>
      </c>
      <c r="AA1029" s="26" t="str">
        <f t="shared" si="6"/>
        <v/>
      </c>
      <c r="AB1029" s="32" t="str">
        <f t="shared" si="7"/>
        <v/>
      </c>
      <c r="AC1029" s="32" t="str">
        <f t="shared" ref="AC1029:AG1029" si="1033">IF(J1029&lt;&gt;"", IF(AND($P1029=FALSE, $A1029=FALSE), -J1029, IF(AND($P1029=FALSE, $A1029=TRUE), 0, IF($P1029=TRUE, (J1029 / $R1029) * 100 * ($S1029 / 100)-J1029, ))), )</f>
        <v/>
      </c>
      <c r="AD1029" s="32" t="str">
        <f t="shared" si="1033"/>
        <v/>
      </c>
      <c r="AE1029" s="32" t="str">
        <f t="shared" si="1033"/>
        <v/>
      </c>
      <c r="AF1029" s="32" t="str">
        <f t="shared" si="1033"/>
        <v/>
      </c>
      <c r="AG1029" s="32" t="str">
        <f t="shared" si="1033"/>
        <v/>
      </c>
      <c r="AH1029" s="33"/>
    </row>
    <row r="1030" hidden="1" outlineLevel="3">
      <c r="A1030" s="16" t="b">
        <v>0</v>
      </c>
      <c r="B1030" s="17"/>
      <c r="C1030" s="18"/>
      <c r="D1030" s="19"/>
      <c r="E1030" s="20"/>
      <c r="F1030" s="21"/>
      <c r="G1030" s="22"/>
      <c r="H1030" s="22"/>
      <c r="I1030" s="23"/>
      <c r="J1030" s="22"/>
      <c r="K1030" s="23"/>
      <c r="L1030" s="22"/>
      <c r="M1030" s="23"/>
      <c r="N1030" s="23"/>
      <c r="O1030" s="24"/>
      <c r="P1030" s="16" t="b">
        <v>0</v>
      </c>
      <c r="Q1030" s="24"/>
      <c r="R1030" s="25"/>
      <c r="S1030" s="26"/>
      <c r="T1030" s="27"/>
      <c r="U1030" s="24"/>
      <c r="V1030" s="38" t="s">
        <v>29</v>
      </c>
      <c r="W1030" s="29" t="s">
        <v>22</v>
      </c>
      <c r="X1030" s="37" t="s">
        <v>725</v>
      </c>
      <c r="Y1030" s="31"/>
      <c r="Z1030" s="26" t="str">
        <f t="shared" si="5"/>
        <v/>
      </c>
      <c r="AA1030" s="26" t="str">
        <f t="shared" si="6"/>
        <v/>
      </c>
      <c r="AB1030" s="32" t="str">
        <f t="shared" si="7"/>
        <v/>
      </c>
      <c r="AC1030" s="32" t="str">
        <f t="shared" ref="AC1030:AG1030" si="1034">IF(J1030&lt;&gt;"", IF(AND($P1030=FALSE, $A1030=FALSE), -J1030, IF(AND($P1030=FALSE, $A1030=TRUE), 0, IF($P1030=TRUE, (J1030 / $R1030) * 100 * ($S1030 / 100)-J1030, ))), )</f>
        <v/>
      </c>
      <c r="AD1030" s="32" t="str">
        <f t="shared" si="1034"/>
        <v/>
      </c>
      <c r="AE1030" s="32" t="str">
        <f t="shared" si="1034"/>
        <v/>
      </c>
      <c r="AF1030" s="32" t="str">
        <f t="shared" si="1034"/>
        <v/>
      </c>
      <c r="AG1030" s="32" t="str">
        <f t="shared" si="1034"/>
        <v/>
      </c>
      <c r="AH1030" s="33"/>
    </row>
    <row r="1031" hidden="1" outlineLevel="3">
      <c r="A1031" s="16" t="b">
        <v>0</v>
      </c>
      <c r="B1031" s="17"/>
      <c r="C1031" s="18"/>
      <c r="D1031" s="19"/>
      <c r="E1031" s="20"/>
      <c r="F1031" s="21"/>
      <c r="G1031" s="22"/>
      <c r="H1031" s="22"/>
      <c r="I1031" s="23"/>
      <c r="J1031" s="22"/>
      <c r="K1031" s="23"/>
      <c r="L1031" s="22"/>
      <c r="M1031" s="23"/>
      <c r="N1031" s="23"/>
      <c r="O1031" s="24"/>
      <c r="P1031" s="16" t="b">
        <v>0</v>
      </c>
      <c r="Q1031" s="24"/>
      <c r="R1031" s="25"/>
      <c r="S1031" s="26"/>
      <c r="T1031" s="27"/>
      <c r="U1031" s="24"/>
      <c r="V1031" s="38" t="s">
        <v>29</v>
      </c>
      <c r="W1031" s="29" t="s">
        <v>22</v>
      </c>
      <c r="X1031" s="37" t="s">
        <v>726</v>
      </c>
      <c r="Y1031" s="31"/>
      <c r="Z1031" s="26" t="str">
        <f t="shared" si="5"/>
        <v/>
      </c>
      <c r="AA1031" s="26" t="str">
        <f t="shared" si="6"/>
        <v/>
      </c>
      <c r="AB1031" s="32" t="str">
        <f t="shared" si="7"/>
        <v/>
      </c>
      <c r="AC1031" s="32" t="str">
        <f t="shared" ref="AC1031:AG1031" si="1035">IF(J1031&lt;&gt;"", IF(AND($P1031=FALSE, $A1031=FALSE), -J1031, IF(AND($P1031=FALSE, $A1031=TRUE), 0, IF($P1031=TRUE, (J1031 / $R1031) * 100 * ($S1031 / 100)-J1031, ))), )</f>
        <v/>
      </c>
      <c r="AD1031" s="32" t="str">
        <f t="shared" si="1035"/>
        <v/>
      </c>
      <c r="AE1031" s="32" t="str">
        <f t="shared" si="1035"/>
        <v/>
      </c>
      <c r="AF1031" s="32" t="str">
        <f t="shared" si="1035"/>
        <v/>
      </c>
      <c r="AG1031" s="32" t="str">
        <f t="shared" si="1035"/>
        <v/>
      </c>
      <c r="AH1031" s="33"/>
    </row>
    <row r="1032" hidden="1" outlineLevel="2" collapsed="1">
      <c r="A1032" s="16" t="b">
        <v>0</v>
      </c>
      <c r="B1032" s="17"/>
      <c r="C1032" s="18"/>
      <c r="D1032" s="42">
        <v>45267.0</v>
      </c>
      <c r="E1032" s="43" t="s">
        <v>24</v>
      </c>
      <c r="F1032" s="53" t="s">
        <v>724</v>
      </c>
      <c r="G1032" s="45">
        <v>2.0</v>
      </c>
      <c r="H1032" s="45">
        <v>1.0</v>
      </c>
      <c r="I1032" s="45">
        <v>2.0</v>
      </c>
      <c r="J1032" s="46"/>
      <c r="K1032" s="46"/>
      <c r="L1032" s="45"/>
      <c r="M1032" s="46"/>
      <c r="N1032" s="46"/>
      <c r="O1032" s="47"/>
      <c r="P1032" s="16" t="b">
        <v>0</v>
      </c>
      <c r="Q1032" s="24"/>
      <c r="R1032" s="48">
        <v>5.0</v>
      </c>
      <c r="S1032" s="45">
        <v>10.1</v>
      </c>
      <c r="T1032" s="49" t="s">
        <v>161</v>
      </c>
      <c r="U1032" s="47"/>
      <c r="V1032" s="28"/>
      <c r="W1032" s="29"/>
      <c r="X1032" s="30"/>
      <c r="Y1032" s="31"/>
      <c r="Z1032" s="26">
        <f t="shared" si="5"/>
        <v>-2</v>
      </c>
      <c r="AA1032" s="26">
        <f t="shared" si="6"/>
        <v>-2</v>
      </c>
      <c r="AB1032" s="32">
        <f t="shared" si="7"/>
        <v>-1</v>
      </c>
      <c r="AC1032" s="32" t="str">
        <f t="shared" ref="AC1032:AG1032" si="1036">IF(J1032&lt;&gt;"", IF(AND($P1032=FALSE, $A1032=FALSE), -J1032, IF(AND($P1032=FALSE, $A1032=TRUE), 0, IF($P1032=TRUE, (J1032 / $R1032) * 100 * ($S1032 / 100)-J1032, ))), )</f>
        <v/>
      </c>
      <c r="AD1032" s="32" t="str">
        <f t="shared" si="1036"/>
        <v/>
      </c>
      <c r="AE1032" s="32" t="str">
        <f t="shared" si="1036"/>
        <v/>
      </c>
      <c r="AF1032" s="32" t="str">
        <f t="shared" si="1036"/>
        <v/>
      </c>
      <c r="AG1032" s="32" t="str">
        <f t="shared" si="1036"/>
        <v/>
      </c>
      <c r="AH1032" s="33"/>
    </row>
    <row r="1033" hidden="1" outlineLevel="3">
      <c r="A1033" s="16" t="b">
        <v>0</v>
      </c>
      <c r="B1033" s="17"/>
      <c r="C1033" s="18"/>
      <c r="D1033" s="19"/>
      <c r="E1033" s="20"/>
      <c r="F1033" s="21"/>
      <c r="G1033" s="22"/>
      <c r="H1033" s="22"/>
      <c r="I1033" s="23"/>
      <c r="J1033" s="22"/>
      <c r="K1033" s="23"/>
      <c r="L1033" s="22"/>
      <c r="M1033" s="23"/>
      <c r="N1033" s="23"/>
      <c r="O1033" s="24"/>
      <c r="P1033" s="16" t="b">
        <v>0</v>
      </c>
      <c r="Q1033" s="24"/>
      <c r="R1033" s="25"/>
      <c r="S1033" s="26"/>
      <c r="T1033" s="27"/>
      <c r="U1033" s="24"/>
      <c r="V1033" s="28" t="s">
        <v>32</v>
      </c>
      <c r="W1033" s="29" t="s">
        <v>22</v>
      </c>
      <c r="X1033" s="37" t="s">
        <v>727</v>
      </c>
      <c r="Y1033" s="31"/>
      <c r="Z1033" s="26" t="str">
        <f t="shared" si="5"/>
        <v/>
      </c>
      <c r="AA1033" s="26" t="str">
        <f t="shared" si="6"/>
        <v/>
      </c>
      <c r="AB1033" s="32" t="str">
        <f t="shared" si="7"/>
        <v/>
      </c>
      <c r="AC1033" s="32" t="str">
        <f t="shared" ref="AC1033:AG1033" si="1037">IF(J1033&lt;&gt;"", IF(AND($P1033=FALSE, $A1033=FALSE), -J1033, IF(AND($P1033=FALSE, $A1033=TRUE), 0, IF($P1033=TRUE, (J1033 / $R1033) * 100 * ($S1033 / 100)-J1033, ))), )</f>
        <v/>
      </c>
      <c r="AD1033" s="32" t="str">
        <f t="shared" si="1037"/>
        <v/>
      </c>
      <c r="AE1033" s="32" t="str">
        <f t="shared" si="1037"/>
        <v/>
      </c>
      <c r="AF1033" s="32" t="str">
        <f t="shared" si="1037"/>
        <v/>
      </c>
      <c r="AG1033" s="32" t="str">
        <f t="shared" si="1037"/>
        <v/>
      </c>
      <c r="AH1033" s="33"/>
    </row>
    <row r="1034" hidden="1" outlineLevel="3">
      <c r="A1034" s="16" t="b">
        <v>0</v>
      </c>
      <c r="B1034" s="17"/>
      <c r="C1034" s="18"/>
      <c r="D1034" s="19"/>
      <c r="E1034" s="20"/>
      <c r="F1034" s="21"/>
      <c r="G1034" s="22"/>
      <c r="H1034" s="22"/>
      <c r="I1034" s="23"/>
      <c r="J1034" s="22"/>
      <c r="K1034" s="23"/>
      <c r="L1034" s="22"/>
      <c r="M1034" s="23"/>
      <c r="N1034" s="23"/>
      <c r="O1034" s="24"/>
      <c r="P1034" s="16" t="b">
        <v>0</v>
      </c>
      <c r="Q1034" s="24"/>
      <c r="R1034" s="25"/>
      <c r="S1034" s="26"/>
      <c r="T1034" s="27"/>
      <c r="U1034" s="24"/>
      <c r="V1034" s="28" t="s">
        <v>32</v>
      </c>
      <c r="W1034" s="29" t="s">
        <v>22</v>
      </c>
      <c r="X1034" s="37" t="s">
        <v>728</v>
      </c>
      <c r="Y1034" s="31"/>
      <c r="Z1034" s="26" t="str">
        <f t="shared" si="5"/>
        <v/>
      </c>
      <c r="AA1034" s="26" t="str">
        <f t="shared" si="6"/>
        <v/>
      </c>
      <c r="AB1034" s="32" t="str">
        <f t="shared" si="7"/>
        <v/>
      </c>
      <c r="AC1034" s="32" t="str">
        <f t="shared" ref="AC1034:AG1034" si="1038">IF(J1034&lt;&gt;"", IF(AND($P1034=FALSE, $A1034=FALSE), -J1034, IF(AND($P1034=FALSE, $A1034=TRUE), 0, IF($P1034=TRUE, (J1034 / $R1034) * 100 * ($S1034 / 100)-J1034, ))), )</f>
        <v/>
      </c>
      <c r="AD1034" s="32" t="str">
        <f t="shared" si="1038"/>
        <v/>
      </c>
      <c r="AE1034" s="32" t="str">
        <f t="shared" si="1038"/>
        <v/>
      </c>
      <c r="AF1034" s="32" t="str">
        <f t="shared" si="1038"/>
        <v/>
      </c>
      <c r="AG1034" s="32" t="str">
        <f t="shared" si="1038"/>
        <v/>
      </c>
      <c r="AH1034" s="33"/>
    </row>
    <row r="1035" hidden="1" outlineLevel="2" collapsed="1">
      <c r="A1035" s="16" t="b">
        <v>0</v>
      </c>
      <c r="B1035" s="17"/>
      <c r="C1035" s="18"/>
      <c r="D1035" s="42">
        <v>45267.0</v>
      </c>
      <c r="E1035" s="43" t="s">
        <v>24</v>
      </c>
      <c r="F1035" s="53" t="s">
        <v>630</v>
      </c>
      <c r="G1035" s="45">
        <v>2.5</v>
      </c>
      <c r="H1035" s="48">
        <v>1.5</v>
      </c>
      <c r="I1035" s="45">
        <v>3.5</v>
      </c>
      <c r="J1035" s="79"/>
      <c r="K1035" s="79"/>
      <c r="L1035" s="45"/>
      <c r="M1035" s="46"/>
      <c r="N1035" s="46"/>
      <c r="O1035" s="47"/>
      <c r="P1035" s="16" t="b">
        <v>1</v>
      </c>
      <c r="Q1035" s="24"/>
      <c r="R1035" s="48">
        <v>7.5</v>
      </c>
      <c r="S1035" s="45">
        <v>14.85</v>
      </c>
      <c r="T1035" s="49">
        <v>-102.0</v>
      </c>
      <c r="U1035" s="47"/>
      <c r="V1035" s="28"/>
      <c r="W1035" s="29"/>
      <c r="X1035" s="30"/>
      <c r="Y1035" s="31"/>
      <c r="Z1035" s="26">
        <f t="shared" si="5"/>
        <v>2.45</v>
      </c>
      <c r="AA1035" s="26">
        <f t="shared" si="6"/>
        <v>3.43</v>
      </c>
      <c r="AB1035" s="32">
        <f t="shared" si="7"/>
        <v>1.47</v>
      </c>
      <c r="AC1035" s="32" t="str">
        <f t="shared" ref="AC1035:AG1035" si="1039">IF(J1035&lt;&gt;"", IF(AND($P1035=FALSE, $A1035=FALSE), -J1035, IF(AND($P1035=FALSE, $A1035=TRUE), 0, IF($P1035=TRUE, (J1035 / $R1035) * 100 * ($S1035 / 100)-J1035, ))), )</f>
        <v/>
      </c>
      <c r="AD1035" s="32" t="str">
        <f t="shared" si="1039"/>
        <v/>
      </c>
      <c r="AE1035" s="32" t="str">
        <f t="shared" si="1039"/>
        <v/>
      </c>
      <c r="AF1035" s="32" t="str">
        <f t="shared" si="1039"/>
        <v/>
      </c>
      <c r="AG1035" s="32" t="str">
        <f t="shared" si="1039"/>
        <v/>
      </c>
      <c r="AH1035" s="33"/>
    </row>
    <row r="1036" hidden="1" outlineLevel="3">
      <c r="A1036" s="16" t="b">
        <v>0</v>
      </c>
      <c r="B1036" s="17"/>
      <c r="C1036" s="18"/>
      <c r="D1036" s="19"/>
      <c r="E1036" s="20"/>
      <c r="F1036" s="21"/>
      <c r="G1036" s="22"/>
      <c r="H1036" s="22"/>
      <c r="I1036" s="23"/>
      <c r="J1036" s="22"/>
      <c r="K1036" s="23"/>
      <c r="L1036" s="22"/>
      <c r="M1036" s="23"/>
      <c r="N1036" s="23"/>
      <c r="O1036" s="24"/>
      <c r="P1036" s="16" t="b">
        <v>0</v>
      </c>
      <c r="Q1036" s="24"/>
      <c r="R1036" s="25"/>
      <c r="S1036" s="26"/>
      <c r="T1036" s="27"/>
      <c r="U1036" s="24"/>
      <c r="V1036" s="38" t="s">
        <v>29</v>
      </c>
      <c r="W1036" s="29" t="s">
        <v>22</v>
      </c>
      <c r="X1036" s="37" t="s">
        <v>729</v>
      </c>
      <c r="Y1036" s="31"/>
      <c r="Z1036" s="26" t="str">
        <f t="shared" si="5"/>
        <v/>
      </c>
      <c r="AA1036" s="26" t="str">
        <f t="shared" si="6"/>
        <v/>
      </c>
      <c r="AB1036" s="32" t="str">
        <f t="shared" si="7"/>
        <v/>
      </c>
      <c r="AC1036" s="32" t="str">
        <f t="shared" ref="AC1036:AG1036" si="1040">IF(J1036&lt;&gt;"", IF(AND($P1036=FALSE, $A1036=FALSE), -J1036, IF(AND($P1036=FALSE, $A1036=TRUE), 0, IF($P1036=TRUE, (J1036 / $R1036) * 100 * ($S1036 / 100)-J1036, ))), )</f>
        <v/>
      </c>
      <c r="AD1036" s="32" t="str">
        <f t="shared" si="1040"/>
        <v/>
      </c>
      <c r="AE1036" s="32" t="str">
        <f t="shared" si="1040"/>
        <v/>
      </c>
      <c r="AF1036" s="32" t="str">
        <f t="shared" si="1040"/>
        <v/>
      </c>
      <c r="AG1036" s="32" t="str">
        <f t="shared" si="1040"/>
        <v/>
      </c>
      <c r="AH1036" s="33"/>
    </row>
    <row r="1037" hidden="1" outlineLevel="3">
      <c r="A1037" s="16" t="b">
        <v>0</v>
      </c>
      <c r="B1037" s="17"/>
      <c r="C1037" s="18"/>
      <c r="D1037" s="19"/>
      <c r="E1037" s="20"/>
      <c r="F1037" s="21"/>
      <c r="G1037" s="22"/>
      <c r="H1037" s="22"/>
      <c r="I1037" s="23"/>
      <c r="J1037" s="22"/>
      <c r="K1037" s="23"/>
      <c r="L1037" s="22"/>
      <c r="M1037" s="23"/>
      <c r="N1037" s="23"/>
      <c r="O1037" s="24"/>
      <c r="P1037" s="16" t="b">
        <v>0</v>
      </c>
      <c r="Q1037" s="24"/>
      <c r="R1037" s="25"/>
      <c r="S1037" s="26"/>
      <c r="T1037" s="27"/>
      <c r="U1037" s="24"/>
      <c r="V1037" s="38" t="s">
        <v>29</v>
      </c>
      <c r="W1037" s="29" t="s">
        <v>22</v>
      </c>
      <c r="X1037" s="37" t="s">
        <v>730</v>
      </c>
      <c r="Y1037" s="31"/>
      <c r="Z1037" s="26" t="str">
        <f t="shared" si="5"/>
        <v/>
      </c>
      <c r="AA1037" s="26" t="str">
        <f t="shared" si="6"/>
        <v/>
      </c>
      <c r="AB1037" s="32" t="str">
        <f t="shared" si="7"/>
        <v/>
      </c>
      <c r="AC1037" s="32" t="str">
        <f t="shared" ref="AC1037:AG1037" si="1041">IF(J1037&lt;&gt;"", IF(AND($P1037=FALSE, $A1037=FALSE), -J1037, IF(AND($P1037=FALSE, $A1037=TRUE), 0, IF($P1037=TRUE, (J1037 / $R1037) * 100 * ($S1037 / 100)-J1037, ))), )</f>
        <v/>
      </c>
      <c r="AD1037" s="32" t="str">
        <f t="shared" si="1041"/>
        <v/>
      </c>
      <c r="AE1037" s="32" t="str">
        <f t="shared" si="1041"/>
        <v/>
      </c>
      <c r="AF1037" s="32" t="str">
        <f t="shared" si="1041"/>
        <v/>
      </c>
      <c r="AG1037" s="32" t="str">
        <f t="shared" si="1041"/>
        <v/>
      </c>
      <c r="AH1037" s="33"/>
    </row>
    <row r="1038" hidden="1" outlineLevel="3">
      <c r="A1038" s="16" t="b">
        <v>0</v>
      </c>
      <c r="B1038" s="17"/>
      <c r="C1038" s="18"/>
      <c r="D1038" s="19"/>
      <c r="E1038" s="20"/>
      <c r="F1038" s="21"/>
      <c r="G1038" s="22"/>
      <c r="H1038" s="22"/>
      <c r="I1038" s="23"/>
      <c r="J1038" s="22"/>
      <c r="K1038" s="23"/>
      <c r="L1038" s="22"/>
      <c r="M1038" s="23"/>
      <c r="N1038" s="23"/>
      <c r="O1038" s="24"/>
      <c r="P1038" s="16" t="b">
        <v>0</v>
      </c>
      <c r="Q1038" s="24"/>
      <c r="R1038" s="25"/>
      <c r="S1038" s="26"/>
      <c r="T1038" s="27"/>
      <c r="U1038" s="24"/>
      <c r="V1038" s="38" t="s">
        <v>29</v>
      </c>
      <c r="W1038" s="29" t="s">
        <v>22</v>
      </c>
      <c r="X1038" s="37" t="s">
        <v>731</v>
      </c>
      <c r="Y1038" s="31"/>
      <c r="Z1038" s="26" t="str">
        <f t="shared" si="5"/>
        <v/>
      </c>
      <c r="AA1038" s="26" t="str">
        <f t="shared" si="6"/>
        <v/>
      </c>
      <c r="AB1038" s="32" t="str">
        <f t="shared" si="7"/>
        <v/>
      </c>
      <c r="AC1038" s="32" t="str">
        <f t="shared" ref="AC1038:AG1038" si="1042">IF(J1038&lt;&gt;"", IF(AND($P1038=FALSE, $A1038=FALSE), -J1038, IF(AND($P1038=FALSE, $A1038=TRUE), 0, IF($P1038=TRUE, (J1038 / $R1038) * 100 * ($S1038 / 100)-J1038, ))), )</f>
        <v/>
      </c>
      <c r="AD1038" s="32" t="str">
        <f t="shared" si="1042"/>
        <v/>
      </c>
      <c r="AE1038" s="32" t="str">
        <f t="shared" si="1042"/>
        <v/>
      </c>
      <c r="AF1038" s="32" t="str">
        <f t="shared" si="1042"/>
        <v/>
      </c>
      <c r="AG1038" s="32" t="str">
        <f t="shared" si="1042"/>
        <v/>
      </c>
      <c r="AH1038" s="33"/>
    </row>
    <row r="1039" hidden="1" outlineLevel="3">
      <c r="A1039" s="16" t="b">
        <v>0</v>
      </c>
      <c r="B1039" s="17"/>
      <c r="C1039" s="18"/>
      <c r="D1039" s="19"/>
      <c r="E1039" s="20"/>
      <c r="F1039" s="21"/>
      <c r="G1039" s="22"/>
      <c r="H1039" s="22"/>
      <c r="I1039" s="23"/>
      <c r="J1039" s="22"/>
      <c r="K1039" s="23"/>
      <c r="L1039" s="22"/>
      <c r="M1039" s="23"/>
      <c r="N1039" s="23"/>
      <c r="O1039" s="24"/>
      <c r="P1039" s="16" t="b">
        <v>0</v>
      </c>
      <c r="Q1039" s="24"/>
      <c r="R1039" s="25"/>
      <c r="S1039" s="26"/>
      <c r="T1039" s="27"/>
      <c r="U1039" s="24"/>
      <c r="V1039" s="38" t="s">
        <v>29</v>
      </c>
      <c r="W1039" s="29" t="s">
        <v>22</v>
      </c>
      <c r="X1039" s="37" t="s">
        <v>420</v>
      </c>
      <c r="Y1039" s="31"/>
      <c r="Z1039" s="26" t="str">
        <f t="shared" si="5"/>
        <v/>
      </c>
      <c r="AA1039" s="26" t="str">
        <f t="shared" si="6"/>
        <v/>
      </c>
      <c r="AB1039" s="32" t="str">
        <f t="shared" si="7"/>
        <v/>
      </c>
      <c r="AC1039" s="32" t="str">
        <f t="shared" ref="AC1039:AG1039" si="1043">IF(J1039&lt;&gt;"", IF(AND($P1039=FALSE, $A1039=FALSE), -J1039, IF(AND($P1039=FALSE, $A1039=TRUE), 0, IF($P1039=TRUE, (J1039 / $R1039) * 100 * ($S1039 / 100)-J1039, ))), )</f>
        <v/>
      </c>
      <c r="AD1039" s="32" t="str">
        <f t="shared" si="1043"/>
        <v/>
      </c>
      <c r="AE1039" s="32" t="str">
        <f t="shared" si="1043"/>
        <v/>
      </c>
      <c r="AF1039" s="32" t="str">
        <f t="shared" si="1043"/>
        <v/>
      </c>
      <c r="AG1039" s="32" t="str">
        <f t="shared" si="1043"/>
        <v/>
      </c>
      <c r="AH1039" s="33"/>
    </row>
    <row r="1040" hidden="1" outlineLevel="2" collapsed="1">
      <c r="A1040" s="16" t="b">
        <v>0</v>
      </c>
      <c r="B1040" s="17"/>
      <c r="C1040" s="18"/>
      <c r="D1040" s="42">
        <v>45267.0</v>
      </c>
      <c r="E1040" s="43" t="s">
        <v>24</v>
      </c>
      <c r="F1040" s="53" t="s">
        <v>630</v>
      </c>
      <c r="G1040" s="45">
        <v>1.25</v>
      </c>
      <c r="H1040" s="45">
        <v>0.75</v>
      </c>
      <c r="I1040" s="45">
        <v>2.0</v>
      </c>
      <c r="J1040" s="46"/>
      <c r="K1040" s="46"/>
      <c r="L1040" s="45"/>
      <c r="M1040" s="46"/>
      <c r="N1040" s="46"/>
      <c r="O1040" s="47"/>
      <c r="P1040" s="16" t="b">
        <v>0</v>
      </c>
      <c r="Q1040" s="24"/>
      <c r="R1040" s="48">
        <v>4.0</v>
      </c>
      <c r="S1040" s="45">
        <v>9.2</v>
      </c>
      <c r="T1040" s="49" t="s">
        <v>419</v>
      </c>
      <c r="U1040" s="47"/>
      <c r="V1040" s="28"/>
      <c r="W1040" s="29"/>
      <c r="X1040" s="30"/>
      <c r="Y1040" s="31"/>
      <c r="Z1040" s="26">
        <f t="shared" si="5"/>
        <v>-1.25</v>
      </c>
      <c r="AA1040" s="26">
        <f t="shared" si="6"/>
        <v>-2</v>
      </c>
      <c r="AB1040" s="32">
        <f t="shared" si="7"/>
        <v>-0.75</v>
      </c>
      <c r="AC1040" s="32" t="str">
        <f t="shared" ref="AC1040:AG1040" si="1044">IF(J1040&lt;&gt;"", IF(AND($P1040=FALSE, $A1040=FALSE), -J1040, IF(AND($P1040=FALSE, $A1040=TRUE), 0, IF($P1040=TRUE, (J1040 / $R1040) * 100 * ($S1040 / 100)-J1040, ))), )</f>
        <v/>
      </c>
      <c r="AD1040" s="32" t="str">
        <f t="shared" si="1044"/>
        <v/>
      </c>
      <c r="AE1040" s="32" t="str">
        <f t="shared" si="1044"/>
        <v/>
      </c>
      <c r="AF1040" s="32" t="str">
        <f t="shared" si="1044"/>
        <v/>
      </c>
      <c r="AG1040" s="32" t="str">
        <f t="shared" si="1044"/>
        <v/>
      </c>
      <c r="AH1040" s="33"/>
    </row>
    <row r="1041" hidden="1" outlineLevel="3">
      <c r="A1041" s="16" t="b">
        <v>0</v>
      </c>
      <c r="B1041" s="17"/>
      <c r="C1041" s="18"/>
      <c r="D1041" s="19"/>
      <c r="E1041" s="20"/>
      <c r="F1041" s="21"/>
      <c r="G1041" s="22"/>
      <c r="H1041" s="22"/>
      <c r="I1041" s="23"/>
      <c r="J1041" s="22"/>
      <c r="K1041" s="23"/>
      <c r="L1041" s="22"/>
      <c r="M1041" s="23"/>
      <c r="N1041" s="23"/>
      <c r="O1041" s="24"/>
      <c r="P1041" s="16" t="b">
        <v>0</v>
      </c>
      <c r="Q1041" s="24"/>
      <c r="R1041" s="25"/>
      <c r="S1041" s="26"/>
      <c r="T1041" s="27"/>
      <c r="U1041" s="24"/>
      <c r="V1041" s="28" t="s">
        <v>32</v>
      </c>
      <c r="W1041" s="29" t="s">
        <v>22</v>
      </c>
      <c r="X1041" s="37" t="s">
        <v>732</v>
      </c>
      <c r="Y1041" s="31"/>
      <c r="Z1041" s="26" t="str">
        <f t="shared" si="5"/>
        <v/>
      </c>
      <c r="AA1041" s="26" t="str">
        <f t="shared" si="6"/>
        <v/>
      </c>
      <c r="AB1041" s="32" t="str">
        <f t="shared" si="7"/>
        <v/>
      </c>
      <c r="AC1041" s="32" t="str">
        <f t="shared" ref="AC1041:AG1041" si="1045">IF(J1041&lt;&gt;"", IF(AND($P1041=FALSE, $A1041=FALSE), -J1041, IF(AND($P1041=FALSE, $A1041=TRUE), 0, IF($P1041=TRUE, (J1041 / $R1041) * 100 * ($S1041 / 100)-J1041, ))), )</f>
        <v/>
      </c>
      <c r="AD1041" s="32" t="str">
        <f t="shared" si="1045"/>
        <v/>
      </c>
      <c r="AE1041" s="32" t="str">
        <f t="shared" si="1045"/>
        <v/>
      </c>
      <c r="AF1041" s="32" t="str">
        <f t="shared" si="1045"/>
        <v/>
      </c>
      <c r="AG1041" s="32" t="str">
        <f t="shared" si="1045"/>
        <v/>
      </c>
      <c r="AH1041" s="33"/>
    </row>
    <row r="1042" hidden="1" outlineLevel="2" collapsed="1">
      <c r="A1042" s="16" t="b">
        <v>0</v>
      </c>
      <c r="B1042" s="17"/>
      <c r="C1042" s="18"/>
      <c r="D1042" s="42">
        <v>45267.0</v>
      </c>
      <c r="E1042" s="43" t="s">
        <v>24</v>
      </c>
      <c r="F1042" s="53" t="s">
        <v>630</v>
      </c>
      <c r="G1042" s="45">
        <v>2.5</v>
      </c>
      <c r="H1042" s="48">
        <v>1.5</v>
      </c>
      <c r="I1042" s="45">
        <v>3.0</v>
      </c>
      <c r="J1042" s="79"/>
      <c r="K1042" s="79"/>
      <c r="L1042" s="45"/>
      <c r="M1042" s="46"/>
      <c r="N1042" s="46"/>
      <c r="O1042" s="47"/>
      <c r="P1042" s="16" t="b">
        <v>0</v>
      </c>
      <c r="Q1042" s="24"/>
      <c r="R1042" s="48">
        <v>7.0</v>
      </c>
      <c r="S1042" s="45">
        <v>16.81</v>
      </c>
      <c r="T1042" s="49" t="s">
        <v>392</v>
      </c>
      <c r="U1042" s="47"/>
      <c r="V1042" s="28"/>
      <c r="W1042" s="29"/>
      <c r="X1042" s="30"/>
      <c r="Y1042" s="31"/>
      <c r="Z1042" s="26">
        <f t="shared" si="5"/>
        <v>-2.5</v>
      </c>
      <c r="AA1042" s="26">
        <f t="shared" si="6"/>
        <v>-3</v>
      </c>
      <c r="AB1042" s="32">
        <f t="shared" si="7"/>
        <v>-1.5</v>
      </c>
      <c r="AC1042" s="32" t="str">
        <f t="shared" ref="AC1042:AG1042" si="1046">IF(J1042&lt;&gt;"", IF(AND($P1042=FALSE, $A1042=FALSE), -J1042, IF(AND($P1042=FALSE, $A1042=TRUE), 0, IF($P1042=TRUE, (J1042 / $R1042) * 100 * ($S1042 / 100)-J1042, ))), )</f>
        <v/>
      </c>
      <c r="AD1042" s="32" t="str">
        <f t="shared" si="1046"/>
        <v/>
      </c>
      <c r="AE1042" s="32" t="str">
        <f t="shared" si="1046"/>
        <v/>
      </c>
      <c r="AF1042" s="32" t="str">
        <f t="shared" si="1046"/>
        <v/>
      </c>
      <c r="AG1042" s="32" t="str">
        <f t="shared" si="1046"/>
        <v/>
      </c>
      <c r="AH1042" s="33"/>
    </row>
    <row r="1043" hidden="1" outlineLevel="3">
      <c r="A1043" s="16" t="b">
        <v>0</v>
      </c>
      <c r="B1043" s="17"/>
      <c r="C1043" s="18"/>
      <c r="D1043" s="19"/>
      <c r="E1043" s="20"/>
      <c r="F1043" s="21"/>
      <c r="G1043" s="22"/>
      <c r="H1043" s="22"/>
      <c r="I1043" s="23"/>
      <c r="J1043" s="22"/>
      <c r="K1043" s="23"/>
      <c r="L1043" s="22"/>
      <c r="M1043" s="23"/>
      <c r="N1043" s="23"/>
      <c r="O1043" s="24"/>
      <c r="P1043" s="16" t="b">
        <v>0</v>
      </c>
      <c r="Q1043" s="24"/>
      <c r="R1043" s="25"/>
      <c r="S1043" s="26"/>
      <c r="T1043" s="27"/>
      <c r="U1043" s="24"/>
      <c r="V1043" s="38" t="s">
        <v>29</v>
      </c>
      <c r="W1043" s="29" t="s">
        <v>22</v>
      </c>
      <c r="X1043" s="37" t="s">
        <v>459</v>
      </c>
      <c r="Y1043" s="31"/>
      <c r="Z1043" s="26" t="str">
        <f t="shared" si="5"/>
        <v/>
      </c>
      <c r="AA1043" s="26" t="str">
        <f t="shared" si="6"/>
        <v/>
      </c>
      <c r="AB1043" s="32" t="str">
        <f t="shared" si="7"/>
        <v/>
      </c>
      <c r="AC1043" s="32" t="str">
        <f t="shared" ref="AC1043:AG1043" si="1047">IF(J1043&lt;&gt;"", IF(AND($P1043=FALSE, $A1043=FALSE), -J1043, IF(AND($P1043=FALSE, $A1043=TRUE), 0, IF($P1043=TRUE, (J1043 / $R1043) * 100 * ($S1043 / 100)-J1043, ))), )</f>
        <v/>
      </c>
      <c r="AD1043" s="32" t="str">
        <f t="shared" si="1047"/>
        <v/>
      </c>
      <c r="AE1043" s="32" t="str">
        <f t="shared" si="1047"/>
        <v/>
      </c>
      <c r="AF1043" s="32" t="str">
        <f t="shared" si="1047"/>
        <v/>
      </c>
      <c r="AG1043" s="32" t="str">
        <f t="shared" si="1047"/>
        <v/>
      </c>
      <c r="AH1043" s="33"/>
    </row>
    <row r="1044" hidden="1" outlineLevel="3">
      <c r="A1044" s="16" t="b">
        <v>0</v>
      </c>
      <c r="B1044" s="17"/>
      <c r="C1044" s="18"/>
      <c r="D1044" s="19"/>
      <c r="E1044" s="20"/>
      <c r="F1044" s="21"/>
      <c r="G1044" s="22"/>
      <c r="H1044" s="22"/>
      <c r="I1044" s="23"/>
      <c r="J1044" s="22"/>
      <c r="K1044" s="23"/>
      <c r="L1044" s="22"/>
      <c r="M1044" s="23"/>
      <c r="N1044" s="23"/>
      <c r="O1044" s="24"/>
      <c r="P1044" s="16" t="b">
        <v>0</v>
      </c>
      <c r="Q1044" s="24"/>
      <c r="R1044" s="25"/>
      <c r="S1044" s="26"/>
      <c r="T1044" s="27"/>
      <c r="U1044" s="24"/>
      <c r="V1044" s="28" t="s">
        <v>32</v>
      </c>
      <c r="W1044" s="29" t="s">
        <v>22</v>
      </c>
      <c r="X1044" s="37" t="s">
        <v>733</v>
      </c>
      <c r="Y1044" s="31"/>
      <c r="Z1044" s="26" t="str">
        <f t="shared" si="5"/>
        <v/>
      </c>
      <c r="AA1044" s="26" t="str">
        <f t="shared" si="6"/>
        <v/>
      </c>
      <c r="AB1044" s="32" t="str">
        <f t="shared" si="7"/>
        <v/>
      </c>
      <c r="AC1044" s="32" t="str">
        <f t="shared" ref="AC1044:AG1044" si="1048">IF(J1044&lt;&gt;"", IF(AND($P1044=FALSE, $A1044=FALSE), -J1044, IF(AND($P1044=FALSE, $A1044=TRUE), 0, IF($P1044=TRUE, (J1044 / $R1044) * 100 * ($S1044 / 100)-J1044, ))), )</f>
        <v/>
      </c>
      <c r="AD1044" s="32" t="str">
        <f t="shared" si="1048"/>
        <v/>
      </c>
      <c r="AE1044" s="32" t="str">
        <f t="shared" si="1048"/>
        <v/>
      </c>
      <c r="AF1044" s="32" t="str">
        <f t="shared" si="1048"/>
        <v/>
      </c>
      <c r="AG1044" s="32" t="str">
        <f t="shared" si="1048"/>
        <v/>
      </c>
      <c r="AH1044" s="33"/>
    </row>
    <row r="1045" hidden="1" outlineLevel="3">
      <c r="A1045" s="16" t="b">
        <v>0</v>
      </c>
      <c r="B1045" s="17"/>
      <c r="C1045" s="18"/>
      <c r="D1045" s="19"/>
      <c r="E1045" s="20"/>
      <c r="F1045" s="21"/>
      <c r="G1045" s="22"/>
      <c r="H1045" s="22"/>
      <c r="I1045" s="23"/>
      <c r="J1045" s="22"/>
      <c r="K1045" s="23"/>
      <c r="L1045" s="22"/>
      <c r="M1045" s="23"/>
      <c r="N1045" s="23"/>
      <c r="O1045" s="24"/>
      <c r="P1045" s="16" t="b">
        <v>0</v>
      </c>
      <c r="Q1045" s="24"/>
      <c r="R1045" s="25"/>
      <c r="S1045" s="26"/>
      <c r="T1045" s="27"/>
      <c r="U1045" s="24"/>
      <c r="V1045" s="38" t="s">
        <v>29</v>
      </c>
      <c r="W1045" s="29" t="s">
        <v>22</v>
      </c>
      <c r="X1045" s="37" t="s">
        <v>734</v>
      </c>
      <c r="Y1045" s="31"/>
      <c r="Z1045" s="26" t="str">
        <f t="shared" si="5"/>
        <v/>
      </c>
      <c r="AA1045" s="26" t="str">
        <f t="shared" si="6"/>
        <v/>
      </c>
      <c r="AB1045" s="32" t="str">
        <f t="shared" si="7"/>
        <v/>
      </c>
      <c r="AC1045" s="32" t="str">
        <f t="shared" ref="AC1045:AG1045" si="1049">IF(J1045&lt;&gt;"", IF(AND($P1045=FALSE, $A1045=FALSE), -J1045, IF(AND($P1045=FALSE, $A1045=TRUE), 0, IF($P1045=TRUE, (J1045 / $R1045) * 100 * ($S1045 / 100)-J1045, ))), )</f>
        <v/>
      </c>
      <c r="AD1045" s="32" t="str">
        <f t="shared" si="1049"/>
        <v/>
      </c>
      <c r="AE1045" s="32" t="str">
        <f t="shared" si="1049"/>
        <v/>
      </c>
      <c r="AF1045" s="32" t="str">
        <f t="shared" si="1049"/>
        <v/>
      </c>
      <c r="AG1045" s="32" t="str">
        <f t="shared" si="1049"/>
        <v/>
      </c>
      <c r="AH1045" s="33"/>
    </row>
    <row r="1046" hidden="1" outlineLevel="3">
      <c r="A1046" s="16" t="b">
        <v>0</v>
      </c>
      <c r="B1046" s="17"/>
      <c r="C1046" s="18"/>
      <c r="D1046" s="19"/>
      <c r="E1046" s="20"/>
      <c r="F1046" s="21"/>
      <c r="G1046" s="22"/>
      <c r="H1046" s="22"/>
      <c r="I1046" s="23"/>
      <c r="J1046" s="22"/>
      <c r="K1046" s="23"/>
      <c r="L1046" s="22"/>
      <c r="M1046" s="23"/>
      <c r="N1046" s="23"/>
      <c r="O1046" s="24"/>
      <c r="P1046" s="16" t="b">
        <v>0</v>
      </c>
      <c r="Q1046" s="24"/>
      <c r="R1046" s="25"/>
      <c r="S1046" s="26"/>
      <c r="T1046" s="27"/>
      <c r="U1046" s="24"/>
      <c r="V1046" s="38" t="s">
        <v>29</v>
      </c>
      <c r="W1046" s="29" t="s">
        <v>22</v>
      </c>
      <c r="X1046" s="37" t="s">
        <v>735</v>
      </c>
      <c r="Y1046" s="31"/>
      <c r="Z1046" s="26" t="str">
        <f t="shared" si="5"/>
        <v/>
      </c>
      <c r="AA1046" s="26" t="str">
        <f t="shared" si="6"/>
        <v/>
      </c>
      <c r="AB1046" s="32" t="str">
        <f t="shared" si="7"/>
        <v/>
      </c>
      <c r="AC1046" s="32" t="str">
        <f t="shared" ref="AC1046:AG1046" si="1050">IF(J1046&lt;&gt;"", IF(AND($P1046=FALSE, $A1046=FALSE), -J1046, IF(AND($P1046=FALSE, $A1046=TRUE), 0, IF($P1046=TRUE, (J1046 / $R1046) * 100 * ($S1046 / 100)-J1046, ))), )</f>
        <v/>
      </c>
      <c r="AD1046" s="32" t="str">
        <f t="shared" si="1050"/>
        <v/>
      </c>
      <c r="AE1046" s="32" t="str">
        <f t="shared" si="1050"/>
        <v/>
      </c>
      <c r="AF1046" s="32" t="str">
        <f t="shared" si="1050"/>
        <v/>
      </c>
      <c r="AG1046" s="32" t="str">
        <f t="shared" si="1050"/>
        <v/>
      </c>
      <c r="AH1046" s="33"/>
    </row>
    <row r="1047" hidden="1" outlineLevel="2" collapsed="1">
      <c r="A1047" s="16" t="b">
        <v>0</v>
      </c>
      <c r="B1047" s="17"/>
      <c r="C1047" s="18"/>
      <c r="D1047" s="42">
        <v>45267.0</v>
      </c>
      <c r="E1047" s="43" t="s">
        <v>24</v>
      </c>
      <c r="F1047" s="53" t="s">
        <v>724</v>
      </c>
      <c r="G1047" s="45">
        <v>1.0</v>
      </c>
      <c r="H1047" s="45"/>
      <c r="I1047" s="45">
        <v>2.0</v>
      </c>
      <c r="J1047" s="46"/>
      <c r="K1047" s="46"/>
      <c r="L1047" s="45"/>
      <c r="M1047" s="46"/>
      <c r="N1047" s="46"/>
      <c r="O1047" s="47"/>
      <c r="P1047" s="16" t="b">
        <v>0</v>
      </c>
      <c r="Q1047" s="24"/>
      <c r="R1047" s="48">
        <v>3.0</v>
      </c>
      <c r="S1047" s="45">
        <v>57.0</v>
      </c>
      <c r="T1047" s="49" t="s">
        <v>31</v>
      </c>
      <c r="U1047" s="47"/>
      <c r="V1047" s="28"/>
      <c r="W1047" s="29"/>
      <c r="X1047" s="30"/>
      <c r="Y1047" s="31"/>
      <c r="Z1047" s="26">
        <f t="shared" si="5"/>
        <v>-1</v>
      </c>
      <c r="AA1047" s="26">
        <f t="shared" si="6"/>
        <v>-2</v>
      </c>
      <c r="AB1047" s="32" t="str">
        <f t="shared" si="7"/>
        <v/>
      </c>
      <c r="AC1047" s="32" t="str">
        <f t="shared" ref="AC1047:AG1047" si="1051">IF(J1047&lt;&gt;"", IF(AND($P1047=FALSE, $A1047=FALSE), -J1047, IF(AND($P1047=FALSE, $A1047=TRUE), 0, IF($P1047=TRUE, (J1047 / $R1047) * 100 * ($S1047 / 100)-J1047, ))), )</f>
        <v/>
      </c>
      <c r="AD1047" s="32" t="str">
        <f t="shared" si="1051"/>
        <v/>
      </c>
      <c r="AE1047" s="32" t="str">
        <f t="shared" si="1051"/>
        <v/>
      </c>
      <c r="AF1047" s="32" t="str">
        <f t="shared" si="1051"/>
        <v/>
      </c>
      <c r="AG1047" s="32" t="str">
        <f t="shared" si="1051"/>
        <v/>
      </c>
      <c r="AH1047" s="33"/>
    </row>
    <row r="1048" hidden="1" outlineLevel="3">
      <c r="A1048" s="16" t="b">
        <v>0</v>
      </c>
      <c r="B1048" s="17"/>
      <c r="C1048" s="18"/>
      <c r="D1048" s="19"/>
      <c r="E1048" s="20"/>
      <c r="F1048" s="21"/>
      <c r="G1048" s="22"/>
      <c r="H1048" s="22"/>
      <c r="I1048" s="23"/>
      <c r="J1048" s="22"/>
      <c r="K1048" s="23"/>
      <c r="L1048" s="22"/>
      <c r="M1048" s="23"/>
      <c r="N1048" s="23"/>
      <c r="O1048" s="24"/>
      <c r="P1048" s="16" t="b">
        <v>0</v>
      </c>
      <c r="Q1048" s="24"/>
      <c r="R1048" s="25"/>
      <c r="S1048" s="26"/>
      <c r="T1048" s="27"/>
      <c r="U1048" s="24"/>
      <c r="V1048" s="28" t="s">
        <v>32</v>
      </c>
      <c r="W1048" s="29" t="s">
        <v>22</v>
      </c>
      <c r="X1048" s="37" t="s">
        <v>736</v>
      </c>
      <c r="Y1048" s="31"/>
      <c r="Z1048" s="26" t="str">
        <f t="shared" si="5"/>
        <v/>
      </c>
      <c r="AA1048" s="26" t="str">
        <f t="shared" si="6"/>
        <v/>
      </c>
      <c r="AB1048" s="32" t="str">
        <f t="shared" si="7"/>
        <v/>
      </c>
      <c r="AC1048" s="32" t="str">
        <f t="shared" ref="AC1048:AG1048" si="1052">IF(J1048&lt;&gt;"", IF(AND($P1048=FALSE, $A1048=FALSE), -J1048, IF(AND($P1048=FALSE, $A1048=TRUE), 0, IF($P1048=TRUE, (J1048 / $R1048) * 100 * ($S1048 / 100)-J1048, ))), )</f>
        <v/>
      </c>
      <c r="AD1048" s="32" t="str">
        <f t="shared" si="1052"/>
        <v/>
      </c>
      <c r="AE1048" s="32" t="str">
        <f t="shared" si="1052"/>
        <v/>
      </c>
      <c r="AF1048" s="32" t="str">
        <f t="shared" si="1052"/>
        <v/>
      </c>
      <c r="AG1048" s="32" t="str">
        <f t="shared" si="1052"/>
        <v/>
      </c>
      <c r="AH1048" s="33"/>
    </row>
    <row r="1049" hidden="1" outlineLevel="2">
      <c r="A1049" s="16" t="b">
        <v>0</v>
      </c>
      <c r="B1049" s="17"/>
      <c r="C1049" s="18"/>
      <c r="D1049" s="42">
        <v>45267.0</v>
      </c>
      <c r="E1049" s="43" t="s">
        <v>24</v>
      </c>
      <c r="F1049" s="53" t="s">
        <v>724</v>
      </c>
      <c r="G1049" s="45">
        <v>2.0</v>
      </c>
      <c r="H1049" s="45"/>
      <c r="I1049" s="45">
        <v>4.0</v>
      </c>
      <c r="J1049" s="46"/>
      <c r="K1049" s="46"/>
      <c r="L1049" s="45"/>
      <c r="M1049" s="46"/>
      <c r="N1049" s="46"/>
      <c r="O1049" s="47"/>
      <c r="P1049" s="16" t="b">
        <v>0</v>
      </c>
      <c r="Q1049" s="24"/>
      <c r="R1049" s="48">
        <v>6.0</v>
      </c>
      <c r="S1049" s="45">
        <v>13.08</v>
      </c>
      <c r="T1049" s="49" t="s">
        <v>210</v>
      </c>
      <c r="U1049" s="47"/>
      <c r="V1049" s="28"/>
      <c r="W1049" s="29"/>
      <c r="X1049" s="30"/>
      <c r="Y1049" s="31"/>
      <c r="Z1049" s="26">
        <f t="shared" si="5"/>
        <v>-2</v>
      </c>
      <c r="AA1049" s="26">
        <f t="shared" si="6"/>
        <v>-4</v>
      </c>
      <c r="AB1049" s="32" t="str">
        <f t="shared" si="7"/>
        <v/>
      </c>
      <c r="AC1049" s="32" t="str">
        <f t="shared" ref="AC1049:AG1049" si="1053">IF(J1049&lt;&gt;"", IF(AND($P1049=FALSE, $A1049=FALSE), -J1049, IF(AND($P1049=FALSE, $A1049=TRUE), 0, IF($P1049=TRUE, (J1049 / $R1049) * 100 * ($S1049 / 100)-J1049, ))), )</f>
        <v/>
      </c>
      <c r="AD1049" s="32" t="str">
        <f t="shared" si="1053"/>
        <v/>
      </c>
      <c r="AE1049" s="32" t="str">
        <f t="shared" si="1053"/>
        <v/>
      </c>
      <c r="AF1049" s="32" t="str">
        <f t="shared" si="1053"/>
        <v/>
      </c>
      <c r="AG1049" s="32" t="str">
        <f t="shared" si="1053"/>
        <v/>
      </c>
      <c r="AH1049" s="33"/>
    </row>
    <row r="1050" hidden="1" outlineLevel="3">
      <c r="A1050" s="16" t="b">
        <v>0</v>
      </c>
      <c r="B1050" s="17"/>
      <c r="C1050" s="18"/>
      <c r="D1050" s="19"/>
      <c r="E1050" s="20"/>
      <c r="F1050" s="21"/>
      <c r="G1050" s="22"/>
      <c r="H1050" s="22"/>
      <c r="I1050" s="23"/>
      <c r="J1050" s="22"/>
      <c r="K1050" s="23"/>
      <c r="L1050" s="22"/>
      <c r="M1050" s="23"/>
      <c r="N1050" s="23"/>
      <c r="O1050" s="24"/>
      <c r="P1050" s="16" t="b">
        <v>0</v>
      </c>
      <c r="Q1050" s="24"/>
      <c r="R1050" s="25"/>
      <c r="S1050" s="26"/>
      <c r="T1050" s="27"/>
      <c r="U1050" s="24"/>
      <c r="V1050" s="28" t="s">
        <v>32</v>
      </c>
      <c r="W1050" s="29" t="s">
        <v>22</v>
      </c>
      <c r="X1050" s="37" t="s">
        <v>737</v>
      </c>
      <c r="Y1050" s="31"/>
      <c r="Z1050" s="26" t="str">
        <f t="shared" si="5"/>
        <v/>
      </c>
      <c r="AA1050" s="26" t="str">
        <f t="shared" si="6"/>
        <v/>
      </c>
      <c r="AB1050" s="32" t="str">
        <f t="shared" si="7"/>
        <v/>
      </c>
      <c r="AC1050" s="32" t="str">
        <f t="shared" ref="AC1050:AG1050" si="1054">IF(J1050&lt;&gt;"", IF(AND($P1050=FALSE, $A1050=FALSE), -J1050, IF(AND($P1050=FALSE, $A1050=TRUE), 0, IF($P1050=TRUE, (J1050 / $R1050) * 100 * ($S1050 / 100)-J1050, ))), )</f>
        <v/>
      </c>
      <c r="AD1050" s="32" t="str">
        <f t="shared" si="1054"/>
        <v/>
      </c>
      <c r="AE1050" s="32" t="str">
        <f t="shared" si="1054"/>
        <v/>
      </c>
      <c r="AF1050" s="32" t="str">
        <f t="shared" si="1054"/>
        <v/>
      </c>
      <c r="AG1050" s="32" t="str">
        <f t="shared" si="1054"/>
        <v/>
      </c>
      <c r="AH1050" s="33"/>
    </row>
    <row r="1051" hidden="1" outlineLevel="1" collapsed="1">
      <c r="A1051" s="16" t="b">
        <v>0</v>
      </c>
      <c r="B1051" s="17"/>
      <c r="C1051" s="18"/>
      <c r="D1051" s="42">
        <v>45268.0</v>
      </c>
      <c r="E1051" s="80" t="s">
        <v>60</v>
      </c>
      <c r="F1051" s="53" t="s">
        <v>630</v>
      </c>
      <c r="G1051" s="45">
        <v>2.5</v>
      </c>
      <c r="H1051" s="48">
        <v>1.5</v>
      </c>
      <c r="I1051" s="45">
        <v>3.0</v>
      </c>
      <c r="J1051" s="79"/>
      <c r="K1051" s="79"/>
      <c r="L1051" s="45"/>
      <c r="M1051" s="46"/>
      <c r="N1051" s="46"/>
      <c r="O1051" s="47"/>
      <c r="P1051" s="16" t="b">
        <v>0</v>
      </c>
      <c r="Q1051" s="24"/>
      <c r="R1051" s="48">
        <v>7.0</v>
      </c>
      <c r="S1051" s="45">
        <v>13.9</v>
      </c>
      <c r="T1051" s="49">
        <v>-101.0</v>
      </c>
      <c r="U1051" s="47"/>
      <c r="V1051" s="28"/>
      <c r="W1051" s="29"/>
      <c r="X1051" s="30"/>
      <c r="Y1051" s="31"/>
      <c r="Z1051" s="26">
        <f t="shared" si="5"/>
        <v>-2.5</v>
      </c>
      <c r="AA1051" s="26">
        <f t="shared" si="6"/>
        <v>-3</v>
      </c>
      <c r="AB1051" s="32">
        <f t="shared" si="7"/>
        <v>-1.5</v>
      </c>
      <c r="AC1051" s="32" t="str">
        <f t="shared" ref="AC1051:AG1051" si="1055">IF(J1051&lt;&gt;"", IF(AND($P1051=FALSE, $A1051=FALSE), -J1051, IF(AND($P1051=FALSE, $A1051=TRUE), 0, IF($P1051=TRUE, (J1051 / $R1051) * 100 * ($S1051 / 100)-J1051, ))), )</f>
        <v/>
      </c>
      <c r="AD1051" s="32" t="str">
        <f t="shared" si="1055"/>
        <v/>
      </c>
      <c r="AE1051" s="32" t="str">
        <f t="shared" si="1055"/>
        <v/>
      </c>
      <c r="AF1051" s="32" t="str">
        <f t="shared" si="1055"/>
        <v/>
      </c>
      <c r="AG1051" s="32" t="str">
        <f t="shared" si="1055"/>
        <v/>
      </c>
      <c r="AH1051" s="33"/>
    </row>
    <row r="1052" hidden="1" outlineLevel="3">
      <c r="A1052" s="16" t="b">
        <v>0</v>
      </c>
      <c r="B1052" s="17"/>
      <c r="C1052" s="18"/>
      <c r="D1052" s="19"/>
      <c r="E1052" s="20"/>
      <c r="F1052" s="21"/>
      <c r="G1052" s="22"/>
      <c r="H1052" s="22"/>
      <c r="I1052" s="23"/>
      <c r="J1052" s="22"/>
      <c r="K1052" s="23"/>
      <c r="L1052" s="22"/>
      <c r="M1052" s="23"/>
      <c r="N1052" s="23"/>
      <c r="O1052" s="24"/>
      <c r="P1052" s="16" t="b">
        <v>0</v>
      </c>
      <c r="Q1052" s="24"/>
      <c r="R1052" s="25"/>
      <c r="S1052" s="26"/>
      <c r="T1052" s="27"/>
      <c r="U1052" s="24"/>
      <c r="V1052" s="28" t="s">
        <v>32</v>
      </c>
      <c r="W1052" s="29" t="s">
        <v>22</v>
      </c>
      <c r="X1052" s="37" t="s">
        <v>239</v>
      </c>
      <c r="Y1052" s="31"/>
      <c r="Z1052" s="26" t="str">
        <f t="shared" si="5"/>
        <v/>
      </c>
      <c r="AA1052" s="26" t="str">
        <f t="shared" si="6"/>
        <v/>
      </c>
      <c r="AB1052" s="32" t="str">
        <f t="shared" si="7"/>
        <v/>
      </c>
      <c r="AC1052" s="32" t="str">
        <f t="shared" ref="AC1052:AG1052" si="1056">IF(J1052&lt;&gt;"", IF(AND($P1052=FALSE, $A1052=FALSE), -J1052, IF(AND($P1052=FALSE, $A1052=TRUE), 0, IF($P1052=TRUE, (J1052 / $R1052) * 100 * ($S1052 / 100)-J1052, ))), )</f>
        <v/>
      </c>
      <c r="AD1052" s="32" t="str">
        <f t="shared" si="1056"/>
        <v/>
      </c>
      <c r="AE1052" s="32" t="str">
        <f t="shared" si="1056"/>
        <v/>
      </c>
      <c r="AF1052" s="32" t="str">
        <f t="shared" si="1056"/>
        <v/>
      </c>
      <c r="AG1052" s="32" t="str">
        <f t="shared" si="1056"/>
        <v/>
      </c>
      <c r="AH1052" s="33"/>
    </row>
    <row r="1053" hidden="1" outlineLevel="3">
      <c r="A1053" s="16" t="b">
        <v>0</v>
      </c>
      <c r="B1053" s="17"/>
      <c r="C1053" s="18"/>
      <c r="D1053" s="19"/>
      <c r="E1053" s="20"/>
      <c r="F1053" s="21"/>
      <c r="G1053" s="22"/>
      <c r="H1053" s="22"/>
      <c r="I1053" s="23"/>
      <c r="J1053" s="22"/>
      <c r="K1053" s="23"/>
      <c r="L1053" s="22"/>
      <c r="M1053" s="23"/>
      <c r="N1053" s="23"/>
      <c r="O1053" s="24"/>
      <c r="P1053" s="16" t="b">
        <v>0</v>
      </c>
      <c r="Q1053" s="24"/>
      <c r="R1053" s="25"/>
      <c r="S1053" s="26"/>
      <c r="T1053" s="27"/>
      <c r="U1053" s="24"/>
      <c r="V1053" s="38" t="s">
        <v>29</v>
      </c>
      <c r="W1053" s="29" t="s">
        <v>22</v>
      </c>
      <c r="X1053" s="37" t="s">
        <v>216</v>
      </c>
      <c r="Y1053" s="31"/>
      <c r="Z1053" s="26" t="str">
        <f t="shared" si="5"/>
        <v/>
      </c>
      <c r="AA1053" s="26" t="str">
        <f t="shared" si="6"/>
        <v/>
      </c>
      <c r="AB1053" s="32" t="str">
        <f t="shared" si="7"/>
        <v/>
      </c>
      <c r="AC1053" s="32" t="str">
        <f t="shared" ref="AC1053:AG1053" si="1057">IF(J1053&lt;&gt;"", IF(AND($P1053=FALSE, $A1053=FALSE), -J1053, IF(AND($P1053=FALSE, $A1053=TRUE), 0, IF($P1053=TRUE, (J1053 / $R1053) * 100 * ($S1053 / 100)-J1053, ))), )</f>
        <v/>
      </c>
      <c r="AD1053" s="32" t="str">
        <f t="shared" si="1057"/>
        <v/>
      </c>
      <c r="AE1053" s="32" t="str">
        <f t="shared" si="1057"/>
        <v/>
      </c>
      <c r="AF1053" s="32" t="str">
        <f t="shared" si="1057"/>
        <v/>
      </c>
      <c r="AG1053" s="32" t="str">
        <f t="shared" si="1057"/>
        <v/>
      </c>
      <c r="AH1053" s="33"/>
    </row>
    <row r="1054" hidden="1" outlineLevel="3">
      <c r="A1054" s="16" t="b">
        <v>0</v>
      </c>
      <c r="B1054" s="17"/>
      <c r="C1054" s="18"/>
      <c r="D1054" s="19"/>
      <c r="E1054" s="20"/>
      <c r="F1054" s="21"/>
      <c r="G1054" s="22"/>
      <c r="H1054" s="22"/>
      <c r="I1054" s="23"/>
      <c r="J1054" s="22"/>
      <c r="K1054" s="23"/>
      <c r="L1054" s="22"/>
      <c r="M1054" s="23"/>
      <c r="N1054" s="23"/>
      <c r="O1054" s="24"/>
      <c r="P1054" s="16" t="b">
        <v>0</v>
      </c>
      <c r="Q1054" s="24"/>
      <c r="R1054" s="25"/>
      <c r="S1054" s="26"/>
      <c r="T1054" s="27"/>
      <c r="U1054" s="24"/>
      <c r="V1054" s="38" t="s">
        <v>29</v>
      </c>
      <c r="W1054" s="29" t="s">
        <v>22</v>
      </c>
      <c r="X1054" s="37" t="s">
        <v>430</v>
      </c>
      <c r="Y1054" s="31"/>
      <c r="Z1054" s="26" t="str">
        <f t="shared" si="5"/>
        <v/>
      </c>
      <c r="AA1054" s="26" t="str">
        <f t="shared" si="6"/>
        <v/>
      </c>
      <c r="AB1054" s="32" t="str">
        <f t="shared" si="7"/>
        <v/>
      </c>
      <c r="AC1054" s="32" t="str">
        <f t="shared" ref="AC1054:AG1054" si="1058">IF(J1054&lt;&gt;"", IF(AND($P1054=FALSE, $A1054=FALSE), -J1054, IF(AND($P1054=FALSE, $A1054=TRUE), 0, IF($P1054=TRUE, (J1054 / $R1054) * 100 * ($S1054 / 100)-J1054, ))), )</f>
        <v/>
      </c>
      <c r="AD1054" s="32" t="str">
        <f t="shared" si="1058"/>
        <v/>
      </c>
      <c r="AE1054" s="32" t="str">
        <f t="shared" si="1058"/>
        <v/>
      </c>
      <c r="AF1054" s="32" t="str">
        <f t="shared" si="1058"/>
        <v/>
      </c>
      <c r="AG1054" s="32" t="str">
        <f t="shared" si="1058"/>
        <v/>
      </c>
      <c r="AH1054" s="33"/>
    </row>
    <row r="1055" hidden="1" outlineLevel="2" collapsed="1">
      <c r="A1055" s="16" t="b">
        <v>0</v>
      </c>
      <c r="B1055" s="17"/>
      <c r="C1055" s="18"/>
      <c r="D1055" s="42">
        <v>45268.0</v>
      </c>
      <c r="E1055" s="80" t="s">
        <v>60</v>
      </c>
      <c r="F1055" s="53" t="s">
        <v>630</v>
      </c>
      <c r="G1055" s="45">
        <v>2.5</v>
      </c>
      <c r="H1055" s="48">
        <v>1.5</v>
      </c>
      <c r="I1055" s="45">
        <v>3.0</v>
      </c>
      <c r="J1055" s="79"/>
      <c r="K1055" s="79"/>
      <c r="L1055" s="45"/>
      <c r="M1055" s="46"/>
      <c r="N1055" s="46"/>
      <c r="O1055" s="47"/>
      <c r="P1055" s="16" t="b">
        <v>1</v>
      </c>
      <c r="Q1055" s="24"/>
      <c r="R1055" s="48">
        <v>7.0</v>
      </c>
      <c r="S1055" s="45">
        <v>14.51</v>
      </c>
      <c r="T1055" s="49" t="s">
        <v>638</v>
      </c>
      <c r="U1055" s="47"/>
      <c r="V1055" s="28"/>
      <c r="W1055" s="29"/>
      <c r="X1055" s="30"/>
      <c r="Y1055" s="31"/>
      <c r="Z1055" s="26">
        <f t="shared" si="5"/>
        <v>2.682142857</v>
      </c>
      <c r="AA1055" s="26">
        <f t="shared" si="6"/>
        <v>3.218571429</v>
      </c>
      <c r="AB1055" s="32">
        <f t="shared" si="7"/>
        <v>1.609285714</v>
      </c>
      <c r="AC1055" s="32" t="str">
        <f t="shared" ref="AC1055:AG1055" si="1059">IF(J1055&lt;&gt;"", IF(AND($P1055=FALSE, $A1055=FALSE), -J1055, IF(AND($P1055=FALSE, $A1055=TRUE), 0, IF($P1055=TRUE, (J1055 / $R1055) * 100 * ($S1055 / 100)-J1055, ))), )</f>
        <v/>
      </c>
      <c r="AD1055" s="32" t="str">
        <f t="shared" si="1059"/>
        <v/>
      </c>
      <c r="AE1055" s="32" t="str">
        <f t="shared" si="1059"/>
        <v/>
      </c>
      <c r="AF1055" s="32" t="str">
        <f t="shared" si="1059"/>
        <v/>
      </c>
      <c r="AG1055" s="32" t="str">
        <f t="shared" si="1059"/>
        <v/>
      </c>
      <c r="AH1055" s="33"/>
    </row>
    <row r="1056" hidden="1" outlineLevel="3">
      <c r="A1056" s="16" t="b">
        <v>0</v>
      </c>
      <c r="B1056" s="17"/>
      <c r="C1056" s="18"/>
      <c r="D1056" s="19"/>
      <c r="E1056" s="20"/>
      <c r="F1056" s="21"/>
      <c r="G1056" s="22"/>
      <c r="H1056" s="22"/>
      <c r="I1056" s="23"/>
      <c r="J1056" s="22"/>
      <c r="K1056" s="23"/>
      <c r="L1056" s="22"/>
      <c r="M1056" s="23"/>
      <c r="N1056" s="23"/>
      <c r="O1056" s="24"/>
      <c r="P1056" s="16" t="b">
        <v>0</v>
      </c>
      <c r="Q1056" s="24"/>
      <c r="R1056" s="25"/>
      <c r="S1056" s="26"/>
      <c r="T1056" s="27"/>
      <c r="U1056" s="24"/>
      <c r="V1056" s="38" t="s">
        <v>29</v>
      </c>
      <c r="W1056" s="29" t="s">
        <v>22</v>
      </c>
      <c r="X1056" s="37" t="s">
        <v>738</v>
      </c>
      <c r="Y1056" s="31"/>
      <c r="Z1056" s="26" t="str">
        <f t="shared" si="5"/>
        <v/>
      </c>
      <c r="AA1056" s="26" t="str">
        <f t="shared" si="6"/>
        <v/>
      </c>
      <c r="AB1056" s="32" t="str">
        <f t="shared" si="7"/>
        <v/>
      </c>
      <c r="AC1056" s="32" t="str">
        <f t="shared" ref="AC1056:AG1056" si="1060">IF(J1056&lt;&gt;"", IF(AND($P1056=FALSE, $A1056=FALSE), -J1056, IF(AND($P1056=FALSE, $A1056=TRUE), 0, IF($P1056=TRUE, (J1056 / $R1056) * 100 * ($S1056 / 100)-J1056, ))), )</f>
        <v/>
      </c>
      <c r="AD1056" s="32" t="str">
        <f t="shared" si="1060"/>
        <v/>
      </c>
      <c r="AE1056" s="32" t="str">
        <f t="shared" si="1060"/>
        <v/>
      </c>
      <c r="AF1056" s="32" t="str">
        <f t="shared" si="1060"/>
        <v/>
      </c>
      <c r="AG1056" s="32" t="str">
        <f t="shared" si="1060"/>
        <v/>
      </c>
      <c r="AH1056" s="33"/>
    </row>
    <row r="1057" hidden="1" outlineLevel="3">
      <c r="A1057" s="16" t="b">
        <v>0</v>
      </c>
      <c r="B1057" s="17"/>
      <c r="C1057" s="18"/>
      <c r="D1057" s="19"/>
      <c r="E1057" s="20"/>
      <c r="F1057" s="21"/>
      <c r="G1057" s="22"/>
      <c r="H1057" s="22"/>
      <c r="I1057" s="23"/>
      <c r="J1057" s="22"/>
      <c r="K1057" s="23"/>
      <c r="L1057" s="22"/>
      <c r="M1057" s="23"/>
      <c r="N1057" s="23"/>
      <c r="O1057" s="24"/>
      <c r="P1057" s="16" t="b">
        <v>0</v>
      </c>
      <c r="Q1057" s="24"/>
      <c r="R1057" s="25"/>
      <c r="S1057" s="26"/>
      <c r="T1057" s="27"/>
      <c r="U1057" s="24"/>
      <c r="V1057" s="38" t="s">
        <v>29</v>
      </c>
      <c r="W1057" s="29" t="s">
        <v>22</v>
      </c>
      <c r="X1057" s="37" t="s">
        <v>739</v>
      </c>
      <c r="Y1057" s="31"/>
      <c r="Z1057" s="26" t="str">
        <f t="shared" si="5"/>
        <v/>
      </c>
      <c r="AA1057" s="26" t="str">
        <f t="shared" si="6"/>
        <v/>
      </c>
      <c r="AB1057" s="32" t="str">
        <f t="shared" si="7"/>
        <v/>
      </c>
      <c r="AC1057" s="32" t="str">
        <f t="shared" ref="AC1057:AG1057" si="1061">IF(J1057&lt;&gt;"", IF(AND($P1057=FALSE, $A1057=FALSE), -J1057, IF(AND($P1057=FALSE, $A1057=TRUE), 0, IF($P1057=TRUE, (J1057 / $R1057) * 100 * ($S1057 / 100)-J1057, ))), )</f>
        <v/>
      </c>
      <c r="AD1057" s="32" t="str">
        <f t="shared" si="1061"/>
        <v/>
      </c>
      <c r="AE1057" s="32" t="str">
        <f t="shared" si="1061"/>
        <v/>
      </c>
      <c r="AF1057" s="32" t="str">
        <f t="shared" si="1061"/>
        <v/>
      </c>
      <c r="AG1057" s="32" t="str">
        <f t="shared" si="1061"/>
        <v/>
      </c>
      <c r="AH1057" s="33"/>
    </row>
    <row r="1058" hidden="1" outlineLevel="3">
      <c r="A1058" s="16" t="b">
        <v>0</v>
      </c>
      <c r="B1058" s="17"/>
      <c r="C1058" s="18"/>
      <c r="D1058" s="19"/>
      <c r="E1058" s="20"/>
      <c r="F1058" s="21"/>
      <c r="G1058" s="22"/>
      <c r="H1058" s="22"/>
      <c r="I1058" s="23"/>
      <c r="J1058" s="22"/>
      <c r="K1058" s="23"/>
      <c r="L1058" s="22"/>
      <c r="M1058" s="23"/>
      <c r="N1058" s="23"/>
      <c r="O1058" s="24"/>
      <c r="P1058" s="16" t="b">
        <v>0</v>
      </c>
      <c r="Q1058" s="24"/>
      <c r="R1058" s="25"/>
      <c r="S1058" s="26"/>
      <c r="T1058" s="27"/>
      <c r="U1058" s="24"/>
      <c r="V1058" s="38" t="s">
        <v>29</v>
      </c>
      <c r="W1058" s="29" t="s">
        <v>22</v>
      </c>
      <c r="X1058" s="37" t="s">
        <v>740</v>
      </c>
      <c r="Y1058" s="31"/>
      <c r="Z1058" s="26" t="str">
        <f t="shared" si="5"/>
        <v/>
      </c>
      <c r="AA1058" s="26" t="str">
        <f t="shared" si="6"/>
        <v/>
      </c>
      <c r="AB1058" s="32" t="str">
        <f t="shared" si="7"/>
        <v/>
      </c>
      <c r="AC1058" s="32" t="str">
        <f t="shared" ref="AC1058:AG1058" si="1062">IF(J1058&lt;&gt;"", IF(AND($P1058=FALSE, $A1058=FALSE), -J1058, IF(AND($P1058=FALSE, $A1058=TRUE), 0, IF($P1058=TRUE, (J1058 / $R1058) * 100 * ($S1058 / 100)-J1058, ))), )</f>
        <v/>
      </c>
      <c r="AD1058" s="32" t="str">
        <f t="shared" si="1062"/>
        <v/>
      </c>
      <c r="AE1058" s="32" t="str">
        <f t="shared" si="1062"/>
        <v/>
      </c>
      <c r="AF1058" s="32" t="str">
        <f t="shared" si="1062"/>
        <v/>
      </c>
      <c r="AG1058" s="32" t="str">
        <f t="shared" si="1062"/>
        <v/>
      </c>
      <c r="AH1058" s="33"/>
    </row>
    <row r="1059" hidden="1" outlineLevel="2" collapsed="1">
      <c r="A1059" s="16" t="b">
        <v>0</v>
      </c>
      <c r="B1059" s="17"/>
      <c r="C1059" s="18"/>
      <c r="D1059" s="42">
        <v>45268.0</v>
      </c>
      <c r="E1059" s="80" t="s">
        <v>60</v>
      </c>
      <c r="F1059" s="53" t="s">
        <v>630</v>
      </c>
      <c r="G1059" s="45">
        <v>1.25</v>
      </c>
      <c r="H1059" s="45">
        <v>0.75</v>
      </c>
      <c r="I1059" s="45">
        <v>1.5</v>
      </c>
      <c r="J1059" s="79"/>
      <c r="K1059" s="79"/>
      <c r="L1059" s="45"/>
      <c r="M1059" s="46"/>
      <c r="N1059" s="46"/>
      <c r="O1059" s="47"/>
      <c r="P1059" s="16" t="b">
        <v>1</v>
      </c>
      <c r="Q1059" s="24"/>
      <c r="R1059" s="48">
        <v>3.5</v>
      </c>
      <c r="S1059" s="45">
        <v>7.51</v>
      </c>
      <c r="T1059" s="49" t="s">
        <v>599</v>
      </c>
      <c r="U1059" s="47"/>
      <c r="V1059" s="28"/>
      <c r="W1059" s="29"/>
      <c r="X1059" s="30"/>
      <c r="Y1059" s="31"/>
      <c r="Z1059" s="26">
        <f t="shared" si="5"/>
        <v>1.432142857</v>
      </c>
      <c r="AA1059" s="26">
        <f t="shared" si="6"/>
        <v>1.718571429</v>
      </c>
      <c r="AB1059" s="32">
        <f t="shared" si="7"/>
        <v>0.8592857143</v>
      </c>
      <c r="AC1059" s="32" t="str">
        <f t="shared" ref="AC1059:AG1059" si="1063">IF(J1059&lt;&gt;"", IF(AND($P1059=FALSE, $A1059=FALSE), -J1059, IF(AND($P1059=FALSE, $A1059=TRUE), 0, IF($P1059=TRUE, (J1059 / $R1059) * 100 * ($S1059 / 100)-J1059, ))), )</f>
        <v/>
      </c>
      <c r="AD1059" s="32" t="str">
        <f t="shared" si="1063"/>
        <v/>
      </c>
      <c r="AE1059" s="32" t="str">
        <f t="shared" si="1063"/>
        <v/>
      </c>
      <c r="AF1059" s="32" t="str">
        <f t="shared" si="1063"/>
        <v/>
      </c>
      <c r="AG1059" s="32" t="str">
        <f t="shared" si="1063"/>
        <v/>
      </c>
      <c r="AH1059" s="33"/>
    </row>
    <row r="1060" hidden="1" outlineLevel="3">
      <c r="A1060" s="16" t="b">
        <v>0</v>
      </c>
      <c r="B1060" s="17"/>
      <c r="C1060" s="18"/>
      <c r="D1060" s="19"/>
      <c r="E1060" s="20"/>
      <c r="F1060" s="21"/>
      <c r="G1060" s="22"/>
      <c r="H1060" s="22"/>
      <c r="I1060" s="23"/>
      <c r="J1060" s="22"/>
      <c r="K1060" s="23"/>
      <c r="L1060" s="22"/>
      <c r="M1060" s="23"/>
      <c r="N1060" s="23"/>
      <c r="O1060" s="24"/>
      <c r="P1060" s="16" t="b">
        <v>0</v>
      </c>
      <c r="Q1060" s="24"/>
      <c r="R1060" s="25"/>
      <c r="S1060" s="26"/>
      <c r="T1060" s="27"/>
      <c r="U1060" s="24"/>
      <c r="V1060" s="38" t="s">
        <v>29</v>
      </c>
      <c r="W1060" s="29" t="s">
        <v>22</v>
      </c>
      <c r="X1060" s="37" t="s">
        <v>741</v>
      </c>
      <c r="Y1060" s="31"/>
      <c r="Z1060" s="26" t="str">
        <f t="shared" si="5"/>
        <v/>
      </c>
      <c r="AA1060" s="26" t="str">
        <f t="shared" si="6"/>
        <v/>
      </c>
      <c r="AB1060" s="32" t="str">
        <f t="shared" si="7"/>
        <v/>
      </c>
      <c r="AC1060" s="32" t="str">
        <f t="shared" ref="AC1060:AG1060" si="1064">IF(J1060&lt;&gt;"", IF(AND($P1060=FALSE, $A1060=FALSE), -J1060, IF(AND($P1060=FALSE, $A1060=TRUE), 0, IF($P1060=TRUE, (J1060 / $R1060) * 100 * ($S1060 / 100)-J1060, ))), )</f>
        <v/>
      </c>
      <c r="AD1060" s="32" t="str">
        <f t="shared" si="1064"/>
        <v/>
      </c>
      <c r="AE1060" s="32" t="str">
        <f t="shared" si="1064"/>
        <v/>
      </c>
      <c r="AF1060" s="32" t="str">
        <f t="shared" si="1064"/>
        <v/>
      </c>
      <c r="AG1060" s="32" t="str">
        <f t="shared" si="1064"/>
        <v/>
      </c>
      <c r="AH1060" s="33"/>
    </row>
    <row r="1061" hidden="1" outlineLevel="3">
      <c r="A1061" s="16" t="b">
        <v>0</v>
      </c>
      <c r="B1061" s="17"/>
      <c r="C1061" s="18"/>
      <c r="D1061" s="19"/>
      <c r="E1061" s="20"/>
      <c r="F1061" s="21"/>
      <c r="G1061" s="22"/>
      <c r="H1061" s="22"/>
      <c r="I1061" s="23"/>
      <c r="J1061" s="22"/>
      <c r="K1061" s="23"/>
      <c r="L1061" s="22"/>
      <c r="M1061" s="23"/>
      <c r="N1061" s="23"/>
      <c r="O1061" s="24"/>
      <c r="P1061" s="16" t="b">
        <v>0</v>
      </c>
      <c r="Q1061" s="24"/>
      <c r="R1061" s="25"/>
      <c r="S1061" s="26"/>
      <c r="T1061" s="27"/>
      <c r="U1061" s="24"/>
      <c r="V1061" s="38" t="s">
        <v>29</v>
      </c>
      <c r="W1061" s="29" t="s">
        <v>22</v>
      </c>
      <c r="X1061" s="37" t="s">
        <v>742</v>
      </c>
      <c r="Y1061" s="31"/>
      <c r="Z1061" s="26" t="str">
        <f t="shared" si="5"/>
        <v/>
      </c>
      <c r="AA1061" s="26" t="str">
        <f t="shared" si="6"/>
        <v/>
      </c>
      <c r="AB1061" s="32" t="str">
        <f t="shared" si="7"/>
        <v/>
      </c>
      <c r="AC1061" s="32" t="str">
        <f t="shared" ref="AC1061:AG1061" si="1065">IF(J1061&lt;&gt;"", IF(AND($P1061=FALSE, $A1061=FALSE), -J1061, IF(AND($P1061=FALSE, $A1061=TRUE), 0, IF($P1061=TRUE, (J1061 / $R1061) * 100 * ($S1061 / 100)-J1061, ))), )</f>
        <v/>
      </c>
      <c r="AD1061" s="32" t="str">
        <f t="shared" si="1065"/>
        <v/>
      </c>
      <c r="AE1061" s="32" t="str">
        <f t="shared" si="1065"/>
        <v/>
      </c>
      <c r="AF1061" s="32" t="str">
        <f t="shared" si="1065"/>
        <v/>
      </c>
      <c r="AG1061" s="32" t="str">
        <f t="shared" si="1065"/>
        <v/>
      </c>
      <c r="AH1061" s="33"/>
    </row>
    <row r="1062" hidden="1" outlineLevel="2" collapsed="1">
      <c r="A1062" s="16" t="b">
        <v>0</v>
      </c>
      <c r="B1062" s="17"/>
      <c r="C1062" s="18"/>
      <c r="D1062" s="42">
        <v>45268.0</v>
      </c>
      <c r="E1062" s="80" t="s">
        <v>60</v>
      </c>
      <c r="F1062" s="53" t="s">
        <v>630</v>
      </c>
      <c r="G1062" s="45">
        <v>2.5</v>
      </c>
      <c r="H1062" s="48">
        <v>1.5</v>
      </c>
      <c r="I1062" s="45">
        <v>3.0</v>
      </c>
      <c r="J1062" s="79"/>
      <c r="K1062" s="79"/>
      <c r="L1062" s="45"/>
      <c r="M1062" s="46"/>
      <c r="N1062" s="46"/>
      <c r="O1062" s="47"/>
      <c r="P1062" s="16" t="b">
        <v>1</v>
      </c>
      <c r="Q1062" s="24"/>
      <c r="R1062" s="48">
        <v>7.0</v>
      </c>
      <c r="S1062" s="45">
        <v>14.83</v>
      </c>
      <c r="T1062" s="49" t="s">
        <v>511</v>
      </c>
      <c r="U1062" s="47"/>
      <c r="V1062" s="28"/>
      <c r="W1062" s="29"/>
      <c r="X1062" s="30"/>
      <c r="Y1062" s="31"/>
      <c r="Z1062" s="26">
        <f t="shared" si="5"/>
        <v>2.796428571</v>
      </c>
      <c r="AA1062" s="26">
        <f t="shared" si="6"/>
        <v>3.355714286</v>
      </c>
      <c r="AB1062" s="32">
        <f t="shared" si="7"/>
        <v>1.677857143</v>
      </c>
      <c r="AC1062" s="32" t="str">
        <f t="shared" ref="AC1062:AG1062" si="1066">IF(J1062&lt;&gt;"", IF(AND($P1062=FALSE, $A1062=FALSE), -J1062, IF(AND($P1062=FALSE, $A1062=TRUE), 0, IF($P1062=TRUE, (J1062 / $R1062) * 100 * ($S1062 / 100)-J1062, ))), )</f>
        <v/>
      </c>
      <c r="AD1062" s="32" t="str">
        <f t="shared" si="1066"/>
        <v/>
      </c>
      <c r="AE1062" s="32" t="str">
        <f t="shared" si="1066"/>
        <v/>
      </c>
      <c r="AF1062" s="32" t="str">
        <f t="shared" si="1066"/>
        <v/>
      </c>
      <c r="AG1062" s="32" t="str">
        <f t="shared" si="1066"/>
        <v/>
      </c>
      <c r="AH1062" s="33"/>
    </row>
    <row r="1063" hidden="1" outlineLevel="3">
      <c r="A1063" s="16" t="b">
        <v>0</v>
      </c>
      <c r="B1063" s="17"/>
      <c r="C1063" s="18"/>
      <c r="D1063" s="19"/>
      <c r="E1063" s="20"/>
      <c r="F1063" s="21"/>
      <c r="G1063" s="22"/>
      <c r="H1063" s="22"/>
      <c r="I1063" s="23"/>
      <c r="J1063" s="22"/>
      <c r="K1063" s="23"/>
      <c r="L1063" s="22"/>
      <c r="M1063" s="23"/>
      <c r="N1063" s="23"/>
      <c r="O1063" s="24"/>
      <c r="P1063" s="16" t="b">
        <v>0</v>
      </c>
      <c r="Q1063" s="24"/>
      <c r="R1063" s="25"/>
      <c r="S1063" s="26"/>
      <c r="T1063" s="27"/>
      <c r="U1063" s="24"/>
      <c r="V1063" s="38" t="s">
        <v>29</v>
      </c>
      <c r="W1063" s="29" t="s">
        <v>22</v>
      </c>
      <c r="X1063" s="37" t="s">
        <v>289</v>
      </c>
      <c r="Y1063" s="31"/>
      <c r="Z1063" s="26" t="str">
        <f t="shared" si="5"/>
        <v/>
      </c>
      <c r="AA1063" s="26" t="str">
        <f t="shared" si="6"/>
        <v/>
      </c>
      <c r="AB1063" s="32" t="str">
        <f t="shared" si="7"/>
        <v/>
      </c>
      <c r="AC1063" s="32" t="str">
        <f t="shared" ref="AC1063:AG1063" si="1067">IF(J1063&lt;&gt;"", IF(AND($P1063=FALSE, $A1063=FALSE), -J1063, IF(AND($P1063=FALSE, $A1063=TRUE), 0, IF($P1063=TRUE, (J1063 / $R1063) * 100 * ($S1063 / 100)-J1063, ))), )</f>
        <v/>
      </c>
      <c r="AD1063" s="32" t="str">
        <f t="shared" si="1067"/>
        <v/>
      </c>
      <c r="AE1063" s="32" t="str">
        <f t="shared" si="1067"/>
        <v/>
      </c>
      <c r="AF1063" s="32" t="str">
        <f t="shared" si="1067"/>
        <v/>
      </c>
      <c r="AG1063" s="32" t="str">
        <f t="shared" si="1067"/>
        <v/>
      </c>
      <c r="AH1063" s="33"/>
    </row>
    <row r="1064" hidden="1" outlineLevel="3">
      <c r="A1064" s="16" t="b">
        <v>0</v>
      </c>
      <c r="B1064" s="17"/>
      <c r="C1064" s="18"/>
      <c r="D1064" s="19"/>
      <c r="E1064" s="20"/>
      <c r="F1064" s="21"/>
      <c r="G1064" s="22"/>
      <c r="H1064" s="22"/>
      <c r="I1064" s="23"/>
      <c r="J1064" s="22"/>
      <c r="K1064" s="23"/>
      <c r="L1064" s="22"/>
      <c r="M1064" s="23"/>
      <c r="N1064" s="23"/>
      <c r="O1064" s="24"/>
      <c r="P1064" s="16" t="b">
        <v>0</v>
      </c>
      <c r="Q1064" s="24"/>
      <c r="R1064" s="25"/>
      <c r="S1064" s="26"/>
      <c r="T1064" s="27"/>
      <c r="U1064" s="24"/>
      <c r="V1064" s="38" t="s">
        <v>29</v>
      </c>
      <c r="W1064" s="29" t="s">
        <v>22</v>
      </c>
      <c r="X1064" s="37" t="s">
        <v>425</v>
      </c>
      <c r="Y1064" s="31"/>
      <c r="Z1064" s="26" t="str">
        <f t="shared" si="5"/>
        <v/>
      </c>
      <c r="AA1064" s="26" t="str">
        <f t="shared" si="6"/>
        <v/>
      </c>
      <c r="AB1064" s="32" t="str">
        <f t="shared" si="7"/>
        <v/>
      </c>
      <c r="AC1064" s="32" t="str">
        <f t="shared" ref="AC1064:AG1064" si="1068">IF(J1064&lt;&gt;"", IF(AND($P1064=FALSE, $A1064=FALSE), -J1064, IF(AND($P1064=FALSE, $A1064=TRUE), 0, IF($P1064=TRUE, (J1064 / $R1064) * 100 * ($S1064 / 100)-J1064, ))), )</f>
        <v/>
      </c>
      <c r="AD1064" s="32" t="str">
        <f t="shared" si="1068"/>
        <v/>
      </c>
      <c r="AE1064" s="32" t="str">
        <f t="shared" si="1068"/>
        <v/>
      </c>
      <c r="AF1064" s="32" t="str">
        <f t="shared" si="1068"/>
        <v/>
      </c>
      <c r="AG1064" s="32" t="str">
        <f t="shared" si="1068"/>
        <v/>
      </c>
      <c r="AH1064" s="33"/>
    </row>
    <row r="1065" hidden="1" outlineLevel="3">
      <c r="A1065" s="16" t="b">
        <v>0</v>
      </c>
      <c r="B1065" s="17"/>
      <c r="C1065" s="18"/>
      <c r="D1065" s="19"/>
      <c r="E1065" s="20"/>
      <c r="F1065" s="21"/>
      <c r="G1065" s="22"/>
      <c r="H1065" s="22"/>
      <c r="I1065" s="23"/>
      <c r="J1065" s="22"/>
      <c r="K1065" s="23"/>
      <c r="L1065" s="22"/>
      <c r="M1065" s="23"/>
      <c r="N1065" s="23"/>
      <c r="O1065" s="24"/>
      <c r="P1065" s="16" t="b">
        <v>0</v>
      </c>
      <c r="Q1065" s="24"/>
      <c r="R1065" s="25"/>
      <c r="S1065" s="26"/>
      <c r="T1065" s="27"/>
      <c r="U1065" s="24"/>
      <c r="V1065" s="38" t="s">
        <v>29</v>
      </c>
      <c r="W1065" s="29" t="s">
        <v>22</v>
      </c>
      <c r="X1065" s="37" t="s">
        <v>743</v>
      </c>
      <c r="Y1065" s="31"/>
      <c r="Z1065" s="26" t="str">
        <f t="shared" si="5"/>
        <v/>
      </c>
      <c r="AA1065" s="26" t="str">
        <f t="shared" si="6"/>
        <v/>
      </c>
      <c r="AB1065" s="32" t="str">
        <f t="shared" si="7"/>
        <v/>
      </c>
      <c r="AC1065" s="32" t="str">
        <f t="shared" ref="AC1065:AG1065" si="1069">IF(J1065&lt;&gt;"", IF(AND($P1065=FALSE, $A1065=FALSE), -J1065, IF(AND($P1065=FALSE, $A1065=TRUE), 0, IF($P1065=TRUE, (J1065 / $R1065) * 100 * ($S1065 / 100)-J1065, ))), )</f>
        <v/>
      </c>
      <c r="AD1065" s="32" t="str">
        <f t="shared" si="1069"/>
        <v/>
      </c>
      <c r="AE1065" s="32" t="str">
        <f t="shared" si="1069"/>
        <v/>
      </c>
      <c r="AF1065" s="32" t="str">
        <f t="shared" si="1069"/>
        <v/>
      </c>
      <c r="AG1065" s="32" t="str">
        <f t="shared" si="1069"/>
        <v/>
      </c>
      <c r="AH1065" s="33"/>
    </row>
    <row r="1066" hidden="1" outlineLevel="3">
      <c r="A1066" s="16" t="b">
        <v>0</v>
      </c>
      <c r="B1066" s="17"/>
      <c r="C1066" s="18"/>
      <c r="D1066" s="19"/>
      <c r="E1066" s="20"/>
      <c r="F1066" s="21"/>
      <c r="G1066" s="22"/>
      <c r="H1066" s="22"/>
      <c r="I1066" s="23"/>
      <c r="J1066" s="22"/>
      <c r="K1066" s="23"/>
      <c r="L1066" s="22"/>
      <c r="M1066" s="23"/>
      <c r="N1066" s="23"/>
      <c r="O1066" s="24"/>
      <c r="P1066" s="16" t="b">
        <v>0</v>
      </c>
      <c r="Q1066" s="24"/>
      <c r="R1066" s="25"/>
      <c r="S1066" s="26"/>
      <c r="T1066" s="27"/>
      <c r="U1066" s="24"/>
      <c r="V1066" s="38" t="s">
        <v>29</v>
      </c>
      <c r="W1066" s="29" t="s">
        <v>22</v>
      </c>
      <c r="X1066" s="37" t="s">
        <v>620</v>
      </c>
      <c r="Y1066" s="31"/>
      <c r="Z1066" s="26" t="str">
        <f t="shared" si="5"/>
        <v/>
      </c>
      <c r="AA1066" s="26" t="str">
        <f t="shared" si="6"/>
        <v/>
      </c>
      <c r="AB1066" s="32" t="str">
        <f t="shared" si="7"/>
        <v/>
      </c>
      <c r="AC1066" s="32" t="str">
        <f t="shared" ref="AC1066:AG1066" si="1070">IF(J1066&lt;&gt;"", IF(AND($P1066=FALSE, $A1066=FALSE), -J1066, IF(AND($P1066=FALSE, $A1066=TRUE), 0, IF($P1066=TRUE, (J1066 / $R1066) * 100 * ($S1066 / 100)-J1066, ))), )</f>
        <v/>
      </c>
      <c r="AD1066" s="32" t="str">
        <f t="shared" si="1070"/>
        <v/>
      </c>
      <c r="AE1066" s="32" t="str">
        <f t="shared" si="1070"/>
        <v/>
      </c>
      <c r="AF1066" s="32" t="str">
        <f t="shared" si="1070"/>
        <v/>
      </c>
      <c r="AG1066" s="32" t="str">
        <f t="shared" si="1070"/>
        <v/>
      </c>
      <c r="AH1066" s="33"/>
    </row>
    <row r="1067" hidden="1" outlineLevel="3">
      <c r="A1067" s="16" t="b">
        <v>0</v>
      </c>
      <c r="B1067" s="17"/>
      <c r="C1067" s="18"/>
      <c r="D1067" s="19"/>
      <c r="E1067" s="20"/>
      <c r="F1067" s="21"/>
      <c r="G1067" s="22"/>
      <c r="H1067" s="22"/>
      <c r="I1067" s="23"/>
      <c r="J1067" s="22"/>
      <c r="K1067" s="23"/>
      <c r="L1067" s="22"/>
      <c r="M1067" s="23"/>
      <c r="N1067" s="23"/>
      <c r="O1067" s="24"/>
      <c r="P1067" s="16" t="b">
        <v>0</v>
      </c>
      <c r="Q1067" s="24"/>
      <c r="R1067" s="25"/>
      <c r="S1067" s="26"/>
      <c r="T1067" s="27"/>
      <c r="U1067" s="24"/>
      <c r="V1067" s="38" t="s">
        <v>29</v>
      </c>
      <c r="W1067" s="29" t="s">
        <v>22</v>
      </c>
      <c r="X1067" s="37" t="s">
        <v>744</v>
      </c>
      <c r="Y1067" s="31"/>
      <c r="Z1067" s="26" t="str">
        <f t="shared" si="5"/>
        <v/>
      </c>
      <c r="AA1067" s="26" t="str">
        <f t="shared" si="6"/>
        <v/>
      </c>
      <c r="AB1067" s="32" t="str">
        <f t="shared" si="7"/>
        <v/>
      </c>
      <c r="AC1067" s="32" t="str">
        <f t="shared" ref="AC1067:AG1067" si="1071">IF(J1067&lt;&gt;"", IF(AND($P1067=FALSE, $A1067=FALSE), -J1067, IF(AND($P1067=FALSE, $A1067=TRUE), 0, IF($P1067=TRUE, (J1067 / $R1067) * 100 * ($S1067 / 100)-J1067, ))), )</f>
        <v/>
      </c>
      <c r="AD1067" s="32" t="str">
        <f t="shared" si="1071"/>
        <v/>
      </c>
      <c r="AE1067" s="32" t="str">
        <f t="shared" si="1071"/>
        <v/>
      </c>
      <c r="AF1067" s="32" t="str">
        <f t="shared" si="1071"/>
        <v/>
      </c>
      <c r="AG1067" s="32" t="str">
        <f t="shared" si="1071"/>
        <v/>
      </c>
      <c r="AH1067" s="33"/>
    </row>
    <row r="1068" hidden="1" outlineLevel="2" collapsed="1">
      <c r="A1068" s="16" t="b">
        <v>0</v>
      </c>
      <c r="B1068" s="17"/>
      <c r="C1068" s="18"/>
      <c r="D1068" s="42">
        <v>45268.0</v>
      </c>
      <c r="E1068" s="80" t="s">
        <v>60</v>
      </c>
      <c r="F1068" s="53" t="s">
        <v>630</v>
      </c>
      <c r="G1068" s="45">
        <v>2.5</v>
      </c>
      <c r="H1068" s="48">
        <v>1.5</v>
      </c>
      <c r="I1068" s="45">
        <v>3.0</v>
      </c>
      <c r="J1068" s="79"/>
      <c r="K1068" s="79"/>
      <c r="L1068" s="45"/>
      <c r="M1068" s="46"/>
      <c r="N1068" s="46"/>
      <c r="O1068" s="47"/>
      <c r="P1068" s="16" t="b">
        <v>0</v>
      </c>
      <c r="Q1068" s="24"/>
      <c r="R1068" s="48">
        <v>7.0</v>
      </c>
      <c r="S1068" s="45">
        <v>14.61</v>
      </c>
      <c r="T1068" s="49" t="s">
        <v>263</v>
      </c>
      <c r="U1068" s="47"/>
      <c r="V1068" s="28"/>
      <c r="W1068" s="29"/>
      <c r="X1068" s="30"/>
      <c r="Y1068" s="31"/>
      <c r="Z1068" s="26">
        <f t="shared" si="5"/>
        <v>-2.5</v>
      </c>
      <c r="AA1068" s="26">
        <f t="shared" si="6"/>
        <v>-3</v>
      </c>
      <c r="AB1068" s="32">
        <f t="shared" si="7"/>
        <v>-1.5</v>
      </c>
      <c r="AC1068" s="32" t="str">
        <f t="shared" ref="AC1068:AG1068" si="1072">IF(J1068&lt;&gt;"", IF(AND($P1068=FALSE, $A1068=FALSE), -J1068, IF(AND($P1068=FALSE, $A1068=TRUE), 0, IF($P1068=TRUE, (J1068 / $R1068) * 100 * ($S1068 / 100)-J1068, ))), )</f>
        <v/>
      </c>
      <c r="AD1068" s="32" t="str">
        <f t="shared" si="1072"/>
        <v/>
      </c>
      <c r="AE1068" s="32" t="str">
        <f t="shared" si="1072"/>
        <v/>
      </c>
      <c r="AF1068" s="32" t="str">
        <f t="shared" si="1072"/>
        <v/>
      </c>
      <c r="AG1068" s="32" t="str">
        <f t="shared" si="1072"/>
        <v/>
      </c>
      <c r="AH1068" s="33"/>
    </row>
    <row r="1069" hidden="1" outlineLevel="3">
      <c r="A1069" s="16" t="b">
        <v>0</v>
      </c>
      <c r="B1069" s="17"/>
      <c r="C1069" s="18"/>
      <c r="D1069" s="19"/>
      <c r="E1069" s="20"/>
      <c r="F1069" s="21"/>
      <c r="G1069" s="22"/>
      <c r="H1069" s="22"/>
      <c r="I1069" s="23"/>
      <c r="J1069" s="22"/>
      <c r="K1069" s="23"/>
      <c r="L1069" s="22"/>
      <c r="M1069" s="23"/>
      <c r="N1069" s="23"/>
      <c r="O1069" s="24"/>
      <c r="P1069" s="16" t="b">
        <v>0</v>
      </c>
      <c r="Q1069" s="24"/>
      <c r="R1069" s="25"/>
      <c r="S1069" s="26"/>
      <c r="T1069" s="27"/>
      <c r="U1069" s="24"/>
      <c r="V1069" s="28" t="s">
        <v>32</v>
      </c>
      <c r="W1069" s="29" t="s">
        <v>22</v>
      </c>
      <c r="X1069" s="37" t="s">
        <v>239</v>
      </c>
      <c r="Y1069" s="31"/>
      <c r="Z1069" s="26" t="str">
        <f t="shared" si="5"/>
        <v/>
      </c>
      <c r="AA1069" s="26" t="str">
        <f t="shared" si="6"/>
        <v/>
      </c>
      <c r="AB1069" s="32" t="str">
        <f t="shared" si="7"/>
        <v/>
      </c>
      <c r="AC1069" s="32" t="str">
        <f t="shared" ref="AC1069:AG1069" si="1073">IF(J1069&lt;&gt;"", IF(AND($P1069=FALSE, $A1069=FALSE), -J1069, IF(AND($P1069=FALSE, $A1069=TRUE), 0, IF($P1069=TRUE, (J1069 / $R1069) * 100 * ($S1069 / 100)-J1069, ))), )</f>
        <v/>
      </c>
      <c r="AD1069" s="32" t="str">
        <f t="shared" si="1073"/>
        <v/>
      </c>
      <c r="AE1069" s="32" t="str">
        <f t="shared" si="1073"/>
        <v/>
      </c>
      <c r="AF1069" s="32" t="str">
        <f t="shared" si="1073"/>
        <v/>
      </c>
      <c r="AG1069" s="32" t="str">
        <f t="shared" si="1073"/>
        <v/>
      </c>
      <c r="AH1069" s="33"/>
    </row>
    <row r="1070" hidden="1" outlineLevel="3">
      <c r="A1070" s="16" t="b">
        <v>0</v>
      </c>
      <c r="B1070" s="17"/>
      <c r="C1070" s="18"/>
      <c r="D1070" s="19"/>
      <c r="E1070" s="20"/>
      <c r="F1070" s="21"/>
      <c r="G1070" s="22"/>
      <c r="H1070" s="22"/>
      <c r="I1070" s="23"/>
      <c r="J1070" s="22"/>
      <c r="K1070" s="23"/>
      <c r="L1070" s="22"/>
      <c r="M1070" s="23"/>
      <c r="N1070" s="23"/>
      <c r="O1070" s="24"/>
      <c r="P1070" s="16" t="b">
        <v>0</v>
      </c>
      <c r="Q1070" s="24"/>
      <c r="R1070" s="25"/>
      <c r="S1070" s="26"/>
      <c r="T1070" s="27"/>
      <c r="U1070" s="24"/>
      <c r="V1070" s="38" t="s">
        <v>29</v>
      </c>
      <c r="W1070" s="29" t="s">
        <v>22</v>
      </c>
      <c r="X1070" s="37" t="s">
        <v>216</v>
      </c>
      <c r="Y1070" s="31"/>
      <c r="Z1070" s="26" t="str">
        <f t="shared" si="5"/>
        <v/>
      </c>
      <c r="AA1070" s="26" t="str">
        <f t="shared" si="6"/>
        <v/>
      </c>
      <c r="AB1070" s="32" t="str">
        <f t="shared" si="7"/>
        <v/>
      </c>
      <c r="AC1070" s="32" t="str">
        <f t="shared" ref="AC1070:AG1070" si="1074">IF(J1070&lt;&gt;"", IF(AND($P1070=FALSE, $A1070=FALSE), -J1070, IF(AND($P1070=FALSE, $A1070=TRUE), 0, IF($P1070=TRUE, (J1070 / $R1070) * 100 * ($S1070 / 100)-J1070, ))), )</f>
        <v/>
      </c>
      <c r="AD1070" s="32" t="str">
        <f t="shared" si="1074"/>
        <v/>
      </c>
      <c r="AE1070" s="32" t="str">
        <f t="shared" si="1074"/>
        <v/>
      </c>
      <c r="AF1070" s="32" t="str">
        <f t="shared" si="1074"/>
        <v/>
      </c>
      <c r="AG1070" s="32" t="str">
        <f t="shared" si="1074"/>
        <v/>
      </c>
      <c r="AH1070" s="33"/>
    </row>
    <row r="1071" hidden="1" outlineLevel="3">
      <c r="A1071" s="16" t="b">
        <v>0</v>
      </c>
      <c r="B1071" s="17"/>
      <c r="C1071" s="18"/>
      <c r="D1071" s="19"/>
      <c r="E1071" s="20"/>
      <c r="F1071" s="21"/>
      <c r="G1071" s="22"/>
      <c r="H1071" s="22"/>
      <c r="I1071" s="23"/>
      <c r="J1071" s="22"/>
      <c r="K1071" s="23"/>
      <c r="L1071" s="22"/>
      <c r="M1071" s="23"/>
      <c r="N1071" s="23"/>
      <c r="O1071" s="24"/>
      <c r="P1071" s="16" t="b">
        <v>0</v>
      </c>
      <c r="Q1071" s="24"/>
      <c r="R1071" s="25"/>
      <c r="S1071" s="26"/>
      <c r="T1071" s="27"/>
      <c r="U1071" s="24"/>
      <c r="V1071" s="28" t="s">
        <v>32</v>
      </c>
      <c r="W1071" s="29" t="s">
        <v>22</v>
      </c>
      <c r="X1071" s="37" t="s">
        <v>745</v>
      </c>
      <c r="Y1071" s="31"/>
      <c r="Z1071" s="26" t="str">
        <f t="shared" si="5"/>
        <v/>
      </c>
      <c r="AA1071" s="26" t="str">
        <f t="shared" si="6"/>
        <v/>
      </c>
      <c r="AB1071" s="32" t="str">
        <f t="shared" si="7"/>
        <v/>
      </c>
      <c r="AC1071" s="32" t="str">
        <f t="shared" ref="AC1071:AG1071" si="1075">IF(J1071&lt;&gt;"", IF(AND($P1071=FALSE, $A1071=FALSE), -J1071, IF(AND($P1071=FALSE, $A1071=TRUE), 0, IF($P1071=TRUE, (J1071 / $R1071) * 100 * ($S1071 / 100)-J1071, ))), )</f>
        <v/>
      </c>
      <c r="AD1071" s="32" t="str">
        <f t="shared" si="1075"/>
        <v/>
      </c>
      <c r="AE1071" s="32" t="str">
        <f t="shared" si="1075"/>
        <v/>
      </c>
      <c r="AF1071" s="32" t="str">
        <f t="shared" si="1075"/>
        <v/>
      </c>
      <c r="AG1071" s="32" t="str">
        <f t="shared" si="1075"/>
        <v/>
      </c>
      <c r="AH1071" s="33"/>
    </row>
    <row r="1072" hidden="1" outlineLevel="2">
      <c r="A1072" s="16" t="b">
        <v>0</v>
      </c>
      <c r="B1072" s="17"/>
      <c r="C1072" s="18"/>
      <c r="D1072" s="42">
        <v>45268.0</v>
      </c>
      <c r="E1072" s="80" t="s">
        <v>60</v>
      </c>
      <c r="F1072" s="53" t="s">
        <v>630</v>
      </c>
      <c r="G1072" s="45">
        <v>2.5</v>
      </c>
      <c r="H1072" s="48">
        <v>1.5</v>
      </c>
      <c r="I1072" s="45">
        <v>3.0</v>
      </c>
      <c r="J1072" s="79"/>
      <c r="K1072" s="79"/>
      <c r="L1072" s="45"/>
      <c r="M1072" s="46"/>
      <c r="N1072" s="46"/>
      <c r="O1072" s="47"/>
      <c r="P1072" s="16" t="b">
        <v>1</v>
      </c>
      <c r="Q1072" s="24"/>
      <c r="R1072" s="48">
        <v>7.0</v>
      </c>
      <c r="S1072" s="45">
        <v>15.07</v>
      </c>
      <c r="T1072" s="49" t="s">
        <v>599</v>
      </c>
      <c r="U1072" s="47"/>
      <c r="V1072" s="28"/>
      <c r="W1072" s="29"/>
      <c r="X1072" s="30"/>
      <c r="Y1072" s="31"/>
      <c r="Z1072" s="26">
        <f t="shared" si="5"/>
        <v>2.882142857</v>
      </c>
      <c r="AA1072" s="26">
        <f t="shared" si="6"/>
        <v>3.458571429</v>
      </c>
      <c r="AB1072" s="32">
        <f t="shared" si="7"/>
        <v>1.729285714</v>
      </c>
      <c r="AC1072" s="32" t="str">
        <f t="shared" ref="AC1072:AG1072" si="1076">IF(J1072&lt;&gt;"", IF(AND($P1072=FALSE, $A1072=FALSE), -J1072, IF(AND($P1072=FALSE, $A1072=TRUE), 0, IF($P1072=TRUE, (J1072 / $R1072) * 100 * ($S1072 / 100)-J1072, ))), )</f>
        <v/>
      </c>
      <c r="AD1072" s="32" t="str">
        <f t="shared" si="1076"/>
        <v/>
      </c>
      <c r="AE1072" s="32" t="str">
        <f t="shared" si="1076"/>
        <v/>
      </c>
      <c r="AF1072" s="32" t="str">
        <f t="shared" si="1076"/>
        <v/>
      </c>
      <c r="AG1072" s="32" t="str">
        <f t="shared" si="1076"/>
        <v/>
      </c>
      <c r="AH1072" s="33"/>
    </row>
    <row r="1073" hidden="1" outlineLevel="3">
      <c r="A1073" s="16" t="b">
        <v>0</v>
      </c>
      <c r="B1073" s="17"/>
      <c r="C1073" s="18"/>
      <c r="D1073" s="19"/>
      <c r="E1073" s="20"/>
      <c r="F1073" s="21"/>
      <c r="G1073" s="22"/>
      <c r="H1073" s="22"/>
      <c r="I1073" s="23"/>
      <c r="J1073" s="22"/>
      <c r="K1073" s="23"/>
      <c r="L1073" s="22"/>
      <c r="M1073" s="23"/>
      <c r="N1073" s="23"/>
      <c r="O1073" s="24"/>
      <c r="P1073" s="16" t="b">
        <v>0</v>
      </c>
      <c r="Q1073" s="24"/>
      <c r="R1073" s="25"/>
      <c r="S1073" s="26"/>
      <c r="T1073" s="27"/>
      <c r="U1073" s="24"/>
      <c r="V1073" s="38" t="s">
        <v>29</v>
      </c>
      <c r="W1073" s="29" t="s">
        <v>22</v>
      </c>
      <c r="X1073" s="37" t="s">
        <v>746</v>
      </c>
      <c r="Y1073" s="31"/>
      <c r="Z1073" s="26" t="str">
        <f t="shared" si="5"/>
        <v/>
      </c>
      <c r="AA1073" s="26" t="str">
        <f t="shared" si="6"/>
        <v/>
      </c>
      <c r="AB1073" s="32" t="str">
        <f t="shared" si="7"/>
        <v/>
      </c>
      <c r="AC1073" s="32" t="str">
        <f t="shared" ref="AC1073:AG1073" si="1077">IF(J1073&lt;&gt;"", IF(AND($P1073=FALSE, $A1073=FALSE), -J1073, IF(AND($P1073=FALSE, $A1073=TRUE), 0, IF($P1073=TRUE, (J1073 / $R1073) * 100 * ($S1073 / 100)-J1073, ))), )</f>
        <v/>
      </c>
      <c r="AD1073" s="32" t="str">
        <f t="shared" si="1077"/>
        <v/>
      </c>
      <c r="AE1073" s="32" t="str">
        <f t="shared" si="1077"/>
        <v/>
      </c>
      <c r="AF1073" s="32" t="str">
        <f t="shared" si="1077"/>
        <v/>
      </c>
      <c r="AG1073" s="32" t="str">
        <f t="shared" si="1077"/>
        <v/>
      </c>
      <c r="AH1073" s="33"/>
    </row>
    <row r="1074" hidden="1" outlineLevel="3">
      <c r="A1074" s="16" t="b">
        <v>0</v>
      </c>
      <c r="B1074" s="17"/>
      <c r="C1074" s="18"/>
      <c r="D1074" s="19"/>
      <c r="E1074" s="20"/>
      <c r="F1074" s="21"/>
      <c r="G1074" s="22"/>
      <c r="H1074" s="22"/>
      <c r="I1074" s="23"/>
      <c r="J1074" s="22"/>
      <c r="K1074" s="23"/>
      <c r="L1074" s="22"/>
      <c r="M1074" s="23"/>
      <c r="N1074" s="23"/>
      <c r="O1074" s="24"/>
      <c r="P1074" s="16" t="b">
        <v>0</v>
      </c>
      <c r="Q1074" s="24"/>
      <c r="R1074" s="25"/>
      <c r="S1074" s="26"/>
      <c r="T1074" s="27"/>
      <c r="U1074" s="24"/>
      <c r="V1074" s="38" t="s">
        <v>29</v>
      </c>
      <c r="W1074" s="29" t="s">
        <v>22</v>
      </c>
      <c r="X1074" s="37" t="s">
        <v>179</v>
      </c>
      <c r="Y1074" s="31"/>
      <c r="Z1074" s="26" t="str">
        <f t="shared" si="5"/>
        <v/>
      </c>
      <c r="AA1074" s="26" t="str">
        <f t="shared" si="6"/>
        <v/>
      </c>
      <c r="AB1074" s="32" t="str">
        <f t="shared" si="7"/>
        <v/>
      </c>
      <c r="AC1074" s="32" t="str">
        <f t="shared" ref="AC1074:AG1074" si="1078">IF(J1074&lt;&gt;"", IF(AND($P1074=FALSE, $A1074=FALSE), -J1074, IF(AND($P1074=FALSE, $A1074=TRUE), 0, IF($P1074=TRUE, (J1074 / $R1074) * 100 * ($S1074 / 100)-J1074, ))), )</f>
        <v/>
      </c>
      <c r="AD1074" s="32" t="str">
        <f t="shared" si="1078"/>
        <v/>
      </c>
      <c r="AE1074" s="32" t="str">
        <f t="shared" si="1078"/>
        <v/>
      </c>
      <c r="AF1074" s="32" t="str">
        <f t="shared" si="1078"/>
        <v/>
      </c>
      <c r="AG1074" s="32" t="str">
        <f t="shared" si="1078"/>
        <v/>
      </c>
      <c r="AH1074" s="33"/>
    </row>
    <row r="1075" hidden="1" outlineLevel="3">
      <c r="A1075" s="16" t="b">
        <v>0</v>
      </c>
      <c r="B1075" s="17"/>
      <c r="C1075" s="18"/>
      <c r="D1075" s="19"/>
      <c r="E1075" s="20"/>
      <c r="F1075" s="21"/>
      <c r="G1075" s="22"/>
      <c r="H1075" s="22"/>
      <c r="I1075" s="23"/>
      <c r="J1075" s="22"/>
      <c r="K1075" s="23"/>
      <c r="L1075" s="22"/>
      <c r="M1075" s="23"/>
      <c r="N1075" s="23"/>
      <c r="O1075" s="24"/>
      <c r="P1075" s="16" t="b">
        <v>0</v>
      </c>
      <c r="Q1075" s="24"/>
      <c r="R1075" s="25"/>
      <c r="S1075" s="26"/>
      <c r="T1075" s="27"/>
      <c r="U1075" s="24"/>
      <c r="V1075" s="38" t="s">
        <v>29</v>
      </c>
      <c r="W1075" s="29" t="s">
        <v>22</v>
      </c>
      <c r="X1075" s="37" t="s">
        <v>219</v>
      </c>
      <c r="Y1075" s="31"/>
      <c r="Z1075" s="26" t="str">
        <f t="shared" si="5"/>
        <v/>
      </c>
      <c r="AA1075" s="26" t="str">
        <f t="shared" si="6"/>
        <v/>
      </c>
      <c r="AB1075" s="32" t="str">
        <f t="shared" si="7"/>
        <v/>
      </c>
      <c r="AC1075" s="32" t="str">
        <f t="shared" ref="AC1075:AG1075" si="1079">IF(J1075&lt;&gt;"", IF(AND($P1075=FALSE, $A1075=FALSE), -J1075, IF(AND($P1075=FALSE, $A1075=TRUE), 0, IF($P1075=TRUE, (J1075 / $R1075) * 100 * ($S1075 / 100)-J1075, ))), )</f>
        <v/>
      </c>
      <c r="AD1075" s="32" t="str">
        <f t="shared" si="1079"/>
        <v/>
      </c>
      <c r="AE1075" s="32" t="str">
        <f t="shared" si="1079"/>
        <v/>
      </c>
      <c r="AF1075" s="32" t="str">
        <f t="shared" si="1079"/>
        <v/>
      </c>
      <c r="AG1075" s="32" t="str">
        <f t="shared" si="1079"/>
        <v/>
      </c>
      <c r="AH1075" s="33"/>
    </row>
    <row r="1076" hidden="1" outlineLevel="3">
      <c r="A1076" s="16" t="b">
        <v>0</v>
      </c>
      <c r="B1076" s="17"/>
      <c r="C1076" s="18"/>
      <c r="D1076" s="19"/>
      <c r="E1076" s="20"/>
      <c r="F1076" s="21"/>
      <c r="G1076" s="22"/>
      <c r="H1076" s="22"/>
      <c r="I1076" s="23"/>
      <c r="J1076" s="22"/>
      <c r="K1076" s="23"/>
      <c r="L1076" s="22"/>
      <c r="M1076" s="23"/>
      <c r="N1076" s="23"/>
      <c r="O1076" s="24"/>
      <c r="P1076" s="16" t="b">
        <v>0</v>
      </c>
      <c r="Q1076" s="24"/>
      <c r="R1076" s="25"/>
      <c r="S1076" s="26"/>
      <c r="T1076" s="27"/>
      <c r="U1076" s="24"/>
      <c r="V1076" s="38" t="s">
        <v>29</v>
      </c>
      <c r="W1076" s="29" t="s">
        <v>22</v>
      </c>
      <c r="X1076" s="37" t="s">
        <v>747</v>
      </c>
      <c r="Y1076" s="31"/>
      <c r="Z1076" s="26" t="str">
        <f t="shared" si="5"/>
        <v/>
      </c>
      <c r="AA1076" s="26" t="str">
        <f t="shared" si="6"/>
        <v/>
      </c>
      <c r="AB1076" s="32" t="str">
        <f t="shared" si="7"/>
        <v/>
      </c>
      <c r="AC1076" s="32" t="str">
        <f t="shared" ref="AC1076:AG1076" si="1080">IF(J1076&lt;&gt;"", IF(AND($P1076=FALSE, $A1076=FALSE), -J1076, IF(AND($P1076=FALSE, $A1076=TRUE), 0, IF($P1076=TRUE, (J1076 / $R1076) * 100 * ($S1076 / 100)-J1076, ))), )</f>
        <v/>
      </c>
      <c r="AD1076" s="32" t="str">
        <f t="shared" si="1080"/>
        <v/>
      </c>
      <c r="AE1076" s="32" t="str">
        <f t="shared" si="1080"/>
        <v/>
      </c>
      <c r="AF1076" s="32" t="str">
        <f t="shared" si="1080"/>
        <v/>
      </c>
      <c r="AG1076" s="32" t="str">
        <f t="shared" si="1080"/>
        <v/>
      </c>
      <c r="AH1076" s="33"/>
    </row>
    <row r="1077" hidden="1" outlineLevel="3">
      <c r="A1077" s="16" t="b">
        <v>0</v>
      </c>
      <c r="B1077" s="17"/>
      <c r="C1077" s="18"/>
      <c r="D1077" s="19"/>
      <c r="E1077" s="20"/>
      <c r="F1077" s="21"/>
      <c r="G1077" s="22"/>
      <c r="H1077" s="22"/>
      <c r="I1077" s="23"/>
      <c r="J1077" s="22"/>
      <c r="K1077" s="23"/>
      <c r="L1077" s="22"/>
      <c r="M1077" s="23"/>
      <c r="N1077" s="23"/>
      <c r="O1077" s="24"/>
      <c r="P1077" s="16" t="b">
        <v>0</v>
      </c>
      <c r="Q1077" s="24"/>
      <c r="R1077" s="25"/>
      <c r="S1077" s="26"/>
      <c r="T1077" s="27"/>
      <c r="U1077" s="24"/>
      <c r="V1077" s="38" t="s">
        <v>29</v>
      </c>
      <c r="W1077" s="29" t="s">
        <v>22</v>
      </c>
      <c r="X1077" s="37" t="s">
        <v>63</v>
      </c>
      <c r="Y1077" s="31"/>
      <c r="Z1077" s="26" t="str">
        <f t="shared" si="5"/>
        <v/>
      </c>
      <c r="AA1077" s="26" t="str">
        <f t="shared" si="6"/>
        <v/>
      </c>
      <c r="AB1077" s="32" t="str">
        <f t="shared" si="7"/>
        <v/>
      </c>
      <c r="AC1077" s="32" t="str">
        <f t="shared" ref="AC1077:AG1077" si="1081">IF(J1077&lt;&gt;"", IF(AND($P1077=FALSE, $A1077=FALSE), -J1077, IF(AND($P1077=FALSE, $A1077=TRUE), 0, IF($P1077=TRUE, (J1077 / $R1077) * 100 * ($S1077 / 100)-J1077, ))), )</f>
        <v/>
      </c>
      <c r="AD1077" s="32" t="str">
        <f t="shared" si="1081"/>
        <v/>
      </c>
      <c r="AE1077" s="32" t="str">
        <f t="shared" si="1081"/>
        <v/>
      </c>
      <c r="AF1077" s="32" t="str">
        <f t="shared" si="1081"/>
        <v/>
      </c>
      <c r="AG1077" s="32" t="str">
        <f t="shared" si="1081"/>
        <v/>
      </c>
      <c r="AH1077" s="33"/>
    </row>
    <row r="1078" hidden="1" outlineLevel="1" collapsed="1">
      <c r="A1078" s="16" t="b">
        <v>0</v>
      </c>
      <c r="B1078" s="17"/>
      <c r="C1078" s="18"/>
      <c r="D1078" s="42">
        <v>45269.0</v>
      </c>
      <c r="E1078" s="80" t="s">
        <v>60</v>
      </c>
      <c r="F1078" s="53" t="s">
        <v>630</v>
      </c>
      <c r="G1078" s="45">
        <v>2.5</v>
      </c>
      <c r="H1078" s="48">
        <v>1.5</v>
      </c>
      <c r="I1078" s="45">
        <v>3.5</v>
      </c>
      <c r="J1078" s="45">
        <v>2.5</v>
      </c>
      <c r="K1078" s="79"/>
      <c r="L1078" s="45"/>
      <c r="M1078" s="46"/>
      <c r="N1078" s="46"/>
      <c r="O1078" s="47"/>
      <c r="P1078" s="16" t="b">
        <v>0</v>
      </c>
      <c r="Q1078" s="24"/>
      <c r="R1078" s="48">
        <v>10.0</v>
      </c>
      <c r="S1078" s="45">
        <v>20.77</v>
      </c>
      <c r="T1078" s="49" t="s">
        <v>748</v>
      </c>
      <c r="U1078" s="47"/>
      <c r="V1078" s="28"/>
      <c r="W1078" s="29"/>
      <c r="X1078" s="30"/>
      <c r="Y1078" s="31"/>
      <c r="Z1078" s="26">
        <f t="shared" si="5"/>
        <v>-2.5</v>
      </c>
      <c r="AA1078" s="26">
        <f t="shared" si="6"/>
        <v>-3.5</v>
      </c>
      <c r="AB1078" s="32">
        <f t="shared" si="7"/>
        <v>-1.5</v>
      </c>
      <c r="AC1078" s="32">
        <f t="shared" ref="AC1078:AG1078" si="1082">IF(J1078&lt;&gt;"", IF(AND($P1078=FALSE, $A1078=FALSE), -J1078, IF(AND($P1078=FALSE, $A1078=TRUE), 0, IF($P1078=TRUE, (J1078 / $R1078) * 100 * ($S1078 / 100)-J1078, ))), )</f>
        <v>-2.5</v>
      </c>
      <c r="AD1078" s="32" t="str">
        <f t="shared" si="1082"/>
        <v/>
      </c>
      <c r="AE1078" s="32" t="str">
        <f t="shared" si="1082"/>
        <v/>
      </c>
      <c r="AF1078" s="32" t="str">
        <f t="shared" si="1082"/>
        <v/>
      </c>
      <c r="AG1078" s="32" t="str">
        <f t="shared" si="1082"/>
        <v/>
      </c>
      <c r="AH1078" s="33"/>
    </row>
    <row r="1079" hidden="1" outlineLevel="3">
      <c r="A1079" s="16" t="b">
        <v>0</v>
      </c>
      <c r="B1079" s="17"/>
      <c r="C1079" s="18"/>
      <c r="D1079" s="19"/>
      <c r="E1079" s="20"/>
      <c r="F1079" s="21"/>
      <c r="G1079" s="22"/>
      <c r="H1079" s="22"/>
      <c r="I1079" s="23"/>
      <c r="J1079" s="22"/>
      <c r="K1079" s="23"/>
      <c r="L1079" s="22"/>
      <c r="M1079" s="23"/>
      <c r="N1079" s="23"/>
      <c r="O1079" s="24"/>
      <c r="P1079" s="16" t="b">
        <v>0</v>
      </c>
      <c r="Q1079" s="24"/>
      <c r="R1079" s="25"/>
      <c r="S1079" s="26"/>
      <c r="T1079" s="27"/>
      <c r="U1079" s="24"/>
      <c r="V1079" s="28" t="s">
        <v>32</v>
      </c>
      <c r="W1079" s="29" t="s">
        <v>22</v>
      </c>
      <c r="X1079" s="37" t="s">
        <v>707</v>
      </c>
      <c r="Y1079" s="31"/>
      <c r="Z1079" s="26" t="str">
        <f t="shared" si="5"/>
        <v/>
      </c>
      <c r="AA1079" s="26" t="str">
        <f t="shared" si="6"/>
        <v/>
      </c>
      <c r="AB1079" s="32" t="str">
        <f t="shared" si="7"/>
        <v/>
      </c>
      <c r="AC1079" s="32" t="str">
        <f t="shared" ref="AC1079:AG1079" si="1083">IF(J1079&lt;&gt;"", IF(AND($P1079=FALSE, $A1079=FALSE), -J1079, IF(AND($P1079=FALSE, $A1079=TRUE), 0, IF($P1079=TRUE, (J1079 / $R1079) * 100 * ($S1079 / 100)-J1079, ))), )</f>
        <v/>
      </c>
      <c r="AD1079" s="32" t="str">
        <f t="shared" si="1083"/>
        <v/>
      </c>
      <c r="AE1079" s="32" t="str">
        <f t="shared" si="1083"/>
        <v/>
      </c>
      <c r="AF1079" s="32" t="str">
        <f t="shared" si="1083"/>
        <v/>
      </c>
      <c r="AG1079" s="32" t="str">
        <f t="shared" si="1083"/>
        <v/>
      </c>
      <c r="AH1079" s="33"/>
    </row>
    <row r="1080" hidden="1" outlineLevel="3">
      <c r="A1080" s="16" t="b">
        <v>0</v>
      </c>
      <c r="B1080" s="17"/>
      <c r="C1080" s="18"/>
      <c r="D1080" s="19"/>
      <c r="E1080" s="20"/>
      <c r="F1080" s="21"/>
      <c r="G1080" s="22"/>
      <c r="H1080" s="22"/>
      <c r="I1080" s="23"/>
      <c r="J1080" s="22"/>
      <c r="K1080" s="23"/>
      <c r="L1080" s="22"/>
      <c r="M1080" s="23"/>
      <c r="N1080" s="23"/>
      <c r="O1080" s="24"/>
      <c r="P1080" s="16" t="b">
        <v>0</v>
      </c>
      <c r="Q1080" s="24"/>
      <c r="R1080" s="25"/>
      <c r="S1080" s="26"/>
      <c r="T1080" s="27"/>
      <c r="U1080" s="24"/>
      <c r="V1080" s="38" t="s">
        <v>29</v>
      </c>
      <c r="W1080" s="29" t="s">
        <v>22</v>
      </c>
      <c r="X1080" s="37" t="s">
        <v>733</v>
      </c>
      <c r="Y1080" s="31"/>
      <c r="Z1080" s="26" t="str">
        <f t="shared" si="5"/>
        <v/>
      </c>
      <c r="AA1080" s="26" t="str">
        <f t="shared" si="6"/>
        <v/>
      </c>
      <c r="AB1080" s="32" t="str">
        <f t="shared" si="7"/>
        <v/>
      </c>
      <c r="AC1080" s="32" t="str">
        <f t="shared" ref="AC1080:AG1080" si="1084">IF(J1080&lt;&gt;"", IF(AND($P1080=FALSE, $A1080=FALSE), -J1080, IF(AND($P1080=FALSE, $A1080=TRUE), 0, IF($P1080=TRUE, (J1080 / $R1080) * 100 * ($S1080 / 100)-J1080, ))), )</f>
        <v/>
      </c>
      <c r="AD1080" s="32" t="str">
        <f t="shared" si="1084"/>
        <v/>
      </c>
      <c r="AE1080" s="32" t="str">
        <f t="shared" si="1084"/>
        <v/>
      </c>
      <c r="AF1080" s="32" t="str">
        <f t="shared" si="1084"/>
        <v/>
      </c>
      <c r="AG1080" s="32" t="str">
        <f t="shared" si="1084"/>
        <v/>
      </c>
      <c r="AH1080" s="33"/>
    </row>
    <row r="1081" hidden="1" outlineLevel="3">
      <c r="A1081" s="16" t="b">
        <v>0</v>
      </c>
      <c r="B1081" s="17"/>
      <c r="C1081" s="18"/>
      <c r="D1081" s="19"/>
      <c r="E1081" s="20"/>
      <c r="F1081" s="21"/>
      <c r="G1081" s="22"/>
      <c r="H1081" s="22"/>
      <c r="I1081" s="23"/>
      <c r="J1081" s="22"/>
      <c r="K1081" s="23"/>
      <c r="L1081" s="22"/>
      <c r="M1081" s="23"/>
      <c r="N1081" s="23"/>
      <c r="O1081" s="24"/>
      <c r="P1081" s="16" t="b">
        <v>0</v>
      </c>
      <c r="Q1081" s="24"/>
      <c r="R1081" s="25"/>
      <c r="S1081" s="26"/>
      <c r="T1081" s="27"/>
      <c r="U1081" s="24"/>
      <c r="V1081" s="28" t="s">
        <v>32</v>
      </c>
      <c r="W1081" s="29" t="s">
        <v>22</v>
      </c>
      <c r="X1081" s="37" t="s">
        <v>749</v>
      </c>
      <c r="Y1081" s="31"/>
      <c r="Z1081" s="26" t="str">
        <f t="shared" si="5"/>
        <v/>
      </c>
      <c r="AA1081" s="26" t="str">
        <f t="shared" si="6"/>
        <v/>
      </c>
      <c r="AB1081" s="32" t="str">
        <f t="shared" si="7"/>
        <v/>
      </c>
      <c r="AC1081" s="32" t="str">
        <f t="shared" ref="AC1081:AG1081" si="1085">IF(J1081&lt;&gt;"", IF(AND($P1081=FALSE, $A1081=FALSE), -J1081, IF(AND($P1081=FALSE, $A1081=TRUE), 0, IF($P1081=TRUE, (J1081 / $R1081) * 100 * ($S1081 / 100)-J1081, ))), )</f>
        <v/>
      </c>
      <c r="AD1081" s="32" t="str">
        <f t="shared" si="1085"/>
        <v/>
      </c>
      <c r="AE1081" s="32" t="str">
        <f t="shared" si="1085"/>
        <v/>
      </c>
      <c r="AF1081" s="32" t="str">
        <f t="shared" si="1085"/>
        <v/>
      </c>
      <c r="AG1081" s="32" t="str">
        <f t="shared" si="1085"/>
        <v/>
      </c>
      <c r="AH1081" s="33"/>
    </row>
    <row r="1082" hidden="1" outlineLevel="2" collapsed="1">
      <c r="A1082" s="16" t="b">
        <v>0</v>
      </c>
      <c r="B1082" s="17"/>
      <c r="C1082" s="18"/>
      <c r="D1082" s="42">
        <v>45269.0</v>
      </c>
      <c r="E1082" s="80" t="s">
        <v>60</v>
      </c>
      <c r="F1082" s="53" t="s">
        <v>630</v>
      </c>
      <c r="G1082" s="45">
        <v>2.0</v>
      </c>
      <c r="H1082" s="45">
        <v>1.0</v>
      </c>
      <c r="I1082" s="45">
        <v>3.0</v>
      </c>
      <c r="J1082" s="45">
        <v>2.0</v>
      </c>
      <c r="K1082" s="79"/>
      <c r="L1082" s="45"/>
      <c r="M1082" s="46"/>
      <c r="N1082" s="46"/>
      <c r="O1082" s="47"/>
      <c r="P1082" s="16" t="b">
        <v>0</v>
      </c>
      <c r="Q1082" s="24"/>
      <c r="R1082" s="48">
        <v>8.0</v>
      </c>
      <c r="S1082" s="45">
        <v>19.41</v>
      </c>
      <c r="T1082" s="49" t="s">
        <v>62</v>
      </c>
      <c r="U1082" s="47"/>
      <c r="V1082" s="28"/>
      <c r="W1082" s="29"/>
      <c r="X1082" s="30"/>
      <c r="Y1082" s="31"/>
      <c r="Z1082" s="26">
        <f t="shared" si="5"/>
        <v>-2</v>
      </c>
      <c r="AA1082" s="26">
        <f t="shared" si="6"/>
        <v>-3</v>
      </c>
      <c r="AB1082" s="32">
        <f t="shared" si="7"/>
        <v>-1</v>
      </c>
      <c r="AC1082" s="32">
        <f t="shared" ref="AC1082:AG1082" si="1086">IF(J1082&lt;&gt;"", IF(AND($P1082=FALSE, $A1082=FALSE), -J1082, IF(AND($P1082=FALSE, $A1082=TRUE), 0, IF($P1082=TRUE, (J1082 / $R1082) * 100 * ($S1082 / 100)-J1082, ))), )</f>
        <v>-2</v>
      </c>
      <c r="AD1082" s="32" t="str">
        <f t="shared" si="1086"/>
        <v/>
      </c>
      <c r="AE1082" s="32" t="str">
        <f t="shared" si="1086"/>
        <v/>
      </c>
      <c r="AF1082" s="32" t="str">
        <f t="shared" si="1086"/>
        <v/>
      </c>
      <c r="AG1082" s="32" t="str">
        <f t="shared" si="1086"/>
        <v/>
      </c>
      <c r="AH1082" s="33"/>
    </row>
    <row r="1083" hidden="1" outlineLevel="3">
      <c r="A1083" s="16" t="b">
        <v>0</v>
      </c>
      <c r="B1083" s="17"/>
      <c r="C1083" s="18"/>
      <c r="D1083" s="19"/>
      <c r="E1083" s="20"/>
      <c r="F1083" s="21"/>
      <c r="G1083" s="22"/>
      <c r="H1083" s="22"/>
      <c r="I1083" s="23"/>
      <c r="J1083" s="22"/>
      <c r="K1083" s="23"/>
      <c r="L1083" s="22"/>
      <c r="M1083" s="23"/>
      <c r="N1083" s="23"/>
      <c r="O1083" s="24"/>
      <c r="P1083" s="16" t="b">
        <v>0</v>
      </c>
      <c r="Q1083" s="24"/>
      <c r="R1083" s="25"/>
      <c r="S1083" s="26"/>
      <c r="T1083" s="27"/>
      <c r="U1083" s="24"/>
      <c r="V1083" s="28" t="s">
        <v>32</v>
      </c>
      <c r="W1083" s="29" t="s">
        <v>22</v>
      </c>
      <c r="X1083" s="37" t="s">
        <v>750</v>
      </c>
      <c r="Y1083" s="31"/>
      <c r="Z1083" s="26" t="str">
        <f t="shared" si="5"/>
        <v/>
      </c>
      <c r="AA1083" s="26" t="str">
        <f t="shared" si="6"/>
        <v/>
      </c>
      <c r="AB1083" s="32" t="str">
        <f t="shared" si="7"/>
        <v/>
      </c>
      <c r="AC1083" s="32" t="str">
        <f t="shared" ref="AC1083:AG1083" si="1087">IF(J1083&lt;&gt;"", IF(AND($P1083=FALSE, $A1083=FALSE), -J1083, IF(AND($P1083=FALSE, $A1083=TRUE), 0, IF($P1083=TRUE, (J1083 / $R1083) * 100 * ($S1083 / 100)-J1083, ))), )</f>
        <v/>
      </c>
      <c r="AD1083" s="32" t="str">
        <f t="shared" si="1087"/>
        <v/>
      </c>
      <c r="AE1083" s="32" t="str">
        <f t="shared" si="1087"/>
        <v/>
      </c>
      <c r="AF1083" s="32" t="str">
        <f t="shared" si="1087"/>
        <v/>
      </c>
      <c r="AG1083" s="32" t="str">
        <f t="shared" si="1087"/>
        <v/>
      </c>
      <c r="AH1083" s="33"/>
    </row>
    <row r="1084" hidden="1" outlineLevel="3">
      <c r="A1084" s="16" t="b">
        <v>0</v>
      </c>
      <c r="B1084" s="17"/>
      <c r="C1084" s="18"/>
      <c r="D1084" s="19"/>
      <c r="E1084" s="20"/>
      <c r="F1084" s="21"/>
      <c r="G1084" s="22"/>
      <c r="H1084" s="22"/>
      <c r="I1084" s="23"/>
      <c r="J1084" s="22"/>
      <c r="K1084" s="23"/>
      <c r="L1084" s="22"/>
      <c r="M1084" s="23"/>
      <c r="N1084" s="23"/>
      <c r="O1084" s="24"/>
      <c r="P1084" s="16" t="b">
        <v>0</v>
      </c>
      <c r="Q1084" s="24"/>
      <c r="R1084" s="25"/>
      <c r="S1084" s="26"/>
      <c r="T1084" s="27"/>
      <c r="U1084" s="24"/>
      <c r="V1084" s="28" t="s">
        <v>32</v>
      </c>
      <c r="W1084" s="29" t="s">
        <v>22</v>
      </c>
      <c r="X1084" s="37" t="s">
        <v>751</v>
      </c>
      <c r="Y1084" s="31"/>
      <c r="Z1084" s="26" t="str">
        <f t="shared" si="5"/>
        <v/>
      </c>
      <c r="AA1084" s="26" t="str">
        <f t="shared" si="6"/>
        <v/>
      </c>
      <c r="AB1084" s="32" t="str">
        <f t="shared" si="7"/>
        <v/>
      </c>
      <c r="AC1084" s="32" t="str">
        <f t="shared" ref="AC1084:AG1084" si="1088">IF(J1084&lt;&gt;"", IF(AND($P1084=FALSE, $A1084=FALSE), -J1084, IF(AND($P1084=FALSE, $A1084=TRUE), 0, IF($P1084=TRUE, (J1084 / $R1084) * 100 * ($S1084 / 100)-J1084, ))), )</f>
        <v/>
      </c>
      <c r="AD1084" s="32" t="str">
        <f t="shared" si="1088"/>
        <v/>
      </c>
      <c r="AE1084" s="32" t="str">
        <f t="shared" si="1088"/>
        <v/>
      </c>
      <c r="AF1084" s="32" t="str">
        <f t="shared" si="1088"/>
        <v/>
      </c>
      <c r="AG1084" s="32" t="str">
        <f t="shared" si="1088"/>
        <v/>
      </c>
      <c r="AH1084" s="33"/>
    </row>
    <row r="1085" hidden="1" outlineLevel="3">
      <c r="A1085" s="16" t="b">
        <v>0</v>
      </c>
      <c r="B1085" s="17"/>
      <c r="C1085" s="18"/>
      <c r="D1085" s="19"/>
      <c r="E1085" s="20"/>
      <c r="F1085" s="21"/>
      <c r="G1085" s="22"/>
      <c r="H1085" s="22"/>
      <c r="I1085" s="23"/>
      <c r="J1085" s="22"/>
      <c r="K1085" s="23"/>
      <c r="L1085" s="22"/>
      <c r="M1085" s="23"/>
      <c r="N1085" s="23"/>
      <c r="O1085" s="24"/>
      <c r="P1085" s="16" t="b">
        <v>0</v>
      </c>
      <c r="Q1085" s="24"/>
      <c r="R1085" s="25"/>
      <c r="S1085" s="26"/>
      <c r="T1085" s="27"/>
      <c r="U1085" s="24"/>
      <c r="V1085" s="28" t="s">
        <v>32</v>
      </c>
      <c r="W1085" s="29" t="s">
        <v>22</v>
      </c>
      <c r="X1085" s="37" t="s">
        <v>752</v>
      </c>
      <c r="Y1085" s="31"/>
      <c r="Z1085" s="26" t="str">
        <f t="shared" si="5"/>
        <v/>
      </c>
      <c r="AA1085" s="26" t="str">
        <f t="shared" si="6"/>
        <v/>
      </c>
      <c r="AB1085" s="32" t="str">
        <f t="shared" si="7"/>
        <v/>
      </c>
      <c r="AC1085" s="32" t="str">
        <f t="shared" ref="AC1085:AG1085" si="1089">IF(J1085&lt;&gt;"", IF(AND($P1085=FALSE, $A1085=FALSE), -J1085, IF(AND($P1085=FALSE, $A1085=TRUE), 0, IF($P1085=TRUE, (J1085 / $R1085) * 100 * ($S1085 / 100)-J1085, ))), )</f>
        <v/>
      </c>
      <c r="AD1085" s="32" t="str">
        <f t="shared" si="1089"/>
        <v/>
      </c>
      <c r="AE1085" s="32" t="str">
        <f t="shared" si="1089"/>
        <v/>
      </c>
      <c r="AF1085" s="32" t="str">
        <f t="shared" si="1089"/>
        <v/>
      </c>
      <c r="AG1085" s="32" t="str">
        <f t="shared" si="1089"/>
        <v/>
      </c>
      <c r="AH1085" s="33"/>
    </row>
    <row r="1086" hidden="1" outlineLevel="2" collapsed="1">
      <c r="A1086" s="16" t="b">
        <v>0</v>
      </c>
      <c r="B1086" s="17"/>
      <c r="C1086" s="18"/>
      <c r="D1086" s="42">
        <v>45269.0</v>
      </c>
      <c r="E1086" s="80" t="s">
        <v>60</v>
      </c>
      <c r="F1086" s="53" t="s">
        <v>630</v>
      </c>
      <c r="G1086" s="45">
        <v>2.0</v>
      </c>
      <c r="H1086" s="45">
        <v>1.0</v>
      </c>
      <c r="I1086" s="45">
        <v>3.0</v>
      </c>
      <c r="J1086" s="45">
        <v>2.0</v>
      </c>
      <c r="K1086" s="79"/>
      <c r="L1086" s="45"/>
      <c r="M1086" s="46"/>
      <c r="N1086" s="46"/>
      <c r="O1086" s="47"/>
      <c r="P1086" s="16" t="b">
        <v>0</v>
      </c>
      <c r="Q1086" s="24"/>
      <c r="R1086" s="48">
        <v>8.0</v>
      </c>
      <c r="S1086" s="45">
        <v>16.24</v>
      </c>
      <c r="T1086" s="49" t="s">
        <v>278</v>
      </c>
      <c r="U1086" s="47"/>
      <c r="V1086" s="28"/>
      <c r="W1086" s="29"/>
      <c r="X1086" s="30"/>
      <c r="Y1086" s="31"/>
      <c r="Z1086" s="26">
        <f t="shared" si="5"/>
        <v>-2</v>
      </c>
      <c r="AA1086" s="26">
        <f t="shared" si="6"/>
        <v>-3</v>
      </c>
      <c r="AB1086" s="32">
        <f t="shared" si="7"/>
        <v>-1</v>
      </c>
      <c r="AC1086" s="32">
        <f t="shared" ref="AC1086:AG1086" si="1090">IF(J1086&lt;&gt;"", IF(AND($P1086=FALSE, $A1086=FALSE), -J1086, IF(AND($P1086=FALSE, $A1086=TRUE), 0, IF($P1086=TRUE, (J1086 / $R1086) * 100 * ($S1086 / 100)-J1086, ))), )</f>
        <v>-2</v>
      </c>
      <c r="AD1086" s="32" t="str">
        <f t="shared" si="1090"/>
        <v/>
      </c>
      <c r="AE1086" s="32" t="str">
        <f t="shared" si="1090"/>
        <v/>
      </c>
      <c r="AF1086" s="32" t="str">
        <f t="shared" si="1090"/>
        <v/>
      </c>
      <c r="AG1086" s="32" t="str">
        <f t="shared" si="1090"/>
        <v/>
      </c>
      <c r="AH1086" s="33"/>
    </row>
    <row r="1087" hidden="1" outlineLevel="3">
      <c r="A1087" s="16" t="b">
        <v>0</v>
      </c>
      <c r="B1087" s="17"/>
      <c r="C1087" s="18"/>
      <c r="D1087" s="19"/>
      <c r="E1087" s="20"/>
      <c r="F1087" s="21"/>
      <c r="G1087" s="22"/>
      <c r="H1087" s="22"/>
      <c r="I1087" s="23"/>
      <c r="J1087" s="22"/>
      <c r="K1087" s="23"/>
      <c r="L1087" s="22"/>
      <c r="M1087" s="23"/>
      <c r="N1087" s="23"/>
      <c r="O1087" s="24"/>
      <c r="P1087" s="16" t="b">
        <v>0</v>
      </c>
      <c r="Q1087" s="24"/>
      <c r="R1087" s="25"/>
      <c r="S1087" s="26"/>
      <c r="T1087" s="27"/>
      <c r="U1087" s="24"/>
      <c r="V1087" s="38" t="s">
        <v>29</v>
      </c>
      <c r="W1087" s="29" t="s">
        <v>22</v>
      </c>
      <c r="X1087" s="37" t="s">
        <v>708</v>
      </c>
      <c r="Y1087" s="31"/>
      <c r="Z1087" s="26" t="str">
        <f t="shared" si="5"/>
        <v/>
      </c>
      <c r="AA1087" s="26" t="str">
        <f t="shared" si="6"/>
        <v/>
      </c>
      <c r="AB1087" s="32" t="str">
        <f t="shared" si="7"/>
        <v/>
      </c>
      <c r="AC1087" s="32" t="str">
        <f t="shared" ref="AC1087:AG1087" si="1091">IF(J1087&lt;&gt;"", IF(AND($P1087=FALSE, $A1087=FALSE), -J1087, IF(AND($P1087=FALSE, $A1087=TRUE), 0, IF($P1087=TRUE, (J1087 / $R1087) * 100 * ($S1087 / 100)-J1087, ))), )</f>
        <v/>
      </c>
      <c r="AD1087" s="32" t="str">
        <f t="shared" si="1091"/>
        <v/>
      </c>
      <c r="AE1087" s="32" t="str">
        <f t="shared" si="1091"/>
        <v/>
      </c>
      <c r="AF1087" s="32" t="str">
        <f t="shared" si="1091"/>
        <v/>
      </c>
      <c r="AG1087" s="32" t="str">
        <f t="shared" si="1091"/>
        <v/>
      </c>
      <c r="AH1087" s="33"/>
    </row>
    <row r="1088" hidden="1" outlineLevel="3">
      <c r="A1088" s="16" t="b">
        <v>0</v>
      </c>
      <c r="B1088" s="17"/>
      <c r="C1088" s="18"/>
      <c r="D1088" s="19"/>
      <c r="E1088" s="20"/>
      <c r="F1088" s="21"/>
      <c r="G1088" s="22"/>
      <c r="H1088" s="22"/>
      <c r="I1088" s="23"/>
      <c r="J1088" s="22"/>
      <c r="K1088" s="23"/>
      <c r="L1088" s="22"/>
      <c r="M1088" s="23"/>
      <c r="N1088" s="23"/>
      <c r="O1088" s="24"/>
      <c r="P1088" s="16" t="b">
        <v>0</v>
      </c>
      <c r="Q1088" s="24"/>
      <c r="R1088" s="25"/>
      <c r="S1088" s="26"/>
      <c r="T1088" s="27"/>
      <c r="U1088" s="24"/>
      <c r="V1088" s="28" t="s">
        <v>32</v>
      </c>
      <c r="W1088" s="29" t="s">
        <v>22</v>
      </c>
      <c r="X1088" s="37" t="s">
        <v>459</v>
      </c>
      <c r="Y1088" s="31"/>
      <c r="Z1088" s="26" t="str">
        <f t="shared" si="5"/>
        <v/>
      </c>
      <c r="AA1088" s="26" t="str">
        <f t="shared" si="6"/>
        <v/>
      </c>
      <c r="AB1088" s="32" t="str">
        <f t="shared" si="7"/>
        <v/>
      </c>
      <c r="AC1088" s="32" t="str">
        <f t="shared" ref="AC1088:AG1088" si="1092">IF(J1088&lt;&gt;"", IF(AND($P1088=FALSE, $A1088=FALSE), -J1088, IF(AND($P1088=FALSE, $A1088=TRUE), 0, IF($P1088=TRUE, (J1088 / $R1088) * 100 * ($S1088 / 100)-J1088, ))), )</f>
        <v/>
      </c>
      <c r="AD1088" s="32" t="str">
        <f t="shared" si="1092"/>
        <v/>
      </c>
      <c r="AE1088" s="32" t="str">
        <f t="shared" si="1092"/>
        <v/>
      </c>
      <c r="AF1088" s="32" t="str">
        <f t="shared" si="1092"/>
        <v/>
      </c>
      <c r="AG1088" s="32" t="str">
        <f t="shared" si="1092"/>
        <v/>
      </c>
      <c r="AH1088" s="33"/>
    </row>
    <row r="1089" hidden="1" outlineLevel="3">
      <c r="A1089" s="16" t="b">
        <v>0</v>
      </c>
      <c r="B1089" s="17"/>
      <c r="C1089" s="18"/>
      <c r="D1089" s="19"/>
      <c r="E1089" s="20"/>
      <c r="F1089" s="21"/>
      <c r="G1089" s="22"/>
      <c r="H1089" s="22"/>
      <c r="I1089" s="23"/>
      <c r="J1089" s="22"/>
      <c r="K1089" s="23"/>
      <c r="L1089" s="22"/>
      <c r="M1089" s="23"/>
      <c r="N1089" s="23"/>
      <c r="O1089" s="24"/>
      <c r="P1089" s="16" t="b">
        <v>0</v>
      </c>
      <c r="Q1089" s="24"/>
      <c r="R1089" s="25"/>
      <c r="S1089" s="26"/>
      <c r="T1089" s="27"/>
      <c r="U1089" s="24"/>
      <c r="V1089" s="28" t="s">
        <v>32</v>
      </c>
      <c r="W1089" s="29" t="s">
        <v>22</v>
      </c>
      <c r="X1089" s="37" t="s">
        <v>753</v>
      </c>
      <c r="Y1089" s="31"/>
      <c r="Z1089" s="26" t="str">
        <f t="shared" si="5"/>
        <v/>
      </c>
      <c r="AA1089" s="26" t="str">
        <f t="shared" si="6"/>
        <v/>
      </c>
      <c r="AB1089" s="32" t="str">
        <f t="shared" si="7"/>
        <v/>
      </c>
      <c r="AC1089" s="32" t="str">
        <f t="shared" ref="AC1089:AG1089" si="1093">IF(J1089&lt;&gt;"", IF(AND($P1089=FALSE, $A1089=FALSE), -J1089, IF(AND($P1089=FALSE, $A1089=TRUE), 0, IF($P1089=TRUE, (J1089 / $R1089) * 100 * ($S1089 / 100)-J1089, ))), )</f>
        <v/>
      </c>
      <c r="AD1089" s="32" t="str">
        <f t="shared" si="1093"/>
        <v/>
      </c>
      <c r="AE1089" s="32" t="str">
        <f t="shared" si="1093"/>
        <v/>
      </c>
      <c r="AF1089" s="32" t="str">
        <f t="shared" si="1093"/>
        <v/>
      </c>
      <c r="AG1089" s="32" t="str">
        <f t="shared" si="1093"/>
        <v/>
      </c>
      <c r="AH1089" s="33"/>
    </row>
    <row r="1090" hidden="1" outlineLevel="2">
      <c r="A1090" s="16" t="b">
        <v>0</v>
      </c>
      <c r="B1090" s="17"/>
      <c r="C1090" s="18"/>
      <c r="D1090" s="42">
        <v>45269.0</v>
      </c>
      <c r="E1090" s="80" t="s">
        <v>60</v>
      </c>
      <c r="F1090" s="53" t="s">
        <v>630</v>
      </c>
      <c r="G1090" s="45">
        <v>1.0</v>
      </c>
      <c r="H1090" s="45">
        <v>0.5</v>
      </c>
      <c r="I1090" s="45">
        <v>1.7</v>
      </c>
      <c r="J1090" s="45">
        <v>1.0</v>
      </c>
      <c r="K1090" s="79"/>
      <c r="L1090" s="45"/>
      <c r="M1090" s="46"/>
      <c r="N1090" s="46"/>
      <c r="O1090" s="47"/>
      <c r="P1090" s="16" t="b">
        <v>0</v>
      </c>
      <c r="Q1090" s="24"/>
      <c r="R1090" s="48">
        <v>4.2</v>
      </c>
      <c r="S1090" s="45">
        <v>205.01</v>
      </c>
      <c r="T1090" s="49" t="s">
        <v>754</v>
      </c>
      <c r="U1090" s="47"/>
      <c r="V1090" s="28"/>
      <c r="W1090" s="29"/>
      <c r="X1090" s="30"/>
      <c r="Y1090" s="31"/>
      <c r="Z1090" s="26">
        <f t="shared" si="5"/>
        <v>-1</v>
      </c>
      <c r="AA1090" s="26">
        <f t="shared" si="6"/>
        <v>-1.7</v>
      </c>
      <c r="AB1090" s="32">
        <f t="shared" si="7"/>
        <v>-0.5</v>
      </c>
      <c r="AC1090" s="32">
        <f t="shared" ref="AC1090:AG1090" si="1094">IF(J1090&lt;&gt;"", IF(AND($P1090=FALSE, $A1090=FALSE), -J1090, IF(AND($P1090=FALSE, $A1090=TRUE), 0, IF($P1090=TRUE, (J1090 / $R1090) * 100 * ($S1090 / 100)-J1090, ))), )</f>
        <v>-1</v>
      </c>
      <c r="AD1090" s="32" t="str">
        <f t="shared" si="1094"/>
        <v/>
      </c>
      <c r="AE1090" s="32" t="str">
        <f t="shared" si="1094"/>
        <v/>
      </c>
      <c r="AF1090" s="32" t="str">
        <f t="shared" si="1094"/>
        <v/>
      </c>
      <c r="AG1090" s="32" t="str">
        <f t="shared" si="1094"/>
        <v/>
      </c>
      <c r="AH1090" s="33"/>
    </row>
    <row r="1091" hidden="1" outlineLevel="3">
      <c r="A1091" s="16" t="b">
        <v>0</v>
      </c>
      <c r="B1091" s="17"/>
      <c r="C1091" s="18"/>
      <c r="D1091" s="19"/>
      <c r="E1091" s="20"/>
      <c r="F1091" s="21"/>
      <c r="G1091" s="22"/>
      <c r="H1091" s="22"/>
      <c r="I1091" s="23"/>
      <c r="J1091" s="22"/>
      <c r="K1091" s="23"/>
      <c r="L1091" s="22"/>
      <c r="M1091" s="23"/>
      <c r="N1091" s="23"/>
      <c r="O1091" s="24"/>
      <c r="P1091" s="16" t="b">
        <v>0</v>
      </c>
      <c r="Q1091" s="24"/>
      <c r="R1091" s="25"/>
      <c r="S1091" s="26"/>
      <c r="T1091" s="27"/>
      <c r="U1091" s="24"/>
      <c r="V1091" s="28" t="s">
        <v>32</v>
      </c>
      <c r="W1091" s="29" t="s">
        <v>22</v>
      </c>
      <c r="X1091" s="37" t="s">
        <v>755</v>
      </c>
      <c r="Y1091" s="31"/>
      <c r="Z1091" s="26" t="str">
        <f t="shared" si="5"/>
        <v/>
      </c>
      <c r="AA1091" s="26" t="str">
        <f t="shared" si="6"/>
        <v/>
      </c>
      <c r="AB1091" s="32" t="str">
        <f t="shared" si="7"/>
        <v/>
      </c>
      <c r="AC1091" s="32" t="str">
        <f t="shared" ref="AC1091:AG1091" si="1095">IF(J1091&lt;&gt;"", IF(AND($P1091=FALSE, $A1091=FALSE), -J1091, IF(AND($P1091=FALSE, $A1091=TRUE), 0, IF($P1091=TRUE, (J1091 / $R1091) * 100 * ($S1091 / 100)-J1091, ))), )</f>
        <v/>
      </c>
      <c r="AD1091" s="32" t="str">
        <f t="shared" si="1095"/>
        <v/>
      </c>
      <c r="AE1091" s="32" t="str">
        <f t="shared" si="1095"/>
        <v/>
      </c>
      <c r="AF1091" s="32" t="str">
        <f t="shared" si="1095"/>
        <v/>
      </c>
      <c r="AG1091" s="32" t="str">
        <f t="shared" si="1095"/>
        <v/>
      </c>
      <c r="AH1091" s="33"/>
    </row>
    <row r="1092" hidden="1" outlineLevel="3">
      <c r="A1092" s="16" t="b">
        <v>0</v>
      </c>
      <c r="B1092" s="17"/>
      <c r="C1092" s="18"/>
      <c r="D1092" s="19"/>
      <c r="E1092" s="20"/>
      <c r="F1092" s="21"/>
      <c r="G1092" s="22"/>
      <c r="H1092" s="22"/>
      <c r="I1092" s="23"/>
      <c r="J1092" s="22"/>
      <c r="K1092" s="23"/>
      <c r="L1092" s="22"/>
      <c r="M1092" s="23"/>
      <c r="N1092" s="23"/>
      <c r="O1092" s="24"/>
      <c r="P1092" s="16" t="b">
        <v>0</v>
      </c>
      <c r="Q1092" s="24"/>
      <c r="R1092" s="25"/>
      <c r="S1092" s="26"/>
      <c r="T1092" s="27"/>
      <c r="U1092" s="24"/>
      <c r="V1092" s="28" t="s">
        <v>32</v>
      </c>
      <c r="W1092" s="29" t="s">
        <v>22</v>
      </c>
      <c r="X1092" s="37" t="s">
        <v>756</v>
      </c>
      <c r="Y1092" s="31"/>
      <c r="Z1092" s="26" t="str">
        <f t="shared" si="5"/>
        <v/>
      </c>
      <c r="AA1092" s="26" t="str">
        <f t="shared" si="6"/>
        <v/>
      </c>
      <c r="AB1092" s="32" t="str">
        <f t="shared" si="7"/>
        <v/>
      </c>
      <c r="AC1092" s="32" t="str">
        <f t="shared" ref="AC1092:AG1092" si="1096">IF(J1092&lt;&gt;"", IF(AND($P1092=FALSE, $A1092=FALSE), -J1092, IF(AND($P1092=FALSE, $A1092=TRUE), 0, IF($P1092=TRUE, (J1092 / $R1092) * 100 * ($S1092 / 100)-J1092, ))), )</f>
        <v/>
      </c>
      <c r="AD1092" s="32" t="str">
        <f t="shared" si="1096"/>
        <v/>
      </c>
      <c r="AE1092" s="32" t="str">
        <f t="shared" si="1096"/>
        <v/>
      </c>
      <c r="AF1092" s="32" t="str">
        <f t="shared" si="1096"/>
        <v/>
      </c>
      <c r="AG1092" s="32" t="str">
        <f t="shared" si="1096"/>
        <v/>
      </c>
      <c r="AH1092" s="33"/>
    </row>
    <row r="1093" hidden="1" outlineLevel="3">
      <c r="A1093" s="16" t="b">
        <v>0</v>
      </c>
      <c r="B1093" s="17"/>
      <c r="C1093" s="18"/>
      <c r="D1093" s="19"/>
      <c r="E1093" s="20"/>
      <c r="F1093" s="21"/>
      <c r="G1093" s="22"/>
      <c r="H1093" s="22"/>
      <c r="I1093" s="23"/>
      <c r="J1093" s="22"/>
      <c r="K1093" s="23"/>
      <c r="L1093" s="22"/>
      <c r="M1093" s="23"/>
      <c r="N1093" s="23"/>
      <c r="O1093" s="24"/>
      <c r="P1093" s="16" t="b">
        <v>0</v>
      </c>
      <c r="Q1093" s="24"/>
      <c r="R1093" s="25"/>
      <c r="S1093" s="26"/>
      <c r="T1093" s="27"/>
      <c r="U1093" s="24"/>
      <c r="V1093" s="28" t="s">
        <v>32</v>
      </c>
      <c r="W1093" s="29" t="s">
        <v>22</v>
      </c>
      <c r="X1093" s="37" t="s">
        <v>757</v>
      </c>
      <c r="Y1093" s="31"/>
      <c r="Z1093" s="26" t="str">
        <f t="shared" si="5"/>
        <v/>
      </c>
      <c r="AA1093" s="26" t="str">
        <f t="shared" si="6"/>
        <v/>
      </c>
      <c r="AB1093" s="32" t="str">
        <f t="shared" si="7"/>
        <v/>
      </c>
      <c r="AC1093" s="32" t="str">
        <f t="shared" ref="AC1093:AG1093" si="1097">IF(J1093&lt;&gt;"", IF(AND($P1093=FALSE, $A1093=FALSE), -J1093, IF(AND($P1093=FALSE, $A1093=TRUE), 0, IF($P1093=TRUE, (J1093 / $R1093) * 100 * ($S1093 / 100)-J1093, ))), )</f>
        <v/>
      </c>
      <c r="AD1093" s="32" t="str">
        <f t="shared" si="1097"/>
        <v/>
      </c>
      <c r="AE1093" s="32" t="str">
        <f t="shared" si="1097"/>
        <v/>
      </c>
      <c r="AF1093" s="32" t="str">
        <f t="shared" si="1097"/>
        <v/>
      </c>
      <c r="AG1093" s="32" t="str">
        <f t="shared" si="1097"/>
        <v/>
      </c>
      <c r="AH1093" s="33"/>
    </row>
    <row r="1094" hidden="1" outlineLevel="3">
      <c r="A1094" s="16" t="b">
        <v>0</v>
      </c>
      <c r="B1094" s="17"/>
      <c r="C1094" s="18"/>
      <c r="D1094" s="19"/>
      <c r="E1094" s="20"/>
      <c r="F1094" s="21"/>
      <c r="G1094" s="22"/>
      <c r="H1094" s="22"/>
      <c r="I1094" s="23"/>
      <c r="J1094" s="22"/>
      <c r="K1094" s="23"/>
      <c r="L1094" s="22"/>
      <c r="M1094" s="23"/>
      <c r="N1094" s="23"/>
      <c r="O1094" s="24"/>
      <c r="P1094" s="16" t="b">
        <v>0</v>
      </c>
      <c r="Q1094" s="24"/>
      <c r="R1094" s="25"/>
      <c r="S1094" s="26"/>
      <c r="T1094" s="27"/>
      <c r="U1094" s="24"/>
      <c r="V1094" s="38" t="s">
        <v>29</v>
      </c>
      <c r="W1094" s="29" t="s">
        <v>22</v>
      </c>
      <c r="X1094" s="37" t="s">
        <v>758</v>
      </c>
      <c r="Y1094" s="31"/>
      <c r="Z1094" s="26" t="str">
        <f t="shared" si="5"/>
        <v/>
      </c>
      <c r="AA1094" s="26" t="str">
        <f t="shared" si="6"/>
        <v/>
      </c>
      <c r="AB1094" s="32" t="str">
        <f t="shared" si="7"/>
        <v/>
      </c>
      <c r="AC1094" s="32" t="str">
        <f t="shared" ref="AC1094:AG1094" si="1098">IF(J1094&lt;&gt;"", IF(AND($P1094=FALSE, $A1094=FALSE), -J1094, IF(AND($P1094=FALSE, $A1094=TRUE), 0, IF($P1094=TRUE, (J1094 / $R1094) * 100 * ($S1094 / 100)-J1094, ))), )</f>
        <v/>
      </c>
      <c r="AD1094" s="32" t="str">
        <f t="shared" si="1098"/>
        <v/>
      </c>
      <c r="AE1094" s="32" t="str">
        <f t="shared" si="1098"/>
        <v/>
      </c>
      <c r="AF1094" s="32" t="str">
        <f t="shared" si="1098"/>
        <v/>
      </c>
      <c r="AG1094" s="32" t="str">
        <f t="shared" si="1098"/>
        <v/>
      </c>
      <c r="AH1094" s="33"/>
    </row>
    <row r="1095" hidden="1" outlineLevel="3">
      <c r="A1095" s="16" t="b">
        <v>0</v>
      </c>
      <c r="B1095" s="17"/>
      <c r="C1095" s="18"/>
      <c r="D1095" s="19"/>
      <c r="E1095" s="20"/>
      <c r="F1095" s="21"/>
      <c r="G1095" s="22"/>
      <c r="H1095" s="22"/>
      <c r="I1095" s="23"/>
      <c r="J1095" s="22"/>
      <c r="K1095" s="23"/>
      <c r="L1095" s="22"/>
      <c r="M1095" s="23"/>
      <c r="N1095" s="23"/>
      <c r="O1095" s="24"/>
      <c r="P1095" s="16" t="b">
        <v>0</v>
      </c>
      <c r="Q1095" s="24"/>
      <c r="R1095" s="25"/>
      <c r="S1095" s="26"/>
      <c r="T1095" s="27"/>
      <c r="U1095" s="24"/>
      <c r="V1095" s="28" t="s">
        <v>32</v>
      </c>
      <c r="W1095" s="29" t="s">
        <v>22</v>
      </c>
      <c r="X1095" s="37" t="s">
        <v>759</v>
      </c>
      <c r="Y1095" s="31"/>
      <c r="Z1095" s="26" t="str">
        <f t="shared" si="5"/>
        <v/>
      </c>
      <c r="AA1095" s="26" t="str">
        <f t="shared" si="6"/>
        <v/>
      </c>
      <c r="AB1095" s="32" t="str">
        <f t="shared" si="7"/>
        <v/>
      </c>
      <c r="AC1095" s="32" t="str">
        <f t="shared" ref="AC1095:AG1095" si="1099">IF(J1095&lt;&gt;"", IF(AND($P1095=FALSE, $A1095=FALSE), -J1095, IF(AND($P1095=FALSE, $A1095=TRUE), 0, IF($P1095=TRUE, (J1095 / $R1095) * 100 * ($S1095 / 100)-J1095, ))), )</f>
        <v/>
      </c>
      <c r="AD1095" s="32" t="str">
        <f t="shared" si="1099"/>
        <v/>
      </c>
      <c r="AE1095" s="32" t="str">
        <f t="shared" si="1099"/>
        <v/>
      </c>
      <c r="AF1095" s="32" t="str">
        <f t="shared" si="1099"/>
        <v/>
      </c>
      <c r="AG1095" s="32" t="str">
        <f t="shared" si="1099"/>
        <v/>
      </c>
      <c r="AH1095" s="33"/>
    </row>
    <row r="1096" hidden="1" outlineLevel="3">
      <c r="A1096" s="16" t="b">
        <v>0</v>
      </c>
      <c r="B1096" s="17"/>
      <c r="C1096" s="18"/>
      <c r="D1096" s="19"/>
      <c r="E1096" s="20"/>
      <c r="F1096" s="21"/>
      <c r="G1096" s="22"/>
      <c r="H1096" s="22"/>
      <c r="I1096" s="23"/>
      <c r="J1096" s="22"/>
      <c r="K1096" s="23"/>
      <c r="L1096" s="22"/>
      <c r="M1096" s="23"/>
      <c r="N1096" s="23"/>
      <c r="O1096" s="24"/>
      <c r="P1096" s="16" t="b">
        <v>0</v>
      </c>
      <c r="Q1096" s="24"/>
      <c r="R1096" s="25"/>
      <c r="S1096" s="26"/>
      <c r="T1096" s="27"/>
      <c r="U1096" s="24"/>
      <c r="V1096" s="28" t="s">
        <v>32</v>
      </c>
      <c r="W1096" s="29" t="s">
        <v>22</v>
      </c>
      <c r="X1096" s="37" t="s">
        <v>760</v>
      </c>
      <c r="Y1096" s="31"/>
      <c r="Z1096" s="26" t="str">
        <f t="shared" si="5"/>
        <v/>
      </c>
      <c r="AA1096" s="26" t="str">
        <f t="shared" si="6"/>
        <v/>
      </c>
      <c r="AB1096" s="32" t="str">
        <f t="shared" si="7"/>
        <v/>
      </c>
      <c r="AC1096" s="32" t="str">
        <f t="shared" ref="AC1096:AG1096" si="1100">IF(J1096&lt;&gt;"", IF(AND($P1096=FALSE, $A1096=FALSE), -J1096, IF(AND($P1096=FALSE, $A1096=TRUE), 0, IF($P1096=TRUE, (J1096 / $R1096) * 100 * ($S1096 / 100)-J1096, ))), )</f>
        <v/>
      </c>
      <c r="AD1096" s="32" t="str">
        <f t="shared" si="1100"/>
        <v/>
      </c>
      <c r="AE1096" s="32" t="str">
        <f t="shared" si="1100"/>
        <v/>
      </c>
      <c r="AF1096" s="32" t="str">
        <f t="shared" si="1100"/>
        <v/>
      </c>
      <c r="AG1096" s="32" t="str">
        <f t="shared" si="1100"/>
        <v/>
      </c>
      <c r="AH1096" s="33"/>
    </row>
    <row r="1097" hidden="1" outlineLevel="1" collapsed="1">
      <c r="A1097" s="16" t="b">
        <v>0</v>
      </c>
      <c r="B1097" s="17"/>
      <c r="C1097" s="18"/>
      <c r="D1097" s="42">
        <v>45270.0</v>
      </c>
      <c r="E1097" s="43" t="s">
        <v>24</v>
      </c>
      <c r="F1097" s="53" t="s">
        <v>724</v>
      </c>
      <c r="G1097" s="45">
        <v>2.5</v>
      </c>
      <c r="H1097" s="45">
        <v>1.5</v>
      </c>
      <c r="I1097" s="45">
        <v>0.0</v>
      </c>
      <c r="J1097" s="46"/>
      <c r="K1097" s="46"/>
      <c r="L1097" s="45"/>
      <c r="M1097" s="46"/>
      <c r="N1097" s="46"/>
      <c r="O1097" s="47"/>
      <c r="P1097" s="16" t="b">
        <v>0</v>
      </c>
      <c r="Q1097" s="24"/>
      <c r="R1097" s="48">
        <v>4.0</v>
      </c>
      <c r="S1097" s="45">
        <v>8.94</v>
      </c>
      <c r="T1097" s="49" t="s">
        <v>380</v>
      </c>
      <c r="U1097" s="47"/>
      <c r="V1097" s="28"/>
      <c r="W1097" s="29"/>
      <c r="X1097" s="30"/>
      <c r="Y1097" s="31"/>
      <c r="Z1097" s="26">
        <f t="shared" si="5"/>
        <v>-2.5</v>
      </c>
      <c r="AA1097" s="26">
        <f t="shared" si="6"/>
        <v>0</v>
      </c>
      <c r="AB1097" s="32">
        <f t="shared" si="7"/>
        <v>-1.5</v>
      </c>
      <c r="AC1097" s="32" t="str">
        <f t="shared" ref="AC1097:AG1097" si="1101">IF(J1097&lt;&gt;"", IF(AND($P1097=FALSE, $A1097=FALSE), -J1097, IF(AND($P1097=FALSE, $A1097=TRUE), 0, IF($P1097=TRUE, (J1097 / $R1097) * 100 * ($S1097 / 100)-J1097, ))), )</f>
        <v/>
      </c>
      <c r="AD1097" s="32" t="str">
        <f t="shared" si="1101"/>
        <v/>
      </c>
      <c r="AE1097" s="32" t="str">
        <f t="shared" si="1101"/>
        <v/>
      </c>
      <c r="AF1097" s="32" t="str">
        <f t="shared" si="1101"/>
        <v/>
      </c>
      <c r="AG1097" s="32" t="str">
        <f t="shared" si="1101"/>
        <v/>
      </c>
      <c r="AH1097" s="33"/>
    </row>
    <row r="1098" hidden="1" outlineLevel="3">
      <c r="A1098" s="16" t="b">
        <v>0</v>
      </c>
      <c r="B1098" s="17"/>
      <c r="C1098" s="18"/>
      <c r="D1098" s="19"/>
      <c r="E1098" s="20"/>
      <c r="F1098" s="21"/>
      <c r="G1098" s="22"/>
      <c r="H1098" s="22"/>
      <c r="I1098" s="23"/>
      <c r="J1098" s="22"/>
      <c r="K1098" s="23"/>
      <c r="L1098" s="22"/>
      <c r="M1098" s="23"/>
      <c r="N1098" s="23"/>
      <c r="O1098" s="24"/>
      <c r="P1098" s="16" t="b">
        <v>0</v>
      </c>
      <c r="Q1098" s="24"/>
      <c r="R1098" s="25"/>
      <c r="S1098" s="26"/>
      <c r="T1098" s="27"/>
      <c r="U1098" s="24"/>
      <c r="V1098" s="28" t="s">
        <v>32</v>
      </c>
      <c r="W1098" s="29" t="s">
        <v>22</v>
      </c>
      <c r="X1098" s="37" t="s">
        <v>520</v>
      </c>
      <c r="Y1098" s="31"/>
      <c r="Z1098" s="26" t="str">
        <f t="shared" si="5"/>
        <v/>
      </c>
      <c r="AA1098" s="26" t="str">
        <f t="shared" si="6"/>
        <v/>
      </c>
      <c r="AB1098" s="32" t="str">
        <f t="shared" si="7"/>
        <v/>
      </c>
      <c r="AC1098" s="32" t="str">
        <f t="shared" ref="AC1098:AG1098" si="1102">IF(J1098&lt;&gt;"", IF(AND($P1098=FALSE, $A1098=FALSE), -J1098, IF(AND($P1098=FALSE, $A1098=TRUE), 0, IF($P1098=TRUE, (J1098 / $R1098) * 100 * ($S1098 / 100)-J1098, ))), )</f>
        <v/>
      </c>
      <c r="AD1098" s="32" t="str">
        <f t="shared" si="1102"/>
        <v/>
      </c>
      <c r="AE1098" s="32" t="str">
        <f t="shared" si="1102"/>
        <v/>
      </c>
      <c r="AF1098" s="32" t="str">
        <f t="shared" si="1102"/>
        <v/>
      </c>
      <c r="AG1098" s="32" t="str">
        <f t="shared" si="1102"/>
        <v/>
      </c>
      <c r="AH1098" s="33"/>
    </row>
    <row r="1099" hidden="1" outlineLevel="3">
      <c r="A1099" s="16" t="b">
        <v>0</v>
      </c>
      <c r="B1099" s="17"/>
      <c r="C1099" s="18"/>
      <c r="D1099" s="19"/>
      <c r="E1099" s="20"/>
      <c r="F1099" s="21"/>
      <c r="G1099" s="22"/>
      <c r="H1099" s="22"/>
      <c r="I1099" s="23"/>
      <c r="J1099" s="22"/>
      <c r="K1099" s="23"/>
      <c r="L1099" s="22"/>
      <c r="M1099" s="23"/>
      <c r="N1099" s="23"/>
      <c r="O1099" s="24"/>
      <c r="P1099" s="16" t="b">
        <v>0</v>
      </c>
      <c r="Q1099" s="24"/>
      <c r="R1099" s="25"/>
      <c r="S1099" s="26"/>
      <c r="T1099" s="27"/>
      <c r="U1099" s="24"/>
      <c r="V1099" s="28" t="s">
        <v>32</v>
      </c>
      <c r="W1099" s="29" t="s">
        <v>22</v>
      </c>
      <c r="X1099" s="37" t="s">
        <v>761</v>
      </c>
      <c r="Y1099" s="31"/>
      <c r="Z1099" s="26" t="str">
        <f t="shared" si="5"/>
        <v/>
      </c>
      <c r="AA1099" s="26" t="str">
        <f t="shared" si="6"/>
        <v/>
      </c>
      <c r="AB1099" s="32" t="str">
        <f t="shared" si="7"/>
        <v/>
      </c>
      <c r="AC1099" s="32" t="str">
        <f t="shared" ref="AC1099:AG1099" si="1103">IF(J1099&lt;&gt;"", IF(AND($P1099=FALSE, $A1099=FALSE), -J1099, IF(AND($P1099=FALSE, $A1099=TRUE), 0, IF($P1099=TRUE, (J1099 / $R1099) * 100 * ($S1099 / 100)-J1099, ))), )</f>
        <v/>
      </c>
      <c r="AD1099" s="32" t="str">
        <f t="shared" si="1103"/>
        <v/>
      </c>
      <c r="AE1099" s="32" t="str">
        <f t="shared" si="1103"/>
        <v/>
      </c>
      <c r="AF1099" s="32" t="str">
        <f t="shared" si="1103"/>
        <v/>
      </c>
      <c r="AG1099" s="32" t="str">
        <f t="shared" si="1103"/>
        <v/>
      </c>
      <c r="AH1099" s="33"/>
    </row>
    <row r="1100" hidden="1" outlineLevel="3">
      <c r="A1100" s="16" t="b">
        <v>0</v>
      </c>
      <c r="B1100" s="17"/>
      <c r="C1100" s="18"/>
      <c r="D1100" s="19"/>
      <c r="E1100" s="20"/>
      <c r="F1100" s="21"/>
      <c r="G1100" s="22"/>
      <c r="H1100" s="22"/>
      <c r="I1100" s="23"/>
      <c r="J1100" s="22"/>
      <c r="K1100" s="23"/>
      <c r="L1100" s="22"/>
      <c r="M1100" s="23"/>
      <c r="N1100" s="23"/>
      <c r="O1100" s="24"/>
      <c r="P1100" s="16" t="b">
        <v>0</v>
      </c>
      <c r="Q1100" s="24"/>
      <c r="R1100" s="25"/>
      <c r="S1100" s="26"/>
      <c r="T1100" s="27"/>
      <c r="U1100" s="24"/>
      <c r="V1100" s="38" t="s">
        <v>29</v>
      </c>
      <c r="W1100" s="29" t="s">
        <v>22</v>
      </c>
      <c r="X1100" s="37" t="s">
        <v>762</v>
      </c>
      <c r="Y1100" s="31"/>
      <c r="Z1100" s="26" t="str">
        <f t="shared" si="5"/>
        <v/>
      </c>
      <c r="AA1100" s="26" t="str">
        <f t="shared" si="6"/>
        <v/>
      </c>
      <c r="AB1100" s="32" t="str">
        <f t="shared" si="7"/>
        <v/>
      </c>
      <c r="AC1100" s="32" t="str">
        <f t="shared" ref="AC1100:AG1100" si="1104">IF(J1100&lt;&gt;"", IF(AND($P1100=FALSE, $A1100=FALSE), -J1100, IF(AND($P1100=FALSE, $A1100=TRUE), 0, IF($P1100=TRUE, (J1100 / $R1100) * 100 * ($S1100 / 100)-J1100, ))), )</f>
        <v/>
      </c>
      <c r="AD1100" s="32" t="str">
        <f t="shared" si="1104"/>
        <v/>
      </c>
      <c r="AE1100" s="32" t="str">
        <f t="shared" si="1104"/>
        <v/>
      </c>
      <c r="AF1100" s="32" t="str">
        <f t="shared" si="1104"/>
        <v/>
      </c>
      <c r="AG1100" s="32" t="str">
        <f t="shared" si="1104"/>
        <v/>
      </c>
      <c r="AH1100" s="33"/>
    </row>
    <row r="1101" hidden="1" outlineLevel="2" collapsed="1">
      <c r="A1101" s="16" t="b">
        <v>0</v>
      </c>
      <c r="B1101" s="17"/>
      <c r="C1101" s="18"/>
      <c r="D1101" s="42">
        <v>45270.0</v>
      </c>
      <c r="E1101" s="43" t="s">
        <v>24</v>
      </c>
      <c r="F1101" s="53" t="s">
        <v>724</v>
      </c>
      <c r="G1101" s="45">
        <v>2.5</v>
      </c>
      <c r="H1101" s="45">
        <v>1.5</v>
      </c>
      <c r="I1101" s="45">
        <v>2.5</v>
      </c>
      <c r="J1101" s="46"/>
      <c r="K1101" s="46"/>
      <c r="L1101" s="45"/>
      <c r="M1101" s="46"/>
      <c r="N1101" s="46"/>
      <c r="O1101" s="47"/>
      <c r="P1101" s="16" t="b">
        <v>1</v>
      </c>
      <c r="Q1101" s="24"/>
      <c r="R1101" s="48">
        <v>6.5</v>
      </c>
      <c r="S1101" s="45">
        <v>19.16</v>
      </c>
      <c r="T1101" s="49" t="s">
        <v>763</v>
      </c>
      <c r="U1101" s="47"/>
      <c r="V1101" s="28"/>
      <c r="W1101" s="29"/>
      <c r="X1101" s="30"/>
      <c r="Y1101" s="31"/>
      <c r="Z1101" s="26">
        <f t="shared" si="5"/>
        <v>4.869230769</v>
      </c>
      <c r="AA1101" s="26">
        <f t="shared" si="6"/>
        <v>4.869230769</v>
      </c>
      <c r="AB1101" s="32">
        <f t="shared" si="7"/>
        <v>2.921538462</v>
      </c>
      <c r="AC1101" s="32" t="str">
        <f t="shared" ref="AC1101:AG1101" si="1105">IF(J1101&lt;&gt;"", IF(AND($P1101=FALSE, $A1101=FALSE), -J1101, IF(AND($P1101=FALSE, $A1101=TRUE), 0, IF($P1101=TRUE, (J1101 / $R1101) * 100 * ($S1101 / 100)-J1101, ))), )</f>
        <v/>
      </c>
      <c r="AD1101" s="32" t="str">
        <f t="shared" si="1105"/>
        <v/>
      </c>
      <c r="AE1101" s="32" t="str">
        <f t="shared" si="1105"/>
        <v/>
      </c>
      <c r="AF1101" s="32" t="str">
        <f t="shared" si="1105"/>
        <v/>
      </c>
      <c r="AG1101" s="32" t="str">
        <f t="shared" si="1105"/>
        <v/>
      </c>
      <c r="AH1101" s="33"/>
    </row>
    <row r="1102" hidden="1" outlineLevel="3">
      <c r="A1102" s="16" t="b">
        <v>0</v>
      </c>
      <c r="B1102" s="17"/>
      <c r="C1102" s="18"/>
      <c r="D1102" s="19"/>
      <c r="E1102" s="20"/>
      <c r="F1102" s="21"/>
      <c r="G1102" s="22"/>
      <c r="H1102" s="22"/>
      <c r="I1102" s="23"/>
      <c r="J1102" s="22"/>
      <c r="K1102" s="23"/>
      <c r="L1102" s="22"/>
      <c r="M1102" s="23"/>
      <c r="N1102" s="23"/>
      <c r="O1102" s="24"/>
      <c r="P1102" s="16" t="b">
        <v>0</v>
      </c>
      <c r="Q1102" s="24"/>
      <c r="R1102" s="25"/>
      <c r="S1102" s="26"/>
      <c r="T1102" s="27"/>
      <c r="U1102" s="24"/>
      <c r="V1102" s="38" t="s">
        <v>29</v>
      </c>
      <c r="W1102" s="29" t="s">
        <v>22</v>
      </c>
      <c r="X1102" s="37" t="s">
        <v>764</v>
      </c>
      <c r="Y1102" s="31"/>
      <c r="Z1102" s="26" t="str">
        <f t="shared" si="5"/>
        <v/>
      </c>
      <c r="AA1102" s="26" t="str">
        <f t="shared" si="6"/>
        <v/>
      </c>
      <c r="AB1102" s="32" t="str">
        <f t="shared" si="7"/>
        <v/>
      </c>
      <c r="AC1102" s="32" t="str">
        <f t="shared" ref="AC1102:AG1102" si="1106">IF(J1102&lt;&gt;"", IF(AND($P1102=FALSE, $A1102=FALSE), -J1102, IF(AND($P1102=FALSE, $A1102=TRUE), 0, IF($P1102=TRUE, (J1102 / $R1102) * 100 * ($S1102 / 100)-J1102, ))), )</f>
        <v/>
      </c>
      <c r="AD1102" s="32" t="str">
        <f t="shared" si="1106"/>
        <v/>
      </c>
      <c r="AE1102" s="32" t="str">
        <f t="shared" si="1106"/>
        <v/>
      </c>
      <c r="AF1102" s="32" t="str">
        <f t="shared" si="1106"/>
        <v/>
      </c>
      <c r="AG1102" s="32" t="str">
        <f t="shared" si="1106"/>
        <v/>
      </c>
      <c r="AH1102" s="33"/>
    </row>
    <row r="1103" hidden="1" outlineLevel="3">
      <c r="A1103" s="16" t="b">
        <v>0</v>
      </c>
      <c r="B1103" s="17"/>
      <c r="C1103" s="18"/>
      <c r="D1103" s="19"/>
      <c r="E1103" s="20"/>
      <c r="F1103" s="21"/>
      <c r="G1103" s="22"/>
      <c r="H1103" s="22"/>
      <c r="I1103" s="23"/>
      <c r="J1103" s="22"/>
      <c r="K1103" s="23"/>
      <c r="L1103" s="22"/>
      <c r="M1103" s="23"/>
      <c r="N1103" s="23"/>
      <c r="O1103" s="24"/>
      <c r="P1103" s="16" t="b">
        <v>0</v>
      </c>
      <c r="Q1103" s="24"/>
      <c r="R1103" s="25"/>
      <c r="S1103" s="26"/>
      <c r="T1103" s="27"/>
      <c r="U1103" s="24"/>
      <c r="V1103" s="38" t="s">
        <v>29</v>
      </c>
      <c r="W1103" s="29" t="s">
        <v>22</v>
      </c>
      <c r="X1103" s="37" t="s">
        <v>765</v>
      </c>
      <c r="Y1103" s="31"/>
      <c r="Z1103" s="26" t="str">
        <f t="shared" si="5"/>
        <v/>
      </c>
      <c r="AA1103" s="26" t="str">
        <f t="shared" si="6"/>
        <v/>
      </c>
      <c r="AB1103" s="32" t="str">
        <f t="shared" si="7"/>
        <v/>
      </c>
      <c r="AC1103" s="32" t="str">
        <f t="shared" ref="AC1103:AG1103" si="1107">IF(J1103&lt;&gt;"", IF(AND($P1103=FALSE, $A1103=FALSE), -J1103, IF(AND($P1103=FALSE, $A1103=TRUE), 0, IF($P1103=TRUE, (J1103 / $R1103) * 100 * ($S1103 / 100)-J1103, ))), )</f>
        <v/>
      </c>
      <c r="AD1103" s="32" t="str">
        <f t="shared" si="1107"/>
        <v/>
      </c>
      <c r="AE1103" s="32" t="str">
        <f t="shared" si="1107"/>
        <v/>
      </c>
      <c r="AF1103" s="32" t="str">
        <f t="shared" si="1107"/>
        <v/>
      </c>
      <c r="AG1103" s="32" t="str">
        <f t="shared" si="1107"/>
        <v/>
      </c>
      <c r="AH1103" s="33"/>
    </row>
    <row r="1104" hidden="1" outlineLevel="3">
      <c r="A1104" s="16" t="b">
        <v>0</v>
      </c>
      <c r="B1104" s="17"/>
      <c r="C1104" s="18"/>
      <c r="D1104" s="19"/>
      <c r="E1104" s="20"/>
      <c r="F1104" s="21"/>
      <c r="G1104" s="22"/>
      <c r="H1104" s="22"/>
      <c r="I1104" s="23"/>
      <c r="J1104" s="22"/>
      <c r="K1104" s="23"/>
      <c r="L1104" s="22"/>
      <c r="M1104" s="23"/>
      <c r="N1104" s="23"/>
      <c r="O1104" s="24"/>
      <c r="P1104" s="16" t="b">
        <v>0</v>
      </c>
      <c r="Q1104" s="24"/>
      <c r="R1104" s="25"/>
      <c r="S1104" s="26"/>
      <c r="T1104" s="27"/>
      <c r="U1104" s="24"/>
      <c r="V1104" s="38" t="s">
        <v>29</v>
      </c>
      <c r="W1104" s="29" t="s">
        <v>22</v>
      </c>
      <c r="X1104" s="37" t="s">
        <v>766</v>
      </c>
      <c r="Y1104" s="31"/>
      <c r="Z1104" s="26" t="str">
        <f t="shared" si="5"/>
        <v/>
      </c>
      <c r="AA1104" s="26" t="str">
        <f t="shared" si="6"/>
        <v/>
      </c>
      <c r="AB1104" s="32" t="str">
        <f t="shared" si="7"/>
        <v/>
      </c>
      <c r="AC1104" s="32" t="str">
        <f t="shared" ref="AC1104:AG1104" si="1108">IF(J1104&lt;&gt;"", IF(AND($P1104=FALSE, $A1104=FALSE), -J1104, IF(AND($P1104=FALSE, $A1104=TRUE), 0, IF($P1104=TRUE, (J1104 / $R1104) * 100 * ($S1104 / 100)-J1104, ))), )</f>
        <v/>
      </c>
      <c r="AD1104" s="32" t="str">
        <f t="shared" si="1108"/>
        <v/>
      </c>
      <c r="AE1104" s="32" t="str">
        <f t="shared" si="1108"/>
        <v/>
      </c>
      <c r="AF1104" s="32" t="str">
        <f t="shared" si="1108"/>
        <v/>
      </c>
      <c r="AG1104" s="32" t="str">
        <f t="shared" si="1108"/>
        <v/>
      </c>
      <c r="AH1104" s="33"/>
    </row>
    <row r="1105" hidden="1" outlineLevel="2" collapsed="1">
      <c r="A1105" s="16" t="b">
        <v>0</v>
      </c>
      <c r="B1105" s="17"/>
      <c r="C1105" s="18"/>
      <c r="D1105" s="42">
        <v>45270.0</v>
      </c>
      <c r="E1105" s="43" t="s">
        <v>24</v>
      </c>
      <c r="F1105" s="53" t="s">
        <v>724</v>
      </c>
      <c r="G1105" s="45">
        <v>2.5</v>
      </c>
      <c r="H1105" s="45">
        <v>1.5</v>
      </c>
      <c r="I1105" s="45">
        <v>2.5</v>
      </c>
      <c r="J1105" s="46"/>
      <c r="K1105" s="46"/>
      <c r="L1105" s="45"/>
      <c r="M1105" s="46"/>
      <c r="N1105" s="46"/>
      <c r="O1105" s="47"/>
      <c r="P1105" s="16" t="b">
        <v>0</v>
      </c>
      <c r="Q1105" s="24"/>
      <c r="R1105" s="48">
        <v>6.5</v>
      </c>
      <c r="S1105" s="45">
        <v>16.58</v>
      </c>
      <c r="T1105" s="49" t="s">
        <v>66</v>
      </c>
      <c r="U1105" s="47"/>
      <c r="V1105" s="28"/>
      <c r="W1105" s="29"/>
      <c r="X1105" s="30"/>
      <c r="Y1105" s="31"/>
      <c r="Z1105" s="26">
        <f t="shared" si="5"/>
        <v>-2.5</v>
      </c>
      <c r="AA1105" s="26">
        <f t="shared" si="6"/>
        <v>-2.5</v>
      </c>
      <c r="AB1105" s="32">
        <f t="shared" si="7"/>
        <v>-1.5</v>
      </c>
      <c r="AC1105" s="32" t="str">
        <f t="shared" ref="AC1105:AG1105" si="1109">IF(J1105&lt;&gt;"", IF(AND($P1105=FALSE, $A1105=FALSE), -J1105, IF(AND($P1105=FALSE, $A1105=TRUE), 0, IF($P1105=TRUE, (J1105 / $R1105) * 100 * ($S1105 / 100)-J1105, ))), )</f>
        <v/>
      </c>
      <c r="AD1105" s="32" t="str">
        <f t="shared" si="1109"/>
        <v/>
      </c>
      <c r="AE1105" s="32" t="str">
        <f t="shared" si="1109"/>
        <v/>
      </c>
      <c r="AF1105" s="32" t="str">
        <f t="shared" si="1109"/>
        <v/>
      </c>
      <c r="AG1105" s="32" t="str">
        <f t="shared" si="1109"/>
        <v/>
      </c>
      <c r="AH1105" s="33"/>
    </row>
    <row r="1106" hidden="1" outlineLevel="3">
      <c r="A1106" s="16" t="b">
        <v>0</v>
      </c>
      <c r="B1106" s="17"/>
      <c r="C1106" s="18"/>
      <c r="D1106" s="19"/>
      <c r="E1106" s="20"/>
      <c r="F1106" s="21"/>
      <c r="G1106" s="22"/>
      <c r="H1106" s="22"/>
      <c r="I1106" s="23"/>
      <c r="J1106" s="22"/>
      <c r="K1106" s="23"/>
      <c r="L1106" s="22"/>
      <c r="M1106" s="23"/>
      <c r="N1106" s="23"/>
      <c r="O1106" s="24"/>
      <c r="P1106" s="16" t="b">
        <v>0</v>
      </c>
      <c r="Q1106" s="24"/>
      <c r="R1106" s="25"/>
      <c r="S1106" s="26"/>
      <c r="T1106" s="27"/>
      <c r="U1106" s="24"/>
      <c r="V1106" s="28" t="s">
        <v>32</v>
      </c>
      <c r="W1106" s="29" t="s">
        <v>22</v>
      </c>
      <c r="X1106" s="37" t="s">
        <v>767</v>
      </c>
      <c r="Y1106" s="31"/>
      <c r="Z1106" s="26" t="str">
        <f t="shared" si="5"/>
        <v/>
      </c>
      <c r="AA1106" s="26" t="str">
        <f t="shared" si="6"/>
        <v/>
      </c>
      <c r="AB1106" s="32" t="str">
        <f t="shared" si="7"/>
        <v/>
      </c>
      <c r="AC1106" s="32" t="str">
        <f t="shared" ref="AC1106:AG1106" si="1110">IF(J1106&lt;&gt;"", IF(AND($P1106=FALSE, $A1106=FALSE), -J1106, IF(AND($P1106=FALSE, $A1106=TRUE), 0, IF($P1106=TRUE, (J1106 / $R1106) * 100 * ($S1106 / 100)-J1106, ))), )</f>
        <v/>
      </c>
      <c r="AD1106" s="32" t="str">
        <f t="shared" si="1110"/>
        <v/>
      </c>
      <c r="AE1106" s="32" t="str">
        <f t="shared" si="1110"/>
        <v/>
      </c>
      <c r="AF1106" s="32" t="str">
        <f t="shared" si="1110"/>
        <v/>
      </c>
      <c r="AG1106" s="32" t="str">
        <f t="shared" si="1110"/>
        <v/>
      </c>
      <c r="AH1106" s="33"/>
    </row>
    <row r="1107" hidden="1" outlineLevel="3">
      <c r="A1107" s="16" t="b">
        <v>0</v>
      </c>
      <c r="B1107" s="17"/>
      <c r="C1107" s="18"/>
      <c r="D1107" s="19"/>
      <c r="E1107" s="20"/>
      <c r="F1107" s="21"/>
      <c r="G1107" s="22"/>
      <c r="H1107" s="22"/>
      <c r="I1107" s="23"/>
      <c r="J1107" s="22"/>
      <c r="K1107" s="23"/>
      <c r="L1107" s="22"/>
      <c r="M1107" s="23"/>
      <c r="N1107" s="23"/>
      <c r="O1107" s="24"/>
      <c r="P1107" s="16" t="b">
        <v>0</v>
      </c>
      <c r="Q1107" s="24"/>
      <c r="R1107" s="25"/>
      <c r="S1107" s="26"/>
      <c r="T1107" s="27"/>
      <c r="U1107" s="24"/>
      <c r="V1107" s="28" t="s">
        <v>32</v>
      </c>
      <c r="W1107" s="29" t="s">
        <v>22</v>
      </c>
      <c r="X1107" s="37" t="s">
        <v>482</v>
      </c>
      <c r="Y1107" s="31"/>
      <c r="Z1107" s="26" t="str">
        <f t="shared" si="5"/>
        <v/>
      </c>
      <c r="AA1107" s="26" t="str">
        <f t="shared" si="6"/>
        <v/>
      </c>
      <c r="AB1107" s="32" t="str">
        <f t="shared" si="7"/>
        <v/>
      </c>
      <c r="AC1107" s="32" t="str">
        <f t="shared" ref="AC1107:AG1107" si="1111">IF(J1107&lt;&gt;"", IF(AND($P1107=FALSE, $A1107=FALSE), -J1107, IF(AND($P1107=FALSE, $A1107=TRUE), 0, IF($P1107=TRUE, (J1107 / $R1107) * 100 * ($S1107 / 100)-J1107, ))), )</f>
        <v/>
      </c>
      <c r="AD1107" s="32" t="str">
        <f t="shared" si="1111"/>
        <v/>
      </c>
      <c r="AE1107" s="32" t="str">
        <f t="shared" si="1111"/>
        <v/>
      </c>
      <c r="AF1107" s="32" t="str">
        <f t="shared" si="1111"/>
        <v/>
      </c>
      <c r="AG1107" s="32" t="str">
        <f t="shared" si="1111"/>
        <v/>
      </c>
      <c r="AH1107" s="33"/>
    </row>
    <row r="1108" hidden="1" outlineLevel="3">
      <c r="A1108" s="16" t="b">
        <v>0</v>
      </c>
      <c r="B1108" s="17"/>
      <c r="C1108" s="18"/>
      <c r="D1108" s="19"/>
      <c r="E1108" s="20"/>
      <c r="F1108" s="21"/>
      <c r="G1108" s="22"/>
      <c r="H1108" s="22"/>
      <c r="I1108" s="23"/>
      <c r="J1108" s="22"/>
      <c r="K1108" s="23"/>
      <c r="L1108" s="22"/>
      <c r="M1108" s="23"/>
      <c r="N1108" s="23"/>
      <c r="O1108" s="24"/>
      <c r="P1108" s="16" t="b">
        <v>0</v>
      </c>
      <c r="Q1108" s="24"/>
      <c r="R1108" s="25"/>
      <c r="S1108" s="26"/>
      <c r="T1108" s="27"/>
      <c r="U1108" s="24"/>
      <c r="V1108" s="38" t="s">
        <v>29</v>
      </c>
      <c r="W1108" s="29" t="s">
        <v>22</v>
      </c>
      <c r="X1108" s="37" t="s">
        <v>768</v>
      </c>
      <c r="Y1108" s="31"/>
      <c r="Z1108" s="26" t="str">
        <f t="shared" si="5"/>
        <v/>
      </c>
      <c r="AA1108" s="26" t="str">
        <f t="shared" si="6"/>
        <v/>
      </c>
      <c r="AB1108" s="32" t="str">
        <f t="shared" si="7"/>
        <v/>
      </c>
      <c r="AC1108" s="32" t="str">
        <f t="shared" ref="AC1108:AG1108" si="1112">IF(J1108&lt;&gt;"", IF(AND($P1108=FALSE, $A1108=FALSE), -J1108, IF(AND($P1108=FALSE, $A1108=TRUE), 0, IF($P1108=TRUE, (J1108 / $R1108) * 100 * ($S1108 / 100)-J1108, ))), )</f>
        <v/>
      </c>
      <c r="AD1108" s="32" t="str">
        <f t="shared" si="1112"/>
        <v/>
      </c>
      <c r="AE1108" s="32" t="str">
        <f t="shared" si="1112"/>
        <v/>
      </c>
      <c r="AF1108" s="32" t="str">
        <f t="shared" si="1112"/>
        <v/>
      </c>
      <c r="AG1108" s="32" t="str">
        <f t="shared" si="1112"/>
        <v/>
      </c>
      <c r="AH1108" s="33"/>
    </row>
    <row r="1109" hidden="1" outlineLevel="3">
      <c r="A1109" s="16" t="b">
        <v>0</v>
      </c>
      <c r="B1109" s="17"/>
      <c r="C1109" s="18"/>
      <c r="D1109" s="19"/>
      <c r="E1109" s="20"/>
      <c r="F1109" s="21"/>
      <c r="G1109" s="22"/>
      <c r="H1109" s="22"/>
      <c r="I1109" s="23"/>
      <c r="J1109" s="22"/>
      <c r="K1109" s="23"/>
      <c r="L1109" s="22"/>
      <c r="M1109" s="23"/>
      <c r="N1109" s="23"/>
      <c r="O1109" s="24"/>
      <c r="P1109" s="16" t="b">
        <v>0</v>
      </c>
      <c r="Q1109" s="24"/>
      <c r="R1109" s="25"/>
      <c r="S1109" s="26"/>
      <c r="T1109" s="27"/>
      <c r="U1109" s="24"/>
      <c r="V1109" s="28" t="s">
        <v>32</v>
      </c>
      <c r="W1109" s="29" t="s">
        <v>22</v>
      </c>
      <c r="X1109" s="37" t="s">
        <v>653</v>
      </c>
      <c r="Y1109" s="31"/>
      <c r="Z1109" s="26" t="str">
        <f t="shared" si="5"/>
        <v/>
      </c>
      <c r="AA1109" s="26" t="str">
        <f t="shared" si="6"/>
        <v/>
      </c>
      <c r="AB1109" s="32" t="str">
        <f t="shared" si="7"/>
        <v/>
      </c>
      <c r="AC1109" s="32" t="str">
        <f t="shared" ref="AC1109:AG1109" si="1113">IF(J1109&lt;&gt;"", IF(AND($P1109=FALSE, $A1109=FALSE), -J1109, IF(AND($P1109=FALSE, $A1109=TRUE), 0, IF($P1109=TRUE, (J1109 / $R1109) * 100 * ($S1109 / 100)-J1109, ))), )</f>
        <v/>
      </c>
      <c r="AD1109" s="32" t="str">
        <f t="shared" si="1113"/>
        <v/>
      </c>
      <c r="AE1109" s="32" t="str">
        <f t="shared" si="1113"/>
        <v/>
      </c>
      <c r="AF1109" s="32" t="str">
        <f t="shared" si="1113"/>
        <v/>
      </c>
      <c r="AG1109" s="32" t="str">
        <f t="shared" si="1113"/>
        <v/>
      </c>
      <c r="AH1109" s="33"/>
    </row>
    <row r="1110" hidden="1" outlineLevel="2" collapsed="1">
      <c r="A1110" s="16" t="b">
        <v>0</v>
      </c>
      <c r="B1110" s="17"/>
      <c r="C1110" s="18"/>
      <c r="D1110" s="42">
        <v>45270.0</v>
      </c>
      <c r="E1110" s="43" t="s">
        <v>24</v>
      </c>
      <c r="F1110" s="53" t="s">
        <v>724</v>
      </c>
      <c r="G1110" s="45">
        <v>2.5</v>
      </c>
      <c r="H1110" s="45">
        <v>1.5</v>
      </c>
      <c r="I1110" s="45">
        <v>3.0</v>
      </c>
      <c r="J1110" s="46"/>
      <c r="K1110" s="46"/>
      <c r="L1110" s="45"/>
      <c r="M1110" s="46"/>
      <c r="N1110" s="46"/>
      <c r="O1110" s="47"/>
      <c r="P1110" s="16" t="b">
        <v>1</v>
      </c>
      <c r="Q1110" s="24"/>
      <c r="R1110" s="48">
        <v>7.0</v>
      </c>
      <c r="S1110" s="45">
        <v>14.81</v>
      </c>
      <c r="T1110" s="49" t="s">
        <v>511</v>
      </c>
      <c r="U1110" s="47"/>
      <c r="V1110" s="28"/>
      <c r="W1110" s="29"/>
      <c r="X1110" s="30"/>
      <c r="Y1110" s="31"/>
      <c r="Z1110" s="26">
        <f t="shared" si="5"/>
        <v>2.789285714</v>
      </c>
      <c r="AA1110" s="26">
        <f t="shared" si="6"/>
        <v>3.347142857</v>
      </c>
      <c r="AB1110" s="32">
        <f t="shared" si="7"/>
        <v>1.673571429</v>
      </c>
      <c r="AC1110" s="32" t="str">
        <f t="shared" ref="AC1110:AG1110" si="1114">IF(J1110&lt;&gt;"", IF(AND($P1110=FALSE, $A1110=FALSE), -J1110, IF(AND($P1110=FALSE, $A1110=TRUE), 0, IF($P1110=TRUE, (J1110 / $R1110) * 100 * ($S1110 / 100)-J1110, ))), )</f>
        <v/>
      </c>
      <c r="AD1110" s="32" t="str">
        <f t="shared" si="1114"/>
        <v/>
      </c>
      <c r="AE1110" s="32" t="str">
        <f t="shared" si="1114"/>
        <v/>
      </c>
      <c r="AF1110" s="32" t="str">
        <f t="shared" si="1114"/>
        <v/>
      </c>
      <c r="AG1110" s="32" t="str">
        <f t="shared" si="1114"/>
        <v/>
      </c>
      <c r="AH1110" s="33"/>
    </row>
    <row r="1111" hidden="1" outlineLevel="3">
      <c r="A1111" s="16" t="b">
        <v>0</v>
      </c>
      <c r="B1111" s="17"/>
      <c r="C1111" s="18"/>
      <c r="D1111" s="19"/>
      <c r="E1111" s="20"/>
      <c r="F1111" s="21"/>
      <c r="G1111" s="22"/>
      <c r="H1111" s="22"/>
      <c r="I1111" s="23"/>
      <c r="J1111" s="22"/>
      <c r="K1111" s="23"/>
      <c r="L1111" s="22"/>
      <c r="M1111" s="23"/>
      <c r="N1111" s="23"/>
      <c r="O1111" s="24"/>
      <c r="P1111" s="16" t="b">
        <v>0</v>
      </c>
      <c r="Q1111" s="24"/>
      <c r="R1111" s="25"/>
      <c r="S1111" s="26"/>
      <c r="T1111" s="27"/>
      <c r="U1111" s="24"/>
      <c r="V1111" s="38" t="s">
        <v>29</v>
      </c>
      <c r="W1111" s="29" t="s">
        <v>22</v>
      </c>
      <c r="X1111" s="37" t="s">
        <v>769</v>
      </c>
      <c r="Y1111" s="31"/>
      <c r="Z1111" s="26" t="str">
        <f t="shared" si="5"/>
        <v/>
      </c>
      <c r="AA1111" s="26" t="str">
        <f t="shared" si="6"/>
        <v/>
      </c>
      <c r="AB1111" s="32" t="str">
        <f t="shared" si="7"/>
        <v/>
      </c>
      <c r="AC1111" s="32" t="str">
        <f t="shared" ref="AC1111:AG1111" si="1115">IF(J1111&lt;&gt;"", IF(AND($P1111=FALSE, $A1111=FALSE), -J1111, IF(AND($P1111=FALSE, $A1111=TRUE), 0, IF($P1111=TRUE, (J1111 / $R1111) * 100 * ($S1111 / 100)-J1111, ))), )</f>
        <v/>
      </c>
      <c r="AD1111" s="32" t="str">
        <f t="shared" si="1115"/>
        <v/>
      </c>
      <c r="AE1111" s="32" t="str">
        <f t="shared" si="1115"/>
        <v/>
      </c>
      <c r="AF1111" s="32" t="str">
        <f t="shared" si="1115"/>
        <v/>
      </c>
      <c r="AG1111" s="32" t="str">
        <f t="shared" si="1115"/>
        <v/>
      </c>
      <c r="AH1111" s="33"/>
    </row>
    <row r="1112" hidden="1" outlineLevel="3">
      <c r="A1112" s="16" t="b">
        <v>0</v>
      </c>
      <c r="B1112" s="17"/>
      <c r="C1112" s="18"/>
      <c r="D1112" s="19"/>
      <c r="E1112" s="20"/>
      <c r="F1112" s="21"/>
      <c r="G1112" s="22"/>
      <c r="H1112" s="22"/>
      <c r="I1112" s="23"/>
      <c r="J1112" s="22"/>
      <c r="K1112" s="23"/>
      <c r="L1112" s="22"/>
      <c r="M1112" s="23"/>
      <c r="N1112" s="23"/>
      <c r="O1112" s="24"/>
      <c r="P1112" s="16" t="b">
        <v>0</v>
      </c>
      <c r="Q1112" s="24"/>
      <c r="R1112" s="25"/>
      <c r="S1112" s="26"/>
      <c r="T1112" s="27"/>
      <c r="U1112" s="24"/>
      <c r="V1112" s="38" t="s">
        <v>29</v>
      </c>
      <c r="W1112" s="29" t="s">
        <v>22</v>
      </c>
      <c r="X1112" s="37" t="s">
        <v>770</v>
      </c>
      <c r="Y1112" s="31"/>
      <c r="Z1112" s="26" t="str">
        <f t="shared" si="5"/>
        <v/>
      </c>
      <c r="AA1112" s="26" t="str">
        <f t="shared" si="6"/>
        <v/>
      </c>
      <c r="AB1112" s="32" t="str">
        <f t="shared" si="7"/>
        <v/>
      </c>
      <c r="AC1112" s="32" t="str">
        <f t="shared" ref="AC1112:AG1112" si="1116">IF(J1112&lt;&gt;"", IF(AND($P1112=FALSE, $A1112=FALSE), -J1112, IF(AND($P1112=FALSE, $A1112=TRUE), 0, IF($P1112=TRUE, (J1112 / $R1112) * 100 * ($S1112 / 100)-J1112, ))), )</f>
        <v/>
      </c>
      <c r="AD1112" s="32" t="str">
        <f t="shared" si="1116"/>
        <v/>
      </c>
      <c r="AE1112" s="32" t="str">
        <f t="shared" si="1116"/>
        <v/>
      </c>
      <c r="AF1112" s="32" t="str">
        <f t="shared" si="1116"/>
        <v/>
      </c>
      <c r="AG1112" s="32" t="str">
        <f t="shared" si="1116"/>
        <v/>
      </c>
      <c r="AH1112" s="33"/>
    </row>
    <row r="1113" hidden="1" outlineLevel="3">
      <c r="A1113" s="16" t="b">
        <v>0</v>
      </c>
      <c r="B1113" s="17"/>
      <c r="C1113" s="18"/>
      <c r="D1113" s="19"/>
      <c r="E1113" s="20"/>
      <c r="F1113" s="21"/>
      <c r="G1113" s="22"/>
      <c r="H1113" s="22"/>
      <c r="I1113" s="23"/>
      <c r="J1113" s="22"/>
      <c r="K1113" s="23"/>
      <c r="L1113" s="22"/>
      <c r="M1113" s="23"/>
      <c r="N1113" s="23"/>
      <c r="O1113" s="24"/>
      <c r="P1113" s="16" t="b">
        <v>0</v>
      </c>
      <c r="Q1113" s="24"/>
      <c r="R1113" s="25"/>
      <c r="S1113" s="26"/>
      <c r="T1113" s="27"/>
      <c r="U1113" s="24"/>
      <c r="V1113" s="38" t="s">
        <v>29</v>
      </c>
      <c r="W1113" s="29" t="s">
        <v>22</v>
      </c>
      <c r="X1113" s="37" t="s">
        <v>141</v>
      </c>
      <c r="Y1113" s="31"/>
      <c r="Z1113" s="26" t="str">
        <f t="shared" si="5"/>
        <v/>
      </c>
      <c r="AA1113" s="26" t="str">
        <f t="shared" si="6"/>
        <v/>
      </c>
      <c r="AB1113" s="32" t="str">
        <f t="shared" si="7"/>
        <v/>
      </c>
      <c r="AC1113" s="32" t="str">
        <f t="shared" ref="AC1113:AG1113" si="1117">IF(J1113&lt;&gt;"", IF(AND($P1113=FALSE, $A1113=FALSE), -J1113, IF(AND($P1113=FALSE, $A1113=TRUE), 0, IF($P1113=TRUE, (J1113 / $R1113) * 100 * ($S1113 / 100)-J1113, ))), )</f>
        <v/>
      </c>
      <c r="AD1113" s="32" t="str">
        <f t="shared" si="1117"/>
        <v/>
      </c>
      <c r="AE1113" s="32" t="str">
        <f t="shared" si="1117"/>
        <v/>
      </c>
      <c r="AF1113" s="32" t="str">
        <f t="shared" si="1117"/>
        <v/>
      </c>
      <c r="AG1113" s="32" t="str">
        <f t="shared" si="1117"/>
        <v/>
      </c>
      <c r="AH1113" s="33"/>
    </row>
    <row r="1114" hidden="1" outlineLevel="2" collapsed="1">
      <c r="A1114" s="16" t="b">
        <v>0</v>
      </c>
      <c r="B1114" s="17"/>
      <c r="C1114" s="18"/>
      <c r="D1114" s="42">
        <v>45270.0</v>
      </c>
      <c r="E1114" s="43" t="s">
        <v>24</v>
      </c>
      <c r="F1114" s="53" t="s">
        <v>724</v>
      </c>
      <c r="G1114" s="45">
        <v>2.5</v>
      </c>
      <c r="H1114" s="45">
        <v>1.5</v>
      </c>
      <c r="I1114" s="45">
        <v>3.0</v>
      </c>
      <c r="J1114" s="46"/>
      <c r="K1114" s="46"/>
      <c r="L1114" s="45"/>
      <c r="M1114" s="46"/>
      <c r="N1114" s="46"/>
      <c r="O1114" s="47"/>
      <c r="P1114" s="16" t="b">
        <v>0</v>
      </c>
      <c r="Q1114" s="24"/>
      <c r="R1114" s="48">
        <v>7.0</v>
      </c>
      <c r="S1114" s="45">
        <v>14.9</v>
      </c>
      <c r="T1114" s="49" t="s">
        <v>567</v>
      </c>
      <c r="U1114" s="47"/>
      <c r="V1114" s="28"/>
      <c r="W1114" s="29"/>
      <c r="X1114" s="30"/>
      <c r="Y1114" s="31"/>
      <c r="Z1114" s="26">
        <f t="shared" si="5"/>
        <v>-2.5</v>
      </c>
      <c r="AA1114" s="26">
        <f t="shared" si="6"/>
        <v>-3</v>
      </c>
      <c r="AB1114" s="32">
        <f t="shared" si="7"/>
        <v>-1.5</v>
      </c>
      <c r="AC1114" s="32" t="str">
        <f t="shared" ref="AC1114:AG1114" si="1118">IF(J1114&lt;&gt;"", IF(AND($P1114=FALSE, $A1114=FALSE), -J1114, IF(AND($P1114=FALSE, $A1114=TRUE), 0, IF($P1114=TRUE, (J1114 / $R1114) * 100 * ($S1114 / 100)-J1114, ))), )</f>
        <v/>
      </c>
      <c r="AD1114" s="32" t="str">
        <f t="shared" si="1118"/>
        <v/>
      </c>
      <c r="AE1114" s="32" t="str">
        <f t="shared" si="1118"/>
        <v/>
      </c>
      <c r="AF1114" s="32" t="str">
        <f t="shared" si="1118"/>
        <v/>
      </c>
      <c r="AG1114" s="32" t="str">
        <f t="shared" si="1118"/>
        <v/>
      </c>
      <c r="AH1114" s="33"/>
    </row>
    <row r="1115" hidden="1" outlineLevel="3">
      <c r="A1115" s="16" t="b">
        <v>0</v>
      </c>
      <c r="B1115" s="17"/>
      <c r="C1115" s="18"/>
      <c r="D1115" s="19"/>
      <c r="E1115" s="20"/>
      <c r="F1115" s="21"/>
      <c r="G1115" s="22"/>
      <c r="H1115" s="22"/>
      <c r="I1115" s="23"/>
      <c r="J1115" s="22"/>
      <c r="K1115" s="23"/>
      <c r="L1115" s="22"/>
      <c r="M1115" s="23"/>
      <c r="N1115" s="23"/>
      <c r="O1115" s="24"/>
      <c r="P1115" s="16" t="b">
        <v>0</v>
      </c>
      <c r="Q1115" s="24"/>
      <c r="R1115" s="25"/>
      <c r="S1115" s="26"/>
      <c r="T1115" s="27"/>
      <c r="U1115" s="24"/>
      <c r="V1115" s="38" t="s">
        <v>29</v>
      </c>
      <c r="W1115" s="29" t="s">
        <v>22</v>
      </c>
      <c r="X1115" s="37" t="s">
        <v>771</v>
      </c>
      <c r="Y1115" s="31"/>
      <c r="Z1115" s="26" t="str">
        <f t="shared" si="5"/>
        <v/>
      </c>
      <c r="AA1115" s="26" t="str">
        <f t="shared" si="6"/>
        <v/>
      </c>
      <c r="AB1115" s="32" t="str">
        <f t="shared" si="7"/>
        <v/>
      </c>
      <c r="AC1115" s="32" t="str">
        <f t="shared" ref="AC1115:AG1115" si="1119">IF(J1115&lt;&gt;"", IF(AND($P1115=FALSE, $A1115=FALSE), -J1115, IF(AND($P1115=FALSE, $A1115=TRUE), 0, IF($P1115=TRUE, (J1115 / $R1115) * 100 * ($S1115 / 100)-J1115, ))), )</f>
        <v/>
      </c>
      <c r="AD1115" s="32" t="str">
        <f t="shared" si="1119"/>
        <v/>
      </c>
      <c r="AE1115" s="32" t="str">
        <f t="shared" si="1119"/>
        <v/>
      </c>
      <c r="AF1115" s="32" t="str">
        <f t="shared" si="1119"/>
        <v/>
      </c>
      <c r="AG1115" s="32" t="str">
        <f t="shared" si="1119"/>
        <v/>
      </c>
      <c r="AH1115" s="33"/>
    </row>
    <row r="1116" hidden="1" outlineLevel="3">
      <c r="A1116" s="16" t="b">
        <v>0</v>
      </c>
      <c r="B1116" s="17"/>
      <c r="C1116" s="18"/>
      <c r="D1116" s="19"/>
      <c r="E1116" s="20"/>
      <c r="F1116" s="21"/>
      <c r="G1116" s="22"/>
      <c r="H1116" s="22"/>
      <c r="I1116" s="23"/>
      <c r="J1116" s="22"/>
      <c r="K1116" s="23"/>
      <c r="L1116" s="22"/>
      <c r="M1116" s="23"/>
      <c r="N1116" s="23"/>
      <c r="O1116" s="24"/>
      <c r="P1116" s="16" t="b">
        <v>0</v>
      </c>
      <c r="Q1116" s="24"/>
      <c r="R1116" s="25"/>
      <c r="S1116" s="26"/>
      <c r="T1116" s="27"/>
      <c r="U1116" s="24"/>
      <c r="V1116" s="28" t="s">
        <v>32</v>
      </c>
      <c r="W1116" s="29" t="s">
        <v>22</v>
      </c>
      <c r="X1116" s="37" t="s">
        <v>772</v>
      </c>
      <c r="Y1116" s="31"/>
      <c r="Z1116" s="26" t="str">
        <f t="shared" si="5"/>
        <v/>
      </c>
      <c r="AA1116" s="26" t="str">
        <f t="shared" si="6"/>
        <v/>
      </c>
      <c r="AB1116" s="32" t="str">
        <f t="shared" si="7"/>
        <v/>
      </c>
      <c r="AC1116" s="32" t="str">
        <f t="shared" ref="AC1116:AG1116" si="1120">IF(J1116&lt;&gt;"", IF(AND($P1116=FALSE, $A1116=FALSE), -J1116, IF(AND($P1116=FALSE, $A1116=TRUE), 0, IF($P1116=TRUE, (J1116 / $R1116) * 100 * ($S1116 / 100)-J1116, ))), )</f>
        <v/>
      </c>
      <c r="AD1116" s="32" t="str">
        <f t="shared" si="1120"/>
        <v/>
      </c>
      <c r="AE1116" s="32" t="str">
        <f t="shared" si="1120"/>
        <v/>
      </c>
      <c r="AF1116" s="32" t="str">
        <f t="shared" si="1120"/>
        <v/>
      </c>
      <c r="AG1116" s="32" t="str">
        <f t="shared" si="1120"/>
        <v/>
      </c>
      <c r="AH1116" s="33"/>
    </row>
    <row r="1117" hidden="1" outlineLevel="3">
      <c r="A1117" s="16" t="b">
        <v>0</v>
      </c>
      <c r="B1117" s="17"/>
      <c r="C1117" s="18"/>
      <c r="D1117" s="19"/>
      <c r="E1117" s="20"/>
      <c r="F1117" s="21"/>
      <c r="G1117" s="22"/>
      <c r="H1117" s="22"/>
      <c r="I1117" s="23"/>
      <c r="J1117" s="22"/>
      <c r="K1117" s="23"/>
      <c r="L1117" s="22"/>
      <c r="M1117" s="23"/>
      <c r="N1117" s="23"/>
      <c r="O1117" s="24"/>
      <c r="P1117" s="16" t="b">
        <v>0</v>
      </c>
      <c r="Q1117" s="24"/>
      <c r="R1117" s="25"/>
      <c r="S1117" s="26"/>
      <c r="T1117" s="27"/>
      <c r="U1117" s="24"/>
      <c r="V1117" s="38" t="s">
        <v>29</v>
      </c>
      <c r="W1117" s="29" t="s">
        <v>22</v>
      </c>
      <c r="X1117" s="37" t="s">
        <v>103</v>
      </c>
      <c r="Y1117" s="31"/>
      <c r="Z1117" s="26" t="str">
        <f t="shared" si="5"/>
        <v/>
      </c>
      <c r="AA1117" s="26" t="str">
        <f t="shared" si="6"/>
        <v/>
      </c>
      <c r="AB1117" s="32" t="str">
        <f t="shared" si="7"/>
        <v/>
      </c>
      <c r="AC1117" s="32" t="str">
        <f t="shared" ref="AC1117:AG1117" si="1121">IF(J1117&lt;&gt;"", IF(AND($P1117=FALSE, $A1117=FALSE), -J1117, IF(AND($P1117=FALSE, $A1117=TRUE), 0, IF($P1117=TRUE, (J1117 / $R1117) * 100 * ($S1117 / 100)-J1117, ))), )</f>
        <v/>
      </c>
      <c r="AD1117" s="32" t="str">
        <f t="shared" si="1121"/>
        <v/>
      </c>
      <c r="AE1117" s="32" t="str">
        <f t="shared" si="1121"/>
        <v/>
      </c>
      <c r="AF1117" s="32" t="str">
        <f t="shared" si="1121"/>
        <v/>
      </c>
      <c r="AG1117" s="32" t="str">
        <f t="shared" si="1121"/>
        <v/>
      </c>
      <c r="AH1117" s="33"/>
    </row>
    <row r="1118" hidden="1" outlineLevel="2" collapsed="1">
      <c r="A1118" s="16" t="b">
        <v>0</v>
      </c>
      <c r="B1118" s="17"/>
      <c r="C1118" s="18"/>
      <c r="D1118" s="42">
        <v>45270.0</v>
      </c>
      <c r="E1118" s="43" t="s">
        <v>24</v>
      </c>
      <c r="F1118" s="53" t="s">
        <v>724</v>
      </c>
      <c r="G1118" s="45">
        <v>2.5</v>
      </c>
      <c r="H1118" s="45">
        <v>1.5</v>
      </c>
      <c r="I1118" s="45">
        <v>3.0</v>
      </c>
      <c r="J1118" s="46"/>
      <c r="K1118" s="46"/>
      <c r="L1118" s="45"/>
      <c r="M1118" s="46"/>
      <c r="N1118" s="46"/>
      <c r="O1118" s="47"/>
      <c r="P1118" s="16" t="b">
        <v>0</v>
      </c>
      <c r="Q1118" s="24"/>
      <c r="R1118" s="48">
        <v>7.0</v>
      </c>
      <c r="S1118" s="45">
        <v>18.44</v>
      </c>
      <c r="T1118" s="49" t="s">
        <v>773</v>
      </c>
      <c r="U1118" s="47"/>
      <c r="V1118" s="28"/>
      <c r="W1118" s="29"/>
      <c r="X1118" s="30"/>
      <c r="Y1118" s="31"/>
      <c r="Z1118" s="26">
        <f t="shared" si="5"/>
        <v>-2.5</v>
      </c>
      <c r="AA1118" s="26">
        <f t="shared" si="6"/>
        <v>-3</v>
      </c>
      <c r="AB1118" s="32">
        <f t="shared" si="7"/>
        <v>-1.5</v>
      </c>
      <c r="AC1118" s="32" t="str">
        <f t="shared" ref="AC1118:AG1118" si="1122">IF(J1118&lt;&gt;"", IF(AND($P1118=FALSE, $A1118=FALSE), -J1118, IF(AND($P1118=FALSE, $A1118=TRUE), 0, IF($P1118=TRUE, (J1118 / $R1118) * 100 * ($S1118 / 100)-J1118, ))), )</f>
        <v/>
      </c>
      <c r="AD1118" s="32" t="str">
        <f t="shared" si="1122"/>
        <v/>
      </c>
      <c r="AE1118" s="32" t="str">
        <f t="shared" si="1122"/>
        <v/>
      </c>
      <c r="AF1118" s="32" t="str">
        <f t="shared" si="1122"/>
        <v/>
      </c>
      <c r="AG1118" s="32" t="str">
        <f t="shared" si="1122"/>
        <v/>
      </c>
      <c r="AH1118" s="33"/>
    </row>
    <row r="1119" hidden="1" outlineLevel="3">
      <c r="A1119" s="16" t="b">
        <v>0</v>
      </c>
      <c r="B1119" s="17"/>
      <c r="C1119" s="18"/>
      <c r="D1119" s="19"/>
      <c r="E1119" s="20"/>
      <c r="F1119" s="21"/>
      <c r="G1119" s="22"/>
      <c r="H1119" s="22"/>
      <c r="I1119" s="23"/>
      <c r="J1119" s="22"/>
      <c r="K1119" s="23"/>
      <c r="L1119" s="22"/>
      <c r="M1119" s="23"/>
      <c r="N1119" s="23"/>
      <c r="O1119" s="24"/>
      <c r="P1119" s="16" t="b">
        <v>0</v>
      </c>
      <c r="Q1119" s="24"/>
      <c r="R1119" s="25"/>
      <c r="S1119" s="26"/>
      <c r="T1119" s="27"/>
      <c r="U1119" s="24"/>
      <c r="V1119" s="28" t="s">
        <v>32</v>
      </c>
      <c r="W1119" s="29" t="s">
        <v>22</v>
      </c>
      <c r="X1119" s="37" t="s">
        <v>774</v>
      </c>
      <c r="Y1119" s="31"/>
      <c r="Z1119" s="26" t="str">
        <f t="shared" si="5"/>
        <v/>
      </c>
      <c r="AA1119" s="26" t="str">
        <f t="shared" si="6"/>
        <v/>
      </c>
      <c r="AB1119" s="32" t="str">
        <f t="shared" si="7"/>
        <v/>
      </c>
      <c r="AC1119" s="32" t="str">
        <f t="shared" ref="AC1119:AG1119" si="1123">IF(J1119&lt;&gt;"", IF(AND($P1119=FALSE, $A1119=FALSE), -J1119, IF(AND($P1119=FALSE, $A1119=TRUE), 0, IF($P1119=TRUE, (J1119 / $R1119) * 100 * ($S1119 / 100)-J1119, ))), )</f>
        <v/>
      </c>
      <c r="AD1119" s="32" t="str">
        <f t="shared" si="1123"/>
        <v/>
      </c>
      <c r="AE1119" s="32" t="str">
        <f t="shared" si="1123"/>
        <v/>
      </c>
      <c r="AF1119" s="32" t="str">
        <f t="shared" si="1123"/>
        <v/>
      </c>
      <c r="AG1119" s="32" t="str">
        <f t="shared" si="1123"/>
        <v/>
      </c>
      <c r="AH1119" s="33"/>
    </row>
    <row r="1120" hidden="1" outlineLevel="3">
      <c r="A1120" s="16" t="b">
        <v>0</v>
      </c>
      <c r="B1120" s="17"/>
      <c r="C1120" s="18"/>
      <c r="D1120" s="19"/>
      <c r="E1120" s="20"/>
      <c r="F1120" s="21"/>
      <c r="G1120" s="22"/>
      <c r="H1120" s="22"/>
      <c r="I1120" s="23"/>
      <c r="J1120" s="22"/>
      <c r="K1120" s="23"/>
      <c r="L1120" s="22"/>
      <c r="M1120" s="23"/>
      <c r="N1120" s="23"/>
      <c r="O1120" s="24"/>
      <c r="P1120" s="16" t="b">
        <v>0</v>
      </c>
      <c r="Q1120" s="24"/>
      <c r="R1120" s="25"/>
      <c r="S1120" s="26"/>
      <c r="T1120" s="27"/>
      <c r="U1120" s="24"/>
      <c r="V1120" s="28" t="s">
        <v>32</v>
      </c>
      <c r="W1120" s="29" t="s">
        <v>22</v>
      </c>
      <c r="X1120" s="37" t="s">
        <v>775</v>
      </c>
      <c r="Y1120" s="31"/>
      <c r="Z1120" s="26" t="str">
        <f t="shared" si="5"/>
        <v/>
      </c>
      <c r="AA1120" s="26" t="str">
        <f t="shared" si="6"/>
        <v/>
      </c>
      <c r="AB1120" s="32" t="str">
        <f t="shared" si="7"/>
        <v/>
      </c>
      <c r="AC1120" s="32" t="str">
        <f t="shared" ref="AC1120:AG1120" si="1124">IF(J1120&lt;&gt;"", IF(AND($P1120=FALSE, $A1120=FALSE), -J1120, IF(AND($P1120=FALSE, $A1120=TRUE), 0, IF($P1120=TRUE, (J1120 / $R1120) * 100 * ($S1120 / 100)-J1120, ))), )</f>
        <v/>
      </c>
      <c r="AD1120" s="32" t="str">
        <f t="shared" si="1124"/>
        <v/>
      </c>
      <c r="AE1120" s="32" t="str">
        <f t="shared" si="1124"/>
        <v/>
      </c>
      <c r="AF1120" s="32" t="str">
        <f t="shared" si="1124"/>
        <v/>
      </c>
      <c r="AG1120" s="32" t="str">
        <f t="shared" si="1124"/>
        <v/>
      </c>
      <c r="AH1120" s="33"/>
    </row>
    <row r="1121" hidden="1" outlineLevel="3">
      <c r="A1121" s="16" t="b">
        <v>0</v>
      </c>
      <c r="B1121" s="17"/>
      <c r="C1121" s="18"/>
      <c r="D1121" s="19"/>
      <c r="E1121" s="20"/>
      <c r="F1121" s="21"/>
      <c r="G1121" s="22"/>
      <c r="H1121" s="22"/>
      <c r="I1121" s="23"/>
      <c r="J1121" s="22"/>
      <c r="K1121" s="23"/>
      <c r="L1121" s="22"/>
      <c r="M1121" s="23"/>
      <c r="N1121" s="23"/>
      <c r="O1121" s="24"/>
      <c r="P1121" s="16" t="b">
        <v>0</v>
      </c>
      <c r="Q1121" s="24"/>
      <c r="R1121" s="25"/>
      <c r="S1121" s="26"/>
      <c r="T1121" s="27"/>
      <c r="U1121" s="24"/>
      <c r="V1121" s="28" t="s">
        <v>32</v>
      </c>
      <c r="W1121" s="29" t="s">
        <v>22</v>
      </c>
      <c r="X1121" s="37" t="s">
        <v>651</v>
      </c>
      <c r="Y1121" s="31"/>
      <c r="Z1121" s="26" t="str">
        <f t="shared" si="5"/>
        <v/>
      </c>
      <c r="AA1121" s="26" t="str">
        <f t="shared" si="6"/>
        <v/>
      </c>
      <c r="AB1121" s="32" t="str">
        <f t="shared" si="7"/>
        <v/>
      </c>
      <c r="AC1121" s="32" t="str">
        <f t="shared" ref="AC1121:AG1121" si="1125">IF(J1121&lt;&gt;"", IF(AND($P1121=FALSE, $A1121=FALSE), -J1121, IF(AND($P1121=FALSE, $A1121=TRUE), 0, IF($P1121=TRUE, (J1121 / $R1121) * 100 * ($S1121 / 100)-J1121, ))), )</f>
        <v/>
      </c>
      <c r="AD1121" s="32" t="str">
        <f t="shared" si="1125"/>
        <v/>
      </c>
      <c r="AE1121" s="32" t="str">
        <f t="shared" si="1125"/>
        <v/>
      </c>
      <c r="AF1121" s="32" t="str">
        <f t="shared" si="1125"/>
        <v/>
      </c>
      <c r="AG1121" s="32" t="str">
        <f t="shared" si="1125"/>
        <v/>
      </c>
      <c r="AH1121" s="33"/>
    </row>
    <row r="1122" hidden="1" outlineLevel="2" collapsed="1">
      <c r="A1122" s="16" t="b">
        <v>0</v>
      </c>
      <c r="B1122" s="17"/>
      <c r="C1122" s="18"/>
      <c r="D1122" s="42">
        <v>45270.0</v>
      </c>
      <c r="E1122" s="43" t="s">
        <v>24</v>
      </c>
      <c r="F1122" s="53" t="s">
        <v>724</v>
      </c>
      <c r="G1122" s="45">
        <v>5.0</v>
      </c>
      <c r="H1122" s="45">
        <v>2.0</v>
      </c>
      <c r="I1122" s="45">
        <v>3.0</v>
      </c>
      <c r="J1122" s="46"/>
      <c r="K1122" s="46"/>
      <c r="L1122" s="45"/>
      <c r="M1122" s="46"/>
      <c r="N1122" s="46"/>
      <c r="O1122" s="47"/>
      <c r="P1122" s="16" t="b">
        <v>0</v>
      </c>
      <c r="Q1122" s="24"/>
      <c r="R1122" s="48">
        <v>10.0</v>
      </c>
      <c r="S1122" s="45">
        <v>40.47</v>
      </c>
      <c r="T1122" s="49" t="s">
        <v>776</v>
      </c>
      <c r="U1122" s="47"/>
      <c r="V1122" s="28"/>
      <c r="W1122" s="29"/>
      <c r="X1122" s="30"/>
      <c r="Y1122" s="31"/>
      <c r="Z1122" s="26">
        <f t="shared" si="5"/>
        <v>-5</v>
      </c>
      <c r="AA1122" s="26">
        <f t="shared" si="6"/>
        <v>-3</v>
      </c>
      <c r="AB1122" s="32">
        <f t="shared" si="7"/>
        <v>-2</v>
      </c>
      <c r="AC1122" s="32" t="str">
        <f t="shared" ref="AC1122:AG1122" si="1126">IF(J1122&lt;&gt;"", IF(AND($P1122=FALSE, $A1122=FALSE), -J1122, IF(AND($P1122=FALSE, $A1122=TRUE), 0, IF($P1122=TRUE, (J1122 / $R1122) * 100 * ($S1122 / 100)-J1122, ))), )</f>
        <v/>
      </c>
      <c r="AD1122" s="32" t="str">
        <f t="shared" si="1126"/>
        <v/>
      </c>
      <c r="AE1122" s="32" t="str">
        <f t="shared" si="1126"/>
        <v/>
      </c>
      <c r="AF1122" s="32" t="str">
        <f t="shared" si="1126"/>
        <v/>
      </c>
      <c r="AG1122" s="32" t="str">
        <f t="shared" si="1126"/>
        <v/>
      </c>
      <c r="AH1122" s="33"/>
    </row>
    <row r="1123" hidden="1" outlineLevel="3">
      <c r="A1123" s="16" t="b">
        <v>0</v>
      </c>
      <c r="B1123" s="17"/>
      <c r="C1123" s="18"/>
      <c r="D1123" s="19"/>
      <c r="E1123" s="20"/>
      <c r="F1123" s="21"/>
      <c r="G1123" s="22"/>
      <c r="H1123" s="22"/>
      <c r="I1123" s="23"/>
      <c r="J1123" s="22"/>
      <c r="K1123" s="23"/>
      <c r="L1123" s="22"/>
      <c r="M1123" s="23"/>
      <c r="N1123" s="23"/>
      <c r="O1123" s="24"/>
      <c r="P1123" s="16" t="b">
        <v>0</v>
      </c>
      <c r="Q1123" s="24"/>
      <c r="R1123" s="25"/>
      <c r="S1123" s="26"/>
      <c r="T1123" s="27"/>
      <c r="U1123" s="24"/>
      <c r="V1123" s="28" t="s">
        <v>32</v>
      </c>
      <c r="W1123" s="29" t="s">
        <v>22</v>
      </c>
      <c r="X1123" s="37" t="s">
        <v>777</v>
      </c>
      <c r="Y1123" s="31"/>
      <c r="Z1123" s="26" t="str">
        <f t="shared" si="5"/>
        <v/>
      </c>
      <c r="AA1123" s="26" t="str">
        <f t="shared" si="6"/>
        <v/>
      </c>
      <c r="AB1123" s="32" t="str">
        <f t="shared" si="7"/>
        <v/>
      </c>
      <c r="AC1123" s="32" t="str">
        <f t="shared" ref="AC1123:AG1123" si="1127">IF(J1123&lt;&gt;"", IF(AND($P1123=FALSE, $A1123=FALSE), -J1123, IF(AND($P1123=FALSE, $A1123=TRUE), 0, IF($P1123=TRUE, (J1123 / $R1123) * 100 * ($S1123 / 100)-J1123, ))), )</f>
        <v/>
      </c>
      <c r="AD1123" s="32" t="str">
        <f t="shared" si="1127"/>
        <v/>
      </c>
      <c r="AE1123" s="32" t="str">
        <f t="shared" si="1127"/>
        <v/>
      </c>
      <c r="AF1123" s="32" t="str">
        <f t="shared" si="1127"/>
        <v/>
      </c>
      <c r="AG1123" s="32" t="str">
        <f t="shared" si="1127"/>
        <v/>
      </c>
      <c r="AH1123" s="33"/>
    </row>
    <row r="1124" hidden="1" outlineLevel="3">
      <c r="A1124" s="16" t="b">
        <v>0</v>
      </c>
      <c r="B1124" s="17"/>
      <c r="C1124" s="18"/>
      <c r="D1124" s="19"/>
      <c r="E1124" s="20"/>
      <c r="F1124" s="21"/>
      <c r="G1124" s="22"/>
      <c r="H1124" s="22"/>
      <c r="I1124" s="23"/>
      <c r="J1124" s="22"/>
      <c r="K1124" s="23"/>
      <c r="L1124" s="22"/>
      <c r="M1124" s="23"/>
      <c r="N1124" s="23"/>
      <c r="O1124" s="24"/>
      <c r="P1124" s="16" t="b">
        <v>0</v>
      </c>
      <c r="Q1124" s="24"/>
      <c r="R1124" s="25"/>
      <c r="S1124" s="26"/>
      <c r="T1124" s="27"/>
      <c r="U1124" s="24"/>
      <c r="V1124" s="38" t="s">
        <v>29</v>
      </c>
      <c r="W1124" s="29" t="s">
        <v>22</v>
      </c>
      <c r="X1124" s="37" t="s">
        <v>312</v>
      </c>
      <c r="Y1124" s="31"/>
      <c r="Z1124" s="26" t="str">
        <f t="shared" si="5"/>
        <v/>
      </c>
      <c r="AA1124" s="26" t="str">
        <f t="shared" si="6"/>
        <v/>
      </c>
      <c r="AB1124" s="32" t="str">
        <f t="shared" si="7"/>
        <v/>
      </c>
      <c r="AC1124" s="32" t="str">
        <f t="shared" ref="AC1124:AG1124" si="1128">IF(J1124&lt;&gt;"", IF(AND($P1124=FALSE, $A1124=FALSE), -J1124, IF(AND($P1124=FALSE, $A1124=TRUE), 0, IF($P1124=TRUE, (J1124 / $R1124) * 100 * ($S1124 / 100)-J1124, ))), )</f>
        <v/>
      </c>
      <c r="AD1124" s="32" t="str">
        <f t="shared" si="1128"/>
        <v/>
      </c>
      <c r="AE1124" s="32" t="str">
        <f t="shared" si="1128"/>
        <v/>
      </c>
      <c r="AF1124" s="32" t="str">
        <f t="shared" si="1128"/>
        <v/>
      </c>
      <c r="AG1124" s="32" t="str">
        <f t="shared" si="1128"/>
        <v/>
      </c>
      <c r="AH1124" s="33"/>
    </row>
    <row r="1125" hidden="1" outlineLevel="3">
      <c r="A1125" s="16" t="b">
        <v>0</v>
      </c>
      <c r="B1125" s="17"/>
      <c r="C1125" s="18"/>
      <c r="D1125" s="19"/>
      <c r="E1125" s="20"/>
      <c r="F1125" s="21"/>
      <c r="G1125" s="22"/>
      <c r="H1125" s="22"/>
      <c r="I1125" s="23"/>
      <c r="J1125" s="22"/>
      <c r="K1125" s="23"/>
      <c r="L1125" s="22"/>
      <c r="M1125" s="23"/>
      <c r="N1125" s="23"/>
      <c r="O1125" s="24"/>
      <c r="P1125" s="16" t="b">
        <v>0</v>
      </c>
      <c r="Q1125" s="24"/>
      <c r="R1125" s="25"/>
      <c r="S1125" s="26"/>
      <c r="T1125" s="27"/>
      <c r="U1125" s="24"/>
      <c r="V1125" s="38" t="s">
        <v>29</v>
      </c>
      <c r="W1125" s="29" t="s">
        <v>22</v>
      </c>
      <c r="X1125" s="37" t="s">
        <v>675</v>
      </c>
      <c r="Y1125" s="31"/>
      <c r="Z1125" s="26" t="str">
        <f t="shared" si="5"/>
        <v/>
      </c>
      <c r="AA1125" s="26" t="str">
        <f t="shared" si="6"/>
        <v/>
      </c>
      <c r="AB1125" s="32" t="str">
        <f t="shared" si="7"/>
        <v/>
      </c>
      <c r="AC1125" s="32" t="str">
        <f t="shared" ref="AC1125:AG1125" si="1129">IF(J1125&lt;&gt;"", IF(AND($P1125=FALSE, $A1125=FALSE), -J1125, IF(AND($P1125=FALSE, $A1125=TRUE), 0, IF($P1125=TRUE, (J1125 / $R1125) * 100 * ($S1125 / 100)-J1125, ))), )</f>
        <v/>
      </c>
      <c r="AD1125" s="32" t="str">
        <f t="shared" si="1129"/>
        <v/>
      </c>
      <c r="AE1125" s="32" t="str">
        <f t="shared" si="1129"/>
        <v/>
      </c>
      <c r="AF1125" s="32" t="str">
        <f t="shared" si="1129"/>
        <v/>
      </c>
      <c r="AG1125" s="32" t="str">
        <f t="shared" si="1129"/>
        <v/>
      </c>
      <c r="AH1125" s="33"/>
    </row>
    <row r="1126" hidden="1" outlineLevel="3">
      <c r="A1126" s="16" t="b">
        <v>0</v>
      </c>
      <c r="B1126" s="17"/>
      <c r="C1126" s="18"/>
      <c r="D1126" s="19"/>
      <c r="E1126" s="20"/>
      <c r="F1126" s="21"/>
      <c r="G1126" s="22"/>
      <c r="H1126" s="22"/>
      <c r="I1126" s="23"/>
      <c r="J1126" s="22"/>
      <c r="K1126" s="23"/>
      <c r="L1126" s="22"/>
      <c r="M1126" s="23"/>
      <c r="N1126" s="23"/>
      <c r="O1126" s="24"/>
      <c r="P1126" s="16" t="b">
        <v>0</v>
      </c>
      <c r="Q1126" s="24"/>
      <c r="R1126" s="25"/>
      <c r="S1126" s="26"/>
      <c r="T1126" s="27"/>
      <c r="U1126" s="24"/>
      <c r="V1126" s="38" t="s">
        <v>29</v>
      </c>
      <c r="W1126" s="29" t="s">
        <v>22</v>
      </c>
      <c r="X1126" s="37" t="s">
        <v>676</v>
      </c>
      <c r="Y1126" s="31"/>
      <c r="Z1126" s="26" t="str">
        <f t="shared" si="5"/>
        <v/>
      </c>
      <c r="AA1126" s="26" t="str">
        <f t="shared" si="6"/>
        <v/>
      </c>
      <c r="AB1126" s="32" t="str">
        <f t="shared" si="7"/>
        <v/>
      </c>
      <c r="AC1126" s="32" t="str">
        <f t="shared" ref="AC1126:AG1126" si="1130">IF(J1126&lt;&gt;"", IF(AND($P1126=FALSE, $A1126=FALSE), -J1126, IF(AND($P1126=FALSE, $A1126=TRUE), 0, IF($P1126=TRUE, (J1126 / $R1126) * 100 * ($S1126 / 100)-J1126, ))), )</f>
        <v/>
      </c>
      <c r="AD1126" s="32" t="str">
        <f t="shared" si="1130"/>
        <v/>
      </c>
      <c r="AE1126" s="32" t="str">
        <f t="shared" si="1130"/>
        <v/>
      </c>
      <c r="AF1126" s="32" t="str">
        <f t="shared" si="1130"/>
        <v/>
      </c>
      <c r="AG1126" s="32" t="str">
        <f t="shared" si="1130"/>
        <v/>
      </c>
      <c r="AH1126" s="33"/>
    </row>
    <row r="1127" hidden="1" outlineLevel="3">
      <c r="A1127" s="16" t="b">
        <v>0</v>
      </c>
      <c r="B1127" s="17"/>
      <c r="C1127" s="18"/>
      <c r="D1127" s="19"/>
      <c r="E1127" s="20"/>
      <c r="F1127" s="21"/>
      <c r="G1127" s="22"/>
      <c r="H1127" s="22"/>
      <c r="I1127" s="23"/>
      <c r="J1127" s="22"/>
      <c r="K1127" s="23"/>
      <c r="L1127" s="22"/>
      <c r="M1127" s="23"/>
      <c r="N1127" s="23"/>
      <c r="O1127" s="24"/>
      <c r="P1127" s="16" t="b">
        <v>0</v>
      </c>
      <c r="Q1127" s="24"/>
      <c r="R1127" s="25"/>
      <c r="S1127" s="26"/>
      <c r="T1127" s="27"/>
      <c r="U1127" s="24"/>
      <c r="V1127" s="38" t="s">
        <v>29</v>
      </c>
      <c r="W1127" s="29" t="s">
        <v>22</v>
      </c>
      <c r="X1127" s="37" t="s">
        <v>497</v>
      </c>
      <c r="Y1127" s="31"/>
      <c r="Z1127" s="26" t="str">
        <f t="shared" si="5"/>
        <v/>
      </c>
      <c r="AA1127" s="26" t="str">
        <f t="shared" si="6"/>
        <v/>
      </c>
      <c r="AB1127" s="32" t="str">
        <f t="shared" si="7"/>
        <v/>
      </c>
      <c r="AC1127" s="32" t="str">
        <f t="shared" ref="AC1127:AG1127" si="1131">IF(J1127&lt;&gt;"", IF(AND($P1127=FALSE, $A1127=FALSE), -J1127, IF(AND($P1127=FALSE, $A1127=TRUE), 0, IF($P1127=TRUE, (J1127 / $R1127) * 100 * ($S1127 / 100)-J1127, ))), )</f>
        <v/>
      </c>
      <c r="AD1127" s="32" t="str">
        <f t="shared" si="1131"/>
        <v/>
      </c>
      <c r="AE1127" s="32" t="str">
        <f t="shared" si="1131"/>
        <v/>
      </c>
      <c r="AF1127" s="32" t="str">
        <f t="shared" si="1131"/>
        <v/>
      </c>
      <c r="AG1127" s="32" t="str">
        <f t="shared" si="1131"/>
        <v/>
      </c>
      <c r="AH1127" s="33"/>
    </row>
    <row r="1128" hidden="1" outlineLevel="3">
      <c r="A1128" s="16" t="b">
        <v>0</v>
      </c>
      <c r="B1128" s="17"/>
      <c r="C1128" s="18"/>
      <c r="D1128" s="19"/>
      <c r="E1128" s="20"/>
      <c r="F1128" s="21"/>
      <c r="G1128" s="22"/>
      <c r="H1128" s="22"/>
      <c r="I1128" s="23"/>
      <c r="J1128" s="22"/>
      <c r="K1128" s="23"/>
      <c r="L1128" s="22"/>
      <c r="M1128" s="23"/>
      <c r="N1128" s="23"/>
      <c r="O1128" s="24"/>
      <c r="P1128" s="16" t="b">
        <v>0</v>
      </c>
      <c r="Q1128" s="24"/>
      <c r="R1128" s="25"/>
      <c r="S1128" s="26"/>
      <c r="T1128" s="27"/>
      <c r="U1128" s="24"/>
      <c r="V1128" s="38" t="s">
        <v>29</v>
      </c>
      <c r="W1128" s="29" t="s">
        <v>22</v>
      </c>
      <c r="X1128" s="37" t="s">
        <v>406</v>
      </c>
      <c r="Y1128" s="31"/>
      <c r="Z1128" s="26" t="str">
        <f t="shared" si="5"/>
        <v/>
      </c>
      <c r="AA1128" s="26" t="str">
        <f t="shared" si="6"/>
        <v/>
      </c>
      <c r="AB1128" s="32" t="str">
        <f t="shared" si="7"/>
        <v/>
      </c>
      <c r="AC1128" s="32" t="str">
        <f t="shared" ref="AC1128:AG1128" si="1132">IF(J1128&lt;&gt;"", IF(AND($P1128=FALSE, $A1128=FALSE), -J1128, IF(AND($P1128=FALSE, $A1128=TRUE), 0, IF($P1128=TRUE, (J1128 / $R1128) * 100 * ($S1128 / 100)-J1128, ))), )</f>
        <v/>
      </c>
      <c r="AD1128" s="32" t="str">
        <f t="shared" si="1132"/>
        <v/>
      </c>
      <c r="AE1128" s="32" t="str">
        <f t="shared" si="1132"/>
        <v/>
      </c>
      <c r="AF1128" s="32" t="str">
        <f t="shared" si="1132"/>
        <v/>
      </c>
      <c r="AG1128" s="32" t="str">
        <f t="shared" si="1132"/>
        <v/>
      </c>
      <c r="AH1128" s="33"/>
    </row>
    <row r="1129" hidden="1" outlineLevel="2" collapsed="1">
      <c r="A1129" s="16" t="b">
        <v>0</v>
      </c>
      <c r="B1129" s="17"/>
      <c r="C1129" s="18"/>
      <c r="D1129" s="42">
        <v>45270.0</v>
      </c>
      <c r="E1129" s="43" t="s">
        <v>24</v>
      </c>
      <c r="F1129" s="53" t="s">
        <v>724</v>
      </c>
      <c r="G1129" s="45">
        <v>2.5</v>
      </c>
      <c r="H1129" s="45">
        <v>1.5</v>
      </c>
      <c r="I1129" s="45">
        <v>0.0</v>
      </c>
      <c r="J1129" s="46"/>
      <c r="K1129" s="46"/>
      <c r="L1129" s="45"/>
      <c r="M1129" s="46"/>
      <c r="N1129" s="46"/>
      <c r="O1129" s="47"/>
      <c r="P1129" s="16" t="b">
        <v>0</v>
      </c>
      <c r="Q1129" s="24"/>
      <c r="R1129" s="48">
        <v>4.0</v>
      </c>
      <c r="S1129" s="45">
        <v>9.8</v>
      </c>
      <c r="T1129" s="49" t="s">
        <v>390</v>
      </c>
      <c r="U1129" s="47"/>
      <c r="V1129" s="28"/>
      <c r="W1129" s="29"/>
      <c r="X1129" s="30"/>
      <c r="Y1129" s="31"/>
      <c r="Z1129" s="26">
        <f t="shared" si="5"/>
        <v>-2.5</v>
      </c>
      <c r="AA1129" s="26">
        <f t="shared" si="6"/>
        <v>0</v>
      </c>
      <c r="AB1129" s="32">
        <f t="shared" si="7"/>
        <v>-1.5</v>
      </c>
      <c r="AC1129" s="32" t="str">
        <f t="shared" ref="AC1129:AG1129" si="1133">IF(J1129&lt;&gt;"", IF(AND($P1129=FALSE, $A1129=FALSE), -J1129, IF(AND($P1129=FALSE, $A1129=TRUE), 0, IF($P1129=TRUE, (J1129 / $R1129) * 100 * ($S1129 / 100)-J1129, ))), )</f>
        <v/>
      </c>
      <c r="AD1129" s="32" t="str">
        <f t="shared" si="1133"/>
        <v/>
      </c>
      <c r="AE1129" s="32" t="str">
        <f t="shared" si="1133"/>
        <v/>
      </c>
      <c r="AF1129" s="32" t="str">
        <f t="shared" si="1133"/>
        <v/>
      </c>
      <c r="AG1129" s="32" t="str">
        <f t="shared" si="1133"/>
        <v/>
      </c>
      <c r="AH1129" s="33"/>
    </row>
    <row r="1130" hidden="1" outlineLevel="3">
      <c r="A1130" s="16" t="b">
        <v>0</v>
      </c>
      <c r="B1130" s="17"/>
      <c r="C1130" s="18"/>
      <c r="D1130" s="19"/>
      <c r="E1130" s="20"/>
      <c r="F1130" s="21"/>
      <c r="G1130" s="22"/>
      <c r="H1130" s="22"/>
      <c r="I1130" s="23"/>
      <c r="J1130" s="22"/>
      <c r="K1130" s="23"/>
      <c r="L1130" s="22"/>
      <c r="M1130" s="23"/>
      <c r="N1130" s="23"/>
      <c r="O1130" s="24"/>
      <c r="P1130" s="16" t="b">
        <v>0</v>
      </c>
      <c r="Q1130" s="24"/>
      <c r="R1130" s="25"/>
      <c r="S1130" s="26"/>
      <c r="T1130" s="27"/>
      <c r="U1130" s="24"/>
      <c r="V1130" s="28" t="s">
        <v>32</v>
      </c>
      <c r="W1130" s="29" t="s">
        <v>22</v>
      </c>
      <c r="X1130" s="37" t="s">
        <v>778</v>
      </c>
      <c r="Y1130" s="31"/>
      <c r="Z1130" s="26" t="str">
        <f t="shared" si="5"/>
        <v/>
      </c>
      <c r="AA1130" s="26" t="str">
        <f t="shared" si="6"/>
        <v/>
      </c>
      <c r="AB1130" s="32" t="str">
        <f t="shared" si="7"/>
        <v/>
      </c>
      <c r="AC1130" s="32" t="str">
        <f t="shared" ref="AC1130:AG1130" si="1134">IF(J1130&lt;&gt;"", IF(AND($P1130=FALSE, $A1130=FALSE), -J1130, IF(AND($P1130=FALSE, $A1130=TRUE), 0, IF($P1130=TRUE, (J1130 / $R1130) * 100 * ($S1130 / 100)-J1130, ))), )</f>
        <v/>
      </c>
      <c r="AD1130" s="32" t="str">
        <f t="shared" si="1134"/>
        <v/>
      </c>
      <c r="AE1130" s="32" t="str">
        <f t="shared" si="1134"/>
        <v/>
      </c>
      <c r="AF1130" s="32" t="str">
        <f t="shared" si="1134"/>
        <v/>
      </c>
      <c r="AG1130" s="32" t="str">
        <f t="shared" si="1134"/>
        <v/>
      </c>
      <c r="AH1130" s="33"/>
    </row>
    <row r="1131" hidden="1" outlineLevel="2" collapsed="1">
      <c r="A1131" s="16" t="b">
        <v>0</v>
      </c>
      <c r="B1131" s="17"/>
      <c r="C1131" s="18"/>
      <c r="D1131" s="42">
        <v>45270.0</v>
      </c>
      <c r="E1131" s="43" t="s">
        <v>24</v>
      </c>
      <c r="F1131" s="53" t="s">
        <v>724</v>
      </c>
      <c r="G1131" s="45">
        <v>2.5</v>
      </c>
      <c r="H1131" s="45">
        <v>1.5</v>
      </c>
      <c r="I1131" s="45">
        <v>3.0</v>
      </c>
      <c r="J1131" s="46"/>
      <c r="K1131" s="46"/>
      <c r="L1131" s="45"/>
      <c r="M1131" s="46"/>
      <c r="N1131" s="46"/>
      <c r="O1131" s="47"/>
      <c r="P1131" s="16" t="b">
        <v>0</v>
      </c>
      <c r="Q1131" s="24"/>
      <c r="R1131" s="48">
        <v>7.0</v>
      </c>
      <c r="S1131" s="45">
        <v>19.11</v>
      </c>
      <c r="T1131" s="49" t="s">
        <v>592</v>
      </c>
      <c r="U1131" s="47"/>
      <c r="V1131" s="28"/>
      <c r="W1131" s="29"/>
      <c r="X1131" s="30"/>
      <c r="Y1131" s="31"/>
      <c r="Z1131" s="26">
        <f t="shared" si="5"/>
        <v>-2.5</v>
      </c>
      <c r="AA1131" s="26">
        <f t="shared" si="6"/>
        <v>-3</v>
      </c>
      <c r="AB1131" s="32">
        <f t="shared" si="7"/>
        <v>-1.5</v>
      </c>
      <c r="AC1131" s="32" t="str">
        <f t="shared" ref="AC1131:AG1131" si="1135">IF(J1131&lt;&gt;"", IF(AND($P1131=FALSE, $A1131=FALSE), -J1131, IF(AND($P1131=FALSE, $A1131=TRUE), 0, IF($P1131=TRUE, (J1131 / $R1131) * 100 * ($S1131 / 100)-J1131, ))), )</f>
        <v/>
      </c>
      <c r="AD1131" s="32" t="str">
        <f t="shared" si="1135"/>
        <v/>
      </c>
      <c r="AE1131" s="32" t="str">
        <f t="shared" si="1135"/>
        <v/>
      </c>
      <c r="AF1131" s="32" t="str">
        <f t="shared" si="1135"/>
        <v/>
      </c>
      <c r="AG1131" s="32" t="str">
        <f t="shared" si="1135"/>
        <v/>
      </c>
      <c r="AH1131" s="33"/>
    </row>
    <row r="1132" hidden="1" outlineLevel="3">
      <c r="A1132" s="16" t="b">
        <v>0</v>
      </c>
      <c r="B1132" s="17"/>
      <c r="C1132" s="18"/>
      <c r="D1132" s="19"/>
      <c r="E1132" s="20"/>
      <c r="F1132" s="21"/>
      <c r="G1132" s="22"/>
      <c r="H1132" s="22"/>
      <c r="I1132" s="23"/>
      <c r="J1132" s="22"/>
      <c r="K1132" s="23"/>
      <c r="L1132" s="22"/>
      <c r="M1132" s="23"/>
      <c r="N1132" s="23"/>
      <c r="O1132" s="24"/>
      <c r="P1132" s="16" t="b">
        <v>0</v>
      </c>
      <c r="Q1132" s="24"/>
      <c r="R1132" s="25"/>
      <c r="S1132" s="26"/>
      <c r="T1132" s="27"/>
      <c r="U1132" s="24"/>
      <c r="V1132" s="28" t="s">
        <v>32</v>
      </c>
      <c r="W1132" s="29" t="s">
        <v>22</v>
      </c>
      <c r="X1132" s="37" t="s">
        <v>779</v>
      </c>
      <c r="Y1132" s="31"/>
      <c r="Z1132" s="26" t="str">
        <f t="shared" si="5"/>
        <v/>
      </c>
      <c r="AA1132" s="26" t="str">
        <f t="shared" si="6"/>
        <v/>
      </c>
      <c r="AB1132" s="32" t="str">
        <f t="shared" si="7"/>
        <v/>
      </c>
      <c r="AC1132" s="32" t="str">
        <f t="shared" ref="AC1132:AG1132" si="1136">IF(J1132&lt;&gt;"", IF(AND($P1132=FALSE, $A1132=FALSE), -J1132, IF(AND($P1132=FALSE, $A1132=TRUE), 0, IF($P1132=TRUE, (J1132 / $R1132) * 100 * ($S1132 / 100)-J1132, ))), )</f>
        <v/>
      </c>
      <c r="AD1132" s="32" t="str">
        <f t="shared" si="1136"/>
        <v/>
      </c>
      <c r="AE1132" s="32" t="str">
        <f t="shared" si="1136"/>
        <v/>
      </c>
      <c r="AF1132" s="32" t="str">
        <f t="shared" si="1136"/>
        <v/>
      </c>
      <c r="AG1132" s="32" t="str">
        <f t="shared" si="1136"/>
        <v/>
      </c>
      <c r="AH1132" s="33"/>
    </row>
    <row r="1133" hidden="1" outlineLevel="3">
      <c r="A1133" s="16" t="b">
        <v>0</v>
      </c>
      <c r="B1133" s="17"/>
      <c r="C1133" s="18"/>
      <c r="D1133" s="19"/>
      <c r="E1133" s="20"/>
      <c r="F1133" s="21"/>
      <c r="G1133" s="22"/>
      <c r="H1133" s="22"/>
      <c r="I1133" s="23"/>
      <c r="J1133" s="22"/>
      <c r="K1133" s="23"/>
      <c r="L1133" s="22"/>
      <c r="M1133" s="23"/>
      <c r="N1133" s="23"/>
      <c r="O1133" s="24"/>
      <c r="P1133" s="16" t="b">
        <v>0</v>
      </c>
      <c r="Q1133" s="24"/>
      <c r="R1133" s="25"/>
      <c r="S1133" s="26"/>
      <c r="T1133" s="27"/>
      <c r="U1133" s="24"/>
      <c r="V1133" s="38" t="s">
        <v>29</v>
      </c>
      <c r="W1133" s="29" t="s">
        <v>22</v>
      </c>
      <c r="X1133" s="37" t="s">
        <v>780</v>
      </c>
      <c r="Y1133" s="31"/>
      <c r="Z1133" s="26" t="str">
        <f t="shared" si="5"/>
        <v/>
      </c>
      <c r="AA1133" s="26" t="str">
        <f t="shared" si="6"/>
        <v/>
      </c>
      <c r="AB1133" s="32" t="str">
        <f t="shared" si="7"/>
        <v/>
      </c>
      <c r="AC1133" s="32" t="str">
        <f t="shared" ref="AC1133:AG1133" si="1137">IF(J1133&lt;&gt;"", IF(AND($P1133=FALSE, $A1133=FALSE), -J1133, IF(AND($P1133=FALSE, $A1133=TRUE), 0, IF($P1133=TRUE, (J1133 / $R1133) * 100 * ($S1133 / 100)-J1133, ))), )</f>
        <v/>
      </c>
      <c r="AD1133" s="32" t="str">
        <f t="shared" si="1137"/>
        <v/>
      </c>
      <c r="AE1133" s="32" t="str">
        <f t="shared" si="1137"/>
        <v/>
      </c>
      <c r="AF1133" s="32" t="str">
        <f t="shared" si="1137"/>
        <v/>
      </c>
      <c r="AG1133" s="32" t="str">
        <f t="shared" si="1137"/>
        <v/>
      </c>
      <c r="AH1133" s="33"/>
    </row>
    <row r="1134" hidden="1" outlineLevel="3">
      <c r="A1134" s="16" t="b">
        <v>0</v>
      </c>
      <c r="B1134" s="17"/>
      <c r="C1134" s="18"/>
      <c r="D1134" s="19"/>
      <c r="E1134" s="20"/>
      <c r="F1134" s="21"/>
      <c r="G1134" s="22"/>
      <c r="H1134" s="22"/>
      <c r="I1134" s="23"/>
      <c r="J1134" s="22"/>
      <c r="K1134" s="23"/>
      <c r="L1134" s="22"/>
      <c r="M1134" s="23"/>
      <c r="N1134" s="23"/>
      <c r="O1134" s="24"/>
      <c r="P1134" s="16" t="b">
        <v>0</v>
      </c>
      <c r="Q1134" s="24"/>
      <c r="R1134" s="25"/>
      <c r="S1134" s="26"/>
      <c r="T1134" s="27"/>
      <c r="U1134" s="24"/>
      <c r="V1134" s="38" t="s">
        <v>29</v>
      </c>
      <c r="W1134" s="29" t="s">
        <v>22</v>
      </c>
      <c r="X1134" s="37" t="s">
        <v>781</v>
      </c>
      <c r="Y1134" s="31"/>
      <c r="Z1134" s="26" t="str">
        <f t="shared" si="5"/>
        <v/>
      </c>
      <c r="AA1134" s="26" t="str">
        <f t="shared" si="6"/>
        <v/>
      </c>
      <c r="AB1134" s="32" t="str">
        <f t="shared" si="7"/>
        <v/>
      </c>
      <c r="AC1134" s="32" t="str">
        <f t="shared" ref="AC1134:AG1134" si="1138">IF(J1134&lt;&gt;"", IF(AND($P1134=FALSE, $A1134=FALSE), -J1134, IF(AND($P1134=FALSE, $A1134=TRUE), 0, IF($P1134=TRUE, (J1134 / $R1134) * 100 * ($S1134 / 100)-J1134, ))), )</f>
        <v/>
      </c>
      <c r="AD1134" s="32" t="str">
        <f t="shared" si="1138"/>
        <v/>
      </c>
      <c r="AE1134" s="32" t="str">
        <f t="shared" si="1138"/>
        <v/>
      </c>
      <c r="AF1134" s="32" t="str">
        <f t="shared" si="1138"/>
        <v/>
      </c>
      <c r="AG1134" s="32" t="str">
        <f t="shared" si="1138"/>
        <v/>
      </c>
      <c r="AH1134" s="33"/>
    </row>
    <row r="1135" hidden="1" outlineLevel="3">
      <c r="A1135" s="16" t="b">
        <v>0</v>
      </c>
      <c r="B1135" s="17"/>
      <c r="C1135" s="18"/>
      <c r="D1135" s="19"/>
      <c r="E1135" s="20"/>
      <c r="F1135" s="21"/>
      <c r="G1135" s="22"/>
      <c r="H1135" s="22"/>
      <c r="I1135" s="23"/>
      <c r="J1135" s="22"/>
      <c r="K1135" s="23"/>
      <c r="L1135" s="22"/>
      <c r="M1135" s="23"/>
      <c r="N1135" s="23"/>
      <c r="O1135" s="24"/>
      <c r="P1135" s="16" t="b">
        <v>0</v>
      </c>
      <c r="Q1135" s="24"/>
      <c r="R1135" s="25"/>
      <c r="S1135" s="26"/>
      <c r="T1135" s="27"/>
      <c r="U1135" s="24"/>
      <c r="V1135" s="28" t="s">
        <v>32</v>
      </c>
      <c r="W1135" s="29" t="s">
        <v>22</v>
      </c>
      <c r="X1135" s="37" t="s">
        <v>782</v>
      </c>
      <c r="Y1135" s="31"/>
      <c r="Z1135" s="26" t="str">
        <f t="shared" si="5"/>
        <v/>
      </c>
      <c r="AA1135" s="26" t="str">
        <f t="shared" si="6"/>
        <v/>
      </c>
      <c r="AB1135" s="32" t="str">
        <f t="shared" si="7"/>
        <v/>
      </c>
      <c r="AC1135" s="32" t="str">
        <f t="shared" ref="AC1135:AG1135" si="1139">IF(J1135&lt;&gt;"", IF(AND($P1135=FALSE, $A1135=FALSE), -J1135, IF(AND($P1135=FALSE, $A1135=TRUE), 0, IF($P1135=TRUE, (J1135 / $R1135) * 100 * ($S1135 / 100)-J1135, ))), )</f>
        <v/>
      </c>
      <c r="AD1135" s="32" t="str">
        <f t="shared" si="1139"/>
        <v/>
      </c>
      <c r="AE1135" s="32" t="str">
        <f t="shared" si="1139"/>
        <v/>
      </c>
      <c r="AF1135" s="32" t="str">
        <f t="shared" si="1139"/>
        <v/>
      </c>
      <c r="AG1135" s="32" t="str">
        <f t="shared" si="1139"/>
        <v/>
      </c>
      <c r="AH1135" s="33"/>
    </row>
    <row r="1136" hidden="1" outlineLevel="2" collapsed="1">
      <c r="A1136" s="16" t="b">
        <v>0</v>
      </c>
      <c r="B1136" s="17"/>
      <c r="C1136" s="18"/>
      <c r="D1136" s="42">
        <v>45270.0</v>
      </c>
      <c r="E1136" s="43" t="s">
        <v>24</v>
      </c>
      <c r="F1136" s="53" t="s">
        <v>724</v>
      </c>
      <c r="G1136" s="45">
        <v>2.5</v>
      </c>
      <c r="H1136" s="45">
        <v>1.5</v>
      </c>
      <c r="I1136" s="45">
        <v>3.0</v>
      </c>
      <c r="J1136" s="46"/>
      <c r="K1136" s="46"/>
      <c r="L1136" s="45"/>
      <c r="M1136" s="46"/>
      <c r="N1136" s="46"/>
      <c r="O1136" s="47"/>
      <c r="P1136" s="16" t="b">
        <v>0</v>
      </c>
      <c r="Q1136" s="24"/>
      <c r="R1136" s="48">
        <v>7.0</v>
      </c>
      <c r="S1136" s="45">
        <v>18.83</v>
      </c>
      <c r="T1136" s="49" t="s">
        <v>546</v>
      </c>
      <c r="U1136" s="47"/>
      <c r="V1136" s="28"/>
      <c r="W1136" s="29"/>
      <c r="X1136" s="30"/>
      <c r="Y1136" s="31"/>
      <c r="Z1136" s="26">
        <f t="shared" si="5"/>
        <v>-2.5</v>
      </c>
      <c r="AA1136" s="26">
        <f t="shared" si="6"/>
        <v>-3</v>
      </c>
      <c r="AB1136" s="32">
        <f t="shared" si="7"/>
        <v>-1.5</v>
      </c>
      <c r="AC1136" s="32" t="str">
        <f t="shared" ref="AC1136:AG1136" si="1140">IF(J1136&lt;&gt;"", IF(AND($P1136=FALSE, $A1136=FALSE), -J1136, IF(AND($P1136=FALSE, $A1136=TRUE), 0, IF($P1136=TRUE, (J1136 / $R1136) * 100 * ($S1136 / 100)-J1136, ))), )</f>
        <v/>
      </c>
      <c r="AD1136" s="32" t="str">
        <f t="shared" si="1140"/>
        <v/>
      </c>
      <c r="AE1136" s="32" t="str">
        <f t="shared" si="1140"/>
        <v/>
      </c>
      <c r="AF1136" s="32" t="str">
        <f t="shared" si="1140"/>
        <v/>
      </c>
      <c r="AG1136" s="32" t="str">
        <f t="shared" si="1140"/>
        <v/>
      </c>
      <c r="AH1136" s="33"/>
    </row>
    <row r="1137" hidden="1" outlineLevel="3">
      <c r="A1137" s="16" t="b">
        <v>0</v>
      </c>
      <c r="B1137" s="17"/>
      <c r="C1137" s="18"/>
      <c r="D1137" s="19"/>
      <c r="E1137" s="20"/>
      <c r="F1137" s="21"/>
      <c r="G1137" s="22"/>
      <c r="H1137" s="22"/>
      <c r="I1137" s="23"/>
      <c r="J1137" s="22"/>
      <c r="K1137" s="23"/>
      <c r="L1137" s="22"/>
      <c r="M1137" s="23"/>
      <c r="N1137" s="23"/>
      <c r="O1137" s="24"/>
      <c r="P1137" s="16" t="b">
        <v>0</v>
      </c>
      <c r="Q1137" s="24"/>
      <c r="R1137" s="25"/>
      <c r="S1137" s="26"/>
      <c r="T1137" s="27"/>
      <c r="U1137" s="24"/>
      <c r="V1137" s="38" t="s">
        <v>29</v>
      </c>
      <c r="W1137" s="29" t="s">
        <v>22</v>
      </c>
      <c r="X1137" s="37" t="s">
        <v>783</v>
      </c>
      <c r="Y1137" s="31"/>
      <c r="Z1137" s="26" t="str">
        <f t="shared" si="5"/>
        <v/>
      </c>
      <c r="AA1137" s="26" t="str">
        <f t="shared" si="6"/>
        <v/>
      </c>
      <c r="AB1137" s="32" t="str">
        <f t="shared" si="7"/>
        <v/>
      </c>
      <c r="AC1137" s="32" t="str">
        <f t="shared" ref="AC1137:AG1137" si="1141">IF(J1137&lt;&gt;"", IF(AND($P1137=FALSE, $A1137=FALSE), -J1137, IF(AND($P1137=FALSE, $A1137=TRUE), 0, IF($P1137=TRUE, (J1137 / $R1137) * 100 * ($S1137 / 100)-J1137, ))), )</f>
        <v/>
      </c>
      <c r="AD1137" s="32" t="str">
        <f t="shared" si="1141"/>
        <v/>
      </c>
      <c r="AE1137" s="32" t="str">
        <f t="shared" si="1141"/>
        <v/>
      </c>
      <c r="AF1137" s="32" t="str">
        <f t="shared" si="1141"/>
        <v/>
      </c>
      <c r="AG1137" s="32" t="str">
        <f t="shared" si="1141"/>
        <v/>
      </c>
      <c r="AH1137" s="33"/>
    </row>
    <row r="1138" hidden="1" outlineLevel="3">
      <c r="A1138" s="16" t="b">
        <v>0</v>
      </c>
      <c r="B1138" s="17"/>
      <c r="C1138" s="18"/>
      <c r="D1138" s="19"/>
      <c r="E1138" s="20"/>
      <c r="F1138" s="21"/>
      <c r="G1138" s="22"/>
      <c r="H1138" s="22"/>
      <c r="I1138" s="23"/>
      <c r="J1138" s="22"/>
      <c r="K1138" s="23"/>
      <c r="L1138" s="22"/>
      <c r="M1138" s="23"/>
      <c r="N1138" s="23"/>
      <c r="O1138" s="24"/>
      <c r="P1138" s="16" t="b">
        <v>0</v>
      </c>
      <c r="Q1138" s="24"/>
      <c r="R1138" s="25"/>
      <c r="S1138" s="26"/>
      <c r="T1138" s="27"/>
      <c r="U1138" s="24"/>
      <c r="V1138" s="38" t="s">
        <v>29</v>
      </c>
      <c r="W1138" s="29" t="s">
        <v>22</v>
      </c>
      <c r="X1138" s="37" t="s">
        <v>80</v>
      </c>
      <c r="Y1138" s="31"/>
      <c r="Z1138" s="26" t="str">
        <f t="shared" si="5"/>
        <v/>
      </c>
      <c r="AA1138" s="26" t="str">
        <f t="shared" si="6"/>
        <v/>
      </c>
      <c r="AB1138" s="32" t="str">
        <f t="shared" si="7"/>
        <v/>
      </c>
      <c r="AC1138" s="32" t="str">
        <f t="shared" ref="AC1138:AG1138" si="1142">IF(J1138&lt;&gt;"", IF(AND($P1138=FALSE, $A1138=FALSE), -J1138, IF(AND($P1138=FALSE, $A1138=TRUE), 0, IF($P1138=TRUE, (J1138 / $R1138) * 100 * ($S1138 / 100)-J1138, ))), )</f>
        <v/>
      </c>
      <c r="AD1138" s="32" t="str">
        <f t="shared" si="1142"/>
        <v/>
      </c>
      <c r="AE1138" s="32" t="str">
        <f t="shared" si="1142"/>
        <v/>
      </c>
      <c r="AF1138" s="32" t="str">
        <f t="shared" si="1142"/>
        <v/>
      </c>
      <c r="AG1138" s="32" t="str">
        <f t="shared" si="1142"/>
        <v/>
      </c>
      <c r="AH1138" s="33"/>
    </row>
    <row r="1139" hidden="1" outlineLevel="3">
      <c r="A1139" s="16" t="b">
        <v>0</v>
      </c>
      <c r="B1139" s="17"/>
      <c r="C1139" s="18"/>
      <c r="D1139" s="19"/>
      <c r="E1139" s="20"/>
      <c r="F1139" s="21"/>
      <c r="G1139" s="22"/>
      <c r="H1139" s="22"/>
      <c r="I1139" s="23"/>
      <c r="J1139" s="22"/>
      <c r="K1139" s="23"/>
      <c r="L1139" s="22"/>
      <c r="M1139" s="23"/>
      <c r="N1139" s="23"/>
      <c r="O1139" s="24"/>
      <c r="P1139" s="16" t="b">
        <v>0</v>
      </c>
      <c r="Q1139" s="24"/>
      <c r="R1139" s="25"/>
      <c r="S1139" s="26"/>
      <c r="T1139" s="27"/>
      <c r="U1139" s="24"/>
      <c r="V1139" s="38" t="s">
        <v>29</v>
      </c>
      <c r="W1139" s="29" t="s">
        <v>22</v>
      </c>
      <c r="X1139" s="37" t="s">
        <v>784</v>
      </c>
      <c r="Y1139" s="31"/>
      <c r="Z1139" s="26" t="str">
        <f t="shared" si="5"/>
        <v/>
      </c>
      <c r="AA1139" s="26" t="str">
        <f t="shared" si="6"/>
        <v/>
      </c>
      <c r="AB1139" s="32" t="str">
        <f t="shared" si="7"/>
        <v/>
      </c>
      <c r="AC1139" s="32" t="str">
        <f t="shared" ref="AC1139:AG1139" si="1143">IF(J1139&lt;&gt;"", IF(AND($P1139=FALSE, $A1139=FALSE), -J1139, IF(AND($P1139=FALSE, $A1139=TRUE), 0, IF($P1139=TRUE, (J1139 / $R1139) * 100 * ($S1139 / 100)-J1139, ))), )</f>
        <v/>
      </c>
      <c r="AD1139" s="32" t="str">
        <f t="shared" si="1143"/>
        <v/>
      </c>
      <c r="AE1139" s="32" t="str">
        <f t="shared" si="1143"/>
        <v/>
      </c>
      <c r="AF1139" s="32" t="str">
        <f t="shared" si="1143"/>
        <v/>
      </c>
      <c r="AG1139" s="32" t="str">
        <f t="shared" si="1143"/>
        <v/>
      </c>
      <c r="AH1139" s="33"/>
    </row>
    <row r="1140" hidden="1" outlineLevel="3">
      <c r="A1140" s="16" t="b">
        <v>0</v>
      </c>
      <c r="B1140" s="17"/>
      <c r="C1140" s="18"/>
      <c r="D1140" s="19"/>
      <c r="E1140" s="20"/>
      <c r="F1140" s="21"/>
      <c r="G1140" s="22"/>
      <c r="H1140" s="22"/>
      <c r="I1140" s="23"/>
      <c r="J1140" s="22"/>
      <c r="K1140" s="23"/>
      <c r="L1140" s="22"/>
      <c r="M1140" s="23"/>
      <c r="N1140" s="23"/>
      <c r="O1140" s="24"/>
      <c r="P1140" s="16" t="b">
        <v>0</v>
      </c>
      <c r="Q1140" s="24"/>
      <c r="R1140" s="25"/>
      <c r="S1140" s="26"/>
      <c r="T1140" s="27"/>
      <c r="U1140" s="24"/>
      <c r="V1140" s="28" t="s">
        <v>32</v>
      </c>
      <c r="W1140" s="29" t="s">
        <v>22</v>
      </c>
      <c r="X1140" s="37" t="s">
        <v>138</v>
      </c>
      <c r="Y1140" s="31"/>
      <c r="Z1140" s="26" t="str">
        <f t="shared" si="5"/>
        <v/>
      </c>
      <c r="AA1140" s="26" t="str">
        <f t="shared" si="6"/>
        <v/>
      </c>
      <c r="AB1140" s="32" t="str">
        <f t="shared" si="7"/>
        <v/>
      </c>
      <c r="AC1140" s="32" t="str">
        <f t="shared" ref="AC1140:AG1140" si="1144">IF(J1140&lt;&gt;"", IF(AND($P1140=FALSE, $A1140=FALSE), -J1140, IF(AND($P1140=FALSE, $A1140=TRUE), 0, IF($P1140=TRUE, (J1140 / $R1140) * 100 * ($S1140 / 100)-J1140, ))), )</f>
        <v/>
      </c>
      <c r="AD1140" s="32" t="str">
        <f t="shared" si="1144"/>
        <v/>
      </c>
      <c r="AE1140" s="32" t="str">
        <f t="shared" si="1144"/>
        <v/>
      </c>
      <c r="AF1140" s="32" t="str">
        <f t="shared" si="1144"/>
        <v/>
      </c>
      <c r="AG1140" s="32" t="str">
        <f t="shared" si="1144"/>
        <v/>
      </c>
      <c r="AH1140" s="33"/>
    </row>
    <row r="1141" hidden="1" outlineLevel="2" collapsed="1">
      <c r="A1141" s="16" t="b">
        <v>0</v>
      </c>
      <c r="B1141" s="17"/>
      <c r="C1141" s="18"/>
      <c r="D1141" s="42">
        <v>45270.0</v>
      </c>
      <c r="E1141" s="43" t="s">
        <v>24</v>
      </c>
      <c r="F1141" s="53" t="s">
        <v>724</v>
      </c>
      <c r="G1141" s="45">
        <v>2.5</v>
      </c>
      <c r="H1141" s="45">
        <v>1.5</v>
      </c>
      <c r="I1141" s="45">
        <v>3.0</v>
      </c>
      <c r="J1141" s="46"/>
      <c r="K1141" s="46"/>
      <c r="L1141" s="45"/>
      <c r="M1141" s="46"/>
      <c r="N1141" s="46"/>
      <c r="O1141" s="47"/>
      <c r="P1141" s="16" t="b">
        <v>0</v>
      </c>
      <c r="Q1141" s="24"/>
      <c r="R1141" s="48">
        <v>7.0</v>
      </c>
      <c r="S1141" s="45">
        <v>14.54</v>
      </c>
      <c r="T1141" s="49" t="s">
        <v>748</v>
      </c>
      <c r="U1141" s="47"/>
      <c r="V1141" s="28"/>
      <c r="W1141" s="29"/>
      <c r="X1141" s="30"/>
      <c r="Y1141" s="31"/>
      <c r="Z1141" s="26">
        <f t="shared" si="5"/>
        <v>-2.5</v>
      </c>
      <c r="AA1141" s="26">
        <f t="shared" si="6"/>
        <v>-3</v>
      </c>
      <c r="AB1141" s="32">
        <f t="shared" si="7"/>
        <v>-1.5</v>
      </c>
      <c r="AC1141" s="32" t="str">
        <f t="shared" ref="AC1141:AG1141" si="1145">IF(J1141&lt;&gt;"", IF(AND($P1141=FALSE, $A1141=FALSE), -J1141, IF(AND($P1141=FALSE, $A1141=TRUE), 0, IF($P1141=TRUE, (J1141 / $R1141) * 100 * ($S1141 / 100)-J1141, ))), )</f>
        <v/>
      </c>
      <c r="AD1141" s="32" t="str">
        <f t="shared" si="1145"/>
        <v/>
      </c>
      <c r="AE1141" s="32" t="str">
        <f t="shared" si="1145"/>
        <v/>
      </c>
      <c r="AF1141" s="32" t="str">
        <f t="shared" si="1145"/>
        <v/>
      </c>
      <c r="AG1141" s="32" t="str">
        <f t="shared" si="1145"/>
        <v/>
      </c>
      <c r="AH1141" s="33"/>
    </row>
    <row r="1142" hidden="1" outlineLevel="3">
      <c r="A1142" s="16" t="b">
        <v>0</v>
      </c>
      <c r="B1142" s="17"/>
      <c r="C1142" s="18"/>
      <c r="D1142" s="19"/>
      <c r="E1142" s="20"/>
      <c r="F1142" s="21"/>
      <c r="G1142" s="22"/>
      <c r="H1142" s="22"/>
      <c r="I1142" s="23"/>
      <c r="J1142" s="22"/>
      <c r="K1142" s="23"/>
      <c r="L1142" s="22"/>
      <c r="M1142" s="23"/>
      <c r="N1142" s="23"/>
      <c r="O1142" s="24"/>
      <c r="P1142" s="16" t="b">
        <v>0</v>
      </c>
      <c r="Q1142" s="24"/>
      <c r="R1142" s="25"/>
      <c r="S1142" s="26"/>
      <c r="T1142" s="27"/>
      <c r="U1142" s="24"/>
      <c r="V1142" s="28" t="s">
        <v>32</v>
      </c>
      <c r="W1142" s="29" t="s">
        <v>22</v>
      </c>
      <c r="X1142" s="37" t="s">
        <v>647</v>
      </c>
      <c r="Y1142" s="31"/>
      <c r="Z1142" s="26" t="str">
        <f t="shared" si="5"/>
        <v/>
      </c>
      <c r="AA1142" s="26" t="str">
        <f t="shared" si="6"/>
        <v/>
      </c>
      <c r="AB1142" s="32" t="str">
        <f t="shared" si="7"/>
        <v/>
      </c>
      <c r="AC1142" s="32" t="str">
        <f t="shared" ref="AC1142:AG1142" si="1146">IF(J1142&lt;&gt;"", IF(AND($P1142=FALSE, $A1142=FALSE), -J1142, IF(AND($P1142=FALSE, $A1142=TRUE), 0, IF($P1142=TRUE, (J1142 / $R1142) * 100 * ($S1142 / 100)-J1142, ))), )</f>
        <v/>
      </c>
      <c r="AD1142" s="32" t="str">
        <f t="shared" si="1146"/>
        <v/>
      </c>
      <c r="AE1142" s="32" t="str">
        <f t="shared" si="1146"/>
        <v/>
      </c>
      <c r="AF1142" s="32" t="str">
        <f t="shared" si="1146"/>
        <v/>
      </c>
      <c r="AG1142" s="32" t="str">
        <f t="shared" si="1146"/>
        <v/>
      </c>
      <c r="AH1142" s="33"/>
    </row>
    <row r="1143" hidden="1" outlineLevel="3">
      <c r="A1143" s="16" t="b">
        <v>0</v>
      </c>
      <c r="B1143" s="17"/>
      <c r="C1143" s="18"/>
      <c r="D1143" s="19"/>
      <c r="E1143" s="20"/>
      <c r="F1143" s="21"/>
      <c r="G1143" s="22"/>
      <c r="H1143" s="22"/>
      <c r="I1143" s="23"/>
      <c r="J1143" s="22"/>
      <c r="K1143" s="23"/>
      <c r="L1143" s="22"/>
      <c r="M1143" s="23"/>
      <c r="N1143" s="23"/>
      <c r="O1143" s="24"/>
      <c r="P1143" s="16" t="b">
        <v>0</v>
      </c>
      <c r="Q1143" s="24"/>
      <c r="R1143" s="25"/>
      <c r="S1143" s="26"/>
      <c r="T1143" s="27"/>
      <c r="U1143" s="24"/>
      <c r="V1143" s="38" t="s">
        <v>29</v>
      </c>
      <c r="W1143" s="29" t="s">
        <v>22</v>
      </c>
      <c r="X1143" s="37" t="s">
        <v>537</v>
      </c>
      <c r="Y1143" s="31"/>
      <c r="Z1143" s="26" t="str">
        <f t="shared" si="5"/>
        <v/>
      </c>
      <c r="AA1143" s="26" t="str">
        <f t="shared" si="6"/>
        <v/>
      </c>
      <c r="AB1143" s="32" t="str">
        <f t="shared" si="7"/>
        <v/>
      </c>
      <c r="AC1143" s="32" t="str">
        <f t="shared" ref="AC1143:AG1143" si="1147">IF(J1143&lt;&gt;"", IF(AND($P1143=FALSE, $A1143=FALSE), -J1143, IF(AND($P1143=FALSE, $A1143=TRUE), 0, IF($P1143=TRUE, (J1143 / $R1143) * 100 * ($S1143 / 100)-J1143, ))), )</f>
        <v/>
      </c>
      <c r="AD1143" s="32" t="str">
        <f t="shared" si="1147"/>
        <v/>
      </c>
      <c r="AE1143" s="32" t="str">
        <f t="shared" si="1147"/>
        <v/>
      </c>
      <c r="AF1143" s="32" t="str">
        <f t="shared" si="1147"/>
        <v/>
      </c>
      <c r="AG1143" s="32" t="str">
        <f t="shared" si="1147"/>
        <v/>
      </c>
      <c r="AH1143" s="33"/>
    </row>
    <row r="1144" hidden="1" outlineLevel="3">
      <c r="A1144" s="16" t="b">
        <v>0</v>
      </c>
      <c r="B1144" s="17"/>
      <c r="C1144" s="18"/>
      <c r="D1144" s="19"/>
      <c r="E1144" s="20"/>
      <c r="F1144" s="21"/>
      <c r="G1144" s="22"/>
      <c r="H1144" s="22"/>
      <c r="I1144" s="23"/>
      <c r="J1144" s="22"/>
      <c r="K1144" s="23"/>
      <c r="L1144" s="22"/>
      <c r="M1144" s="23"/>
      <c r="N1144" s="23"/>
      <c r="O1144" s="24"/>
      <c r="P1144" s="16" t="b">
        <v>0</v>
      </c>
      <c r="Q1144" s="24"/>
      <c r="R1144" s="25"/>
      <c r="S1144" s="26"/>
      <c r="T1144" s="27"/>
      <c r="U1144" s="24"/>
      <c r="V1144" s="28" t="s">
        <v>32</v>
      </c>
      <c r="W1144" s="29" t="s">
        <v>22</v>
      </c>
      <c r="X1144" s="37" t="s">
        <v>169</v>
      </c>
      <c r="Y1144" s="31"/>
      <c r="Z1144" s="26" t="str">
        <f t="shared" si="5"/>
        <v/>
      </c>
      <c r="AA1144" s="26" t="str">
        <f t="shared" si="6"/>
        <v/>
      </c>
      <c r="AB1144" s="32" t="str">
        <f t="shared" si="7"/>
        <v/>
      </c>
      <c r="AC1144" s="32" t="str">
        <f t="shared" ref="AC1144:AG1144" si="1148">IF(J1144&lt;&gt;"", IF(AND($P1144=FALSE, $A1144=FALSE), -J1144, IF(AND($P1144=FALSE, $A1144=TRUE), 0, IF($P1144=TRUE, (J1144 / $R1144) * 100 * ($S1144 / 100)-J1144, ))), )</f>
        <v/>
      </c>
      <c r="AD1144" s="32" t="str">
        <f t="shared" si="1148"/>
        <v/>
      </c>
      <c r="AE1144" s="32" t="str">
        <f t="shared" si="1148"/>
        <v/>
      </c>
      <c r="AF1144" s="32" t="str">
        <f t="shared" si="1148"/>
        <v/>
      </c>
      <c r="AG1144" s="32" t="str">
        <f t="shared" si="1148"/>
        <v/>
      </c>
      <c r="AH1144" s="33"/>
    </row>
    <row r="1145" hidden="1" outlineLevel="3">
      <c r="A1145" s="16" t="b">
        <v>0</v>
      </c>
      <c r="B1145" s="17"/>
      <c r="C1145" s="18"/>
      <c r="D1145" s="19"/>
      <c r="E1145" s="20"/>
      <c r="F1145" s="21"/>
      <c r="G1145" s="22"/>
      <c r="H1145" s="22"/>
      <c r="I1145" s="23"/>
      <c r="J1145" s="22"/>
      <c r="K1145" s="23"/>
      <c r="L1145" s="22"/>
      <c r="M1145" s="23"/>
      <c r="N1145" s="23"/>
      <c r="O1145" s="24"/>
      <c r="P1145" s="16" t="b">
        <v>0</v>
      </c>
      <c r="Q1145" s="24"/>
      <c r="R1145" s="25"/>
      <c r="S1145" s="26"/>
      <c r="T1145" s="27"/>
      <c r="U1145" s="24"/>
      <c r="V1145" s="38" t="s">
        <v>29</v>
      </c>
      <c r="W1145" s="29" t="s">
        <v>22</v>
      </c>
      <c r="X1145" s="37" t="s">
        <v>354</v>
      </c>
      <c r="Y1145" s="31"/>
      <c r="Z1145" s="26" t="str">
        <f t="shared" si="5"/>
        <v/>
      </c>
      <c r="AA1145" s="26" t="str">
        <f t="shared" si="6"/>
        <v/>
      </c>
      <c r="AB1145" s="32" t="str">
        <f t="shared" si="7"/>
        <v/>
      </c>
      <c r="AC1145" s="32" t="str">
        <f t="shared" ref="AC1145:AG1145" si="1149">IF(J1145&lt;&gt;"", IF(AND($P1145=FALSE, $A1145=FALSE), -J1145, IF(AND($P1145=FALSE, $A1145=TRUE), 0, IF($P1145=TRUE, (J1145 / $R1145) * 100 * ($S1145 / 100)-J1145, ))), )</f>
        <v/>
      </c>
      <c r="AD1145" s="32" t="str">
        <f t="shared" si="1149"/>
        <v/>
      </c>
      <c r="AE1145" s="32" t="str">
        <f t="shared" si="1149"/>
        <v/>
      </c>
      <c r="AF1145" s="32" t="str">
        <f t="shared" si="1149"/>
        <v/>
      </c>
      <c r="AG1145" s="32" t="str">
        <f t="shared" si="1149"/>
        <v/>
      </c>
      <c r="AH1145" s="33"/>
    </row>
    <row r="1146" hidden="1" outlineLevel="2" collapsed="1">
      <c r="A1146" s="16" t="b">
        <v>0</v>
      </c>
      <c r="B1146" s="17"/>
      <c r="C1146" s="18"/>
      <c r="D1146" s="42">
        <v>45270.0</v>
      </c>
      <c r="E1146" s="43" t="s">
        <v>24</v>
      </c>
      <c r="F1146" s="53" t="s">
        <v>724</v>
      </c>
      <c r="G1146" s="45">
        <v>2.0</v>
      </c>
      <c r="H1146" s="45">
        <v>1.0</v>
      </c>
      <c r="I1146" s="45">
        <v>3.0</v>
      </c>
      <c r="J1146" s="46"/>
      <c r="K1146" s="46"/>
      <c r="L1146" s="45"/>
      <c r="M1146" s="46"/>
      <c r="N1146" s="46"/>
      <c r="O1146" s="47"/>
      <c r="P1146" s="16" t="b">
        <v>0</v>
      </c>
      <c r="Q1146" s="24"/>
      <c r="R1146" s="48">
        <v>6.0</v>
      </c>
      <c r="S1146" s="45">
        <v>17.9</v>
      </c>
      <c r="T1146" s="49" t="s">
        <v>785</v>
      </c>
      <c r="U1146" s="47"/>
      <c r="V1146" s="28"/>
      <c r="W1146" s="29"/>
      <c r="X1146" s="30"/>
      <c r="Y1146" s="31"/>
      <c r="Z1146" s="26">
        <f t="shared" si="5"/>
        <v>-2</v>
      </c>
      <c r="AA1146" s="26">
        <f t="shared" si="6"/>
        <v>-3</v>
      </c>
      <c r="AB1146" s="32">
        <f t="shared" si="7"/>
        <v>-1</v>
      </c>
      <c r="AC1146" s="32" t="str">
        <f t="shared" ref="AC1146:AG1146" si="1150">IF(J1146&lt;&gt;"", IF(AND($P1146=FALSE, $A1146=FALSE), -J1146, IF(AND($P1146=FALSE, $A1146=TRUE), 0, IF($P1146=TRUE, (J1146 / $R1146) * 100 * ($S1146 / 100)-J1146, ))), )</f>
        <v/>
      </c>
      <c r="AD1146" s="32" t="str">
        <f t="shared" si="1150"/>
        <v/>
      </c>
      <c r="AE1146" s="32" t="str">
        <f t="shared" si="1150"/>
        <v/>
      </c>
      <c r="AF1146" s="32" t="str">
        <f t="shared" si="1150"/>
        <v/>
      </c>
      <c r="AG1146" s="32" t="str">
        <f t="shared" si="1150"/>
        <v/>
      </c>
      <c r="AH1146" s="33"/>
    </row>
    <row r="1147" hidden="1" outlineLevel="3">
      <c r="A1147" s="16" t="b">
        <v>0</v>
      </c>
      <c r="B1147" s="17"/>
      <c r="C1147" s="18"/>
      <c r="D1147" s="19"/>
      <c r="E1147" s="20"/>
      <c r="F1147" s="21"/>
      <c r="G1147" s="22"/>
      <c r="H1147" s="22"/>
      <c r="I1147" s="23"/>
      <c r="J1147" s="22"/>
      <c r="K1147" s="23"/>
      <c r="L1147" s="22"/>
      <c r="M1147" s="23"/>
      <c r="N1147" s="23"/>
      <c r="O1147" s="24"/>
      <c r="P1147" s="16" t="b">
        <v>0</v>
      </c>
      <c r="Q1147" s="24"/>
      <c r="R1147" s="25"/>
      <c r="S1147" s="26"/>
      <c r="T1147" s="27"/>
      <c r="U1147" s="24"/>
      <c r="V1147" s="38" t="s">
        <v>29</v>
      </c>
      <c r="W1147" s="29" t="s">
        <v>22</v>
      </c>
      <c r="X1147" s="37" t="s">
        <v>786</v>
      </c>
      <c r="Y1147" s="31"/>
      <c r="Z1147" s="26" t="str">
        <f t="shared" si="5"/>
        <v/>
      </c>
      <c r="AA1147" s="26" t="str">
        <f t="shared" si="6"/>
        <v/>
      </c>
      <c r="AB1147" s="32" t="str">
        <f t="shared" si="7"/>
        <v/>
      </c>
      <c r="AC1147" s="32" t="str">
        <f t="shared" ref="AC1147:AG1147" si="1151">IF(J1147&lt;&gt;"", IF(AND($P1147=FALSE, $A1147=FALSE), -J1147, IF(AND($P1147=FALSE, $A1147=TRUE), 0, IF($P1147=TRUE, (J1147 / $R1147) * 100 * ($S1147 / 100)-J1147, ))), )</f>
        <v/>
      </c>
      <c r="AD1147" s="32" t="str">
        <f t="shared" si="1151"/>
        <v/>
      </c>
      <c r="AE1147" s="32" t="str">
        <f t="shared" si="1151"/>
        <v/>
      </c>
      <c r="AF1147" s="32" t="str">
        <f t="shared" si="1151"/>
        <v/>
      </c>
      <c r="AG1147" s="32" t="str">
        <f t="shared" si="1151"/>
        <v/>
      </c>
      <c r="AH1147" s="33"/>
    </row>
    <row r="1148" hidden="1" outlineLevel="3">
      <c r="A1148" s="16" t="b">
        <v>0</v>
      </c>
      <c r="B1148" s="17"/>
      <c r="C1148" s="18"/>
      <c r="D1148" s="19"/>
      <c r="E1148" s="20"/>
      <c r="F1148" s="21"/>
      <c r="G1148" s="22"/>
      <c r="H1148" s="22"/>
      <c r="I1148" s="23"/>
      <c r="J1148" s="22"/>
      <c r="K1148" s="23"/>
      <c r="L1148" s="22"/>
      <c r="M1148" s="23"/>
      <c r="N1148" s="23"/>
      <c r="O1148" s="24"/>
      <c r="P1148" s="16" t="b">
        <v>0</v>
      </c>
      <c r="Q1148" s="24"/>
      <c r="R1148" s="25"/>
      <c r="S1148" s="26"/>
      <c r="T1148" s="27"/>
      <c r="U1148" s="24"/>
      <c r="V1148" s="28" t="s">
        <v>32</v>
      </c>
      <c r="W1148" s="29" t="s">
        <v>22</v>
      </c>
      <c r="X1148" s="37" t="s">
        <v>787</v>
      </c>
      <c r="Y1148" s="31"/>
      <c r="Z1148" s="26" t="str">
        <f t="shared" si="5"/>
        <v/>
      </c>
      <c r="AA1148" s="26" t="str">
        <f t="shared" si="6"/>
        <v/>
      </c>
      <c r="AB1148" s="32" t="str">
        <f t="shared" si="7"/>
        <v/>
      </c>
      <c r="AC1148" s="32" t="str">
        <f t="shared" ref="AC1148:AG1148" si="1152">IF(J1148&lt;&gt;"", IF(AND($P1148=FALSE, $A1148=FALSE), -J1148, IF(AND($P1148=FALSE, $A1148=TRUE), 0, IF($P1148=TRUE, (J1148 / $R1148) * 100 * ($S1148 / 100)-J1148, ))), )</f>
        <v/>
      </c>
      <c r="AD1148" s="32" t="str">
        <f t="shared" si="1152"/>
        <v/>
      </c>
      <c r="AE1148" s="32" t="str">
        <f t="shared" si="1152"/>
        <v/>
      </c>
      <c r="AF1148" s="32" t="str">
        <f t="shared" si="1152"/>
        <v/>
      </c>
      <c r="AG1148" s="32" t="str">
        <f t="shared" si="1152"/>
        <v/>
      </c>
      <c r="AH1148" s="33"/>
    </row>
    <row r="1149" hidden="1" outlineLevel="3">
      <c r="A1149" s="16" t="b">
        <v>0</v>
      </c>
      <c r="B1149" s="17"/>
      <c r="C1149" s="18"/>
      <c r="D1149" s="19"/>
      <c r="E1149" s="20"/>
      <c r="F1149" s="21"/>
      <c r="G1149" s="22"/>
      <c r="H1149" s="22"/>
      <c r="I1149" s="23"/>
      <c r="J1149" s="22"/>
      <c r="K1149" s="23"/>
      <c r="L1149" s="22"/>
      <c r="M1149" s="23"/>
      <c r="N1149" s="23"/>
      <c r="O1149" s="24"/>
      <c r="P1149" s="16" t="b">
        <v>0</v>
      </c>
      <c r="Q1149" s="24"/>
      <c r="R1149" s="25"/>
      <c r="S1149" s="26"/>
      <c r="T1149" s="27"/>
      <c r="U1149" s="24"/>
      <c r="V1149" s="28" t="s">
        <v>32</v>
      </c>
      <c r="W1149" s="29" t="s">
        <v>22</v>
      </c>
      <c r="X1149" s="37" t="s">
        <v>444</v>
      </c>
      <c r="Y1149" s="31"/>
      <c r="Z1149" s="26" t="str">
        <f t="shared" si="5"/>
        <v/>
      </c>
      <c r="AA1149" s="26" t="str">
        <f t="shared" si="6"/>
        <v/>
      </c>
      <c r="AB1149" s="32" t="str">
        <f t="shared" si="7"/>
        <v/>
      </c>
      <c r="AC1149" s="32" t="str">
        <f t="shared" ref="AC1149:AG1149" si="1153">IF(J1149&lt;&gt;"", IF(AND($P1149=FALSE, $A1149=FALSE), -J1149, IF(AND($P1149=FALSE, $A1149=TRUE), 0, IF($P1149=TRUE, (J1149 / $R1149) * 100 * ($S1149 / 100)-J1149, ))), )</f>
        <v/>
      </c>
      <c r="AD1149" s="32" t="str">
        <f t="shared" si="1153"/>
        <v/>
      </c>
      <c r="AE1149" s="32" t="str">
        <f t="shared" si="1153"/>
        <v/>
      </c>
      <c r="AF1149" s="32" t="str">
        <f t="shared" si="1153"/>
        <v/>
      </c>
      <c r="AG1149" s="32" t="str">
        <f t="shared" si="1153"/>
        <v/>
      </c>
      <c r="AH1149" s="33"/>
    </row>
    <row r="1150" hidden="1" outlineLevel="2" collapsed="1">
      <c r="A1150" s="16" t="b">
        <v>0</v>
      </c>
      <c r="B1150" s="17"/>
      <c r="C1150" s="18"/>
      <c r="D1150" s="42">
        <v>45270.0</v>
      </c>
      <c r="E1150" s="43" t="s">
        <v>24</v>
      </c>
      <c r="F1150" s="53" t="s">
        <v>724</v>
      </c>
      <c r="G1150" s="45">
        <v>2.0</v>
      </c>
      <c r="H1150" s="45">
        <v>1.0</v>
      </c>
      <c r="I1150" s="45">
        <v>3.0</v>
      </c>
      <c r="J1150" s="46"/>
      <c r="K1150" s="46"/>
      <c r="L1150" s="45"/>
      <c r="M1150" s="46"/>
      <c r="N1150" s="46"/>
      <c r="O1150" s="47"/>
      <c r="P1150" s="16" t="b">
        <v>0</v>
      </c>
      <c r="Q1150" s="24"/>
      <c r="R1150" s="48">
        <v>6.0</v>
      </c>
      <c r="S1150" s="45" t="s">
        <v>788</v>
      </c>
      <c r="T1150" s="49"/>
      <c r="U1150" s="47"/>
      <c r="V1150" s="28"/>
      <c r="W1150" s="29"/>
      <c r="X1150" s="30"/>
      <c r="Y1150" s="31"/>
      <c r="Z1150" s="26">
        <f t="shared" si="5"/>
        <v>-2</v>
      </c>
      <c r="AA1150" s="26">
        <f t="shared" si="6"/>
        <v>-3</v>
      </c>
      <c r="AB1150" s="32">
        <f t="shared" si="7"/>
        <v>-1</v>
      </c>
      <c r="AC1150" s="32" t="str">
        <f t="shared" ref="AC1150:AG1150" si="1154">IF(J1150&lt;&gt;"", IF(AND($P1150=FALSE, $A1150=FALSE), -J1150, IF(AND($P1150=FALSE, $A1150=TRUE), 0, IF($P1150=TRUE, (J1150 / $R1150) * 100 * ($S1150 / 100)-J1150, ))), )</f>
        <v/>
      </c>
      <c r="AD1150" s="32" t="str">
        <f t="shared" si="1154"/>
        <v/>
      </c>
      <c r="AE1150" s="32" t="str">
        <f t="shared" si="1154"/>
        <v/>
      </c>
      <c r="AF1150" s="32" t="str">
        <f t="shared" si="1154"/>
        <v/>
      </c>
      <c r="AG1150" s="32" t="str">
        <f t="shared" si="1154"/>
        <v/>
      </c>
      <c r="AH1150" s="33"/>
    </row>
    <row r="1151" hidden="1" outlineLevel="3">
      <c r="A1151" s="16" t="b">
        <v>0</v>
      </c>
      <c r="B1151" s="17"/>
      <c r="C1151" s="18"/>
      <c r="D1151" s="19"/>
      <c r="E1151" s="20"/>
      <c r="F1151" s="21"/>
      <c r="G1151" s="22"/>
      <c r="H1151" s="22"/>
      <c r="I1151" s="23"/>
      <c r="J1151" s="22"/>
      <c r="K1151" s="23"/>
      <c r="L1151" s="22"/>
      <c r="M1151" s="23"/>
      <c r="N1151" s="23"/>
      <c r="O1151" s="24"/>
      <c r="P1151" s="16" t="b">
        <v>0</v>
      </c>
      <c r="Q1151" s="24"/>
      <c r="R1151" s="25"/>
      <c r="S1151" s="26"/>
      <c r="T1151" s="27"/>
      <c r="U1151" s="24"/>
      <c r="V1151" s="38" t="s">
        <v>29</v>
      </c>
      <c r="W1151" s="29" t="s">
        <v>22</v>
      </c>
      <c r="X1151" s="37" t="s">
        <v>609</v>
      </c>
      <c r="Y1151" s="31"/>
      <c r="Z1151" s="26" t="str">
        <f t="shared" si="5"/>
        <v/>
      </c>
      <c r="AA1151" s="26" t="str">
        <f t="shared" si="6"/>
        <v/>
      </c>
      <c r="AB1151" s="32" t="str">
        <f t="shared" si="7"/>
        <v/>
      </c>
      <c r="AC1151" s="32" t="str">
        <f t="shared" ref="AC1151:AG1151" si="1155">IF(J1151&lt;&gt;"", IF(AND($P1151=FALSE, $A1151=FALSE), -J1151, IF(AND($P1151=FALSE, $A1151=TRUE), 0, IF($P1151=TRUE, (J1151 / $R1151) * 100 * ($S1151 / 100)-J1151, ))), )</f>
        <v/>
      </c>
      <c r="AD1151" s="32" t="str">
        <f t="shared" si="1155"/>
        <v/>
      </c>
      <c r="AE1151" s="32" t="str">
        <f t="shared" si="1155"/>
        <v/>
      </c>
      <c r="AF1151" s="32" t="str">
        <f t="shared" si="1155"/>
        <v/>
      </c>
      <c r="AG1151" s="32" t="str">
        <f t="shared" si="1155"/>
        <v/>
      </c>
      <c r="AH1151" s="33"/>
    </row>
    <row r="1152" hidden="1" outlineLevel="3">
      <c r="A1152" s="16" t="b">
        <v>0</v>
      </c>
      <c r="B1152" s="17"/>
      <c r="C1152" s="18"/>
      <c r="D1152" s="19"/>
      <c r="E1152" s="20"/>
      <c r="F1152" s="21"/>
      <c r="G1152" s="22"/>
      <c r="H1152" s="22"/>
      <c r="I1152" s="23"/>
      <c r="J1152" s="22"/>
      <c r="K1152" s="23"/>
      <c r="L1152" s="22"/>
      <c r="M1152" s="23"/>
      <c r="N1152" s="23"/>
      <c r="O1152" s="24"/>
      <c r="P1152" s="16" t="b">
        <v>0</v>
      </c>
      <c r="Q1152" s="24"/>
      <c r="R1152" s="25"/>
      <c r="S1152" s="26"/>
      <c r="T1152" s="27"/>
      <c r="U1152" s="24"/>
      <c r="V1152" s="28" t="s">
        <v>32</v>
      </c>
      <c r="W1152" s="29" t="s">
        <v>22</v>
      </c>
      <c r="X1152" s="37" t="s">
        <v>445</v>
      </c>
      <c r="Y1152" s="31"/>
      <c r="Z1152" s="26" t="str">
        <f t="shared" si="5"/>
        <v/>
      </c>
      <c r="AA1152" s="26" t="str">
        <f t="shared" si="6"/>
        <v/>
      </c>
      <c r="AB1152" s="32" t="str">
        <f t="shared" si="7"/>
        <v/>
      </c>
      <c r="AC1152" s="32" t="str">
        <f t="shared" ref="AC1152:AG1152" si="1156">IF(J1152&lt;&gt;"", IF(AND($P1152=FALSE, $A1152=FALSE), -J1152, IF(AND($P1152=FALSE, $A1152=TRUE), 0, IF($P1152=TRUE, (J1152 / $R1152) * 100 * ($S1152 / 100)-J1152, ))), )</f>
        <v/>
      </c>
      <c r="AD1152" s="32" t="str">
        <f t="shared" si="1156"/>
        <v/>
      </c>
      <c r="AE1152" s="32" t="str">
        <f t="shared" si="1156"/>
        <v/>
      </c>
      <c r="AF1152" s="32" t="str">
        <f t="shared" si="1156"/>
        <v/>
      </c>
      <c r="AG1152" s="32" t="str">
        <f t="shared" si="1156"/>
        <v/>
      </c>
      <c r="AH1152" s="33"/>
    </row>
    <row r="1153" hidden="1" outlineLevel="2" collapsed="1">
      <c r="A1153" s="16" t="b">
        <v>0</v>
      </c>
      <c r="B1153" s="17"/>
      <c r="C1153" s="18"/>
      <c r="D1153" s="42">
        <v>45270.0</v>
      </c>
      <c r="E1153" s="43" t="s">
        <v>24</v>
      </c>
      <c r="F1153" s="53" t="s">
        <v>724</v>
      </c>
      <c r="G1153" s="45">
        <v>2.0</v>
      </c>
      <c r="H1153" s="45">
        <v>1.0</v>
      </c>
      <c r="I1153" s="45">
        <v>3.0</v>
      </c>
      <c r="J1153" s="46"/>
      <c r="K1153" s="46"/>
      <c r="L1153" s="45"/>
      <c r="M1153" s="46"/>
      <c r="N1153" s="46"/>
      <c r="O1153" s="47"/>
      <c r="P1153" s="16" t="b">
        <v>0</v>
      </c>
      <c r="Q1153" s="24"/>
      <c r="R1153" s="48">
        <v>6.0</v>
      </c>
      <c r="S1153" s="45">
        <v>13.08</v>
      </c>
      <c r="T1153" s="49" t="s">
        <v>210</v>
      </c>
      <c r="U1153" s="47"/>
      <c r="V1153" s="28"/>
      <c r="W1153" s="29"/>
      <c r="X1153" s="30"/>
      <c r="Y1153" s="31"/>
      <c r="Z1153" s="26">
        <f t="shared" si="5"/>
        <v>-2</v>
      </c>
      <c r="AA1153" s="26">
        <f t="shared" si="6"/>
        <v>-3</v>
      </c>
      <c r="AB1153" s="32">
        <f t="shared" si="7"/>
        <v>-1</v>
      </c>
      <c r="AC1153" s="32" t="str">
        <f t="shared" ref="AC1153:AG1153" si="1157">IF(J1153&lt;&gt;"", IF(AND($P1153=FALSE, $A1153=FALSE), -J1153, IF(AND($P1153=FALSE, $A1153=TRUE), 0, IF($P1153=TRUE, (J1153 / $R1153) * 100 * ($S1153 / 100)-J1153, ))), )</f>
        <v/>
      </c>
      <c r="AD1153" s="32" t="str">
        <f t="shared" si="1157"/>
        <v/>
      </c>
      <c r="AE1153" s="32" t="str">
        <f t="shared" si="1157"/>
        <v/>
      </c>
      <c r="AF1153" s="32" t="str">
        <f t="shared" si="1157"/>
        <v/>
      </c>
      <c r="AG1153" s="32" t="str">
        <f t="shared" si="1157"/>
        <v/>
      </c>
      <c r="AH1153" s="33"/>
    </row>
    <row r="1154" hidden="1" outlineLevel="3">
      <c r="A1154" s="16" t="b">
        <v>0</v>
      </c>
      <c r="B1154" s="17"/>
      <c r="C1154" s="18"/>
      <c r="D1154" s="19"/>
      <c r="E1154" s="20"/>
      <c r="F1154" s="21"/>
      <c r="G1154" s="22"/>
      <c r="H1154" s="22"/>
      <c r="I1154" s="23"/>
      <c r="J1154" s="22"/>
      <c r="K1154" s="23"/>
      <c r="L1154" s="22"/>
      <c r="M1154" s="23"/>
      <c r="N1154" s="23"/>
      <c r="O1154" s="24"/>
      <c r="P1154" s="16" t="b">
        <v>0</v>
      </c>
      <c r="Q1154" s="24"/>
      <c r="R1154" s="25"/>
      <c r="S1154" s="26"/>
      <c r="T1154" s="27"/>
      <c r="U1154" s="24"/>
      <c r="V1154" s="28" t="s">
        <v>32</v>
      </c>
      <c r="W1154" s="29" t="s">
        <v>22</v>
      </c>
      <c r="X1154" s="37" t="s">
        <v>436</v>
      </c>
      <c r="Y1154" s="31"/>
      <c r="Z1154" s="26" t="str">
        <f t="shared" si="5"/>
        <v/>
      </c>
      <c r="AA1154" s="26" t="str">
        <f t="shared" si="6"/>
        <v/>
      </c>
      <c r="AB1154" s="32" t="str">
        <f t="shared" si="7"/>
        <v/>
      </c>
      <c r="AC1154" s="32" t="str">
        <f t="shared" ref="AC1154:AG1154" si="1158">IF(J1154&lt;&gt;"", IF(AND($P1154=FALSE, $A1154=FALSE), -J1154, IF(AND($P1154=FALSE, $A1154=TRUE), 0, IF($P1154=TRUE, (J1154 / $R1154) * 100 * ($S1154 / 100)-J1154, ))), )</f>
        <v/>
      </c>
      <c r="AD1154" s="32" t="str">
        <f t="shared" si="1158"/>
        <v/>
      </c>
      <c r="AE1154" s="32" t="str">
        <f t="shared" si="1158"/>
        <v/>
      </c>
      <c r="AF1154" s="32" t="str">
        <f t="shared" si="1158"/>
        <v/>
      </c>
      <c r="AG1154" s="32" t="str">
        <f t="shared" si="1158"/>
        <v/>
      </c>
      <c r="AH1154" s="33"/>
    </row>
    <row r="1155" hidden="1" outlineLevel="3">
      <c r="A1155" s="16" t="b">
        <v>0</v>
      </c>
      <c r="B1155" s="17"/>
      <c r="C1155" s="18"/>
      <c r="D1155" s="19"/>
      <c r="E1155" s="20"/>
      <c r="F1155" s="21"/>
      <c r="G1155" s="22"/>
      <c r="H1155" s="22"/>
      <c r="I1155" s="23"/>
      <c r="J1155" s="22"/>
      <c r="K1155" s="23"/>
      <c r="L1155" s="22"/>
      <c r="M1155" s="23"/>
      <c r="N1155" s="23"/>
      <c r="O1155" s="24"/>
      <c r="P1155" s="16" t="b">
        <v>0</v>
      </c>
      <c r="Q1155" s="24"/>
      <c r="R1155" s="25"/>
      <c r="S1155" s="26"/>
      <c r="T1155" s="27"/>
      <c r="U1155" s="24"/>
      <c r="V1155" s="38" t="s">
        <v>29</v>
      </c>
      <c r="W1155" s="29" t="s">
        <v>22</v>
      </c>
      <c r="X1155" s="37" t="s">
        <v>606</v>
      </c>
      <c r="Y1155" s="31"/>
      <c r="Z1155" s="26" t="str">
        <f t="shared" si="5"/>
        <v/>
      </c>
      <c r="AA1155" s="26" t="str">
        <f t="shared" si="6"/>
        <v/>
      </c>
      <c r="AB1155" s="32" t="str">
        <f t="shared" si="7"/>
        <v/>
      </c>
      <c r="AC1155" s="32" t="str">
        <f t="shared" ref="AC1155:AG1155" si="1159">IF(J1155&lt;&gt;"", IF(AND($P1155=FALSE, $A1155=FALSE), -J1155, IF(AND($P1155=FALSE, $A1155=TRUE), 0, IF($P1155=TRUE, (J1155 / $R1155) * 100 * ($S1155 / 100)-J1155, ))), )</f>
        <v/>
      </c>
      <c r="AD1155" s="32" t="str">
        <f t="shared" si="1159"/>
        <v/>
      </c>
      <c r="AE1155" s="32" t="str">
        <f t="shared" si="1159"/>
        <v/>
      </c>
      <c r="AF1155" s="32" t="str">
        <f t="shared" si="1159"/>
        <v/>
      </c>
      <c r="AG1155" s="32" t="str">
        <f t="shared" si="1159"/>
        <v/>
      </c>
      <c r="AH1155" s="33"/>
    </row>
    <row r="1156" hidden="1" outlineLevel="3">
      <c r="A1156" s="16" t="b">
        <v>0</v>
      </c>
      <c r="B1156" s="17"/>
      <c r="C1156" s="18"/>
      <c r="D1156" s="19"/>
      <c r="E1156" s="20"/>
      <c r="F1156" s="21"/>
      <c r="G1156" s="22"/>
      <c r="H1156" s="22"/>
      <c r="I1156" s="23"/>
      <c r="J1156" s="22"/>
      <c r="K1156" s="23"/>
      <c r="L1156" s="22"/>
      <c r="M1156" s="23"/>
      <c r="N1156" s="23"/>
      <c r="O1156" s="24"/>
      <c r="P1156" s="16" t="b">
        <v>0</v>
      </c>
      <c r="Q1156" s="24"/>
      <c r="R1156" s="25"/>
      <c r="S1156" s="26"/>
      <c r="T1156" s="27"/>
      <c r="U1156" s="24"/>
      <c r="V1156" s="38" t="s">
        <v>29</v>
      </c>
      <c r="W1156" s="29" t="s">
        <v>22</v>
      </c>
      <c r="X1156" s="37" t="s">
        <v>376</v>
      </c>
      <c r="Y1156" s="31"/>
      <c r="Z1156" s="26" t="str">
        <f t="shared" si="5"/>
        <v/>
      </c>
      <c r="AA1156" s="26" t="str">
        <f t="shared" si="6"/>
        <v/>
      </c>
      <c r="AB1156" s="32" t="str">
        <f t="shared" si="7"/>
        <v/>
      </c>
      <c r="AC1156" s="32" t="str">
        <f t="shared" ref="AC1156:AG1156" si="1160">IF(J1156&lt;&gt;"", IF(AND($P1156=FALSE, $A1156=FALSE), -J1156, IF(AND($P1156=FALSE, $A1156=TRUE), 0, IF($P1156=TRUE, (J1156 / $R1156) * 100 * ($S1156 / 100)-J1156, ))), )</f>
        <v/>
      </c>
      <c r="AD1156" s="32" t="str">
        <f t="shared" si="1160"/>
        <v/>
      </c>
      <c r="AE1156" s="32" t="str">
        <f t="shared" si="1160"/>
        <v/>
      </c>
      <c r="AF1156" s="32" t="str">
        <f t="shared" si="1160"/>
        <v/>
      </c>
      <c r="AG1156" s="32" t="str">
        <f t="shared" si="1160"/>
        <v/>
      </c>
      <c r="AH1156" s="33"/>
    </row>
    <row r="1157" hidden="1" outlineLevel="3">
      <c r="A1157" s="16" t="b">
        <v>0</v>
      </c>
      <c r="B1157" s="17"/>
      <c r="C1157" s="18"/>
      <c r="D1157" s="19"/>
      <c r="E1157" s="20"/>
      <c r="F1157" s="21"/>
      <c r="G1157" s="22"/>
      <c r="H1157" s="22"/>
      <c r="I1157" s="23"/>
      <c r="J1157" s="22"/>
      <c r="K1157" s="23"/>
      <c r="L1157" s="22"/>
      <c r="M1157" s="23"/>
      <c r="N1157" s="23"/>
      <c r="O1157" s="24"/>
      <c r="P1157" s="16" t="b">
        <v>0</v>
      </c>
      <c r="Q1157" s="24"/>
      <c r="R1157" s="25"/>
      <c r="S1157" s="26"/>
      <c r="T1157" s="27"/>
      <c r="U1157" s="24"/>
      <c r="V1157" s="38" t="s">
        <v>29</v>
      </c>
      <c r="W1157" s="29" t="s">
        <v>22</v>
      </c>
      <c r="X1157" s="37" t="s">
        <v>789</v>
      </c>
      <c r="Y1157" s="31"/>
      <c r="Z1157" s="26" t="str">
        <f t="shared" si="5"/>
        <v/>
      </c>
      <c r="AA1157" s="26" t="str">
        <f t="shared" si="6"/>
        <v/>
      </c>
      <c r="AB1157" s="32" t="str">
        <f t="shared" si="7"/>
        <v/>
      </c>
      <c r="AC1157" s="32" t="str">
        <f t="shared" ref="AC1157:AG1157" si="1161">IF(J1157&lt;&gt;"", IF(AND($P1157=FALSE, $A1157=FALSE), -J1157, IF(AND($P1157=FALSE, $A1157=TRUE), 0, IF($P1157=TRUE, (J1157 / $R1157) * 100 * ($S1157 / 100)-J1157, ))), )</f>
        <v/>
      </c>
      <c r="AD1157" s="32" t="str">
        <f t="shared" si="1161"/>
        <v/>
      </c>
      <c r="AE1157" s="32" t="str">
        <f t="shared" si="1161"/>
        <v/>
      </c>
      <c r="AF1157" s="32" t="str">
        <f t="shared" si="1161"/>
        <v/>
      </c>
      <c r="AG1157" s="32" t="str">
        <f t="shared" si="1161"/>
        <v/>
      </c>
      <c r="AH1157" s="33"/>
    </row>
    <row r="1158" hidden="1" outlineLevel="2">
      <c r="A1158" s="16" t="b">
        <v>0</v>
      </c>
      <c r="B1158" s="17"/>
      <c r="C1158" s="18"/>
      <c r="D1158" s="42">
        <v>45270.0</v>
      </c>
      <c r="E1158" s="43" t="s">
        <v>24</v>
      </c>
      <c r="F1158" s="53" t="s">
        <v>724</v>
      </c>
      <c r="G1158" s="45">
        <v>2.5</v>
      </c>
      <c r="H1158" s="45">
        <v>1.5</v>
      </c>
      <c r="I1158" s="45">
        <v>16.0</v>
      </c>
      <c r="J1158" s="46"/>
      <c r="K1158" s="46"/>
      <c r="L1158" s="45"/>
      <c r="M1158" s="46"/>
      <c r="N1158" s="46"/>
      <c r="O1158" s="47"/>
      <c r="P1158" s="16" t="b">
        <v>0</v>
      </c>
      <c r="Q1158" s="24"/>
      <c r="R1158" s="48">
        <v>20.0</v>
      </c>
      <c r="S1158" s="45">
        <v>48.49</v>
      </c>
      <c r="T1158" s="49" t="s">
        <v>417</v>
      </c>
      <c r="U1158" s="47"/>
      <c r="V1158" s="28"/>
      <c r="W1158" s="29"/>
      <c r="X1158" s="30"/>
      <c r="Y1158" s="31"/>
      <c r="Z1158" s="26">
        <f t="shared" si="5"/>
        <v>-2.5</v>
      </c>
      <c r="AA1158" s="26">
        <f t="shared" si="6"/>
        <v>-16</v>
      </c>
      <c r="AB1158" s="32">
        <f t="shared" si="7"/>
        <v>-1.5</v>
      </c>
      <c r="AC1158" s="32" t="str">
        <f t="shared" ref="AC1158:AG1158" si="1162">IF(J1158&lt;&gt;"", IF(AND($P1158=FALSE, $A1158=FALSE), -J1158, IF(AND($P1158=FALSE, $A1158=TRUE), 0, IF($P1158=TRUE, (J1158 / $R1158) * 100 * ($S1158 / 100)-J1158, ))), )</f>
        <v/>
      </c>
      <c r="AD1158" s="32" t="str">
        <f t="shared" si="1162"/>
        <v/>
      </c>
      <c r="AE1158" s="32" t="str">
        <f t="shared" si="1162"/>
        <v/>
      </c>
      <c r="AF1158" s="32" t="str">
        <f t="shared" si="1162"/>
        <v/>
      </c>
      <c r="AG1158" s="32" t="str">
        <f t="shared" si="1162"/>
        <v/>
      </c>
      <c r="AH1158" s="33"/>
    </row>
    <row r="1159" hidden="1" outlineLevel="3">
      <c r="A1159" s="16" t="b">
        <v>0</v>
      </c>
      <c r="B1159" s="17"/>
      <c r="C1159" s="18"/>
      <c r="D1159" s="19"/>
      <c r="E1159" s="20"/>
      <c r="F1159" s="21"/>
      <c r="G1159" s="22"/>
      <c r="H1159" s="22"/>
      <c r="I1159" s="23"/>
      <c r="J1159" s="22"/>
      <c r="K1159" s="23"/>
      <c r="L1159" s="22"/>
      <c r="M1159" s="23"/>
      <c r="N1159" s="23"/>
      <c r="O1159" s="24"/>
      <c r="P1159" s="16" t="b">
        <v>0</v>
      </c>
      <c r="Q1159" s="24"/>
      <c r="R1159" s="25"/>
      <c r="S1159" s="26"/>
      <c r="T1159" s="27"/>
      <c r="U1159" s="24"/>
      <c r="V1159" s="28" t="s">
        <v>32</v>
      </c>
      <c r="W1159" s="29" t="s">
        <v>22</v>
      </c>
      <c r="X1159" s="37" t="s">
        <v>790</v>
      </c>
      <c r="Y1159" s="31"/>
      <c r="Z1159" s="26" t="str">
        <f t="shared" si="5"/>
        <v/>
      </c>
      <c r="AA1159" s="26" t="str">
        <f t="shared" si="6"/>
        <v/>
      </c>
      <c r="AB1159" s="32" t="str">
        <f t="shared" si="7"/>
        <v/>
      </c>
      <c r="AC1159" s="32" t="str">
        <f t="shared" ref="AC1159:AG1159" si="1163">IF(J1159&lt;&gt;"", IF(AND($P1159=FALSE, $A1159=FALSE), -J1159, IF(AND($P1159=FALSE, $A1159=TRUE), 0, IF($P1159=TRUE, (J1159 / $R1159) * 100 * ($S1159 / 100)-J1159, ))), )</f>
        <v/>
      </c>
      <c r="AD1159" s="32" t="str">
        <f t="shared" si="1163"/>
        <v/>
      </c>
      <c r="AE1159" s="32" t="str">
        <f t="shared" si="1163"/>
        <v/>
      </c>
      <c r="AF1159" s="32" t="str">
        <f t="shared" si="1163"/>
        <v/>
      </c>
      <c r="AG1159" s="32" t="str">
        <f t="shared" si="1163"/>
        <v/>
      </c>
      <c r="AH1159" s="33"/>
    </row>
    <row r="1160" hidden="1" outlineLevel="3">
      <c r="A1160" s="16" t="b">
        <v>0</v>
      </c>
      <c r="B1160" s="17"/>
      <c r="C1160" s="18"/>
      <c r="D1160" s="19"/>
      <c r="E1160" s="20"/>
      <c r="F1160" s="21"/>
      <c r="G1160" s="22"/>
      <c r="H1160" s="22"/>
      <c r="I1160" s="23"/>
      <c r="J1160" s="22"/>
      <c r="K1160" s="23"/>
      <c r="L1160" s="22"/>
      <c r="M1160" s="23"/>
      <c r="N1160" s="23"/>
      <c r="O1160" s="24"/>
      <c r="P1160" s="16" t="b">
        <v>0</v>
      </c>
      <c r="Q1160" s="24"/>
      <c r="R1160" s="25"/>
      <c r="S1160" s="26"/>
      <c r="T1160" s="27"/>
      <c r="U1160" s="24"/>
      <c r="V1160" s="38" t="s">
        <v>29</v>
      </c>
      <c r="W1160" s="29" t="s">
        <v>22</v>
      </c>
      <c r="X1160" s="37" t="s">
        <v>399</v>
      </c>
      <c r="Y1160" s="31"/>
      <c r="Z1160" s="26" t="str">
        <f t="shared" si="5"/>
        <v/>
      </c>
      <c r="AA1160" s="26" t="str">
        <f t="shared" si="6"/>
        <v/>
      </c>
      <c r="AB1160" s="32" t="str">
        <f t="shared" si="7"/>
        <v/>
      </c>
      <c r="AC1160" s="32" t="str">
        <f t="shared" ref="AC1160:AG1160" si="1164">IF(J1160&lt;&gt;"", IF(AND($P1160=FALSE, $A1160=FALSE), -J1160, IF(AND($P1160=FALSE, $A1160=TRUE), 0, IF($P1160=TRUE, (J1160 / $R1160) * 100 * ($S1160 / 100)-J1160, ))), )</f>
        <v/>
      </c>
      <c r="AD1160" s="32" t="str">
        <f t="shared" si="1164"/>
        <v/>
      </c>
      <c r="AE1160" s="32" t="str">
        <f t="shared" si="1164"/>
        <v/>
      </c>
      <c r="AF1160" s="32" t="str">
        <f t="shared" si="1164"/>
        <v/>
      </c>
      <c r="AG1160" s="32" t="str">
        <f t="shared" si="1164"/>
        <v/>
      </c>
      <c r="AH1160" s="33"/>
    </row>
    <row r="1161" hidden="1" outlineLevel="3">
      <c r="A1161" s="16" t="b">
        <v>0</v>
      </c>
      <c r="B1161" s="17"/>
      <c r="C1161" s="18"/>
      <c r="D1161" s="19"/>
      <c r="E1161" s="20"/>
      <c r="F1161" s="21"/>
      <c r="G1161" s="22"/>
      <c r="H1161" s="22"/>
      <c r="I1161" s="23"/>
      <c r="J1161" s="22"/>
      <c r="K1161" s="23"/>
      <c r="L1161" s="22"/>
      <c r="M1161" s="23"/>
      <c r="N1161" s="23"/>
      <c r="O1161" s="24"/>
      <c r="P1161" s="16" t="b">
        <v>0</v>
      </c>
      <c r="Q1161" s="24"/>
      <c r="R1161" s="25"/>
      <c r="S1161" s="26"/>
      <c r="T1161" s="27"/>
      <c r="U1161" s="24"/>
      <c r="V1161" s="28" t="s">
        <v>32</v>
      </c>
      <c r="W1161" s="29" t="s">
        <v>22</v>
      </c>
      <c r="X1161" s="37" t="s">
        <v>791</v>
      </c>
      <c r="Y1161" s="31"/>
      <c r="Z1161" s="26" t="str">
        <f t="shared" si="5"/>
        <v/>
      </c>
      <c r="AA1161" s="26" t="str">
        <f t="shared" si="6"/>
        <v/>
      </c>
      <c r="AB1161" s="32" t="str">
        <f t="shared" si="7"/>
        <v/>
      </c>
      <c r="AC1161" s="32" t="str">
        <f t="shared" ref="AC1161:AG1161" si="1165">IF(J1161&lt;&gt;"", IF(AND($P1161=FALSE, $A1161=FALSE), -J1161, IF(AND($P1161=FALSE, $A1161=TRUE), 0, IF($P1161=TRUE, (J1161 / $R1161) * 100 * ($S1161 / 100)-J1161, ))), )</f>
        <v/>
      </c>
      <c r="AD1161" s="32" t="str">
        <f t="shared" si="1165"/>
        <v/>
      </c>
      <c r="AE1161" s="32" t="str">
        <f t="shared" si="1165"/>
        <v/>
      </c>
      <c r="AF1161" s="32" t="str">
        <f t="shared" si="1165"/>
        <v/>
      </c>
      <c r="AG1161" s="32" t="str">
        <f t="shared" si="1165"/>
        <v/>
      </c>
      <c r="AH1161" s="33"/>
    </row>
    <row r="1162" hidden="1" outlineLevel="1" collapsed="1">
      <c r="A1162" s="16" t="b">
        <v>0</v>
      </c>
      <c r="B1162" s="17"/>
      <c r="C1162" s="18"/>
      <c r="D1162" s="42">
        <v>45271.0</v>
      </c>
      <c r="E1162" s="43" t="s">
        <v>24</v>
      </c>
      <c r="F1162" s="53" t="s">
        <v>724</v>
      </c>
      <c r="G1162" s="45">
        <v>2.0</v>
      </c>
      <c r="H1162" s="45">
        <v>1.0</v>
      </c>
      <c r="I1162" s="45">
        <v>3.0</v>
      </c>
      <c r="J1162" s="46"/>
      <c r="K1162" s="46"/>
      <c r="L1162" s="45"/>
      <c r="M1162" s="46"/>
      <c r="N1162" s="46"/>
      <c r="O1162" s="47"/>
      <c r="P1162" s="16" t="b">
        <v>0</v>
      </c>
      <c r="Q1162" s="24"/>
      <c r="R1162" s="48">
        <v>6.0</v>
      </c>
      <c r="S1162" s="45">
        <v>13.26</v>
      </c>
      <c r="T1162" s="49" t="s">
        <v>792</v>
      </c>
      <c r="U1162" s="47"/>
      <c r="V1162" s="28"/>
      <c r="W1162" s="29"/>
      <c r="X1162" s="30"/>
      <c r="Y1162" s="31"/>
      <c r="Z1162" s="26">
        <f t="shared" si="5"/>
        <v>-2</v>
      </c>
      <c r="AA1162" s="26">
        <f t="shared" si="6"/>
        <v>-3</v>
      </c>
      <c r="AB1162" s="32">
        <f t="shared" si="7"/>
        <v>-1</v>
      </c>
      <c r="AC1162" s="32" t="str">
        <f t="shared" ref="AC1162:AG1162" si="1166">IF(J1162&lt;&gt;"", IF(AND($P1162=FALSE, $A1162=FALSE), -J1162, IF(AND($P1162=FALSE, $A1162=TRUE), 0, IF($P1162=TRUE, (J1162 / $R1162) * 100 * ($S1162 / 100)-J1162, ))), )</f>
        <v/>
      </c>
      <c r="AD1162" s="32" t="str">
        <f t="shared" si="1166"/>
        <v/>
      </c>
      <c r="AE1162" s="32" t="str">
        <f t="shared" si="1166"/>
        <v/>
      </c>
      <c r="AF1162" s="32" t="str">
        <f t="shared" si="1166"/>
        <v/>
      </c>
      <c r="AG1162" s="32" t="str">
        <f t="shared" si="1166"/>
        <v/>
      </c>
      <c r="AH1162" s="33"/>
    </row>
    <row r="1163" hidden="1" outlineLevel="3">
      <c r="A1163" s="16" t="b">
        <v>0</v>
      </c>
      <c r="B1163" s="17"/>
      <c r="C1163" s="18"/>
      <c r="D1163" s="19"/>
      <c r="E1163" s="20"/>
      <c r="F1163" s="21"/>
      <c r="G1163" s="22"/>
      <c r="H1163" s="22"/>
      <c r="I1163" s="23"/>
      <c r="J1163" s="22"/>
      <c r="K1163" s="23"/>
      <c r="L1163" s="22"/>
      <c r="M1163" s="23"/>
      <c r="N1163" s="23"/>
      <c r="O1163" s="24"/>
      <c r="P1163" s="16" t="b">
        <v>0</v>
      </c>
      <c r="Q1163" s="24"/>
      <c r="R1163" s="25"/>
      <c r="S1163" s="26"/>
      <c r="T1163" s="27"/>
      <c r="U1163" s="24"/>
      <c r="V1163" s="28" t="s">
        <v>32</v>
      </c>
      <c r="W1163" s="29" t="s">
        <v>22</v>
      </c>
      <c r="X1163" s="37" t="s">
        <v>793</v>
      </c>
      <c r="Y1163" s="31"/>
      <c r="Z1163" s="26" t="str">
        <f t="shared" si="5"/>
        <v/>
      </c>
      <c r="AA1163" s="26" t="str">
        <f t="shared" si="6"/>
        <v/>
      </c>
      <c r="AB1163" s="32" t="str">
        <f t="shared" si="7"/>
        <v/>
      </c>
      <c r="AC1163" s="32" t="str">
        <f t="shared" ref="AC1163:AG1163" si="1167">IF(J1163&lt;&gt;"", IF(AND($P1163=FALSE, $A1163=FALSE), -J1163, IF(AND($P1163=FALSE, $A1163=TRUE), 0, IF($P1163=TRUE, (J1163 / $R1163) * 100 * ($S1163 / 100)-J1163, ))), )</f>
        <v/>
      </c>
      <c r="AD1163" s="32" t="str">
        <f t="shared" si="1167"/>
        <v/>
      </c>
      <c r="AE1163" s="32" t="str">
        <f t="shared" si="1167"/>
        <v/>
      </c>
      <c r="AF1163" s="32" t="str">
        <f t="shared" si="1167"/>
        <v/>
      </c>
      <c r="AG1163" s="32" t="str">
        <f t="shared" si="1167"/>
        <v/>
      </c>
      <c r="AH1163" s="33"/>
    </row>
    <row r="1164" hidden="1" outlineLevel="3">
      <c r="A1164" s="16" t="b">
        <v>0</v>
      </c>
      <c r="B1164" s="17"/>
      <c r="C1164" s="18"/>
      <c r="D1164" s="19"/>
      <c r="E1164" s="20"/>
      <c r="F1164" s="21"/>
      <c r="G1164" s="22"/>
      <c r="H1164" s="22"/>
      <c r="I1164" s="23"/>
      <c r="J1164" s="22"/>
      <c r="K1164" s="23"/>
      <c r="L1164" s="22"/>
      <c r="M1164" s="23"/>
      <c r="N1164" s="23"/>
      <c r="O1164" s="24"/>
      <c r="P1164" s="16" t="b">
        <v>0</v>
      </c>
      <c r="Q1164" s="24"/>
      <c r="R1164" s="25"/>
      <c r="S1164" s="26"/>
      <c r="T1164" s="27"/>
      <c r="U1164" s="24"/>
      <c r="V1164" s="28" t="s">
        <v>32</v>
      </c>
      <c r="W1164" s="29" t="s">
        <v>22</v>
      </c>
      <c r="X1164" s="37" t="s">
        <v>794</v>
      </c>
      <c r="Y1164" s="31"/>
      <c r="Z1164" s="26" t="str">
        <f t="shared" si="5"/>
        <v/>
      </c>
      <c r="AA1164" s="26" t="str">
        <f t="shared" si="6"/>
        <v/>
      </c>
      <c r="AB1164" s="32" t="str">
        <f t="shared" si="7"/>
        <v/>
      </c>
      <c r="AC1164" s="32" t="str">
        <f t="shared" ref="AC1164:AG1164" si="1168">IF(J1164&lt;&gt;"", IF(AND($P1164=FALSE, $A1164=FALSE), -J1164, IF(AND($P1164=FALSE, $A1164=TRUE), 0, IF($P1164=TRUE, (J1164 / $R1164) * 100 * ($S1164 / 100)-J1164, ))), )</f>
        <v/>
      </c>
      <c r="AD1164" s="32" t="str">
        <f t="shared" si="1168"/>
        <v/>
      </c>
      <c r="AE1164" s="32" t="str">
        <f t="shared" si="1168"/>
        <v/>
      </c>
      <c r="AF1164" s="32" t="str">
        <f t="shared" si="1168"/>
        <v/>
      </c>
      <c r="AG1164" s="32" t="str">
        <f t="shared" si="1168"/>
        <v/>
      </c>
      <c r="AH1164" s="33"/>
    </row>
    <row r="1165" hidden="1" outlineLevel="2" collapsed="1">
      <c r="A1165" s="16" t="b">
        <v>0</v>
      </c>
      <c r="B1165" s="17"/>
      <c r="C1165" s="18"/>
      <c r="D1165" s="42">
        <v>45271.0</v>
      </c>
      <c r="E1165" s="43" t="s">
        <v>24</v>
      </c>
      <c r="F1165" s="53" t="s">
        <v>724</v>
      </c>
      <c r="G1165" s="45">
        <v>1.0</v>
      </c>
      <c r="H1165" s="45">
        <v>0.5</v>
      </c>
      <c r="I1165" s="45">
        <v>2.5</v>
      </c>
      <c r="J1165" s="46"/>
      <c r="K1165" s="46"/>
      <c r="L1165" s="45"/>
      <c r="M1165" s="46"/>
      <c r="N1165" s="46"/>
      <c r="O1165" s="47"/>
      <c r="P1165" s="16" t="b">
        <v>0</v>
      </c>
      <c r="Q1165" s="24"/>
      <c r="R1165" s="48">
        <v>4.0</v>
      </c>
      <c r="S1165" s="45">
        <v>19.28</v>
      </c>
      <c r="T1165" s="49" t="s">
        <v>795</v>
      </c>
      <c r="U1165" s="47"/>
      <c r="V1165" s="28"/>
      <c r="W1165" s="29"/>
      <c r="X1165" s="30"/>
      <c r="Y1165" s="31"/>
      <c r="Z1165" s="26">
        <f t="shared" si="5"/>
        <v>-1</v>
      </c>
      <c r="AA1165" s="26">
        <f t="shared" si="6"/>
        <v>-2.5</v>
      </c>
      <c r="AB1165" s="32">
        <f t="shared" si="7"/>
        <v>-0.5</v>
      </c>
      <c r="AC1165" s="32" t="str">
        <f t="shared" ref="AC1165:AG1165" si="1169">IF(J1165&lt;&gt;"", IF(AND($P1165=FALSE, $A1165=FALSE), -J1165, IF(AND($P1165=FALSE, $A1165=TRUE), 0, IF($P1165=TRUE, (J1165 / $R1165) * 100 * ($S1165 / 100)-J1165, ))), )</f>
        <v/>
      </c>
      <c r="AD1165" s="32" t="str">
        <f t="shared" si="1169"/>
        <v/>
      </c>
      <c r="AE1165" s="32" t="str">
        <f t="shared" si="1169"/>
        <v/>
      </c>
      <c r="AF1165" s="32" t="str">
        <f t="shared" si="1169"/>
        <v/>
      </c>
      <c r="AG1165" s="32" t="str">
        <f t="shared" si="1169"/>
        <v/>
      </c>
      <c r="AH1165" s="33"/>
    </row>
    <row r="1166" hidden="1" outlineLevel="3">
      <c r="A1166" s="16" t="b">
        <v>0</v>
      </c>
      <c r="B1166" s="17"/>
      <c r="C1166" s="18"/>
      <c r="D1166" s="19"/>
      <c r="E1166" s="20"/>
      <c r="F1166" s="21"/>
      <c r="G1166" s="22"/>
      <c r="H1166" s="22"/>
      <c r="I1166" s="23"/>
      <c r="J1166" s="22"/>
      <c r="K1166" s="23"/>
      <c r="L1166" s="22"/>
      <c r="M1166" s="23"/>
      <c r="N1166" s="23"/>
      <c r="O1166" s="24"/>
      <c r="P1166" s="16" t="b">
        <v>0</v>
      </c>
      <c r="Q1166" s="24"/>
      <c r="R1166" s="25"/>
      <c r="S1166" s="26"/>
      <c r="T1166" s="27"/>
      <c r="U1166" s="24"/>
      <c r="V1166" s="28" t="s">
        <v>32</v>
      </c>
      <c r="W1166" s="29" t="s">
        <v>22</v>
      </c>
      <c r="X1166" s="37" t="s">
        <v>796</v>
      </c>
      <c r="Y1166" s="31"/>
      <c r="Z1166" s="26" t="str">
        <f t="shared" si="5"/>
        <v/>
      </c>
      <c r="AA1166" s="26" t="str">
        <f t="shared" si="6"/>
        <v/>
      </c>
      <c r="AB1166" s="32" t="str">
        <f t="shared" si="7"/>
        <v/>
      </c>
      <c r="AC1166" s="32" t="str">
        <f t="shared" ref="AC1166:AG1166" si="1170">IF(J1166&lt;&gt;"", IF(AND($P1166=FALSE, $A1166=FALSE), -J1166, IF(AND($P1166=FALSE, $A1166=TRUE), 0, IF($P1166=TRUE, (J1166 / $R1166) * 100 * ($S1166 / 100)-J1166, ))), )</f>
        <v/>
      </c>
      <c r="AD1166" s="32" t="str">
        <f t="shared" si="1170"/>
        <v/>
      </c>
      <c r="AE1166" s="32" t="str">
        <f t="shared" si="1170"/>
        <v/>
      </c>
      <c r="AF1166" s="32" t="str">
        <f t="shared" si="1170"/>
        <v/>
      </c>
      <c r="AG1166" s="32" t="str">
        <f t="shared" si="1170"/>
        <v/>
      </c>
      <c r="AH1166" s="33"/>
    </row>
    <row r="1167" hidden="1" outlineLevel="3">
      <c r="A1167" s="16" t="b">
        <v>0</v>
      </c>
      <c r="B1167" s="17"/>
      <c r="C1167" s="18"/>
      <c r="D1167" s="19"/>
      <c r="E1167" s="20"/>
      <c r="F1167" s="21"/>
      <c r="G1167" s="22"/>
      <c r="H1167" s="22"/>
      <c r="I1167" s="23"/>
      <c r="J1167" s="22"/>
      <c r="K1167" s="23"/>
      <c r="L1167" s="22"/>
      <c r="M1167" s="23"/>
      <c r="N1167" s="23"/>
      <c r="O1167" s="24"/>
      <c r="P1167" s="16" t="b">
        <v>0</v>
      </c>
      <c r="Q1167" s="24"/>
      <c r="R1167" s="25"/>
      <c r="S1167" s="26"/>
      <c r="T1167" s="27"/>
      <c r="U1167" s="24"/>
      <c r="V1167" s="28" t="s">
        <v>32</v>
      </c>
      <c r="W1167" s="29" t="s">
        <v>22</v>
      </c>
      <c r="X1167" s="37" t="s">
        <v>797</v>
      </c>
      <c r="Y1167" s="31"/>
      <c r="Z1167" s="26" t="str">
        <f t="shared" si="5"/>
        <v/>
      </c>
      <c r="AA1167" s="26" t="str">
        <f t="shared" si="6"/>
        <v/>
      </c>
      <c r="AB1167" s="32" t="str">
        <f t="shared" si="7"/>
        <v/>
      </c>
      <c r="AC1167" s="32" t="str">
        <f t="shared" ref="AC1167:AG1167" si="1171">IF(J1167&lt;&gt;"", IF(AND($P1167=FALSE, $A1167=FALSE), -J1167, IF(AND($P1167=FALSE, $A1167=TRUE), 0, IF($P1167=TRUE, (J1167 / $R1167) * 100 * ($S1167 / 100)-J1167, ))), )</f>
        <v/>
      </c>
      <c r="AD1167" s="32" t="str">
        <f t="shared" si="1171"/>
        <v/>
      </c>
      <c r="AE1167" s="32" t="str">
        <f t="shared" si="1171"/>
        <v/>
      </c>
      <c r="AF1167" s="32" t="str">
        <f t="shared" si="1171"/>
        <v/>
      </c>
      <c r="AG1167" s="32" t="str">
        <f t="shared" si="1171"/>
        <v/>
      </c>
      <c r="AH1167" s="33"/>
    </row>
    <row r="1168" hidden="1" outlineLevel="2" collapsed="1">
      <c r="A1168" s="16" t="b">
        <v>0</v>
      </c>
      <c r="B1168" s="17"/>
      <c r="C1168" s="18"/>
      <c r="D1168" s="42">
        <v>45271.0</v>
      </c>
      <c r="E1168" s="43" t="s">
        <v>24</v>
      </c>
      <c r="F1168" s="53" t="s">
        <v>724</v>
      </c>
      <c r="G1168" s="45">
        <v>2.0</v>
      </c>
      <c r="H1168" s="45">
        <v>1.0</v>
      </c>
      <c r="I1168" s="45">
        <v>3.0</v>
      </c>
      <c r="J1168" s="46"/>
      <c r="K1168" s="46"/>
      <c r="L1168" s="45"/>
      <c r="M1168" s="46"/>
      <c r="N1168" s="46"/>
      <c r="O1168" s="47"/>
      <c r="P1168" s="16" t="b">
        <v>0</v>
      </c>
      <c r="Q1168" s="24"/>
      <c r="R1168" s="48">
        <v>6.0</v>
      </c>
      <c r="S1168" s="45">
        <v>14.98</v>
      </c>
      <c r="T1168" s="49" t="s">
        <v>44</v>
      </c>
      <c r="U1168" s="47"/>
      <c r="V1168" s="28"/>
      <c r="W1168" s="29"/>
      <c r="X1168" s="30"/>
      <c r="Y1168" s="31"/>
      <c r="Z1168" s="26">
        <f t="shared" si="5"/>
        <v>-2</v>
      </c>
      <c r="AA1168" s="26">
        <f t="shared" si="6"/>
        <v>-3</v>
      </c>
      <c r="AB1168" s="32">
        <f t="shared" si="7"/>
        <v>-1</v>
      </c>
      <c r="AC1168" s="32" t="str">
        <f t="shared" ref="AC1168:AG1168" si="1172">IF(J1168&lt;&gt;"", IF(AND($P1168=FALSE, $A1168=FALSE), -J1168, IF(AND($P1168=FALSE, $A1168=TRUE), 0, IF($P1168=TRUE, (J1168 / $R1168) * 100 * ($S1168 / 100)-J1168, ))), )</f>
        <v/>
      </c>
      <c r="AD1168" s="32" t="str">
        <f t="shared" si="1172"/>
        <v/>
      </c>
      <c r="AE1168" s="32" t="str">
        <f t="shared" si="1172"/>
        <v/>
      </c>
      <c r="AF1168" s="32" t="str">
        <f t="shared" si="1172"/>
        <v/>
      </c>
      <c r="AG1168" s="32" t="str">
        <f t="shared" si="1172"/>
        <v/>
      </c>
      <c r="AH1168" s="33"/>
    </row>
    <row r="1169" hidden="1" outlineLevel="3">
      <c r="A1169" s="16" t="b">
        <v>0</v>
      </c>
      <c r="B1169" s="17"/>
      <c r="C1169" s="18"/>
      <c r="D1169" s="19"/>
      <c r="E1169" s="20"/>
      <c r="F1169" s="21"/>
      <c r="G1169" s="22"/>
      <c r="H1169" s="22"/>
      <c r="I1169" s="23"/>
      <c r="J1169" s="22"/>
      <c r="K1169" s="23"/>
      <c r="L1169" s="22"/>
      <c r="M1169" s="23"/>
      <c r="N1169" s="23"/>
      <c r="O1169" s="24"/>
      <c r="P1169" s="16" t="b">
        <v>0</v>
      </c>
      <c r="Q1169" s="24"/>
      <c r="R1169" s="25"/>
      <c r="S1169" s="26"/>
      <c r="T1169" s="27"/>
      <c r="U1169" s="24"/>
      <c r="V1169" s="38" t="s">
        <v>29</v>
      </c>
      <c r="W1169" s="29" t="s">
        <v>22</v>
      </c>
      <c r="X1169" s="37" t="s">
        <v>393</v>
      </c>
      <c r="Y1169" s="31"/>
      <c r="Z1169" s="26" t="str">
        <f t="shared" si="5"/>
        <v/>
      </c>
      <c r="AA1169" s="26" t="str">
        <f t="shared" si="6"/>
        <v/>
      </c>
      <c r="AB1169" s="32" t="str">
        <f t="shared" si="7"/>
        <v/>
      </c>
      <c r="AC1169" s="32" t="str">
        <f t="shared" ref="AC1169:AG1169" si="1173">IF(J1169&lt;&gt;"", IF(AND($P1169=FALSE, $A1169=FALSE), -J1169, IF(AND($P1169=FALSE, $A1169=TRUE), 0, IF($P1169=TRUE, (J1169 / $R1169) * 100 * ($S1169 / 100)-J1169, ))), )</f>
        <v/>
      </c>
      <c r="AD1169" s="32" t="str">
        <f t="shared" si="1173"/>
        <v/>
      </c>
      <c r="AE1169" s="32" t="str">
        <f t="shared" si="1173"/>
        <v/>
      </c>
      <c r="AF1169" s="32" t="str">
        <f t="shared" si="1173"/>
        <v/>
      </c>
      <c r="AG1169" s="32" t="str">
        <f t="shared" si="1173"/>
        <v/>
      </c>
      <c r="AH1169" s="33"/>
    </row>
    <row r="1170" hidden="1" outlineLevel="3">
      <c r="A1170" s="16" t="b">
        <v>0</v>
      </c>
      <c r="B1170" s="17"/>
      <c r="C1170" s="18"/>
      <c r="D1170" s="19"/>
      <c r="E1170" s="20"/>
      <c r="F1170" s="21"/>
      <c r="G1170" s="22"/>
      <c r="H1170" s="22"/>
      <c r="I1170" s="23"/>
      <c r="J1170" s="22"/>
      <c r="K1170" s="23"/>
      <c r="L1170" s="22"/>
      <c r="M1170" s="23"/>
      <c r="N1170" s="23"/>
      <c r="O1170" s="24"/>
      <c r="P1170" s="16" t="b">
        <v>0</v>
      </c>
      <c r="Q1170" s="24"/>
      <c r="R1170" s="25"/>
      <c r="S1170" s="26"/>
      <c r="T1170" s="27"/>
      <c r="U1170" s="24"/>
      <c r="V1170" s="38" t="s">
        <v>29</v>
      </c>
      <c r="W1170" s="29" t="s">
        <v>22</v>
      </c>
      <c r="X1170" s="37" t="s">
        <v>798</v>
      </c>
      <c r="Y1170" s="31"/>
      <c r="Z1170" s="26" t="str">
        <f t="shared" si="5"/>
        <v/>
      </c>
      <c r="AA1170" s="26" t="str">
        <f t="shared" si="6"/>
        <v/>
      </c>
      <c r="AB1170" s="32" t="str">
        <f t="shared" si="7"/>
        <v/>
      </c>
      <c r="AC1170" s="32" t="str">
        <f t="shared" ref="AC1170:AG1170" si="1174">IF(J1170&lt;&gt;"", IF(AND($P1170=FALSE, $A1170=FALSE), -J1170, IF(AND($P1170=FALSE, $A1170=TRUE), 0, IF($P1170=TRUE, (J1170 / $R1170) * 100 * ($S1170 / 100)-J1170, ))), )</f>
        <v/>
      </c>
      <c r="AD1170" s="32" t="str">
        <f t="shared" si="1174"/>
        <v/>
      </c>
      <c r="AE1170" s="32" t="str">
        <f t="shared" si="1174"/>
        <v/>
      </c>
      <c r="AF1170" s="32" t="str">
        <f t="shared" si="1174"/>
        <v/>
      </c>
      <c r="AG1170" s="32" t="str">
        <f t="shared" si="1174"/>
        <v/>
      </c>
      <c r="AH1170" s="33"/>
    </row>
    <row r="1171" hidden="1" outlineLevel="3">
      <c r="A1171" s="16" t="b">
        <v>0</v>
      </c>
      <c r="B1171" s="17"/>
      <c r="C1171" s="18"/>
      <c r="D1171" s="19"/>
      <c r="E1171" s="20"/>
      <c r="F1171" s="21"/>
      <c r="G1171" s="22"/>
      <c r="H1171" s="22"/>
      <c r="I1171" s="23"/>
      <c r="J1171" s="22"/>
      <c r="K1171" s="23"/>
      <c r="L1171" s="22"/>
      <c r="M1171" s="23"/>
      <c r="N1171" s="23"/>
      <c r="O1171" s="24"/>
      <c r="P1171" s="16" t="b">
        <v>0</v>
      </c>
      <c r="Q1171" s="24"/>
      <c r="R1171" s="25"/>
      <c r="S1171" s="26"/>
      <c r="T1171" s="27"/>
      <c r="U1171" s="24"/>
      <c r="V1171" s="28" t="s">
        <v>32</v>
      </c>
      <c r="W1171" s="29" t="s">
        <v>22</v>
      </c>
      <c r="X1171" s="37" t="s">
        <v>799</v>
      </c>
      <c r="Y1171" s="31"/>
      <c r="Z1171" s="26" t="str">
        <f t="shared" si="5"/>
        <v/>
      </c>
      <c r="AA1171" s="26" t="str">
        <f t="shared" si="6"/>
        <v/>
      </c>
      <c r="AB1171" s="32" t="str">
        <f t="shared" si="7"/>
        <v/>
      </c>
      <c r="AC1171" s="32" t="str">
        <f t="shared" ref="AC1171:AG1171" si="1175">IF(J1171&lt;&gt;"", IF(AND($P1171=FALSE, $A1171=FALSE), -J1171, IF(AND($P1171=FALSE, $A1171=TRUE), 0, IF($P1171=TRUE, (J1171 / $R1171) * 100 * ($S1171 / 100)-J1171, ))), )</f>
        <v/>
      </c>
      <c r="AD1171" s="32" t="str">
        <f t="shared" si="1175"/>
        <v/>
      </c>
      <c r="AE1171" s="32" t="str">
        <f t="shared" si="1175"/>
        <v/>
      </c>
      <c r="AF1171" s="32" t="str">
        <f t="shared" si="1175"/>
        <v/>
      </c>
      <c r="AG1171" s="32" t="str">
        <f t="shared" si="1175"/>
        <v/>
      </c>
      <c r="AH1171" s="33"/>
    </row>
    <row r="1172" hidden="1" outlineLevel="3">
      <c r="A1172" s="16" t="b">
        <v>0</v>
      </c>
      <c r="B1172" s="17"/>
      <c r="C1172" s="18"/>
      <c r="D1172" s="19"/>
      <c r="E1172" s="20"/>
      <c r="F1172" s="21"/>
      <c r="G1172" s="22"/>
      <c r="H1172" s="22"/>
      <c r="I1172" s="23"/>
      <c r="J1172" s="22"/>
      <c r="K1172" s="23"/>
      <c r="L1172" s="22"/>
      <c r="M1172" s="23"/>
      <c r="N1172" s="23"/>
      <c r="O1172" s="24"/>
      <c r="P1172" s="16" t="b">
        <v>0</v>
      </c>
      <c r="Q1172" s="24"/>
      <c r="R1172" s="25"/>
      <c r="S1172" s="26"/>
      <c r="T1172" s="27"/>
      <c r="U1172" s="24"/>
      <c r="V1172" s="38" t="s">
        <v>29</v>
      </c>
      <c r="W1172" s="29" t="s">
        <v>22</v>
      </c>
      <c r="X1172" s="37" t="s">
        <v>74</v>
      </c>
      <c r="Y1172" s="31"/>
      <c r="Z1172" s="26" t="str">
        <f t="shared" si="5"/>
        <v/>
      </c>
      <c r="AA1172" s="26" t="str">
        <f t="shared" si="6"/>
        <v/>
      </c>
      <c r="AB1172" s="32" t="str">
        <f t="shared" si="7"/>
        <v/>
      </c>
      <c r="AC1172" s="32" t="str">
        <f t="shared" ref="AC1172:AG1172" si="1176">IF(J1172&lt;&gt;"", IF(AND($P1172=FALSE, $A1172=FALSE), -J1172, IF(AND($P1172=FALSE, $A1172=TRUE), 0, IF($P1172=TRUE, (J1172 / $R1172) * 100 * ($S1172 / 100)-J1172, ))), )</f>
        <v/>
      </c>
      <c r="AD1172" s="32" t="str">
        <f t="shared" si="1176"/>
        <v/>
      </c>
      <c r="AE1172" s="32" t="str">
        <f t="shared" si="1176"/>
        <v/>
      </c>
      <c r="AF1172" s="32" t="str">
        <f t="shared" si="1176"/>
        <v/>
      </c>
      <c r="AG1172" s="32" t="str">
        <f t="shared" si="1176"/>
        <v/>
      </c>
      <c r="AH1172" s="33"/>
    </row>
    <row r="1173" hidden="1" outlineLevel="3">
      <c r="A1173" s="16" t="b">
        <v>0</v>
      </c>
      <c r="B1173" s="17"/>
      <c r="C1173" s="18"/>
      <c r="D1173" s="19"/>
      <c r="E1173" s="20"/>
      <c r="F1173" s="21"/>
      <c r="G1173" s="22"/>
      <c r="H1173" s="22"/>
      <c r="I1173" s="23"/>
      <c r="J1173" s="22"/>
      <c r="K1173" s="23"/>
      <c r="L1173" s="22"/>
      <c r="M1173" s="23"/>
      <c r="N1173" s="23"/>
      <c r="O1173" s="24"/>
      <c r="P1173" s="16" t="b">
        <v>0</v>
      </c>
      <c r="Q1173" s="24"/>
      <c r="R1173" s="25"/>
      <c r="S1173" s="26"/>
      <c r="T1173" s="27"/>
      <c r="U1173" s="24"/>
      <c r="V1173" s="28" t="s">
        <v>32</v>
      </c>
      <c r="W1173" s="29" t="s">
        <v>22</v>
      </c>
      <c r="X1173" s="37" t="s">
        <v>407</v>
      </c>
      <c r="Y1173" s="31"/>
      <c r="Z1173" s="26" t="str">
        <f t="shared" si="5"/>
        <v/>
      </c>
      <c r="AA1173" s="26" t="str">
        <f t="shared" si="6"/>
        <v/>
      </c>
      <c r="AB1173" s="32" t="str">
        <f t="shared" si="7"/>
        <v/>
      </c>
      <c r="AC1173" s="32" t="str">
        <f t="shared" ref="AC1173:AG1173" si="1177">IF(J1173&lt;&gt;"", IF(AND($P1173=FALSE, $A1173=FALSE), -J1173, IF(AND($P1173=FALSE, $A1173=TRUE), 0, IF($P1173=TRUE, (J1173 / $R1173) * 100 * ($S1173 / 100)-J1173, ))), )</f>
        <v/>
      </c>
      <c r="AD1173" s="32" t="str">
        <f t="shared" si="1177"/>
        <v/>
      </c>
      <c r="AE1173" s="32" t="str">
        <f t="shared" si="1177"/>
        <v/>
      </c>
      <c r="AF1173" s="32" t="str">
        <f t="shared" si="1177"/>
        <v/>
      </c>
      <c r="AG1173" s="32" t="str">
        <f t="shared" si="1177"/>
        <v/>
      </c>
      <c r="AH1173" s="33"/>
    </row>
    <row r="1174" hidden="1" outlineLevel="2" collapsed="1">
      <c r="A1174" s="16" t="b">
        <v>0</v>
      </c>
      <c r="B1174" s="17"/>
      <c r="C1174" s="18"/>
      <c r="D1174" s="42">
        <v>45271.0</v>
      </c>
      <c r="E1174" s="43" t="s">
        <v>24</v>
      </c>
      <c r="F1174" s="53" t="s">
        <v>724</v>
      </c>
      <c r="G1174" s="45">
        <v>2.0</v>
      </c>
      <c r="H1174" s="45">
        <v>1.0</v>
      </c>
      <c r="I1174" s="45">
        <v>3.0</v>
      </c>
      <c r="J1174" s="46"/>
      <c r="K1174" s="46"/>
      <c r="L1174" s="45"/>
      <c r="M1174" s="46"/>
      <c r="N1174" s="46"/>
      <c r="O1174" s="47"/>
      <c r="P1174" s="16" t="b">
        <v>0</v>
      </c>
      <c r="Q1174" s="24"/>
      <c r="R1174" s="48">
        <v>6.0</v>
      </c>
      <c r="S1174" s="45">
        <v>13.51</v>
      </c>
      <c r="T1174" s="49" t="s">
        <v>579</v>
      </c>
      <c r="U1174" s="47"/>
      <c r="V1174" s="28"/>
      <c r="W1174" s="29"/>
      <c r="X1174" s="30"/>
      <c r="Y1174" s="31"/>
      <c r="Z1174" s="26">
        <f t="shared" si="5"/>
        <v>-2</v>
      </c>
      <c r="AA1174" s="26">
        <f t="shared" si="6"/>
        <v>-3</v>
      </c>
      <c r="AB1174" s="32">
        <f t="shared" si="7"/>
        <v>-1</v>
      </c>
      <c r="AC1174" s="32" t="str">
        <f t="shared" ref="AC1174:AG1174" si="1178">IF(J1174&lt;&gt;"", IF(AND($P1174=FALSE, $A1174=FALSE), -J1174, IF(AND($P1174=FALSE, $A1174=TRUE), 0, IF($P1174=TRUE, (J1174 / $R1174) * 100 * ($S1174 / 100)-J1174, ))), )</f>
        <v/>
      </c>
      <c r="AD1174" s="32" t="str">
        <f t="shared" si="1178"/>
        <v/>
      </c>
      <c r="AE1174" s="32" t="str">
        <f t="shared" si="1178"/>
        <v/>
      </c>
      <c r="AF1174" s="32" t="str">
        <f t="shared" si="1178"/>
        <v/>
      </c>
      <c r="AG1174" s="32" t="str">
        <f t="shared" si="1178"/>
        <v/>
      </c>
      <c r="AH1174" s="33"/>
    </row>
    <row r="1175" hidden="1" outlineLevel="3">
      <c r="A1175" s="16" t="b">
        <v>0</v>
      </c>
      <c r="B1175" s="17"/>
      <c r="C1175" s="18"/>
      <c r="D1175" s="19"/>
      <c r="E1175" s="20"/>
      <c r="F1175" s="21"/>
      <c r="G1175" s="22"/>
      <c r="H1175" s="22"/>
      <c r="I1175" s="23"/>
      <c r="J1175" s="22"/>
      <c r="K1175" s="23"/>
      <c r="L1175" s="22"/>
      <c r="M1175" s="23"/>
      <c r="N1175" s="23"/>
      <c r="O1175" s="24"/>
      <c r="P1175" s="16" t="b">
        <v>0</v>
      </c>
      <c r="Q1175" s="24"/>
      <c r="R1175" s="25"/>
      <c r="S1175" s="26"/>
      <c r="T1175" s="27"/>
      <c r="U1175" s="24"/>
      <c r="V1175" s="38" t="s">
        <v>29</v>
      </c>
      <c r="W1175" s="29" t="s">
        <v>22</v>
      </c>
      <c r="X1175" s="37" t="s">
        <v>800</v>
      </c>
      <c r="Y1175" s="31"/>
      <c r="Z1175" s="26" t="str">
        <f t="shared" si="5"/>
        <v/>
      </c>
      <c r="AA1175" s="26" t="str">
        <f t="shared" si="6"/>
        <v/>
      </c>
      <c r="AB1175" s="32" t="str">
        <f t="shared" si="7"/>
        <v/>
      </c>
      <c r="AC1175" s="32" t="str">
        <f t="shared" ref="AC1175:AG1175" si="1179">IF(J1175&lt;&gt;"", IF(AND($P1175=FALSE, $A1175=FALSE), -J1175, IF(AND($P1175=FALSE, $A1175=TRUE), 0, IF($P1175=TRUE, (J1175 / $R1175) * 100 * ($S1175 / 100)-J1175, ))), )</f>
        <v/>
      </c>
      <c r="AD1175" s="32" t="str">
        <f t="shared" si="1179"/>
        <v/>
      </c>
      <c r="AE1175" s="32" t="str">
        <f t="shared" si="1179"/>
        <v/>
      </c>
      <c r="AF1175" s="32" t="str">
        <f t="shared" si="1179"/>
        <v/>
      </c>
      <c r="AG1175" s="32" t="str">
        <f t="shared" si="1179"/>
        <v/>
      </c>
      <c r="AH1175" s="33"/>
    </row>
    <row r="1176" hidden="1" outlineLevel="3">
      <c r="A1176" s="16" t="b">
        <v>0</v>
      </c>
      <c r="B1176" s="17"/>
      <c r="C1176" s="18"/>
      <c r="D1176" s="19"/>
      <c r="E1176" s="20"/>
      <c r="F1176" s="21"/>
      <c r="G1176" s="22"/>
      <c r="H1176" s="22"/>
      <c r="I1176" s="23"/>
      <c r="J1176" s="22"/>
      <c r="K1176" s="23"/>
      <c r="L1176" s="22"/>
      <c r="M1176" s="23"/>
      <c r="N1176" s="23"/>
      <c r="O1176" s="24"/>
      <c r="P1176" s="16" t="b">
        <v>0</v>
      </c>
      <c r="Q1176" s="24"/>
      <c r="R1176" s="25"/>
      <c r="S1176" s="26"/>
      <c r="T1176" s="27"/>
      <c r="U1176" s="24"/>
      <c r="V1176" s="38" t="s">
        <v>29</v>
      </c>
      <c r="W1176" s="29" t="s">
        <v>22</v>
      </c>
      <c r="X1176" s="37" t="s">
        <v>801</v>
      </c>
      <c r="Y1176" s="31"/>
      <c r="Z1176" s="26" t="str">
        <f t="shared" si="5"/>
        <v/>
      </c>
      <c r="AA1176" s="26" t="str">
        <f t="shared" si="6"/>
        <v/>
      </c>
      <c r="AB1176" s="32" t="str">
        <f t="shared" si="7"/>
        <v/>
      </c>
      <c r="AC1176" s="32" t="str">
        <f t="shared" ref="AC1176:AG1176" si="1180">IF(J1176&lt;&gt;"", IF(AND($P1176=FALSE, $A1176=FALSE), -J1176, IF(AND($P1176=FALSE, $A1176=TRUE), 0, IF($P1176=TRUE, (J1176 / $R1176) * 100 * ($S1176 / 100)-J1176, ))), )</f>
        <v/>
      </c>
      <c r="AD1176" s="32" t="str">
        <f t="shared" si="1180"/>
        <v/>
      </c>
      <c r="AE1176" s="32" t="str">
        <f t="shared" si="1180"/>
        <v/>
      </c>
      <c r="AF1176" s="32" t="str">
        <f t="shared" si="1180"/>
        <v/>
      </c>
      <c r="AG1176" s="32" t="str">
        <f t="shared" si="1180"/>
        <v/>
      </c>
      <c r="AH1176" s="33"/>
    </row>
    <row r="1177" hidden="1" outlineLevel="3">
      <c r="A1177" s="16" t="b">
        <v>0</v>
      </c>
      <c r="B1177" s="17"/>
      <c r="C1177" s="18"/>
      <c r="D1177" s="19"/>
      <c r="E1177" s="20"/>
      <c r="F1177" s="21"/>
      <c r="G1177" s="22"/>
      <c r="H1177" s="22"/>
      <c r="I1177" s="23"/>
      <c r="J1177" s="22"/>
      <c r="K1177" s="23"/>
      <c r="L1177" s="22"/>
      <c r="M1177" s="23"/>
      <c r="N1177" s="23"/>
      <c r="O1177" s="24"/>
      <c r="P1177" s="16" t="b">
        <v>0</v>
      </c>
      <c r="Q1177" s="24"/>
      <c r="R1177" s="25"/>
      <c r="S1177" s="26"/>
      <c r="T1177" s="27"/>
      <c r="U1177" s="24"/>
      <c r="V1177" s="28" t="s">
        <v>32</v>
      </c>
      <c r="W1177" s="29" t="s">
        <v>22</v>
      </c>
      <c r="X1177" s="37" t="s">
        <v>802</v>
      </c>
      <c r="Y1177" s="31"/>
      <c r="Z1177" s="26" t="str">
        <f t="shared" si="5"/>
        <v/>
      </c>
      <c r="AA1177" s="26" t="str">
        <f t="shared" si="6"/>
        <v/>
      </c>
      <c r="AB1177" s="32" t="str">
        <f t="shared" si="7"/>
        <v/>
      </c>
      <c r="AC1177" s="32" t="str">
        <f t="shared" ref="AC1177:AG1177" si="1181">IF(J1177&lt;&gt;"", IF(AND($P1177=FALSE, $A1177=FALSE), -J1177, IF(AND($P1177=FALSE, $A1177=TRUE), 0, IF($P1177=TRUE, (J1177 / $R1177) * 100 * ($S1177 / 100)-J1177, ))), )</f>
        <v/>
      </c>
      <c r="AD1177" s="32" t="str">
        <f t="shared" si="1181"/>
        <v/>
      </c>
      <c r="AE1177" s="32" t="str">
        <f t="shared" si="1181"/>
        <v/>
      </c>
      <c r="AF1177" s="32" t="str">
        <f t="shared" si="1181"/>
        <v/>
      </c>
      <c r="AG1177" s="32" t="str">
        <f t="shared" si="1181"/>
        <v/>
      </c>
      <c r="AH1177" s="33"/>
    </row>
    <row r="1178" hidden="1" outlineLevel="3">
      <c r="A1178" s="16" t="b">
        <v>0</v>
      </c>
      <c r="B1178" s="17"/>
      <c r="C1178" s="18"/>
      <c r="D1178" s="19"/>
      <c r="E1178" s="20"/>
      <c r="F1178" s="21"/>
      <c r="G1178" s="22"/>
      <c r="H1178" s="22"/>
      <c r="I1178" s="23"/>
      <c r="J1178" s="22"/>
      <c r="K1178" s="23"/>
      <c r="L1178" s="22"/>
      <c r="M1178" s="23"/>
      <c r="N1178" s="23"/>
      <c r="O1178" s="24"/>
      <c r="P1178" s="16" t="b">
        <v>0</v>
      </c>
      <c r="Q1178" s="24"/>
      <c r="R1178" s="25"/>
      <c r="S1178" s="26"/>
      <c r="T1178" s="27"/>
      <c r="U1178" s="24"/>
      <c r="V1178" s="38" t="s">
        <v>29</v>
      </c>
      <c r="W1178" s="29" t="s">
        <v>22</v>
      </c>
      <c r="X1178" s="37" t="s">
        <v>803</v>
      </c>
      <c r="Y1178" s="31"/>
      <c r="Z1178" s="26" t="str">
        <f t="shared" si="5"/>
        <v/>
      </c>
      <c r="AA1178" s="26" t="str">
        <f t="shared" si="6"/>
        <v/>
      </c>
      <c r="AB1178" s="32" t="str">
        <f t="shared" si="7"/>
        <v/>
      </c>
      <c r="AC1178" s="32" t="str">
        <f t="shared" ref="AC1178:AG1178" si="1182">IF(J1178&lt;&gt;"", IF(AND($P1178=FALSE, $A1178=FALSE), -J1178, IF(AND($P1178=FALSE, $A1178=TRUE), 0, IF($P1178=TRUE, (J1178 / $R1178) * 100 * ($S1178 / 100)-J1178, ))), )</f>
        <v/>
      </c>
      <c r="AD1178" s="32" t="str">
        <f t="shared" si="1182"/>
        <v/>
      </c>
      <c r="AE1178" s="32" t="str">
        <f t="shared" si="1182"/>
        <v/>
      </c>
      <c r="AF1178" s="32" t="str">
        <f t="shared" si="1182"/>
        <v/>
      </c>
      <c r="AG1178" s="32" t="str">
        <f t="shared" si="1182"/>
        <v/>
      </c>
      <c r="AH1178" s="33"/>
    </row>
    <row r="1179" hidden="1" outlineLevel="2" collapsed="1">
      <c r="A1179" s="16" t="b">
        <v>0</v>
      </c>
      <c r="B1179" s="17"/>
      <c r="C1179" s="18"/>
      <c r="D1179" s="42">
        <v>45271.0</v>
      </c>
      <c r="E1179" s="43" t="s">
        <v>24</v>
      </c>
      <c r="F1179" s="53" t="s">
        <v>724</v>
      </c>
      <c r="G1179" s="45">
        <v>2.0</v>
      </c>
      <c r="H1179" s="45">
        <v>1.0</v>
      </c>
      <c r="I1179" s="45">
        <v>3.0</v>
      </c>
      <c r="J1179" s="46"/>
      <c r="K1179" s="46"/>
      <c r="L1179" s="45"/>
      <c r="M1179" s="46"/>
      <c r="N1179" s="46"/>
      <c r="O1179" s="47"/>
      <c r="P1179" s="16" t="b">
        <v>0</v>
      </c>
      <c r="Q1179" s="24"/>
      <c r="R1179" s="48">
        <v>6.0</v>
      </c>
      <c r="S1179" s="45">
        <v>12.29</v>
      </c>
      <c r="T1179" s="49" t="s">
        <v>621</v>
      </c>
      <c r="U1179" s="47"/>
      <c r="V1179" s="28"/>
      <c r="W1179" s="29"/>
      <c r="X1179" s="30"/>
      <c r="Y1179" s="31"/>
      <c r="Z1179" s="26">
        <f t="shared" si="5"/>
        <v>-2</v>
      </c>
      <c r="AA1179" s="26">
        <f t="shared" si="6"/>
        <v>-3</v>
      </c>
      <c r="AB1179" s="32">
        <f t="shared" si="7"/>
        <v>-1</v>
      </c>
      <c r="AC1179" s="32" t="str">
        <f t="shared" ref="AC1179:AG1179" si="1183">IF(J1179&lt;&gt;"", IF(AND($P1179=FALSE, $A1179=FALSE), -J1179, IF(AND($P1179=FALSE, $A1179=TRUE), 0, IF($P1179=TRUE, (J1179 / $R1179) * 100 * ($S1179 / 100)-J1179, ))), )</f>
        <v/>
      </c>
      <c r="AD1179" s="32" t="str">
        <f t="shared" si="1183"/>
        <v/>
      </c>
      <c r="AE1179" s="32" t="str">
        <f t="shared" si="1183"/>
        <v/>
      </c>
      <c r="AF1179" s="32" t="str">
        <f t="shared" si="1183"/>
        <v/>
      </c>
      <c r="AG1179" s="32" t="str">
        <f t="shared" si="1183"/>
        <v/>
      </c>
      <c r="AH1179" s="33"/>
    </row>
    <row r="1180" hidden="1" outlineLevel="3">
      <c r="A1180" s="16" t="b">
        <v>0</v>
      </c>
      <c r="B1180" s="17"/>
      <c r="C1180" s="18"/>
      <c r="D1180" s="19"/>
      <c r="E1180" s="20"/>
      <c r="F1180" s="21"/>
      <c r="G1180" s="22"/>
      <c r="H1180" s="22"/>
      <c r="I1180" s="23"/>
      <c r="J1180" s="22"/>
      <c r="K1180" s="23"/>
      <c r="L1180" s="22"/>
      <c r="M1180" s="23"/>
      <c r="N1180" s="23"/>
      <c r="O1180" s="24"/>
      <c r="P1180" s="16" t="b">
        <v>0</v>
      </c>
      <c r="Q1180" s="24"/>
      <c r="R1180" s="25"/>
      <c r="S1180" s="26"/>
      <c r="T1180" s="27"/>
      <c r="U1180" s="24"/>
      <c r="V1180" s="28" t="s">
        <v>32</v>
      </c>
      <c r="W1180" s="29" t="s">
        <v>22</v>
      </c>
      <c r="X1180" s="37" t="s">
        <v>684</v>
      </c>
      <c r="Y1180" s="31"/>
      <c r="Z1180" s="26" t="str">
        <f t="shared" si="5"/>
        <v/>
      </c>
      <c r="AA1180" s="26" t="str">
        <f t="shared" si="6"/>
        <v/>
      </c>
      <c r="AB1180" s="32" t="str">
        <f t="shared" si="7"/>
        <v/>
      </c>
      <c r="AC1180" s="32" t="str">
        <f t="shared" ref="AC1180:AG1180" si="1184">IF(J1180&lt;&gt;"", IF(AND($P1180=FALSE, $A1180=FALSE), -J1180, IF(AND($P1180=FALSE, $A1180=TRUE), 0, IF($P1180=TRUE, (J1180 / $R1180) * 100 * ($S1180 / 100)-J1180, ))), )</f>
        <v/>
      </c>
      <c r="AD1180" s="32" t="str">
        <f t="shared" si="1184"/>
        <v/>
      </c>
      <c r="AE1180" s="32" t="str">
        <f t="shared" si="1184"/>
        <v/>
      </c>
      <c r="AF1180" s="32" t="str">
        <f t="shared" si="1184"/>
        <v/>
      </c>
      <c r="AG1180" s="32" t="str">
        <f t="shared" si="1184"/>
        <v/>
      </c>
      <c r="AH1180" s="33"/>
    </row>
    <row r="1181" hidden="1" outlineLevel="3">
      <c r="A1181" s="16" t="b">
        <v>0</v>
      </c>
      <c r="B1181" s="17"/>
      <c r="C1181" s="18"/>
      <c r="D1181" s="19"/>
      <c r="E1181" s="20"/>
      <c r="F1181" s="21"/>
      <c r="G1181" s="22"/>
      <c r="H1181" s="22"/>
      <c r="I1181" s="23"/>
      <c r="J1181" s="22"/>
      <c r="K1181" s="23"/>
      <c r="L1181" s="22"/>
      <c r="M1181" s="23"/>
      <c r="N1181" s="23"/>
      <c r="O1181" s="24"/>
      <c r="P1181" s="16" t="b">
        <v>0</v>
      </c>
      <c r="Q1181" s="24"/>
      <c r="R1181" s="25"/>
      <c r="S1181" s="26"/>
      <c r="T1181" s="27"/>
      <c r="U1181" s="24"/>
      <c r="V1181" s="38" t="s">
        <v>29</v>
      </c>
      <c r="W1181" s="29" t="s">
        <v>22</v>
      </c>
      <c r="X1181" s="37" t="s">
        <v>804</v>
      </c>
      <c r="Y1181" s="31"/>
      <c r="Z1181" s="26" t="str">
        <f t="shared" si="5"/>
        <v/>
      </c>
      <c r="AA1181" s="26" t="str">
        <f t="shared" si="6"/>
        <v/>
      </c>
      <c r="AB1181" s="32" t="str">
        <f t="shared" si="7"/>
        <v/>
      </c>
      <c r="AC1181" s="32" t="str">
        <f t="shared" ref="AC1181:AG1181" si="1185">IF(J1181&lt;&gt;"", IF(AND($P1181=FALSE, $A1181=FALSE), -J1181, IF(AND($P1181=FALSE, $A1181=TRUE), 0, IF($P1181=TRUE, (J1181 / $R1181) * 100 * ($S1181 / 100)-J1181, ))), )</f>
        <v/>
      </c>
      <c r="AD1181" s="32" t="str">
        <f t="shared" si="1185"/>
        <v/>
      </c>
      <c r="AE1181" s="32" t="str">
        <f t="shared" si="1185"/>
        <v/>
      </c>
      <c r="AF1181" s="32" t="str">
        <f t="shared" si="1185"/>
        <v/>
      </c>
      <c r="AG1181" s="32" t="str">
        <f t="shared" si="1185"/>
        <v/>
      </c>
      <c r="AH1181" s="33"/>
    </row>
    <row r="1182" hidden="1" outlineLevel="3">
      <c r="A1182" s="16" t="b">
        <v>0</v>
      </c>
      <c r="B1182" s="17"/>
      <c r="C1182" s="18"/>
      <c r="D1182" s="19"/>
      <c r="E1182" s="20"/>
      <c r="F1182" s="21"/>
      <c r="G1182" s="22"/>
      <c r="H1182" s="22"/>
      <c r="I1182" s="23"/>
      <c r="J1182" s="22"/>
      <c r="K1182" s="23"/>
      <c r="L1182" s="22"/>
      <c r="M1182" s="23"/>
      <c r="N1182" s="23"/>
      <c r="O1182" s="24"/>
      <c r="P1182" s="16" t="b">
        <v>0</v>
      </c>
      <c r="Q1182" s="24"/>
      <c r="R1182" s="25"/>
      <c r="S1182" s="26"/>
      <c r="T1182" s="27"/>
      <c r="U1182" s="24"/>
      <c r="V1182" s="28" t="s">
        <v>32</v>
      </c>
      <c r="W1182" s="29" t="s">
        <v>22</v>
      </c>
      <c r="X1182" s="37" t="s">
        <v>791</v>
      </c>
      <c r="Y1182" s="31"/>
      <c r="Z1182" s="26" t="str">
        <f t="shared" si="5"/>
        <v/>
      </c>
      <c r="AA1182" s="26" t="str">
        <f t="shared" si="6"/>
        <v/>
      </c>
      <c r="AB1182" s="32" t="str">
        <f t="shared" si="7"/>
        <v/>
      </c>
      <c r="AC1182" s="32" t="str">
        <f t="shared" ref="AC1182:AG1182" si="1186">IF(J1182&lt;&gt;"", IF(AND($P1182=FALSE, $A1182=FALSE), -J1182, IF(AND($P1182=FALSE, $A1182=TRUE), 0, IF($P1182=TRUE, (J1182 / $R1182) * 100 * ($S1182 / 100)-J1182, ))), )</f>
        <v/>
      </c>
      <c r="AD1182" s="32" t="str">
        <f t="shared" si="1186"/>
        <v/>
      </c>
      <c r="AE1182" s="32" t="str">
        <f t="shared" si="1186"/>
        <v/>
      </c>
      <c r="AF1182" s="32" t="str">
        <f t="shared" si="1186"/>
        <v/>
      </c>
      <c r="AG1182" s="32" t="str">
        <f t="shared" si="1186"/>
        <v/>
      </c>
      <c r="AH1182" s="33"/>
    </row>
    <row r="1183" hidden="1" outlineLevel="3">
      <c r="A1183" s="16" t="b">
        <v>0</v>
      </c>
      <c r="B1183" s="17"/>
      <c r="C1183" s="18"/>
      <c r="D1183" s="19"/>
      <c r="E1183" s="20"/>
      <c r="F1183" s="21"/>
      <c r="G1183" s="22"/>
      <c r="H1183" s="22"/>
      <c r="I1183" s="23"/>
      <c r="J1183" s="22"/>
      <c r="K1183" s="23"/>
      <c r="L1183" s="22"/>
      <c r="M1183" s="23"/>
      <c r="N1183" s="23"/>
      <c r="O1183" s="24"/>
      <c r="P1183" s="16" t="b">
        <v>0</v>
      </c>
      <c r="Q1183" s="24"/>
      <c r="R1183" s="25"/>
      <c r="S1183" s="26"/>
      <c r="T1183" s="27"/>
      <c r="U1183" s="24"/>
      <c r="V1183" s="38" t="s">
        <v>29</v>
      </c>
      <c r="W1183" s="29" t="s">
        <v>22</v>
      </c>
      <c r="X1183" s="37" t="s">
        <v>803</v>
      </c>
      <c r="Y1183" s="31"/>
      <c r="Z1183" s="26" t="str">
        <f t="shared" si="5"/>
        <v/>
      </c>
      <c r="AA1183" s="26" t="str">
        <f t="shared" si="6"/>
        <v/>
      </c>
      <c r="AB1183" s="32" t="str">
        <f t="shared" si="7"/>
        <v/>
      </c>
      <c r="AC1183" s="32" t="str">
        <f t="shared" ref="AC1183:AG1183" si="1187">IF(J1183&lt;&gt;"", IF(AND($P1183=FALSE, $A1183=FALSE), -J1183, IF(AND($P1183=FALSE, $A1183=TRUE), 0, IF($P1183=TRUE, (J1183 / $R1183) * 100 * ($S1183 / 100)-J1183, ))), )</f>
        <v/>
      </c>
      <c r="AD1183" s="32" t="str">
        <f t="shared" si="1187"/>
        <v/>
      </c>
      <c r="AE1183" s="32" t="str">
        <f t="shared" si="1187"/>
        <v/>
      </c>
      <c r="AF1183" s="32" t="str">
        <f t="shared" si="1187"/>
        <v/>
      </c>
      <c r="AG1183" s="32" t="str">
        <f t="shared" si="1187"/>
        <v/>
      </c>
      <c r="AH1183" s="33"/>
    </row>
    <row r="1184" hidden="1" outlineLevel="2" collapsed="1">
      <c r="A1184" s="16" t="b">
        <v>0</v>
      </c>
      <c r="B1184" s="17"/>
      <c r="C1184" s="18"/>
      <c r="D1184" s="42">
        <v>45271.0</v>
      </c>
      <c r="E1184" s="80" t="s">
        <v>60</v>
      </c>
      <c r="F1184" s="53" t="s">
        <v>630</v>
      </c>
      <c r="G1184" s="45">
        <v>2.0</v>
      </c>
      <c r="H1184" s="48">
        <v>1.5</v>
      </c>
      <c r="I1184" s="45"/>
      <c r="J1184" s="79"/>
      <c r="K1184" s="79"/>
      <c r="L1184" s="45"/>
      <c r="M1184" s="46"/>
      <c r="N1184" s="46"/>
      <c r="O1184" s="47"/>
      <c r="P1184" s="16" t="b">
        <v>0</v>
      </c>
      <c r="Q1184" s="24"/>
      <c r="R1184" s="48">
        <v>3.5</v>
      </c>
      <c r="S1184" s="45">
        <v>7.17</v>
      </c>
      <c r="T1184" s="49" t="s">
        <v>621</v>
      </c>
      <c r="U1184" s="47"/>
      <c r="V1184" s="28"/>
      <c r="W1184" s="29"/>
      <c r="X1184" s="30"/>
      <c r="Y1184" s="31"/>
      <c r="Z1184" s="26">
        <f t="shared" si="5"/>
        <v>-2</v>
      </c>
      <c r="AA1184" s="26" t="str">
        <f t="shared" si="6"/>
        <v/>
      </c>
      <c r="AB1184" s="32">
        <f t="shared" si="7"/>
        <v>-1.5</v>
      </c>
      <c r="AC1184" s="32" t="str">
        <f t="shared" ref="AC1184:AG1184" si="1188">IF(J1184&lt;&gt;"", IF(AND($P1184=FALSE, $A1184=FALSE), -J1184, IF(AND($P1184=FALSE, $A1184=TRUE), 0, IF($P1184=TRUE, (J1184 / $R1184) * 100 * ($S1184 / 100)-J1184, ))), )</f>
        <v/>
      </c>
      <c r="AD1184" s="32" t="str">
        <f t="shared" si="1188"/>
        <v/>
      </c>
      <c r="AE1184" s="32" t="str">
        <f t="shared" si="1188"/>
        <v/>
      </c>
      <c r="AF1184" s="32" t="str">
        <f t="shared" si="1188"/>
        <v/>
      </c>
      <c r="AG1184" s="32" t="str">
        <f t="shared" si="1188"/>
        <v/>
      </c>
      <c r="AH1184" s="33"/>
    </row>
    <row r="1185" hidden="1" outlineLevel="3">
      <c r="A1185" s="16" t="b">
        <v>0</v>
      </c>
      <c r="B1185" s="17"/>
      <c r="C1185" s="18"/>
      <c r="D1185" s="19"/>
      <c r="E1185" s="20"/>
      <c r="F1185" s="21"/>
      <c r="G1185" s="22"/>
      <c r="H1185" s="22"/>
      <c r="I1185" s="23"/>
      <c r="J1185" s="22"/>
      <c r="K1185" s="23"/>
      <c r="L1185" s="22"/>
      <c r="M1185" s="23"/>
      <c r="N1185" s="23"/>
      <c r="O1185" s="24"/>
      <c r="P1185" s="16" t="b">
        <v>0</v>
      </c>
      <c r="Q1185" s="24"/>
      <c r="R1185" s="25"/>
      <c r="S1185" s="26"/>
      <c r="T1185" s="27"/>
      <c r="U1185" s="24"/>
      <c r="V1185" s="38" t="s">
        <v>29</v>
      </c>
      <c r="W1185" s="29" t="s">
        <v>22</v>
      </c>
      <c r="X1185" s="37" t="s">
        <v>805</v>
      </c>
      <c r="Y1185" s="31"/>
      <c r="Z1185" s="26" t="str">
        <f t="shared" si="5"/>
        <v/>
      </c>
      <c r="AA1185" s="26" t="str">
        <f t="shared" si="6"/>
        <v/>
      </c>
      <c r="AB1185" s="32" t="str">
        <f t="shared" si="7"/>
        <v/>
      </c>
      <c r="AC1185" s="32" t="str">
        <f t="shared" ref="AC1185:AG1185" si="1189">IF(J1185&lt;&gt;"", IF(AND($P1185=FALSE, $A1185=FALSE), -J1185, IF(AND($P1185=FALSE, $A1185=TRUE), 0, IF($P1185=TRUE, (J1185 / $R1185) * 100 * ($S1185 / 100)-J1185, ))), )</f>
        <v/>
      </c>
      <c r="AD1185" s="32" t="str">
        <f t="shared" si="1189"/>
        <v/>
      </c>
      <c r="AE1185" s="32" t="str">
        <f t="shared" si="1189"/>
        <v/>
      </c>
      <c r="AF1185" s="32" t="str">
        <f t="shared" si="1189"/>
        <v/>
      </c>
      <c r="AG1185" s="32" t="str">
        <f t="shared" si="1189"/>
        <v/>
      </c>
      <c r="AH1185" s="33"/>
    </row>
    <row r="1186" hidden="1" outlineLevel="3">
      <c r="A1186" s="16" t="b">
        <v>0</v>
      </c>
      <c r="B1186" s="17"/>
      <c r="C1186" s="18"/>
      <c r="D1186" s="19"/>
      <c r="E1186" s="20"/>
      <c r="F1186" s="21"/>
      <c r="G1186" s="22"/>
      <c r="H1186" s="22"/>
      <c r="I1186" s="23"/>
      <c r="J1186" s="22"/>
      <c r="K1186" s="23"/>
      <c r="L1186" s="22"/>
      <c r="M1186" s="23"/>
      <c r="N1186" s="23"/>
      <c r="O1186" s="24"/>
      <c r="P1186" s="16" t="b">
        <v>0</v>
      </c>
      <c r="Q1186" s="24"/>
      <c r="R1186" s="25"/>
      <c r="S1186" s="26"/>
      <c r="T1186" s="27"/>
      <c r="U1186" s="24"/>
      <c r="V1186" s="38" t="s">
        <v>29</v>
      </c>
      <c r="W1186" s="29" t="s">
        <v>22</v>
      </c>
      <c r="X1186" s="37" t="s">
        <v>806</v>
      </c>
      <c r="Y1186" s="31"/>
      <c r="Z1186" s="26" t="str">
        <f t="shared" si="5"/>
        <v/>
      </c>
      <c r="AA1186" s="26" t="str">
        <f t="shared" si="6"/>
        <v/>
      </c>
      <c r="AB1186" s="32" t="str">
        <f t="shared" si="7"/>
        <v/>
      </c>
      <c r="AC1186" s="32" t="str">
        <f t="shared" ref="AC1186:AG1186" si="1190">IF(J1186&lt;&gt;"", IF(AND($P1186=FALSE, $A1186=FALSE), -J1186, IF(AND($P1186=FALSE, $A1186=TRUE), 0, IF($P1186=TRUE, (J1186 / $R1186) * 100 * ($S1186 / 100)-J1186, ))), )</f>
        <v/>
      </c>
      <c r="AD1186" s="32" t="str">
        <f t="shared" si="1190"/>
        <v/>
      </c>
      <c r="AE1186" s="32" t="str">
        <f t="shared" si="1190"/>
        <v/>
      </c>
      <c r="AF1186" s="32" t="str">
        <f t="shared" si="1190"/>
        <v/>
      </c>
      <c r="AG1186" s="32" t="str">
        <f t="shared" si="1190"/>
        <v/>
      </c>
      <c r="AH1186" s="33"/>
    </row>
    <row r="1187" hidden="1" outlineLevel="3">
      <c r="A1187" s="16" t="b">
        <v>0</v>
      </c>
      <c r="B1187" s="17"/>
      <c r="C1187" s="18"/>
      <c r="D1187" s="19"/>
      <c r="E1187" s="20"/>
      <c r="F1187" s="21"/>
      <c r="G1187" s="22"/>
      <c r="H1187" s="22"/>
      <c r="I1187" s="23"/>
      <c r="J1187" s="22"/>
      <c r="K1187" s="23"/>
      <c r="L1187" s="22"/>
      <c r="M1187" s="23"/>
      <c r="N1187" s="23"/>
      <c r="O1187" s="24"/>
      <c r="P1187" s="16" t="b">
        <v>0</v>
      </c>
      <c r="Q1187" s="24"/>
      <c r="R1187" s="25"/>
      <c r="S1187" s="26"/>
      <c r="T1187" s="27"/>
      <c r="U1187" s="24"/>
      <c r="V1187" s="28" t="s">
        <v>32</v>
      </c>
      <c r="W1187" s="29" t="s">
        <v>22</v>
      </c>
      <c r="X1187" s="37" t="s">
        <v>807</v>
      </c>
      <c r="Y1187" s="31"/>
      <c r="Z1187" s="26" t="str">
        <f t="shared" si="5"/>
        <v/>
      </c>
      <c r="AA1187" s="26" t="str">
        <f t="shared" si="6"/>
        <v/>
      </c>
      <c r="AB1187" s="32" t="str">
        <f t="shared" si="7"/>
        <v/>
      </c>
      <c r="AC1187" s="32" t="str">
        <f t="shared" ref="AC1187:AG1187" si="1191">IF(J1187&lt;&gt;"", IF(AND($P1187=FALSE, $A1187=FALSE), -J1187, IF(AND($P1187=FALSE, $A1187=TRUE), 0, IF($P1187=TRUE, (J1187 / $R1187) * 100 * ($S1187 / 100)-J1187, ))), )</f>
        <v/>
      </c>
      <c r="AD1187" s="32" t="str">
        <f t="shared" si="1191"/>
        <v/>
      </c>
      <c r="AE1187" s="32" t="str">
        <f t="shared" si="1191"/>
        <v/>
      </c>
      <c r="AF1187" s="32" t="str">
        <f t="shared" si="1191"/>
        <v/>
      </c>
      <c r="AG1187" s="32" t="str">
        <f t="shared" si="1191"/>
        <v/>
      </c>
      <c r="AH1187" s="33"/>
    </row>
    <row r="1188" hidden="1" outlineLevel="2" collapsed="1">
      <c r="A1188" s="16" t="b">
        <v>0</v>
      </c>
      <c r="B1188" s="17"/>
      <c r="C1188" s="18"/>
      <c r="D1188" s="42">
        <v>45271.0</v>
      </c>
      <c r="E1188" s="80" t="s">
        <v>60</v>
      </c>
      <c r="F1188" s="53" t="s">
        <v>630</v>
      </c>
      <c r="G1188" s="45">
        <v>2.0</v>
      </c>
      <c r="H1188" s="48">
        <v>1.5</v>
      </c>
      <c r="I1188" s="45">
        <v>2.0</v>
      </c>
      <c r="J1188" s="79"/>
      <c r="K1188" s="79"/>
      <c r="L1188" s="45"/>
      <c r="M1188" s="46"/>
      <c r="N1188" s="46"/>
      <c r="O1188" s="47"/>
      <c r="P1188" s="16" t="b">
        <v>0</v>
      </c>
      <c r="Q1188" s="24"/>
      <c r="R1188" s="48">
        <v>5.5</v>
      </c>
      <c r="S1188" s="45">
        <v>11.2</v>
      </c>
      <c r="T1188" s="49" t="s">
        <v>132</v>
      </c>
      <c r="U1188" s="47"/>
      <c r="V1188" s="28"/>
      <c r="W1188" s="29"/>
      <c r="X1188" s="30"/>
      <c r="Y1188" s="31"/>
      <c r="Z1188" s="26">
        <f t="shared" si="5"/>
        <v>-2</v>
      </c>
      <c r="AA1188" s="26">
        <f t="shared" si="6"/>
        <v>-2</v>
      </c>
      <c r="AB1188" s="32">
        <f t="shared" si="7"/>
        <v>-1.5</v>
      </c>
      <c r="AC1188" s="32" t="str">
        <f t="shared" ref="AC1188:AG1188" si="1192">IF(J1188&lt;&gt;"", IF(AND($P1188=FALSE, $A1188=FALSE), -J1188, IF(AND($P1188=FALSE, $A1188=TRUE), 0, IF($P1188=TRUE, (J1188 / $R1188) * 100 * ($S1188 / 100)-J1188, ))), )</f>
        <v/>
      </c>
      <c r="AD1188" s="32" t="str">
        <f t="shared" si="1192"/>
        <v/>
      </c>
      <c r="AE1188" s="32" t="str">
        <f t="shared" si="1192"/>
        <v/>
      </c>
      <c r="AF1188" s="32" t="str">
        <f t="shared" si="1192"/>
        <v/>
      </c>
      <c r="AG1188" s="32" t="str">
        <f t="shared" si="1192"/>
        <v/>
      </c>
      <c r="AH1188" s="33"/>
    </row>
    <row r="1189" hidden="1" outlineLevel="3">
      <c r="A1189" s="16" t="b">
        <v>0</v>
      </c>
      <c r="B1189" s="17"/>
      <c r="C1189" s="18"/>
      <c r="D1189" s="19"/>
      <c r="E1189" s="20"/>
      <c r="F1189" s="21"/>
      <c r="G1189" s="22"/>
      <c r="H1189" s="22"/>
      <c r="I1189" s="23"/>
      <c r="J1189" s="22"/>
      <c r="K1189" s="23"/>
      <c r="L1189" s="22"/>
      <c r="M1189" s="23"/>
      <c r="N1189" s="23"/>
      <c r="O1189" s="24"/>
      <c r="P1189" s="16" t="b">
        <v>0</v>
      </c>
      <c r="Q1189" s="24"/>
      <c r="R1189" s="25"/>
      <c r="S1189" s="26"/>
      <c r="T1189" s="27"/>
      <c r="U1189" s="24"/>
      <c r="V1189" s="38" t="s">
        <v>29</v>
      </c>
      <c r="W1189" s="29" t="s">
        <v>22</v>
      </c>
      <c r="X1189" s="37" t="s">
        <v>722</v>
      </c>
      <c r="Y1189" s="31"/>
      <c r="Z1189" s="26" t="str">
        <f t="shared" si="5"/>
        <v/>
      </c>
      <c r="AA1189" s="26" t="str">
        <f t="shared" si="6"/>
        <v/>
      </c>
      <c r="AB1189" s="32" t="str">
        <f t="shared" si="7"/>
        <v/>
      </c>
      <c r="AC1189" s="32" t="str">
        <f t="shared" ref="AC1189:AG1189" si="1193">IF(J1189&lt;&gt;"", IF(AND($P1189=FALSE, $A1189=FALSE), -J1189, IF(AND($P1189=FALSE, $A1189=TRUE), 0, IF($P1189=TRUE, (J1189 / $R1189) * 100 * ($S1189 / 100)-J1189, ))), )</f>
        <v/>
      </c>
      <c r="AD1189" s="32" t="str">
        <f t="shared" si="1193"/>
        <v/>
      </c>
      <c r="AE1189" s="32" t="str">
        <f t="shared" si="1193"/>
        <v/>
      </c>
      <c r="AF1189" s="32" t="str">
        <f t="shared" si="1193"/>
        <v/>
      </c>
      <c r="AG1189" s="32" t="str">
        <f t="shared" si="1193"/>
        <v/>
      </c>
      <c r="AH1189" s="33"/>
    </row>
    <row r="1190" hidden="1" outlineLevel="3">
      <c r="A1190" s="16" t="b">
        <v>0</v>
      </c>
      <c r="B1190" s="17"/>
      <c r="C1190" s="18"/>
      <c r="D1190" s="19"/>
      <c r="E1190" s="20"/>
      <c r="F1190" s="21"/>
      <c r="G1190" s="22"/>
      <c r="H1190" s="22"/>
      <c r="I1190" s="23"/>
      <c r="J1190" s="22"/>
      <c r="K1190" s="23"/>
      <c r="L1190" s="22"/>
      <c r="M1190" s="23"/>
      <c r="N1190" s="23"/>
      <c r="O1190" s="24"/>
      <c r="P1190" s="16" t="b">
        <v>0</v>
      </c>
      <c r="Q1190" s="24"/>
      <c r="R1190" s="25"/>
      <c r="S1190" s="26"/>
      <c r="T1190" s="27"/>
      <c r="U1190" s="24"/>
      <c r="V1190" s="28" t="s">
        <v>32</v>
      </c>
      <c r="W1190" s="29" t="s">
        <v>22</v>
      </c>
      <c r="X1190" s="37" t="s">
        <v>723</v>
      </c>
      <c r="Y1190" s="31"/>
      <c r="Z1190" s="26" t="str">
        <f t="shared" si="5"/>
        <v/>
      </c>
      <c r="AA1190" s="26" t="str">
        <f t="shared" si="6"/>
        <v/>
      </c>
      <c r="AB1190" s="32" t="str">
        <f t="shared" si="7"/>
        <v/>
      </c>
      <c r="AC1190" s="32" t="str">
        <f t="shared" ref="AC1190:AG1190" si="1194">IF(J1190&lt;&gt;"", IF(AND($P1190=FALSE, $A1190=FALSE), -J1190, IF(AND($P1190=FALSE, $A1190=TRUE), 0, IF($P1190=TRUE, (J1190 / $R1190) * 100 * ($S1190 / 100)-J1190, ))), )</f>
        <v/>
      </c>
      <c r="AD1190" s="32" t="str">
        <f t="shared" si="1194"/>
        <v/>
      </c>
      <c r="AE1190" s="32" t="str">
        <f t="shared" si="1194"/>
        <v/>
      </c>
      <c r="AF1190" s="32" t="str">
        <f t="shared" si="1194"/>
        <v/>
      </c>
      <c r="AG1190" s="32" t="str">
        <f t="shared" si="1194"/>
        <v/>
      </c>
      <c r="AH1190" s="33"/>
    </row>
    <row r="1191" hidden="1" outlineLevel="3">
      <c r="A1191" s="16" t="b">
        <v>0</v>
      </c>
      <c r="B1191" s="17"/>
      <c r="C1191" s="18"/>
      <c r="D1191" s="19"/>
      <c r="E1191" s="20"/>
      <c r="F1191" s="21"/>
      <c r="G1191" s="22"/>
      <c r="H1191" s="22"/>
      <c r="I1191" s="23"/>
      <c r="J1191" s="22"/>
      <c r="K1191" s="23"/>
      <c r="L1191" s="22"/>
      <c r="M1191" s="23"/>
      <c r="N1191" s="23"/>
      <c r="O1191" s="24"/>
      <c r="P1191" s="16" t="b">
        <v>0</v>
      </c>
      <c r="Q1191" s="24"/>
      <c r="R1191" s="25"/>
      <c r="S1191" s="26"/>
      <c r="T1191" s="27"/>
      <c r="U1191" s="24"/>
      <c r="V1191" s="38" t="s">
        <v>29</v>
      </c>
      <c r="W1191" s="29" t="s">
        <v>22</v>
      </c>
      <c r="X1191" s="37" t="s">
        <v>808</v>
      </c>
      <c r="Y1191" s="31"/>
      <c r="Z1191" s="26" t="str">
        <f t="shared" si="5"/>
        <v/>
      </c>
      <c r="AA1191" s="26" t="str">
        <f t="shared" si="6"/>
        <v/>
      </c>
      <c r="AB1191" s="32" t="str">
        <f t="shared" si="7"/>
        <v/>
      </c>
      <c r="AC1191" s="32" t="str">
        <f t="shared" ref="AC1191:AG1191" si="1195">IF(J1191&lt;&gt;"", IF(AND($P1191=FALSE, $A1191=FALSE), -J1191, IF(AND($P1191=FALSE, $A1191=TRUE), 0, IF($P1191=TRUE, (J1191 / $R1191) * 100 * ($S1191 / 100)-J1191, ))), )</f>
        <v/>
      </c>
      <c r="AD1191" s="32" t="str">
        <f t="shared" si="1195"/>
        <v/>
      </c>
      <c r="AE1191" s="32" t="str">
        <f t="shared" si="1195"/>
        <v/>
      </c>
      <c r="AF1191" s="32" t="str">
        <f t="shared" si="1195"/>
        <v/>
      </c>
      <c r="AG1191" s="32" t="str">
        <f t="shared" si="1195"/>
        <v/>
      </c>
      <c r="AH1191" s="33"/>
    </row>
    <row r="1192" hidden="1" outlineLevel="2" collapsed="1">
      <c r="A1192" s="16" t="b">
        <v>0</v>
      </c>
      <c r="B1192" s="17"/>
      <c r="C1192" s="18"/>
      <c r="D1192" s="42">
        <v>45271.0</v>
      </c>
      <c r="E1192" s="80" t="s">
        <v>60</v>
      </c>
      <c r="F1192" s="53" t="s">
        <v>630</v>
      </c>
      <c r="G1192" s="45">
        <v>2.0</v>
      </c>
      <c r="H1192" s="48">
        <v>1.5</v>
      </c>
      <c r="I1192" s="45"/>
      <c r="J1192" s="79"/>
      <c r="K1192" s="79"/>
      <c r="L1192" s="45"/>
      <c r="M1192" s="46"/>
      <c r="N1192" s="46"/>
      <c r="O1192" s="47"/>
      <c r="P1192" s="16" t="b">
        <v>0</v>
      </c>
      <c r="Q1192" s="24"/>
      <c r="R1192" s="48">
        <v>3.5</v>
      </c>
      <c r="S1192" s="45">
        <v>8.11</v>
      </c>
      <c r="T1192" s="49" t="s">
        <v>299</v>
      </c>
      <c r="U1192" s="47"/>
      <c r="V1192" s="28"/>
      <c r="W1192" s="29"/>
      <c r="X1192" s="30"/>
      <c r="Y1192" s="31"/>
      <c r="Z1192" s="26">
        <f t="shared" si="5"/>
        <v>-2</v>
      </c>
      <c r="AA1192" s="26" t="str">
        <f t="shared" si="6"/>
        <v/>
      </c>
      <c r="AB1192" s="32">
        <f t="shared" si="7"/>
        <v>-1.5</v>
      </c>
      <c r="AC1192" s="32" t="str">
        <f t="shared" ref="AC1192:AG1192" si="1196">IF(J1192&lt;&gt;"", IF(AND($P1192=FALSE, $A1192=FALSE), -J1192, IF(AND($P1192=FALSE, $A1192=TRUE), 0, IF($P1192=TRUE, (J1192 / $R1192) * 100 * ($S1192 / 100)-J1192, ))), )</f>
        <v/>
      </c>
      <c r="AD1192" s="32" t="str">
        <f t="shared" si="1196"/>
        <v/>
      </c>
      <c r="AE1192" s="32" t="str">
        <f t="shared" si="1196"/>
        <v/>
      </c>
      <c r="AF1192" s="32" t="str">
        <f t="shared" si="1196"/>
        <v/>
      </c>
      <c r="AG1192" s="32" t="str">
        <f t="shared" si="1196"/>
        <v/>
      </c>
      <c r="AH1192" s="33"/>
    </row>
    <row r="1193" hidden="1" outlineLevel="3">
      <c r="A1193" s="16" t="b">
        <v>0</v>
      </c>
      <c r="B1193" s="17"/>
      <c r="C1193" s="18"/>
      <c r="D1193" s="19"/>
      <c r="E1193" s="20"/>
      <c r="F1193" s="21"/>
      <c r="G1193" s="22"/>
      <c r="H1193" s="22"/>
      <c r="I1193" s="23"/>
      <c r="J1193" s="22"/>
      <c r="K1193" s="23"/>
      <c r="L1193" s="22"/>
      <c r="M1193" s="23"/>
      <c r="N1193" s="23"/>
      <c r="O1193" s="24"/>
      <c r="P1193" s="16" t="b">
        <v>0</v>
      </c>
      <c r="Q1193" s="24"/>
      <c r="R1193" s="25"/>
      <c r="S1193" s="26"/>
      <c r="T1193" s="27"/>
      <c r="U1193" s="24"/>
      <c r="V1193" s="38" t="s">
        <v>29</v>
      </c>
      <c r="W1193" s="29" t="s">
        <v>22</v>
      </c>
      <c r="X1193" s="37" t="s">
        <v>809</v>
      </c>
      <c r="Y1193" s="31"/>
      <c r="Z1193" s="26" t="str">
        <f t="shared" si="5"/>
        <v/>
      </c>
      <c r="AA1193" s="26" t="str">
        <f t="shared" si="6"/>
        <v/>
      </c>
      <c r="AB1193" s="32" t="str">
        <f t="shared" si="7"/>
        <v/>
      </c>
      <c r="AC1193" s="32" t="str">
        <f t="shared" ref="AC1193:AG1193" si="1197">IF(J1193&lt;&gt;"", IF(AND($P1193=FALSE, $A1193=FALSE), -J1193, IF(AND($P1193=FALSE, $A1193=TRUE), 0, IF($P1193=TRUE, (J1193 / $R1193) * 100 * ($S1193 / 100)-J1193, ))), )</f>
        <v/>
      </c>
      <c r="AD1193" s="32" t="str">
        <f t="shared" si="1197"/>
        <v/>
      </c>
      <c r="AE1193" s="32" t="str">
        <f t="shared" si="1197"/>
        <v/>
      </c>
      <c r="AF1193" s="32" t="str">
        <f t="shared" si="1197"/>
        <v/>
      </c>
      <c r="AG1193" s="32" t="str">
        <f t="shared" si="1197"/>
        <v/>
      </c>
      <c r="AH1193" s="33"/>
    </row>
    <row r="1194" hidden="1" outlineLevel="3">
      <c r="A1194" s="16" t="b">
        <v>0</v>
      </c>
      <c r="B1194" s="17"/>
      <c r="C1194" s="18"/>
      <c r="D1194" s="19"/>
      <c r="E1194" s="20"/>
      <c r="F1194" s="21"/>
      <c r="G1194" s="22"/>
      <c r="H1194" s="22"/>
      <c r="I1194" s="23"/>
      <c r="J1194" s="22"/>
      <c r="K1194" s="23"/>
      <c r="L1194" s="22"/>
      <c r="M1194" s="23"/>
      <c r="N1194" s="23"/>
      <c r="O1194" s="24"/>
      <c r="P1194" s="16" t="b">
        <v>0</v>
      </c>
      <c r="Q1194" s="24"/>
      <c r="R1194" s="25"/>
      <c r="S1194" s="26"/>
      <c r="T1194" s="27"/>
      <c r="U1194" s="24"/>
      <c r="V1194" s="38" t="s">
        <v>29</v>
      </c>
      <c r="W1194" s="29" t="s">
        <v>22</v>
      </c>
      <c r="X1194" s="37" t="s">
        <v>810</v>
      </c>
      <c r="Y1194" s="31"/>
      <c r="Z1194" s="26" t="str">
        <f t="shared" si="5"/>
        <v/>
      </c>
      <c r="AA1194" s="26" t="str">
        <f t="shared" si="6"/>
        <v/>
      </c>
      <c r="AB1194" s="32" t="str">
        <f t="shared" si="7"/>
        <v/>
      </c>
      <c r="AC1194" s="32" t="str">
        <f t="shared" ref="AC1194:AG1194" si="1198">IF(J1194&lt;&gt;"", IF(AND($P1194=FALSE, $A1194=FALSE), -J1194, IF(AND($P1194=FALSE, $A1194=TRUE), 0, IF($P1194=TRUE, (J1194 / $R1194) * 100 * ($S1194 / 100)-J1194, ))), )</f>
        <v/>
      </c>
      <c r="AD1194" s="32" t="str">
        <f t="shared" si="1198"/>
        <v/>
      </c>
      <c r="AE1194" s="32" t="str">
        <f t="shared" si="1198"/>
        <v/>
      </c>
      <c r="AF1194" s="32" t="str">
        <f t="shared" si="1198"/>
        <v/>
      </c>
      <c r="AG1194" s="32" t="str">
        <f t="shared" si="1198"/>
        <v/>
      </c>
      <c r="AH1194" s="33"/>
    </row>
    <row r="1195" hidden="1" outlineLevel="3">
      <c r="A1195" s="16" t="b">
        <v>0</v>
      </c>
      <c r="B1195" s="17"/>
      <c r="C1195" s="18"/>
      <c r="D1195" s="19"/>
      <c r="E1195" s="20"/>
      <c r="F1195" s="21"/>
      <c r="G1195" s="22"/>
      <c r="H1195" s="22"/>
      <c r="I1195" s="23"/>
      <c r="J1195" s="22"/>
      <c r="K1195" s="23"/>
      <c r="L1195" s="22"/>
      <c r="M1195" s="23"/>
      <c r="N1195" s="23"/>
      <c r="O1195" s="24"/>
      <c r="P1195" s="16" t="b">
        <v>0</v>
      </c>
      <c r="Q1195" s="24"/>
      <c r="R1195" s="25"/>
      <c r="S1195" s="26"/>
      <c r="T1195" s="27"/>
      <c r="U1195" s="24"/>
      <c r="V1195" s="28" t="s">
        <v>32</v>
      </c>
      <c r="W1195" s="29" t="s">
        <v>22</v>
      </c>
      <c r="X1195" s="37" t="s">
        <v>362</v>
      </c>
      <c r="Y1195" s="31"/>
      <c r="Z1195" s="26" t="str">
        <f t="shared" si="5"/>
        <v/>
      </c>
      <c r="AA1195" s="26" t="str">
        <f t="shared" si="6"/>
        <v/>
      </c>
      <c r="AB1195" s="32" t="str">
        <f t="shared" si="7"/>
        <v/>
      </c>
      <c r="AC1195" s="32" t="str">
        <f t="shared" ref="AC1195:AG1195" si="1199">IF(J1195&lt;&gt;"", IF(AND($P1195=FALSE, $A1195=FALSE), -J1195, IF(AND($P1195=FALSE, $A1195=TRUE), 0, IF($P1195=TRUE, (J1195 / $R1195) * 100 * ($S1195 / 100)-J1195, ))), )</f>
        <v/>
      </c>
      <c r="AD1195" s="32" t="str">
        <f t="shared" si="1199"/>
        <v/>
      </c>
      <c r="AE1195" s="32" t="str">
        <f t="shared" si="1199"/>
        <v/>
      </c>
      <c r="AF1195" s="32" t="str">
        <f t="shared" si="1199"/>
        <v/>
      </c>
      <c r="AG1195" s="32" t="str">
        <f t="shared" si="1199"/>
        <v/>
      </c>
      <c r="AH1195" s="33"/>
    </row>
    <row r="1196" hidden="1" outlineLevel="2">
      <c r="A1196" s="81" t="b">
        <v>0</v>
      </c>
      <c r="B1196" s="17"/>
      <c r="C1196" s="18"/>
      <c r="D1196" s="67">
        <v>45271.0</v>
      </c>
      <c r="E1196" s="43" t="s">
        <v>60</v>
      </c>
      <c r="F1196" s="82" t="s">
        <v>630</v>
      </c>
      <c r="G1196" s="48">
        <v>2.0</v>
      </c>
      <c r="H1196" s="48">
        <v>1.5</v>
      </c>
      <c r="I1196" s="45">
        <v>2.0</v>
      </c>
      <c r="J1196" s="79"/>
      <c r="K1196" s="79"/>
      <c r="L1196" s="79"/>
      <c r="M1196" s="79"/>
      <c r="N1196" s="79"/>
      <c r="O1196" s="47"/>
      <c r="P1196" s="81" t="b">
        <v>0</v>
      </c>
      <c r="Q1196" s="24"/>
      <c r="R1196" s="48">
        <v>5.5</v>
      </c>
      <c r="S1196" s="45">
        <v>11.05</v>
      </c>
      <c r="T1196" s="49" t="s">
        <v>811</v>
      </c>
      <c r="U1196" s="47"/>
      <c r="V1196" s="28"/>
      <c r="W1196" s="29"/>
      <c r="X1196" s="30"/>
      <c r="Y1196" s="83"/>
      <c r="Z1196" s="26">
        <f t="shared" si="5"/>
        <v>-2</v>
      </c>
      <c r="AA1196" s="26">
        <f t="shared" si="6"/>
        <v>-2</v>
      </c>
      <c r="AB1196" s="32">
        <f t="shared" si="7"/>
        <v>-1.5</v>
      </c>
      <c r="AC1196" s="32" t="str">
        <f t="shared" ref="AC1196:AG1196" si="1200">IF(J1196&lt;&gt;"", IF(AND($P1196=FALSE, $A1196=FALSE), -J1196, IF(AND($P1196=FALSE, $A1196=TRUE), 0, IF($P1196=TRUE, (J1196 / $R1196) * 100 * ($S1196 / 100)-J1196, ))), )</f>
        <v/>
      </c>
      <c r="AD1196" s="32" t="str">
        <f t="shared" si="1200"/>
        <v/>
      </c>
      <c r="AE1196" s="32" t="str">
        <f t="shared" si="1200"/>
        <v/>
      </c>
      <c r="AF1196" s="32" t="str">
        <f t="shared" si="1200"/>
        <v/>
      </c>
      <c r="AG1196" s="32" t="str">
        <f t="shared" si="1200"/>
        <v/>
      </c>
      <c r="AH1196" s="33"/>
    </row>
    <row r="1197" hidden="1" outlineLevel="3">
      <c r="A1197" s="16" t="b">
        <v>0</v>
      </c>
      <c r="B1197" s="17"/>
      <c r="C1197" s="18"/>
      <c r="D1197" s="19"/>
      <c r="E1197" s="20"/>
      <c r="F1197" s="21"/>
      <c r="G1197" s="22"/>
      <c r="H1197" s="22"/>
      <c r="I1197" s="23"/>
      <c r="J1197" s="22"/>
      <c r="K1197" s="23"/>
      <c r="L1197" s="22"/>
      <c r="M1197" s="23"/>
      <c r="N1197" s="23"/>
      <c r="O1197" s="24"/>
      <c r="P1197" s="16" t="b">
        <v>0</v>
      </c>
      <c r="Q1197" s="24"/>
      <c r="R1197" s="25"/>
      <c r="S1197" s="26"/>
      <c r="T1197" s="27"/>
      <c r="U1197" s="24"/>
      <c r="V1197" s="38" t="s">
        <v>29</v>
      </c>
      <c r="W1197" s="29" t="s">
        <v>22</v>
      </c>
      <c r="X1197" s="37" t="s">
        <v>812</v>
      </c>
      <c r="Y1197" s="31"/>
      <c r="Z1197" s="26" t="str">
        <f t="shared" si="5"/>
        <v/>
      </c>
      <c r="AA1197" s="26" t="str">
        <f t="shared" si="6"/>
        <v/>
      </c>
      <c r="AB1197" s="32" t="str">
        <f t="shared" si="7"/>
        <v/>
      </c>
      <c r="AC1197" s="32" t="str">
        <f t="shared" ref="AC1197:AG1197" si="1201">IF(J1197&lt;&gt;"", IF(AND($P1197=FALSE, $A1197=FALSE), -J1197, IF(AND($P1197=FALSE, $A1197=TRUE), 0, IF($P1197=TRUE, (J1197 / $R1197) * 100 * ($S1197 / 100)-J1197, ))), )</f>
        <v/>
      </c>
      <c r="AD1197" s="32" t="str">
        <f t="shared" si="1201"/>
        <v/>
      </c>
      <c r="AE1197" s="32" t="str">
        <f t="shared" si="1201"/>
        <v/>
      </c>
      <c r="AF1197" s="32" t="str">
        <f t="shared" si="1201"/>
        <v/>
      </c>
      <c r="AG1197" s="32" t="str">
        <f t="shared" si="1201"/>
        <v/>
      </c>
      <c r="AH1197" s="33"/>
    </row>
    <row r="1198" hidden="1" outlineLevel="3">
      <c r="A1198" s="16" t="b">
        <v>0</v>
      </c>
      <c r="B1198" s="17"/>
      <c r="C1198" s="18"/>
      <c r="D1198" s="19"/>
      <c r="E1198" s="20"/>
      <c r="F1198" s="21"/>
      <c r="G1198" s="22"/>
      <c r="H1198" s="22"/>
      <c r="I1198" s="23"/>
      <c r="J1198" s="22"/>
      <c r="K1198" s="23"/>
      <c r="L1198" s="22"/>
      <c r="M1198" s="23"/>
      <c r="N1198" s="23"/>
      <c r="O1198" s="24"/>
      <c r="P1198" s="16" t="b">
        <v>0</v>
      </c>
      <c r="Q1198" s="24"/>
      <c r="R1198" s="25"/>
      <c r="S1198" s="26"/>
      <c r="T1198" s="27"/>
      <c r="U1198" s="24"/>
      <c r="V1198" s="28" t="s">
        <v>32</v>
      </c>
      <c r="W1198" s="29" t="s">
        <v>22</v>
      </c>
      <c r="X1198" s="37" t="s">
        <v>64</v>
      </c>
      <c r="Y1198" s="31"/>
      <c r="Z1198" s="26" t="str">
        <f t="shared" si="5"/>
        <v/>
      </c>
      <c r="AA1198" s="26" t="str">
        <f t="shared" si="6"/>
        <v/>
      </c>
      <c r="AB1198" s="32" t="str">
        <f t="shared" si="7"/>
        <v/>
      </c>
      <c r="AC1198" s="32" t="str">
        <f t="shared" ref="AC1198:AG1198" si="1202">IF(J1198&lt;&gt;"", IF(AND($P1198=FALSE, $A1198=FALSE), -J1198, IF(AND($P1198=FALSE, $A1198=TRUE), 0, IF($P1198=TRUE, (J1198 / $R1198) * 100 * ($S1198 / 100)-J1198, ))), )</f>
        <v/>
      </c>
      <c r="AD1198" s="32" t="str">
        <f t="shared" si="1202"/>
        <v/>
      </c>
      <c r="AE1198" s="32" t="str">
        <f t="shared" si="1202"/>
        <v/>
      </c>
      <c r="AF1198" s="32" t="str">
        <f t="shared" si="1202"/>
        <v/>
      </c>
      <c r="AG1198" s="32" t="str">
        <f t="shared" si="1202"/>
        <v/>
      </c>
      <c r="AH1198" s="33"/>
    </row>
    <row r="1199" hidden="1" outlineLevel="3">
      <c r="A1199" s="16" t="b">
        <v>0</v>
      </c>
      <c r="B1199" s="17"/>
      <c r="C1199" s="18"/>
      <c r="D1199" s="19"/>
      <c r="E1199" s="20"/>
      <c r="F1199" s="21"/>
      <c r="G1199" s="22"/>
      <c r="H1199" s="22"/>
      <c r="I1199" s="23"/>
      <c r="J1199" s="22"/>
      <c r="K1199" s="23"/>
      <c r="L1199" s="22"/>
      <c r="M1199" s="23"/>
      <c r="N1199" s="23"/>
      <c r="O1199" s="24"/>
      <c r="P1199" s="16" t="b">
        <v>0</v>
      </c>
      <c r="Q1199" s="24"/>
      <c r="R1199" s="25"/>
      <c r="S1199" s="26"/>
      <c r="T1199" s="27"/>
      <c r="U1199" s="24"/>
      <c r="V1199" s="28" t="s">
        <v>32</v>
      </c>
      <c r="W1199" s="29" t="s">
        <v>22</v>
      </c>
      <c r="X1199" s="37" t="s">
        <v>813</v>
      </c>
      <c r="Y1199" s="31"/>
      <c r="Z1199" s="26" t="str">
        <f t="shared" si="5"/>
        <v/>
      </c>
      <c r="AA1199" s="26" t="str">
        <f t="shared" si="6"/>
        <v/>
      </c>
      <c r="AB1199" s="32" t="str">
        <f t="shared" si="7"/>
        <v/>
      </c>
      <c r="AC1199" s="32" t="str">
        <f t="shared" ref="AC1199:AG1199" si="1203">IF(J1199&lt;&gt;"", IF(AND($P1199=FALSE, $A1199=FALSE), -J1199, IF(AND($P1199=FALSE, $A1199=TRUE), 0, IF($P1199=TRUE, (J1199 / $R1199) * 100 * ($S1199 / 100)-J1199, ))), )</f>
        <v/>
      </c>
      <c r="AD1199" s="32" t="str">
        <f t="shared" si="1203"/>
        <v/>
      </c>
      <c r="AE1199" s="32" t="str">
        <f t="shared" si="1203"/>
        <v/>
      </c>
      <c r="AF1199" s="32" t="str">
        <f t="shared" si="1203"/>
        <v/>
      </c>
      <c r="AG1199" s="32" t="str">
        <f t="shared" si="1203"/>
        <v/>
      </c>
      <c r="AH1199" s="33"/>
    </row>
    <row r="1200" hidden="1" outlineLevel="1" collapsed="1">
      <c r="A1200" s="16" t="b">
        <v>0</v>
      </c>
      <c r="B1200" s="17"/>
      <c r="C1200" s="18"/>
      <c r="D1200" s="42">
        <v>45274.0</v>
      </c>
      <c r="E1200" s="80" t="s">
        <v>60</v>
      </c>
      <c r="F1200" s="53" t="s">
        <v>630</v>
      </c>
      <c r="G1200" s="45">
        <v>2.0</v>
      </c>
      <c r="H1200" s="45">
        <v>1.0</v>
      </c>
      <c r="I1200" s="45">
        <v>7.0</v>
      </c>
      <c r="J1200" s="45"/>
      <c r="K1200" s="79"/>
      <c r="L1200" s="45"/>
      <c r="M1200" s="46"/>
      <c r="N1200" s="46"/>
      <c r="O1200" s="47"/>
      <c r="P1200" s="16" t="b">
        <v>1</v>
      </c>
      <c r="Q1200" s="24"/>
      <c r="R1200" s="48">
        <v>10.0</v>
      </c>
      <c r="S1200" s="45">
        <v>24.54</v>
      </c>
      <c r="T1200" s="49" t="s">
        <v>390</v>
      </c>
      <c r="U1200" s="47"/>
      <c r="V1200" s="28"/>
      <c r="W1200" s="29"/>
      <c r="X1200" s="30"/>
      <c r="Y1200" s="31"/>
      <c r="Z1200" s="26">
        <f t="shared" si="5"/>
        <v>2.908</v>
      </c>
      <c r="AA1200" s="26">
        <f t="shared" si="6"/>
        <v>10.178</v>
      </c>
      <c r="AB1200" s="32">
        <f t="shared" si="7"/>
        <v>1.454</v>
      </c>
      <c r="AC1200" s="32" t="str">
        <f t="shared" ref="AC1200:AG1200" si="1204">IF(J1200&lt;&gt;"", IF(AND($P1200=FALSE, $A1200=FALSE), -J1200, IF(AND($P1200=FALSE, $A1200=TRUE), 0, IF($P1200=TRUE, (J1200 / $R1200) * 100 * ($S1200 / 100)-J1200, ))), )</f>
        <v/>
      </c>
      <c r="AD1200" s="32" t="str">
        <f t="shared" si="1204"/>
        <v/>
      </c>
      <c r="AE1200" s="32" t="str">
        <f t="shared" si="1204"/>
        <v/>
      </c>
      <c r="AF1200" s="32" t="str">
        <f t="shared" si="1204"/>
        <v/>
      </c>
      <c r="AG1200" s="32" t="str">
        <f t="shared" si="1204"/>
        <v/>
      </c>
      <c r="AH1200" s="33"/>
    </row>
    <row r="1201" hidden="1" outlineLevel="3">
      <c r="A1201" s="16" t="b">
        <v>0</v>
      </c>
      <c r="B1201" s="17"/>
      <c r="C1201" s="18"/>
      <c r="D1201" s="19"/>
      <c r="E1201" s="20"/>
      <c r="F1201" s="21"/>
      <c r="G1201" s="22"/>
      <c r="H1201" s="22"/>
      <c r="I1201" s="23"/>
      <c r="J1201" s="22"/>
      <c r="K1201" s="23"/>
      <c r="L1201" s="22"/>
      <c r="M1201" s="23"/>
      <c r="N1201" s="23"/>
      <c r="O1201" s="24"/>
      <c r="P1201" s="16" t="b">
        <v>0</v>
      </c>
      <c r="Q1201" s="24"/>
      <c r="R1201" s="25"/>
      <c r="S1201" s="26"/>
      <c r="T1201" s="27"/>
      <c r="U1201" s="24"/>
      <c r="V1201" s="38" t="s">
        <v>29</v>
      </c>
      <c r="W1201" s="29" t="s">
        <v>22</v>
      </c>
      <c r="X1201" s="37" t="s">
        <v>814</v>
      </c>
      <c r="Y1201" s="31"/>
      <c r="Z1201" s="26" t="str">
        <f t="shared" si="5"/>
        <v/>
      </c>
      <c r="AA1201" s="26" t="str">
        <f t="shared" si="6"/>
        <v/>
      </c>
      <c r="AB1201" s="32" t="str">
        <f t="shared" si="7"/>
        <v/>
      </c>
      <c r="AC1201" s="32" t="str">
        <f t="shared" ref="AC1201:AG1201" si="1205">IF(J1201&lt;&gt;"", IF(AND($P1201=FALSE, $A1201=FALSE), -J1201, IF(AND($P1201=FALSE, $A1201=TRUE), 0, IF($P1201=TRUE, (J1201 / $R1201) * 100 * ($S1201 / 100)-J1201, ))), )</f>
        <v/>
      </c>
      <c r="AD1201" s="32" t="str">
        <f t="shared" si="1205"/>
        <v/>
      </c>
      <c r="AE1201" s="32" t="str">
        <f t="shared" si="1205"/>
        <v/>
      </c>
      <c r="AF1201" s="32" t="str">
        <f t="shared" si="1205"/>
        <v/>
      </c>
      <c r="AG1201" s="32" t="str">
        <f t="shared" si="1205"/>
        <v/>
      </c>
      <c r="AH1201" s="33"/>
    </row>
    <row r="1202" hidden="1" outlineLevel="3">
      <c r="A1202" s="16" t="b">
        <v>0</v>
      </c>
      <c r="B1202" s="17"/>
      <c r="C1202" s="18"/>
      <c r="D1202" s="19"/>
      <c r="E1202" s="20"/>
      <c r="F1202" s="21"/>
      <c r="G1202" s="22"/>
      <c r="H1202" s="22"/>
      <c r="I1202" s="23"/>
      <c r="J1202" s="22"/>
      <c r="K1202" s="23"/>
      <c r="L1202" s="22"/>
      <c r="M1202" s="23"/>
      <c r="N1202" s="23"/>
      <c r="O1202" s="24"/>
      <c r="P1202" s="16" t="b">
        <v>0</v>
      </c>
      <c r="Q1202" s="24"/>
      <c r="R1202" s="25"/>
      <c r="S1202" s="26"/>
      <c r="T1202" s="27"/>
      <c r="U1202" s="24"/>
      <c r="V1202" s="38" t="s">
        <v>29</v>
      </c>
      <c r="W1202" s="29" t="s">
        <v>22</v>
      </c>
      <c r="X1202" s="37" t="s">
        <v>64</v>
      </c>
      <c r="Y1202" s="31"/>
      <c r="Z1202" s="26" t="str">
        <f t="shared" si="5"/>
        <v/>
      </c>
      <c r="AA1202" s="26" t="str">
        <f t="shared" si="6"/>
        <v/>
      </c>
      <c r="AB1202" s="32" t="str">
        <f t="shared" si="7"/>
        <v/>
      </c>
      <c r="AC1202" s="32" t="str">
        <f t="shared" ref="AC1202:AG1202" si="1206">IF(J1202&lt;&gt;"", IF(AND($P1202=FALSE, $A1202=FALSE), -J1202, IF(AND($P1202=FALSE, $A1202=TRUE), 0, IF($P1202=TRUE, (J1202 / $R1202) * 100 * ($S1202 / 100)-J1202, ))), )</f>
        <v/>
      </c>
      <c r="AD1202" s="32" t="str">
        <f t="shared" si="1206"/>
        <v/>
      </c>
      <c r="AE1202" s="32" t="str">
        <f t="shared" si="1206"/>
        <v/>
      </c>
      <c r="AF1202" s="32" t="str">
        <f t="shared" si="1206"/>
        <v/>
      </c>
      <c r="AG1202" s="32" t="str">
        <f t="shared" si="1206"/>
        <v/>
      </c>
      <c r="AH1202" s="33"/>
    </row>
    <row r="1203" hidden="1" outlineLevel="3">
      <c r="A1203" s="16" t="b">
        <v>0</v>
      </c>
      <c r="B1203" s="17"/>
      <c r="C1203" s="18"/>
      <c r="D1203" s="19"/>
      <c r="E1203" s="20"/>
      <c r="F1203" s="21"/>
      <c r="G1203" s="22"/>
      <c r="H1203" s="22"/>
      <c r="I1203" s="23"/>
      <c r="J1203" s="22"/>
      <c r="K1203" s="23"/>
      <c r="L1203" s="22"/>
      <c r="M1203" s="23"/>
      <c r="N1203" s="23"/>
      <c r="O1203" s="24"/>
      <c r="P1203" s="16" t="b">
        <v>0</v>
      </c>
      <c r="Q1203" s="24"/>
      <c r="R1203" s="25"/>
      <c r="S1203" s="26"/>
      <c r="T1203" s="27"/>
      <c r="U1203" s="24"/>
      <c r="V1203" s="38" t="s">
        <v>29</v>
      </c>
      <c r="W1203" s="29" t="s">
        <v>22</v>
      </c>
      <c r="X1203" s="37" t="s">
        <v>815</v>
      </c>
      <c r="Y1203" s="31"/>
      <c r="Z1203" s="26" t="str">
        <f t="shared" si="5"/>
        <v/>
      </c>
      <c r="AA1203" s="26" t="str">
        <f t="shared" si="6"/>
        <v/>
      </c>
      <c r="AB1203" s="32" t="str">
        <f t="shared" si="7"/>
        <v/>
      </c>
      <c r="AC1203" s="32" t="str">
        <f t="shared" ref="AC1203:AG1203" si="1207">IF(J1203&lt;&gt;"", IF(AND($P1203=FALSE, $A1203=FALSE), -J1203, IF(AND($P1203=FALSE, $A1203=TRUE), 0, IF($P1203=TRUE, (J1203 / $R1203) * 100 * ($S1203 / 100)-J1203, ))), )</f>
        <v/>
      </c>
      <c r="AD1203" s="32" t="str">
        <f t="shared" si="1207"/>
        <v/>
      </c>
      <c r="AE1203" s="32" t="str">
        <f t="shared" si="1207"/>
        <v/>
      </c>
      <c r="AF1203" s="32" t="str">
        <f t="shared" si="1207"/>
        <v/>
      </c>
      <c r="AG1203" s="32" t="str">
        <f t="shared" si="1207"/>
        <v/>
      </c>
      <c r="AH1203" s="33"/>
    </row>
    <row r="1204" hidden="1" outlineLevel="3">
      <c r="A1204" s="16" t="b">
        <v>0</v>
      </c>
      <c r="B1204" s="17"/>
      <c r="C1204" s="18"/>
      <c r="D1204" s="19"/>
      <c r="E1204" s="20"/>
      <c r="F1204" s="21"/>
      <c r="G1204" s="22"/>
      <c r="H1204" s="22"/>
      <c r="I1204" s="23"/>
      <c r="J1204" s="22"/>
      <c r="K1204" s="23"/>
      <c r="L1204" s="22"/>
      <c r="M1204" s="23"/>
      <c r="N1204" s="23"/>
      <c r="O1204" s="24"/>
      <c r="P1204" s="16" t="b">
        <v>0</v>
      </c>
      <c r="Q1204" s="24"/>
      <c r="R1204" s="25"/>
      <c r="S1204" s="26"/>
      <c r="T1204" s="27"/>
      <c r="U1204" s="24"/>
      <c r="V1204" s="38" t="s">
        <v>29</v>
      </c>
      <c r="W1204" s="29" t="s">
        <v>22</v>
      </c>
      <c r="X1204" s="37" t="s">
        <v>816</v>
      </c>
      <c r="Y1204" s="31"/>
      <c r="Z1204" s="26" t="str">
        <f t="shared" si="5"/>
        <v/>
      </c>
      <c r="AA1204" s="26" t="str">
        <f t="shared" si="6"/>
        <v/>
      </c>
      <c r="AB1204" s="32" t="str">
        <f t="shared" si="7"/>
        <v/>
      </c>
      <c r="AC1204" s="32" t="str">
        <f t="shared" ref="AC1204:AG1204" si="1208">IF(J1204&lt;&gt;"", IF(AND($P1204=FALSE, $A1204=FALSE), -J1204, IF(AND($P1204=FALSE, $A1204=TRUE), 0, IF($P1204=TRUE, (J1204 / $R1204) * 100 * ($S1204 / 100)-J1204, ))), )</f>
        <v/>
      </c>
      <c r="AD1204" s="32" t="str">
        <f t="shared" si="1208"/>
        <v/>
      </c>
      <c r="AE1204" s="32" t="str">
        <f t="shared" si="1208"/>
        <v/>
      </c>
      <c r="AF1204" s="32" t="str">
        <f t="shared" si="1208"/>
        <v/>
      </c>
      <c r="AG1204" s="32" t="str">
        <f t="shared" si="1208"/>
        <v/>
      </c>
      <c r="AH1204" s="33"/>
    </row>
    <row r="1205" hidden="1" outlineLevel="2" collapsed="1">
      <c r="A1205" s="16" t="b">
        <v>0</v>
      </c>
      <c r="B1205" s="17"/>
      <c r="C1205" s="18"/>
      <c r="D1205" s="42">
        <v>45274.0</v>
      </c>
      <c r="E1205" s="43" t="s">
        <v>24</v>
      </c>
      <c r="F1205" s="53" t="s">
        <v>817</v>
      </c>
      <c r="G1205" s="45">
        <v>3.0</v>
      </c>
      <c r="H1205" s="45">
        <v>1.5</v>
      </c>
      <c r="I1205" s="45">
        <v>10.0</v>
      </c>
      <c r="J1205" s="46"/>
      <c r="K1205" s="46"/>
      <c r="L1205" s="45"/>
      <c r="M1205" s="46"/>
      <c r="N1205" s="46"/>
      <c r="O1205" s="47"/>
      <c r="P1205" s="16" t="b">
        <v>0</v>
      </c>
      <c r="Q1205" s="24"/>
      <c r="R1205" s="48">
        <v>14.5</v>
      </c>
      <c r="S1205" s="45">
        <v>36.25</v>
      </c>
      <c r="T1205" s="49" t="s">
        <v>44</v>
      </c>
      <c r="U1205" s="47"/>
      <c r="V1205" s="28"/>
      <c r="W1205" s="29"/>
      <c r="X1205" s="30"/>
      <c r="Y1205" s="31"/>
      <c r="Z1205" s="26">
        <f t="shared" si="5"/>
        <v>-3</v>
      </c>
      <c r="AA1205" s="26">
        <f t="shared" si="6"/>
        <v>-10</v>
      </c>
      <c r="AB1205" s="32">
        <f t="shared" si="7"/>
        <v>-1.5</v>
      </c>
      <c r="AC1205" s="32" t="str">
        <f t="shared" ref="AC1205:AG1205" si="1209">IF(J1205&lt;&gt;"", IF(AND($P1205=FALSE, $A1205=FALSE), -J1205, IF(AND($P1205=FALSE, $A1205=TRUE), 0, IF($P1205=TRUE, (J1205 / $R1205) * 100 * ($S1205 / 100)-J1205, ))), )</f>
        <v/>
      </c>
      <c r="AD1205" s="32" t="str">
        <f t="shared" si="1209"/>
        <v/>
      </c>
      <c r="AE1205" s="32" t="str">
        <f t="shared" si="1209"/>
        <v/>
      </c>
      <c r="AF1205" s="32" t="str">
        <f t="shared" si="1209"/>
        <v/>
      </c>
      <c r="AG1205" s="32" t="str">
        <f t="shared" si="1209"/>
        <v/>
      </c>
      <c r="AH1205" s="33"/>
    </row>
    <row r="1206" hidden="1" outlineLevel="3">
      <c r="A1206" s="16" t="b">
        <v>0</v>
      </c>
      <c r="B1206" s="17"/>
      <c r="C1206" s="18"/>
      <c r="D1206" s="19"/>
      <c r="E1206" s="20"/>
      <c r="F1206" s="21"/>
      <c r="G1206" s="22"/>
      <c r="H1206" s="22"/>
      <c r="I1206" s="23"/>
      <c r="J1206" s="22"/>
      <c r="K1206" s="23"/>
      <c r="L1206" s="22"/>
      <c r="M1206" s="23"/>
      <c r="N1206" s="23"/>
      <c r="O1206" s="24"/>
      <c r="P1206" s="16" t="b">
        <v>0</v>
      </c>
      <c r="Q1206" s="24"/>
      <c r="R1206" s="25"/>
      <c r="S1206" s="26"/>
      <c r="T1206" s="27"/>
      <c r="U1206" s="24"/>
      <c r="V1206" s="28" t="s">
        <v>32</v>
      </c>
      <c r="W1206" s="29" t="s">
        <v>22</v>
      </c>
      <c r="X1206" s="37" t="s">
        <v>818</v>
      </c>
      <c r="Y1206" s="31"/>
      <c r="Z1206" s="26" t="str">
        <f t="shared" si="5"/>
        <v/>
      </c>
      <c r="AA1206" s="26" t="str">
        <f t="shared" si="6"/>
        <v/>
      </c>
      <c r="AB1206" s="32" t="str">
        <f t="shared" si="7"/>
        <v/>
      </c>
      <c r="AC1206" s="32" t="str">
        <f t="shared" ref="AC1206:AG1206" si="1210">IF(J1206&lt;&gt;"", IF(AND($P1206=FALSE, $A1206=FALSE), -J1206, IF(AND($P1206=FALSE, $A1206=TRUE), 0, IF($P1206=TRUE, (J1206 / $R1206) * 100 * ($S1206 / 100)-J1206, ))), )</f>
        <v/>
      </c>
      <c r="AD1206" s="32" t="str">
        <f t="shared" si="1210"/>
        <v/>
      </c>
      <c r="AE1206" s="32" t="str">
        <f t="shared" si="1210"/>
        <v/>
      </c>
      <c r="AF1206" s="32" t="str">
        <f t="shared" si="1210"/>
        <v/>
      </c>
      <c r="AG1206" s="32" t="str">
        <f t="shared" si="1210"/>
        <v/>
      </c>
      <c r="AH1206" s="33"/>
    </row>
    <row r="1207" hidden="1" outlineLevel="3">
      <c r="A1207" s="16" t="b">
        <v>0</v>
      </c>
      <c r="B1207" s="17"/>
      <c r="C1207" s="18"/>
      <c r="D1207" s="19"/>
      <c r="E1207" s="20"/>
      <c r="F1207" s="21"/>
      <c r="G1207" s="22"/>
      <c r="H1207" s="22"/>
      <c r="I1207" s="23"/>
      <c r="J1207" s="22"/>
      <c r="K1207" s="23"/>
      <c r="L1207" s="22"/>
      <c r="M1207" s="23"/>
      <c r="N1207" s="23"/>
      <c r="O1207" s="24"/>
      <c r="P1207" s="16" t="b">
        <v>0</v>
      </c>
      <c r="Q1207" s="24"/>
      <c r="R1207" s="25"/>
      <c r="S1207" s="26"/>
      <c r="T1207" s="27"/>
      <c r="U1207" s="24"/>
      <c r="V1207" s="38" t="s">
        <v>29</v>
      </c>
      <c r="W1207" s="29" t="s">
        <v>22</v>
      </c>
      <c r="X1207" s="37" t="s">
        <v>819</v>
      </c>
      <c r="Y1207" s="31"/>
      <c r="Z1207" s="26" t="str">
        <f t="shared" si="5"/>
        <v/>
      </c>
      <c r="AA1207" s="26" t="str">
        <f t="shared" si="6"/>
        <v/>
      </c>
      <c r="AB1207" s="32" t="str">
        <f t="shared" si="7"/>
        <v/>
      </c>
      <c r="AC1207" s="32" t="str">
        <f t="shared" ref="AC1207:AG1207" si="1211">IF(J1207&lt;&gt;"", IF(AND($P1207=FALSE, $A1207=FALSE), -J1207, IF(AND($P1207=FALSE, $A1207=TRUE), 0, IF($P1207=TRUE, (J1207 / $R1207) * 100 * ($S1207 / 100)-J1207, ))), )</f>
        <v/>
      </c>
      <c r="AD1207" s="32" t="str">
        <f t="shared" si="1211"/>
        <v/>
      </c>
      <c r="AE1207" s="32" t="str">
        <f t="shared" si="1211"/>
        <v/>
      </c>
      <c r="AF1207" s="32" t="str">
        <f t="shared" si="1211"/>
        <v/>
      </c>
      <c r="AG1207" s="32" t="str">
        <f t="shared" si="1211"/>
        <v/>
      </c>
      <c r="AH1207" s="33"/>
    </row>
    <row r="1208" hidden="1" outlineLevel="2" collapsed="1">
      <c r="A1208" s="16" t="b">
        <v>0</v>
      </c>
      <c r="B1208" s="17"/>
      <c r="C1208" s="18"/>
      <c r="D1208" s="42">
        <v>45274.0</v>
      </c>
      <c r="E1208" s="43" t="s">
        <v>24</v>
      </c>
      <c r="F1208" s="53" t="s">
        <v>817</v>
      </c>
      <c r="G1208" s="45">
        <v>2.0</v>
      </c>
      <c r="H1208" s="45">
        <v>1.0</v>
      </c>
      <c r="I1208" s="45">
        <v>2.0</v>
      </c>
      <c r="J1208" s="46"/>
      <c r="K1208" s="46"/>
      <c r="L1208" s="45"/>
      <c r="M1208" s="46"/>
      <c r="N1208" s="46"/>
      <c r="O1208" s="47"/>
      <c r="P1208" s="16" t="b">
        <v>0</v>
      </c>
      <c r="Q1208" s="24"/>
      <c r="R1208" s="48">
        <v>5.0</v>
      </c>
      <c r="S1208" s="45">
        <v>13.5</v>
      </c>
      <c r="T1208" s="49" t="s">
        <v>100</v>
      </c>
      <c r="U1208" s="47"/>
      <c r="V1208" s="28"/>
      <c r="W1208" s="29"/>
      <c r="X1208" s="30"/>
      <c r="Y1208" s="31"/>
      <c r="Z1208" s="26">
        <f t="shared" si="5"/>
        <v>-2</v>
      </c>
      <c r="AA1208" s="26">
        <f t="shared" si="6"/>
        <v>-2</v>
      </c>
      <c r="AB1208" s="32">
        <f t="shared" si="7"/>
        <v>-1</v>
      </c>
      <c r="AC1208" s="32" t="str">
        <f t="shared" ref="AC1208:AG1208" si="1212">IF(J1208&lt;&gt;"", IF(AND($P1208=FALSE, $A1208=FALSE), -J1208, IF(AND($P1208=FALSE, $A1208=TRUE), 0, IF($P1208=TRUE, (J1208 / $R1208) * 100 * ($S1208 / 100)-J1208, ))), )</f>
        <v/>
      </c>
      <c r="AD1208" s="32" t="str">
        <f t="shared" si="1212"/>
        <v/>
      </c>
      <c r="AE1208" s="32" t="str">
        <f t="shared" si="1212"/>
        <v/>
      </c>
      <c r="AF1208" s="32" t="str">
        <f t="shared" si="1212"/>
        <v/>
      </c>
      <c r="AG1208" s="32" t="str">
        <f t="shared" si="1212"/>
        <v/>
      </c>
      <c r="AH1208" s="33"/>
    </row>
    <row r="1209" hidden="1" outlineLevel="3">
      <c r="A1209" s="16" t="b">
        <v>0</v>
      </c>
      <c r="B1209" s="17"/>
      <c r="C1209" s="18"/>
      <c r="D1209" s="19"/>
      <c r="E1209" s="20"/>
      <c r="F1209" s="21"/>
      <c r="G1209" s="22"/>
      <c r="H1209" s="22"/>
      <c r="I1209" s="23"/>
      <c r="J1209" s="22"/>
      <c r="K1209" s="23"/>
      <c r="L1209" s="22"/>
      <c r="M1209" s="23"/>
      <c r="N1209" s="23"/>
      <c r="O1209" s="24"/>
      <c r="P1209" s="16" t="b">
        <v>0</v>
      </c>
      <c r="Q1209" s="24"/>
      <c r="R1209" s="25"/>
      <c r="S1209" s="26"/>
      <c r="T1209" s="27"/>
      <c r="U1209" s="24"/>
      <c r="V1209" s="28" t="s">
        <v>32</v>
      </c>
      <c r="W1209" s="29" t="s">
        <v>22</v>
      </c>
      <c r="X1209" s="37" t="s">
        <v>820</v>
      </c>
      <c r="Y1209" s="31"/>
      <c r="Z1209" s="26" t="str">
        <f t="shared" si="5"/>
        <v/>
      </c>
      <c r="AA1209" s="26" t="str">
        <f t="shared" si="6"/>
        <v/>
      </c>
      <c r="AB1209" s="32" t="str">
        <f t="shared" si="7"/>
        <v/>
      </c>
      <c r="AC1209" s="32" t="str">
        <f t="shared" ref="AC1209:AG1209" si="1213">IF(J1209&lt;&gt;"", IF(AND($P1209=FALSE, $A1209=FALSE), -J1209, IF(AND($P1209=FALSE, $A1209=TRUE), 0, IF($P1209=TRUE, (J1209 / $R1209) * 100 * ($S1209 / 100)-J1209, ))), )</f>
        <v/>
      </c>
      <c r="AD1209" s="32" t="str">
        <f t="shared" si="1213"/>
        <v/>
      </c>
      <c r="AE1209" s="32" t="str">
        <f t="shared" si="1213"/>
        <v/>
      </c>
      <c r="AF1209" s="32" t="str">
        <f t="shared" si="1213"/>
        <v/>
      </c>
      <c r="AG1209" s="32" t="str">
        <f t="shared" si="1213"/>
        <v/>
      </c>
      <c r="AH1209" s="33"/>
    </row>
    <row r="1210" hidden="1" outlineLevel="3">
      <c r="A1210" s="16" t="b">
        <v>0</v>
      </c>
      <c r="B1210" s="17"/>
      <c r="C1210" s="18"/>
      <c r="D1210" s="19"/>
      <c r="E1210" s="20"/>
      <c r="F1210" s="21"/>
      <c r="G1210" s="22"/>
      <c r="H1210" s="22"/>
      <c r="I1210" s="23"/>
      <c r="J1210" s="22"/>
      <c r="K1210" s="23"/>
      <c r="L1210" s="22"/>
      <c r="M1210" s="23"/>
      <c r="N1210" s="23"/>
      <c r="O1210" s="24"/>
      <c r="P1210" s="16" t="b">
        <v>0</v>
      </c>
      <c r="Q1210" s="24"/>
      <c r="R1210" s="25"/>
      <c r="S1210" s="26"/>
      <c r="T1210" s="27"/>
      <c r="U1210" s="24"/>
      <c r="V1210" s="38" t="s">
        <v>29</v>
      </c>
      <c r="W1210" s="29" t="s">
        <v>22</v>
      </c>
      <c r="X1210" s="37" t="s">
        <v>821</v>
      </c>
      <c r="Y1210" s="31"/>
      <c r="Z1210" s="26" t="str">
        <f t="shared" si="5"/>
        <v/>
      </c>
      <c r="AA1210" s="26" t="str">
        <f t="shared" si="6"/>
        <v/>
      </c>
      <c r="AB1210" s="32" t="str">
        <f t="shared" si="7"/>
        <v/>
      </c>
      <c r="AC1210" s="32" t="str">
        <f t="shared" ref="AC1210:AG1210" si="1214">IF(J1210&lt;&gt;"", IF(AND($P1210=FALSE, $A1210=FALSE), -J1210, IF(AND($P1210=FALSE, $A1210=TRUE), 0, IF($P1210=TRUE, (J1210 / $R1210) * 100 * ($S1210 / 100)-J1210, ))), )</f>
        <v/>
      </c>
      <c r="AD1210" s="32" t="str">
        <f t="shared" si="1214"/>
        <v/>
      </c>
      <c r="AE1210" s="32" t="str">
        <f t="shared" si="1214"/>
        <v/>
      </c>
      <c r="AF1210" s="32" t="str">
        <f t="shared" si="1214"/>
        <v/>
      </c>
      <c r="AG1210" s="32" t="str">
        <f t="shared" si="1214"/>
        <v/>
      </c>
      <c r="AH1210" s="33"/>
    </row>
    <row r="1211" hidden="1" outlineLevel="2" collapsed="1">
      <c r="A1211" s="16" t="b">
        <v>0</v>
      </c>
      <c r="B1211" s="17"/>
      <c r="C1211" s="18"/>
      <c r="D1211" s="42">
        <v>45274.0</v>
      </c>
      <c r="E1211" s="43" t="s">
        <v>24</v>
      </c>
      <c r="F1211" s="53" t="s">
        <v>817</v>
      </c>
      <c r="G1211" s="45">
        <v>2.0</v>
      </c>
      <c r="H1211" s="45">
        <v>1.0</v>
      </c>
      <c r="I1211" s="45"/>
      <c r="J1211" s="46"/>
      <c r="K1211" s="46"/>
      <c r="L1211" s="45"/>
      <c r="M1211" s="46"/>
      <c r="N1211" s="46"/>
      <c r="O1211" s="47"/>
      <c r="P1211" s="16" t="b">
        <v>0</v>
      </c>
      <c r="Q1211" s="24"/>
      <c r="R1211" s="48">
        <v>3.0</v>
      </c>
      <c r="S1211" s="45">
        <v>6.32</v>
      </c>
      <c r="T1211" s="49" t="s">
        <v>378</v>
      </c>
      <c r="U1211" s="47"/>
      <c r="V1211" s="28"/>
      <c r="W1211" s="29"/>
      <c r="X1211" s="30"/>
      <c r="Y1211" s="31"/>
      <c r="Z1211" s="26">
        <f t="shared" si="5"/>
        <v>-2</v>
      </c>
      <c r="AA1211" s="26" t="str">
        <f t="shared" si="6"/>
        <v/>
      </c>
      <c r="AB1211" s="32">
        <f t="shared" si="7"/>
        <v>-1</v>
      </c>
      <c r="AC1211" s="32" t="str">
        <f t="shared" ref="AC1211:AG1211" si="1215">IF(J1211&lt;&gt;"", IF(AND($P1211=FALSE, $A1211=FALSE), -J1211, IF(AND($P1211=FALSE, $A1211=TRUE), 0, IF($P1211=TRUE, (J1211 / $R1211) * 100 * ($S1211 / 100)-J1211, ))), )</f>
        <v/>
      </c>
      <c r="AD1211" s="32" t="str">
        <f t="shared" si="1215"/>
        <v/>
      </c>
      <c r="AE1211" s="32" t="str">
        <f t="shared" si="1215"/>
        <v/>
      </c>
      <c r="AF1211" s="32" t="str">
        <f t="shared" si="1215"/>
        <v/>
      </c>
      <c r="AG1211" s="32" t="str">
        <f t="shared" si="1215"/>
        <v/>
      </c>
      <c r="AH1211" s="33"/>
    </row>
    <row r="1212" hidden="1" outlineLevel="3">
      <c r="A1212" s="16" t="b">
        <v>0</v>
      </c>
      <c r="B1212" s="17"/>
      <c r="C1212" s="85" t="s">
        <v>822</v>
      </c>
      <c r="D1212" s="19"/>
      <c r="E1212" s="20"/>
      <c r="F1212" s="21"/>
      <c r="G1212" s="22"/>
      <c r="H1212" s="22"/>
      <c r="I1212" s="23"/>
      <c r="J1212" s="22"/>
      <c r="K1212" s="23"/>
      <c r="L1212" s="22"/>
      <c r="M1212" s="23"/>
      <c r="N1212" s="23"/>
      <c r="O1212" s="24"/>
      <c r="P1212" s="16" t="b">
        <v>0</v>
      </c>
      <c r="Q1212" s="24"/>
      <c r="R1212" s="25"/>
      <c r="S1212" s="26"/>
      <c r="T1212" s="27"/>
      <c r="U1212" s="24"/>
      <c r="V1212" s="38" t="s">
        <v>29</v>
      </c>
      <c r="W1212" s="29" t="s">
        <v>22</v>
      </c>
      <c r="X1212" s="37" t="s">
        <v>823</v>
      </c>
      <c r="Y1212" s="31"/>
      <c r="Z1212" s="26" t="str">
        <f t="shared" si="5"/>
        <v/>
      </c>
      <c r="AA1212" s="26" t="str">
        <f t="shared" si="6"/>
        <v/>
      </c>
      <c r="AB1212" s="32" t="str">
        <f t="shared" si="7"/>
        <v/>
      </c>
      <c r="AC1212" s="32" t="str">
        <f t="shared" ref="AC1212:AG1212" si="1216">IF(J1212&lt;&gt;"", IF(AND($P1212=FALSE, $A1212=FALSE), -J1212, IF(AND($P1212=FALSE, $A1212=TRUE), 0, IF($P1212=TRUE, (J1212 / $R1212) * 100 * ($S1212 / 100)-J1212, ))), )</f>
        <v/>
      </c>
      <c r="AD1212" s="32" t="str">
        <f t="shared" si="1216"/>
        <v/>
      </c>
      <c r="AE1212" s="32" t="str">
        <f t="shared" si="1216"/>
        <v/>
      </c>
      <c r="AF1212" s="32" t="str">
        <f t="shared" si="1216"/>
        <v/>
      </c>
      <c r="AG1212" s="32" t="str">
        <f t="shared" si="1216"/>
        <v/>
      </c>
      <c r="AH1212" s="33"/>
    </row>
    <row r="1213" hidden="1" outlineLevel="3">
      <c r="A1213" s="16" t="b">
        <v>0</v>
      </c>
      <c r="B1213" s="17"/>
      <c r="C1213" s="18"/>
      <c r="D1213" s="19"/>
      <c r="E1213" s="20"/>
      <c r="F1213" s="21"/>
      <c r="G1213" s="22"/>
      <c r="H1213" s="22"/>
      <c r="I1213" s="23"/>
      <c r="J1213" s="22"/>
      <c r="K1213" s="23"/>
      <c r="L1213" s="22"/>
      <c r="M1213" s="23"/>
      <c r="N1213" s="23"/>
      <c r="O1213" s="24"/>
      <c r="P1213" s="16" t="b">
        <v>0</v>
      </c>
      <c r="Q1213" s="24"/>
      <c r="R1213" s="25"/>
      <c r="S1213" s="26"/>
      <c r="T1213" s="27"/>
      <c r="U1213" s="24"/>
      <c r="V1213" s="28" t="s">
        <v>32</v>
      </c>
      <c r="W1213" s="29" t="s">
        <v>22</v>
      </c>
      <c r="X1213" s="37" t="s">
        <v>824</v>
      </c>
      <c r="Y1213" s="31"/>
      <c r="Z1213" s="26" t="str">
        <f t="shared" si="5"/>
        <v/>
      </c>
      <c r="AA1213" s="26" t="str">
        <f t="shared" si="6"/>
        <v/>
      </c>
      <c r="AB1213" s="32" t="str">
        <f t="shared" si="7"/>
        <v/>
      </c>
      <c r="AC1213" s="32" t="str">
        <f t="shared" ref="AC1213:AG1213" si="1217">IF(J1213&lt;&gt;"", IF(AND($P1213=FALSE, $A1213=FALSE), -J1213, IF(AND($P1213=FALSE, $A1213=TRUE), 0, IF($P1213=TRUE, (J1213 / $R1213) * 100 * ($S1213 / 100)-J1213, ))), )</f>
        <v/>
      </c>
      <c r="AD1213" s="32" t="str">
        <f t="shared" si="1217"/>
        <v/>
      </c>
      <c r="AE1213" s="32" t="str">
        <f t="shared" si="1217"/>
        <v/>
      </c>
      <c r="AF1213" s="32" t="str">
        <f t="shared" si="1217"/>
        <v/>
      </c>
      <c r="AG1213" s="32" t="str">
        <f t="shared" si="1217"/>
        <v/>
      </c>
      <c r="AH1213" s="33"/>
    </row>
    <row r="1214" hidden="1" outlineLevel="2" collapsed="1">
      <c r="A1214" s="16" t="b">
        <v>0</v>
      </c>
      <c r="B1214" s="17"/>
      <c r="C1214" s="18"/>
      <c r="D1214" s="42">
        <v>45274.0</v>
      </c>
      <c r="E1214" s="43" t="s">
        <v>24</v>
      </c>
      <c r="F1214" s="53" t="s">
        <v>817</v>
      </c>
      <c r="G1214" s="45">
        <v>1.0</v>
      </c>
      <c r="H1214" s="45">
        <v>0.5</v>
      </c>
      <c r="I1214" s="45">
        <v>3.5</v>
      </c>
      <c r="J1214" s="46"/>
      <c r="K1214" s="46"/>
      <c r="L1214" s="45"/>
      <c r="M1214" s="46"/>
      <c r="N1214" s="46"/>
      <c r="O1214" s="47"/>
      <c r="P1214" s="16" t="b">
        <v>1</v>
      </c>
      <c r="Q1214" s="24"/>
      <c r="R1214" s="48">
        <v>5.0</v>
      </c>
      <c r="S1214" s="45">
        <v>29.84</v>
      </c>
      <c r="T1214" s="49" t="s">
        <v>825</v>
      </c>
      <c r="U1214" s="47"/>
      <c r="V1214" s="28"/>
      <c r="W1214" s="29"/>
      <c r="X1214" s="30"/>
      <c r="Y1214" s="31"/>
      <c r="Z1214" s="26">
        <f t="shared" si="5"/>
        <v>4.968</v>
      </c>
      <c r="AA1214" s="26">
        <f t="shared" si="6"/>
        <v>17.388</v>
      </c>
      <c r="AB1214" s="32">
        <f t="shared" si="7"/>
        <v>2.484</v>
      </c>
      <c r="AC1214" s="32" t="str">
        <f t="shared" ref="AC1214:AG1214" si="1218">IF(J1214&lt;&gt;"", IF(AND($P1214=FALSE, $A1214=FALSE), -J1214, IF(AND($P1214=FALSE, $A1214=TRUE), 0, IF($P1214=TRUE, (J1214 / $R1214) * 100 * ($S1214 / 100)-J1214, ))), )</f>
        <v/>
      </c>
      <c r="AD1214" s="32" t="str">
        <f t="shared" si="1218"/>
        <v/>
      </c>
      <c r="AE1214" s="32" t="str">
        <f t="shared" si="1218"/>
        <v/>
      </c>
      <c r="AF1214" s="32" t="str">
        <f t="shared" si="1218"/>
        <v/>
      </c>
      <c r="AG1214" s="32" t="str">
        <f t="shared" si="1218"/>
        <v/>
      </c>
      <c r="AH1214" s="33"/>
    </row>
    <row r="1215" hidden="1" outlineLevel="3">
      <c r="A1215" s="16" t="b">
        <v>0</v>
      </c>
      <c r="B1215" s="17"/>
      <c r="C1215" s="18"/>
      <c r="D1215" s="19"/>
      <c r="E1215" s="20"/>
      <c r="F1215" s="21"/>
      <c r="G1215" s="22"/>
      <c r="H1215" s="22"/>
      <c r="I1215" s="23"/>
      <c r="J1215" s="22"/>
      <c r="K1215" s="23"/>
      <c r="L1215" s="22"/>
      <c r="M1215" s="23"/>
      <c r="N1215" s="23"/>
      <c r="O1215" s="24"/>
      <c r="P1215" s="16" t="b">
        <v>0</v>
      </c>
      <c r="Q1215" s="24"/>
      <c r="R1215" s="25"/>
      <c r="S1215" s="26"/>
      <c r="T1215" s="27"/>
      <c r="U1215" s="24"/>
      <c r="V1215" s="38" t="s">
        <v>29</v>
      </c>
      <c r="W1215" s="29" t="s">
        <v>22</v>
      </c>
      <c r="X1215" s="37" t="s">
        <v>826</v>
      </c>
      <c r="Y1215" s="31"/>
      <c r="Z1215" s="26" t="str">
        <f t="shared" si="5"/>
        <v/>
      </c>
      <c r="AA1215" s="26" t="str">
        <f t="shared" si="6"/>
        <v/>
      </c>
      <c r="AB1215" s="32" t="str">
        <f t="shared" si="7"/>
        <v/>
      </c>
      <c r="AC1215" s="32" t="str">
        <f t="shared" ref="AC1215:AG1215" si="1219">IF(J1215&lt;&gt;"", IF(AND($P1215=FALSE, $A1215=FALSE), -J1215, IF(AND($P1215=FALSE, $A1215=TRUE), 0, IF($P1215=TRUE, (J1215 / $R1215) * 100 * ($S1215 / 100)-J1215, ))), )</f>
        <v/>
      </c>
      <c r="AD1215" s="32" t="str">
        <f t="shared" si="1219"/>
        <v/>
      </c>
      <c r="AE1215" s="32" t="str">
        <f t="shared" si="1219"/>
        <v/>
      </c>
      <c r="AF1215" s="32" t="str">
        <f t="shared" si="1219"/>
        <v/>
      </c>
      <c r="AG1215" s="32" t="str">
        <f t="shared" si="1219"/>
        <v/>
      </c>
      <c r="AH1215" s="33"/>
    </row>
    <row r="1216" hidden="1" outlineLevel="3">
      <c r="A1216" s="16" t="b">
        <v>0</v>
      </c>
      <c r="B1216" s="17"/>
      <c r="C1216" s="18"/>
      <c r="D1216" s="19"/>
      <c r="E1216" s="20"/>
      <c r="F1216" s="21"/>
      <c r="G1216" s="22"/>
      <c r="H1216" s="22"/>
      <c r="I1216" s="23"/>
      <c r="J1216" s="22"/>
      <c r="K1216" s="23"/>
      <c r="L1216" s="22"/>
      <c r="M1216" s="23"/>
      <c r="N1216" s="23"/>
      <c r="O1216" s="24"/>
      <c r="P1216" s="16" t="b">
        <v>0</v>
      </c>
      <c r="Q1216" s="24"/>
      <c r="R1216" s="25"/>
      <c r="S1216" s="26"/>
      <c r="T1216" s="27"/>
      <c r="U1216" s="24"/>
      <c r="V1216" s="38" t="s">
        <v>29</v>
      </c>
      <c r="W1216" s="29" t="s">
        <v>22</v>
      </c>
      <c r="X1216" s="37" t="s">
        <v>827</v>
      </c>
      <c r="Y1216" s="31"/>
      <c r="Z1216" s="26" t="str">
        <f t="shared" si="5"/>
        <v/>
      </c>
      <c r="AA1216" s="26" t="str">
        <f t="shared" si="6"/>
        <v/>
      </c>
      <c r="AB1216" s="32" t="str">
        <f t="shared" si="7"/>
        <v/>
      </c>
      <c r="AC1216" s="32" t="str">
        <f t="shared" ref="AC1216:AG1216" si="1220">IF(J1216&lt;&gt;"", IF(AND($P1216=FALSE, $A1216=FALSE), -J1216, IF(AND($P1216=FALSE, $A1216=TRUE), 0, IF($P1216=TRUE, (J1216 / $R1216) * 100 * ($S1216 / 100)-J1216, ))), )</f>
        <v/>
      </c>
      <c r="AD1216" s="32" t="str">
        <f t="shared" si="1220"/>
        <v/>
      </c>
      <c r="AE1216" s="32" t="str">
        <f t="shared" si="1220"/>
        <v/>
      </c>
      <c r="AF1216" s="32" t="str">
        <f t="shared" si="1220"/>
        <v/>
      </c>
      <c r="AG1216" s="32" t="str">
        <f t="shared" si="1220"/>
        <v/>
      </c>
      <c r="AH1216" s="33"/>
    </row>
    <row r="1217" hidden="1" outlineLevel="3">
      <c r="A1217" s="16" t="b">
        <v>0</v>
      </c>
      <c r="B1217" s="17"/>
      <c r="C1217" s="18"/>
      <c r="D1217" s="19"/>
      <c r="E1217" s="20"/>
      <c r="F1217" s="21"/>
      <c r="G1217" s="22"/>
      <c r="H1217" s="22"/>
      <c r="I1217" s="23"/>
      <c r="J1217" s="22"/>
      <c r="K1217" s="23"/>
      <c r="L1217" s="22"/>
      <c r="M1217" s="23"/>
      <c r="N1217" s="23"/>
      <c r="O1217" s="24"/>
      <c r="P1217" s="16" t="b">
        <v>0</v>
      </c>
      <c r="Q1217" s="24"/>
      <c r="R1217" s="25"/>
      <c r="S1217" s="26"/>
      <c r="T1217" s="27"/>
      <c r="U1217" s="24"/>
      <c r="V1217" s="38" t="s">
        <v>29</v>
      </c>
      <c r="W1217" s="29" t="s">
        <v>22</v>
      </c>
      <c r="X1217" s="37" t="s">
        <v>828</v>
      </c>
      <c r="Y1217" s="31"/>
      <c r="Z1217" s="26" t="str">
        <f t="shared" si="5"/>
        <v/>
      </c>
      <c r="AA1217" s="26" t="str">
        <f t="shared" si="6"/>
        <v/>
      </c>
      <c r="AB1217" s="32" t="str">
        <f t="shared" si="7"/>
        <v/>
      </c>
      <c r="AC1217" s="32" t="str">
        <f t="shared" ref="AC1217:AG1217" si="1221">IF(J1217&lt;&gt;"", IF(AND($P1217=FALSE, $A1217=FALSE), -J1217, IF(AND($P1217=FALSE, $A1217=TRUE), 0, IF($P1217=TRUE, (J1217 / $R1217) * 100 * ($S1217 / 100)-J1217, ))), )</f>
        <v/>
      </c>
      <c r="AD1217" s="32" t="str">
        <f t="shared" si="1221"/>
        <v/>
      </c>
      <c r="AE1217" s="32" t="str">
        <f t="shared" si="1221"/>
        <v/>
      </c>
      <c r="AF1217" s="32" t="str">
        <f t="shared" si="1221"/>
        <v/>
      </c>
      <c r="AG1217" s="32" t="str">
        <f t="shared" si="1221"/>
        <v/>
      </c>
      <c r="AH1217" s="33"/>
    </row>
    <row r="1218" hidden="1" outlineLevel="3">
      <c r="A1218" s="16" t="b">
        <v>0</v>
      </c>
      <c r="B1218" s="17"/>
      <c r="C1218" s="18"/>
      <c r="D1218" s="19"/>
      <c r="E1218" s="20"/>
      <c r="F1218" s="21"/>
      <c r="G1218" s="22"/>
      <c r="H1218" s="22"/>
      <c r="I1218" s="23"/>
      <c r="J1218" s="22"/>
      <c r="K1218" s="23"/>
      <c r="L1218" s="22"/>
      <c r="M1218" s="23"/>
      <c r="N1218" s="23"/>
      <c r="O1218" s="24"/>
      <c r="P1218" s="16" t="b">
        <v>0</v>
      </c>
      <c r="Q1218" s="24"/>
      <c r="R1218" s="25"/>
      <c r="S1218" s="26"/>
      <c r="T1218" s="27"/>
      <c r="U1218" s="24"/>
      <c r="V1218" s="38" t="s">
        <v>29</v>
      </c>
      <c r="W1218" s="29" t="s">
        <v>22</v>
      </c>
      <c r="X1218" s="37" t="s">
        <v>829</v>
      </c>
      <c r="Y1218" s="31"/>
      <c r="Z1218" s="26" t="str">
        <f t="shared" si="5"/>
        <v/>
      </c>
      <c r="AA1218" s="26" t="str">
        <f t="shared" si="6"/>
        <v/>
      </c>
      <c r="AB1218" s="32" t="str">
        <f t="shared" si="7"/>
        <v/>
      </c>
      <c r="AC1218" s="32" t="str">
        <f t="shared" ref="AC1218:AG1218" si="1222">IF(J1218&lt;&gt;"", IF(AND($P1218=FALSE, $A1218=FALSE), -J1218, IF(AND($P1218=FALSE, $A1218=TRUE), 0, IF($P1218=TRUE, (J1218 / $R1218) * 100 * ($S1218 / 100)-J1218, ))), )</f>
        <v/>
      </c>
      <c r="AD1218" s="32" t="str">
        <f t="shared" si="1222"/>
        <v/>
      </c>
      <c r="AE1218" s="32" t="str">
        <f t="shared" si="1222"/>
        <v/>
      </c>
      <c r="AF1218" s="32" t="str">
        <f t="shared" si="1222"/>
        <v/>
      </c>
      <c r="AG1218" s="32" t="str">
        <f t="shared" si="1222"/>
        <v/>
      </c>
      <c r="AH1218" s="33"/>
    </row>
    <row r="1219" hidden="1" outlineLevel="3">
      <c r="A1219" s="16" t="b">
        <v>0</v>
      </c>
      <c r="B1219" s="17"/>
      <c r="C1219" s="18"/>
      <c r="D1219" s="19"/>
      <c r="E1219" s="20"/>
      <c r="F1219" s="21"/>
      <c r="G1219" s="22"/>
      <c r="H1219" s="22"/>
      <c r="I1219" s="23"/>
      <c r="J1219" s="22"/>
      <c r="K1219" s="23"/>
      <c r="L1219" s="22"/>
      <c r="M1219" s="23"/>
      <c r="N1219" s="23"/>
      <c r="O1219" s="24"/>
      <c r="P1219" s="16" t="b">
        <v>0</v>
      </c>
      <c r="Q1219" s="24"/>
      <c r="R1219" s="25"/>
      <c r="S1219" s="26"/>
      <c r="T1219" s="27"/>
      <c r="U1219" s="24"/>
      <c r="V1219" s="38" t="s">
        <v>29</v>
      </c>
      <c r="W1219" s="29" t="s">
        <v>22</v>
      </c>
      <c r="X1219" s="37" t="s">
        <v>830</v>
      </c>
      <c r="Y1219" s="31"/>
      <c r="Z1219" s="26" t="str">
        <f t="shared" si="5"/>
        <v/>
      </c>
      <c r="AA1219" s="26" t="str">
        <f t="shared" si="6"/>
        <v/>
      </c>
      <c r="AB1219" s="32" t="str">
        <f t="shared" si="7"/>
        <v/>
      </c>
      <c r="AC1219" s="32" t="str">
        <f t="shared" ref="AC1219:AG1219" si="1223">IF(J1219&lt;&gt;"", IF(AND($P1219=FALSE, $A1219=FALSE), -J1219, IF(AND($P1219=FALSE, $A1219=TRUE), 0, IF($P1219=TRUE, (J1219 / $R1219) * 100 * ($S1219 / 100)-J1219, ))), )</f>
        <v/>
      </c>
      <c r="AD1219" s="32" t="str">
        <f t="shared" si="1223"/>
        <v/>
      </c>
      <c r="AE1219" s="32" t="str">
        <f t="shared" si="1223"/>
        <v/>
      </c>
      <c r="AF1219" s="32" t="str">
        <f t="shared" si="1223"/>
        <v/>
      </c>
      <c r="AG1219" s="32" t="str">
        <f t="shared" si="1223"/>
        <v/>
      </c>
      <c r="AH1219" s="33"/>
    </row>
    <row r="1220" hidden="1" outlineLevel="2" collapsed="1">
      <c r="A1220" s="16" t="b">
        <v>0</v>
      </c>
      <c r="B1220" s="17"/>
      <c r="C1220" s="18"/>
      <c r="D1220" s="42">
        <v>45274.0</v>
      </c>
      <c r="E1220" s="43" t="s">
        <v>24</v>
      </c>
      <c r="F1220" s="53" t="s">
        <v>817</v>
      </c>
      <c r="G1220" s="45">
        <v>0.3</v>
      </c>
      <c r="H1220" s="45">
        <v>0.15</v>
      </c>
      <c r="I1220" s="45"/>
      <c r="J1220" s="46"/>
      <c r="K1220" s="46"/>
      <c r="L1220" s="45"/>
      <c r="M1220" s="46"/>
      <c r="N1220" s="46"/>
      <c r="O1220" s="47"/>
      <c r="P1220" s="16" t="b">
        <v>0</v>
      </c>
      <c r="Q1220" s="24"/>
      <c r="R1220" s="48">
        <v>0.44999999999999996</v>
      </c>
      <c r="S1220" s="45">
        <v>2.59</v>
      </c>
      <c r="T1220" s="49" t="s">
        <v>831</v>
      </c>
      <c r="U1220" s="47"/>
      <c r="V1220" s="28"/>
      <c r="W1220" s="29"/>
      <c r="X1220" s="30"/>
      <c r="Y1220" s="31"/>
      <c r="Z1220" s="26">
        <f t="shared" si="5"/>
        <v>-0.3</v>
      </c>
      <c r="AA1220" s="26" t="str">
        <f t="shared" si="6"/>
        <v/>
      </c>
      <c r="AB1220" s="32">
        <f t="shared" si="7"/>
        <v>-0.15</v>
      </c>
      <c r="AC1220" s="32" t="str">
        <f t="shared" ref="AC1220:AG1220" si="1224">IF(J1220&lt;&gt;"", IF(AND($P1220=FALSE, $A1220=FALSE), -J1220, IF(AND($P1220=FALSE, $A1220=TRUE), 0, IF($P1220=TRUE, (J1220 / $R1220) * 100 * ($S1220 / 100)-J1220, ))), )</f>
        <v/>
      </c>
      <c r="AD1220" s="32" t="str">
        <f t="shared" si="1224"/>
        <v/>
      </c>
      <c r="AE1220" s="32" t="str">
        <f t="shared" si="1224"/>
        <v/>
      </c>
      <c r="AF1220" s="32" t="str">
        <f t="shared" si="1224"/>
        <v/>
      </c>
      <c r="AG1220" s="32" t="str">
        <f t="shared" si="1224"/>
        <v/>
      </c>
      <c r="AH1220" s="33"/>
    </row>
    <row r="1221" hidden="1" outlineLevel="3">
      <c r="A1221" s="16" t="b">
        <v>0</v>
      </c>
      <c r="B1221" s="17"/>
      <c r="C1221" s="18"/>
      <c r="D1221" s="19"/>
      <c r="E1221" s="20"/>
      <c r="F1221" s="21"/>
      <c r="G1221" s="22"/>
      <c r="H1221" s="22"/>
      <c r="I1221" s="23"/>
      <c r="J1221" s="22"/>
      <c r="K1221" s="23"/>
      <c r="L1221" s="22"/>
      <c r="M1221" s="23"/>
      <c r="N1221" s="23"/>
      <c r="O1221" s="24"/>
      <c r="P1221" s="16" t="b">
        <v>0</v>
      </c>
      <c r="Q1221" s="24"/>
      <c r="R1221" s="25"/>
      <c r="S1221" s="26"/>
      <c r="T1221" s="27"/>
      <c r="U1221" s="24"/>
      <c r="V1221" s="28" t="s">
        <v>32</v>
      </c>
      <c r="W1221" s="29" t="s">
        <v>22</v>
      </c>
      <c r="X1221" s="37" t="s">
        <v>832</v>
      </c>
      <c r="Y1221" s="31"/>
      <c r="Z1221" s="26" t="str">
        <f t="shared" si="5"/>
        <v/>
      </c>
      <c r="AA1221" s="26" t="str">
        <f t="shared" si="6"/>
        <v/>
      </c>
      <c r="AB1221" s="32" t="str">
        <f t="shared" si="7"/>
        <v/>
      </c>
      <c r="AC1221" s="32" t="str">
        <f t="shared" ref="AC1221:AG1221" si="1225">IF(J1221&lt;&gt;"", IF(AND($P1221=FALSE, $A1221=FALSE), -J1221, IF(AND($P1221=FALSE, $A1221=TRUE), 0, IF($P1221=TRUE, (J1221 / $R1221) * 100 * ($S1221 / 100)-J1221, ))), )</f>
        <v/>
      </c>
      <c r="AD1221" s="32" t="str">
        <f t="shared" si="1225"/>
        <v/>
      </c>
      <c r="AE1221" s="32" t="str">
        <f t="shared" si="1225"/>
        <v/>
      </c>
      <c r="AF1221" s="32" t="str">
        <f t="shared" si="1225"/>
        <v/>
      </c>
      <c r="AG1221" s="32" t="str">
        <f t="shared" si="1225"/>
        <v/>
      </c>
      <c r="AH1221" s="33"/>
    </row>
    <row r="1222" hidden="1" outlineLevel="3">
      <c r="A1222" s="16" t="b">
        <v>0</v>
      </c>
      <c r="B1222" s="17"/>
      <c r="C1222" s="18"/>
      <c r="D1222" s="19"/>
      <c r="E1222" s="20"/>
      <c r="F1222" s="21"/>
      <c r="G1222" s="22"/>
      <c r="H1222" s="22"/>
      <c r="I1222" s="23"/>
      <c r="J1222" s="22"/>
      <c r="K1222" s="23"/>
      <c r="L1222" s="22"/>
      <c r="M1222" s="23"/>
      <c r="N1222" s="23"/>
      <c r="O1222" s="24"/>
      <c r="P1222" s="16" t="b">
        <v>0</v>
      </c>
      <c r="Q1222" s="24"/>
      <c r="R1222" s="25"/>
      <c r="S1222" s="26"/>
      <c r="T1222" s="27"/>
      <c r="U1222" s="24"/>
      <c r="V1222" s="28" t="s">
        <v>32</v>
      </c>
      <c r="W1222" s="29" t="s">
        <v>22</v>
      </c>
      <c r="X1222" s="37" t="s">
        <v>833</v>
      </c>
      <c r="Y1222" s="31"/>
      <c r="Z1222" s="26" t="str">
        <f t="shared" si="5"/>
        <v/>
      </c>
      <c r="AA1222" s="26" t="str">
        <f t="shared" si="6"/>
        <v/>
      </c>
      <c r="AB1222" s="32" t="str">
        <f t="shared" si="7"/>
        <v/>
      </c>
      <c r="AC1222" s="32" t="str">
        <f t="shared" ref="AC1222:AG1222" si="1226">IF(J1222&lt;&gt;"", IF(AND($P1222=FALSE, $A1222=FALSE), -J1222, IF(AND($P1222=FALSE, $A1222=TRUE), 0, IF($P1222=TRUE, (J1222 / $R1222) * 100 * ($S1222 / 100)-J1222, ))), )</f>
        <v/>
      </c>
      <c r="AD1222" s="32" t="str">
        <f t="shared" si="1226"/>
        <v/>
      </c>
      <c r="AE1222" s="32" t="str">
        <f t="shared" si="1226"/>
        <v/>
      </c>
      <c r="AF1222" s="32" t="str">
        <f t="shared" si="1226"/>
        <v/>
      </c>
      <c r="AG1222" s="32" t="str">
        <f t="shared" si="1226"/>
        <v/>
      </c>
      <c r="AH1222" s="33"/>
    </row>
    <row r="1223" hidden="1" outlineLevel="2" collapsed="1">
      <c r="A1223" s="16" t="b">
        <v>0</v>
      </c>
      <c r="B1223" s="17"/>
      <c r="C1223" s="18"/>
      <c r="D1223" s="42">
        <v>45274.0</v>
      </c>
      <c r="E1223" s="43" t="s">
        <v>24</v>
      </c>
      <c r="F1223" s="53" t="s">
        <v>817</v>
      </c>
      <c r="G1223" s="45">
        <v>0.3</v>
      </c>
      <c r="H1223" s="45">
        <v>0.15</v>
      </c>
      <c r="I1223" s="45"/>
      <c r="J1223" s="46"/>
      <c r="K1223" s="46"/>
      <c r="L1223" s="45"/>
      <c r="M1223" s="46"/>
      <c r="N1223" s="46"/>
      <c r="O1223" s="47"/>
      <c r="P1223" s="16" t="b">
        <v>0</v>
      </c>
      <c r="Q1223" s="24"/>
      <c r="R1223" s="48">
        <v>0.44999999999999996</v>
      </c>
      <c r="S1223" s="45">
        <v>2.48</v>
      </c>
      <c r="T1223" s="49" t="s">
        <v>834</v>
      </c>
      <c r="U1223" s="47"/>
      <c r="V1223" s="28"/>
      <c r="W1223" s="29"/>
      <c r="X1223" s="30"/>
      <c r="Y1223" s="31"/>
      <c r="Z1223" s="26">
        <f t="shared" si="5"/>
        <v>-0.3</v>
      </c>
      <c r="AA1223" s="26" t="str">
        <f t="shared" si="6"/>
        <v/>
      </c>
      <c r="AB1223" s="32">
        <f t="shared" si="7"/>
        <v>-0.15</v>
      </c>
      <c r="AC1223" s="32" t="str">
        <f t="shared" ref="AC1223:AG1223" si="1227">IF(J1223&lt;&gt;"", IF(AND($P1223=FALSE, $A1223=FALSE), -J1223, IF(AND($P1223=FALSE, $A1223=TRUE), 0, IF($P1223=TRUE, (J1223 / $R1223) * 100 * ($S1223 / 100)-J1223, ))), )</f>
        <v/>
      </c>
      <c r="AD1223" s="32" t="str">
        <f t="shared" si="1227"/>
        <v/>
      </c>
      <c r="AE1223" s="32" t="str">
        <f t="shared" si="1227"/>
        <v/>
      </c>
      <c r="AF1223" s="32" t="str">
        <f t="shared" si="1227"/>
        <v/>
      </c>
      <c r="AG1223" s="32" t="str">
        <f t="shared" si="1227"/>
        <v/>
      </c>
      <c r="AH1223" s="33"/>
    </row>
    <row r="1224" hidden="1" outlineLevel="3">
      <c r="A1224" s="16" t="b">
        <v>0</v>
      </c>
      <c r="B1224" s="17"/>
      <c r="C1224" s="18"/>
      <c r="D1224" s="19"/>
      <c r="E1224" s="20"/>
      <c r="F1224" s="21"/>
      <c r="G1224" s="22"/>
      <c r="H1224" s="22"/>
      <c r="I1224" s="23"/>
      <c r="J1224" s="22"/>
      <c r="K1224" s="23"/>
      <c r="L1224" s="22"/>
      <c r="M1224" s="23"/>
      <c r="N1224" s="23"/>
      <c r="O1224" s="24"/>
      <c r="P1224" s="16" t="b">
        <v>0</v>
      </c>
      <c r="Q1224" s="24"/>
      <c r="R1224" s="25"/>
      <c r="S1224" s="26"/>
      <c r="T1224" s="27"/>
      <c r="U1224" s="24"/>
      <c r="V1224" s="38" t="s">
        <v>29</v>
      </c>
      <c r="W1224" s="29" t="s">
        <v>22</v>
      </c>
      <c r="X1224" s="37" t="s">
        <v>835</v>
      </c>
      <c r="Y1224" s="31"/>
      <c r="Z1224" s="26" t="str">
        <f t="shared" si="5"/>
        <v/>
      </c>
      <c r="AA1224" s="26" t="str">
        <f t="shared" si="6"/>
        <v/>
      </c>
      <c r="AB1224" s="32" t="str">
        <f t="shared" si="7"/>
        <v/>
      </c>
      <c r="AC1224" s="32" t="str">
        <f t="shared" ref="AC1224:AG1224" si="1228">IF(J1224&lt;&gt;"", IF(AND($P1224=FALSE, $A1224=FALSE), -J1224, IF(AND($P1224=FALSE, $A1224=TRUE), 0, IF($P1224=TRUE, (J1224 / $R1224) * 100 * ($S1224 / 100)-J1224, ))), )</f>
        <v/>
      </c>
      <c r="AD1224" s="32" t="str">
        <f t="shared" si="1228"/>
        <v/>
      </c>
      <c r="AE1224" s="32" t="str">
        <f t="shared" si="1228"/>
        <v/>
      </c>
      <c r="AF1224" s="32" t="str">
        <f t="shared" si="1228"/>
        <v/>
      </c>
      <c r="AG1224" s="32" t="str">
        <f t="shared" si="1228"/>
        <v/>
      </c>
      <c r="AH1224" s="33"/>
    </row>
    <row r="1225" hidden="1" outlineLevel="3">
      <c r="A1225" s="16" t="b">
        <v>0</v>
      </c>
      <c r="B1225" s="17"/>
      <c r="C1225" s="18"/>
      <c r="D1225" s="19"/>
      <c r="E1225" s="20"/>
      <c r="F1225" s="21"/>
      <c r="G1225" s="22"/>
      <c r="H1225" s="22"/>
      <c r="I1225" s="23"/>
      <c r="J1225" s="22"/>
      <c r="K1225" s="23"/>
      <c r="L1225" s="22"/>
      <c r="M1225" s="23"/>
      <c r="N1225" s="23"/>
      <c r="O1225" s="24"/>
      <c r="P1225" s="16" t="b">
        <v>0</v>
      </c>
      <c r="Q1225" s="24"/>
      <c r="R1225" s="25"/>
      <c r="S1225" s="26"/>
      <c r="T1225" s="27"/>
      <c r="U1225" s="24"/>
      <c r="V1225" s="28" t="s">
        <v>32</v>
      </c>
      <c r="W1225" s="29" t="s">
        <v>22</v>
      </c>
      <c r="X1225" s="37" t="s">
        <v>836</v>
      </c>
      <c r="Y1225" s="31"/>
      <c r="Z1225" s="26" t="str">
        <f t="shared" si="5"/>
        <v/>
      </c>
      <c r="AA1225" s="26" t="str">
        <f t="shared" si="6"/>
        <v/>
      </c>
      <c r="AB1225" s="32" t="str">
        <f t="shared" si="7"/>
        <v/>
      </c>
      <c r="AC1225" s="32" t="str">
        <f t="shared" ref="AC1225:AG1225" si="1229">IF(J1225&lt;&gt;"", IF(AND($P1225=FALSE, $A1225=FALSE), -J1225, IF(AND($P1225=FALSE, $A1225=TRUE), 0, IF($P1225=TRUE, (J1225 / $R1225) * 100 * ($S1225 / 100)-J1225, ))), )</f>
        <v/>
      </c>
      <c r="AD1225" s="32" t="str">
        <f t="shared" si="1229"/>
        <v/>
      </c>
      <c r="AE1225" s="32" t="str">
        <f t="shared" si="1229"/>
        <v/>
      </c>
      <c r="AF1225" s="32" t="str">
        <f t="shared" si="1229"/>
        <v/>
      </c>
      <c r="AG1225" s="32" t="str">
        <f t="shared" si="1229"/>
        <v/>
      </c>
      <c r="AH1225" s="33"/>
    </row>
    <row r="1226" hidden="1" outlineLevel="2" collapsed="1">
      <c r="A1226" s="16" t="b">
        <v>0</v>
      </c>
      <c r="B1226" s="17"/>
      <c r="C1226" s="18"/>
      <c r="D1226" s="42">
        <v>45274.0</v>
      </c>
      <c r="E1226" s="43" t="s">
        <v>24</v>
      </c>
      <c r="F1226" s="53" t="s">
        <v>817</v>
      </c>
      <c r="G1226" s="45">
        <v>0.3</v>
      </c>
      <c r="H1226" s="45">
        <v>0.15</v>
      </c>
      <c r="I1226" s="45"/>
      <c r="J1226" s="46"/>
      <c r="K1226" s="46"/>
      <c r="L1226" s="45"/>
      <c r="M1226" s="46"/>
      <c r="N1226" s="46"/>
      <c r="O1226" s="47"/>
      <c r="P1226" s="16" t="b">
        <v>0</v>
      </c>
      <c r="Q1226" s="24"/>
      <c r="R1226" s="48">
        <v>0.44999999999999996</v>
      </c>
      <c r="S1226" s="45">
        <v>1.24</v>
      </c>
      <c r="T1226" s="49" t="s">
        <v>678</v>
      </c>
      <c r="U1226" s="47"/>
      <c r="V1226" s="28"/>
      <c r="W1226" s="29"/>
      <c r="X1226" s="30"/>
      <c r="Y1226" s="31"/>
      <c r="Z1226" s="26">
        <f t="shared" si="5"/>
        <v>-0.3</v>
      </c>
      <c r="AA1226" s="26" t="str">
        <f t="shared" si="6"/>
        <v/>
      </c>
      <c r="AB1226" s="32">
        <f t="shared" si="7"/>
        <v>-0.15</v>
      </c>
      <c r="AC1226" s="32" t="str">
        <f t="shared" ref="AC1226:AG1226" si="1230">IF(J1226&lt;&gt;"", IF(AND($P1226=FALSE, $A1226=FALSE), -J1226, IF(AND($P1226=FALSE, $A1226=TRUE), 0, IF($P1226=TRUE, (J1226 / $R1226) * 100 * ($S1226 / 100)-J1226, ))), )</f>
        <v/>
      </c>
      <c r="AD1226" s="32" t="str">
        <f t="shared" si="1230"/>
        <v/>
      </c>
      <c r="AE1226" s="32" t="str">
        <f t="shared" si="1230"/>
        <v/>
      </c>
      <c r="AF1226" s="32" t="str">
        <f t="shared" si="1230"/>
        <v/>
      </c>
      <c r="AG1226" s="32" t="str">
        <f t="shared" si="1230"/>
        <v/>
      </c>
      <c r="AH1226" s="33"/>
    </row>
    <row r="1227" hidden="1" outlineLevel="3">
      <c r="A1227" s="16" t="b">
        <v>0</v>
      </c>
      <c r="B1227" s="17"/>
      <c r="C1227" s="18"/>
      <c r="D1227" s="19"/>
      <c r="E1227" s="20"/>
      <c r="F1227" s="21"/>
      <c r="G1227" s="22"/>
      <c r="H1227" s="22"/>
      <c r="I1227" s="23"/>
      <c r="J1227" s="22"/>
      <c r="K1227" s="23"/>
      <c r="L1227" s="22"/>
      <c r="M1227" s="23"/>
      <c r="N1227" s="23"/>
      <c r="O1227" s="24"/>
      <c r="P1227" s="16" t="b">
        <v>0</v>
      </c>
      <c r="Q1227" s="24"/>
      <c r="R1227" s="25"/>
      <c r="S1227" s="26"/>
      <c r="T1227" s="27"/>
      <c r="U1227" s="24"/>
      <c r="V1227" s="28" t="s">
        <v>32</v>
      </c>
      <c r="W1227" s="29" t="s">
        <v>22</v>
      </c>
      <c r="X1227" s="37" t="s">
        <v>837</v>
      </c>
      <c r="Y1227" s="31"/>
      <c r="Z1227" s="26" t="str">
        <f t="shared" si="5"/>
        <v/>
      </c>
      <c r="AA1227" s="26" t="str">
        <f t="shared" si="6"/>
        <v/>
      </c>
      <c r="AB1227" s="32" t="str">
        <f t="shared" si="7"/>
        <v/>
      </c>
      <c r="AC1227" s="32" t="str">
        <f t="shared" ref="AC1227:AG1227" si="1231">IF(J1227&lt;&gt;"", IF(AND($P1227=FALSE, $A1227=FALSE), -J1227, IF(AND($P1227=FALSE, $A1227=TRUE), 0, IF($P1227=TRUE, (J1227 / $R1227) * 100 * ($S1227 / 100)-J1227, ))), )</f>
        <v/>
      </c>
      <c r="AD1227" s="32" t="str">
        <f t="shared" si="1231"/>
        <v/>
      </c>
      <c r="AE1227" s="32" t="str">
        <f t="shared" si="1231"/>
        <v/>
      </c>
      <c r="AF1227" s="32" t="str">
        <f t="shared" si="1231"/>
        <v/>
      </c>
      <c r="AG1227" s="32" t="str">
        <f t="shared" si="1231"/>
        <v/>
      </c>
      <c r="AH1227" s="33"/>
    </row>
    <row r="1228" hidden="1" outlineLevel="3">
      <c r="A1228" s="16" t="b">
        <v>0</v>
      </c>
      <c r="B1228" s="17"/>
      <c r="C1228" s="18"/>
      <c r="D1228" s="19"/>
      <c r="E1228" s="20"/>
      <c r="F1228" s="21"/>
      <c r="G1228" s="22"/>
      <c r="H1228" s="22"/>
      <c r="I1228" s="23"/>
      <c r="J1228" s="22"/>
      <c r="K1228" s="23"/>
      <c r="L1228" s="22"/>
      <c r="M1228" s="23"/>
      <c r="N1228" s="23"/>
      <c r="O1228" s="24"/>
      <c r="P1228" s="16" t="b">
        <v>0</v>
      </c>
      <c r="Q1228" s="24"/>
      <c r="R1228" s="25"/>
      <c r="S1228" s="26"/>
      <c r="T1228" s="27"/>
      <c r="U1228" s="24"/>
      <c r="V1228" s="28" t="s">
        <v>32</v>
      </c>
      <c r="W1228" s="29" t="s">
        <v>22</v>
      </c>
      <c r="X1228" s="37" t="s">
        <v>838</v>
      </c>
      <c r="Y1228" s="31"/>
      <c r="Z1228" s="26" t="str">
        <f t="shared" si="5"/>
        <v/>
      </c>
      <c r="AA1228" s="26" t="str">
        <f t="shared" si="6"/>
        <v/>
      </c>
      <c r="AB1228" s="32" t="str">
        <f t="shared" si="7"/>
        <v/>
      </c>
      <c r="AC1228" s="32" t="str">
        <f t="shared" ref="AC1228:AG1228" si="1232">IF(J1228&lt;&gt;"", IF(AND($P1228=FALSE, $A1228=FALSE), -J1228, IF(AND($P1228=FALSE, $A1228=TRUE), 0, IF($P1228=TRUE, (J1228 / $R1228) * 100 * ($S1228 / 100)-J1228, ))), )</f>
        <v/>
      </c>
      <c r="AD1228" s="32" t="str">
        <f t="shared" si="1232"/>
        <v/>
      </c>
      <c r="AE1228" s="32" t="str">
        <f t="shared" si="1232"/>
        <v/>
      </c>
      <c r="AF1228" s="32" t="str">
        <f t="shared" si="1232"/>
        <v/>
      </c>
      <c r="AG1228" s="32" t="str">
        <f t="shared" si="1232"/>
        <v/>
      </c>
      <c r="AH1228" s="33"/>
    </row>
    <row r="1229" hidden="1" outlineLevel="2">
      <c r="A1229" s="16" t="b">
        <v>0</v>
      </c>
      <c r="B1229" s="17"/>
      <c r="C1229" s="18"/>
      <c r="D1229" s="42">
        <v>45274.0</v>
      </c>
      <c r="E1229" s="43" t="s">
        <v>24</v>
      </c>
      <c r="F1229" s="53" t="s">
        <v>817</v>
      </c>
      <c r="G1229" s="45">
        <v>0.3</v>
      </c>
      <c r="H1229" s="45">
        <v>0.15</v>
      </c>
      <c r="I1229" s="45"/>
      <c r="J1229" s="46"/>
      <c r="K1229" s="46"/>
      <c r="L1229" s="45"/>
      <c r="M1229" s="46"/>
      <c r="N1229" s="46"/>
      <c r="O1229" s="47"/>
      <c r="P1229" s="16" t="b">
        <v>1</v>
      </c>
      <c r="Q1229" s="24"/>
      <c r="R1229" s="48">
        <v>0.44999999999999996</v>
      </c>
      <c r="S1229" s="45">
        <v>1.35</v>
      </c>
      <c r="T1229" s="49" t="s">
        <v>55</v>
      </c>
      <c r="U1229" s="47"/>
      <c r="V1229" s="28"/>
      <c r="W1229" s="29"/>
      <c r="X1229" s="30"/>
      <c r="Y1229" s="31"/>
      <c r="Z1229" s="26">
        <f t="shared" si="5"/>
        <v>0.6</v>
      </c>
      <c r="AA1229" s="26" t="str">
        <f t="shared" si="6"/>
        <v/>
      </c>
      <c r="AB1229" s="32">
        <f t="shared" si="7"/>
        <v>0.3</v>
      </c>
      <c r="AC1229" s="32" t="str">
        <f t="shared" ref="AC1229:AG1229" si="1233">IF(J1229&lt;&gt;"", IF(AND($P1229=FALSE, $A1229=FALSE), -J1229, IF(AND($P1229=FALSE, $A1229=TRUE), 0, IF($P1229=TRUE, (J1229 / $R1229) * 100 * ($S1229 / 100)-J1229, ))), )</f>
        <v/>
      </c>
      <c r="AD1229" s="32" t="str">
        <f t="shared" si="1233"/>
        <v/>
      </c>
      <c r="AE1229" s="32" t="str">
        <f t="shared" si="1233"/>
        <v/>
      </c>
      <c r="AF1229" s="32" t="str">
        <f t="shared" si="1233"/>
        <v/>
      </c>
      <c r="AG1229" s="32" t="str">
        <f t="shared" si="1233"/>
        <v/>
      </c>
      <c r="AH1229" s="33"/>
    </row>
    <row r="1230" hidden="1" outlineLevel="3">
      <c r="A1230" s="16" t="b">
        <v>0</v>
      </c>
      <c r="B1230" s="17"/>
      <c r="C1230" s="18"/>
      <c r="D1230" s="19"/>
      <c r="E1230" s="20"/>
      <c r="F1230" s="21"/>
      <c r="G1230" s="22"/>
      <c r="H1230" s="22"/>
      <c r="I1230" s="23"/>
      <c r="J1230" s="22"/>
      <c r="K1230" s="23"/>
      <c r="L1230" s="22"/>
      <c r="M1230" s="23"/>
      <c r="N1230" s="23"/>
      <c r="O1230" s="24"/>
      <c r="P1230" s="16" t="b">
        <v>0</v>
      </c>
      <c r="Q1230" s="24"/>
      <c r="R1230" s="25"/>
      <c r="S1230" s="26"/>
      <c r="T1230" s="27"/>
      <c r="U1230" s="24"/>
      <c r="V1230" s="38" t="s">
        <v>29</v>
      </c>
      <c r="W1230" s="29" t="s">
        <v>22</v>
      </c>
      <c r="X1230" s="37" t="s">
        <v>839</v>
      </c>
      <c r="Y1230" s="31"/>
      <c r="Z1230" s="26" t="str">
        <f t="shared" si="5"/>
        <v/>
      </c>
      <c r="AA1230" s="26" t="str">
        <f t="shared" si="6"/>
        <v/>
      </c>
      <c r="AB1230" s="32" t="str">
        <f t="shared" si="7"/>
        <v/>
      </c>
      <c r="AC1230" s="32" t="str">
        <f t="shared" ref="AC1230:AG1230" si="1234">IF(J1230&lt;&gt;"", IF(AND($P1230=FALSE, $A1230=FALSE), -J1230, IF(AND($P1230=FALSE, $A1230=TRUE), 0, IF($P1230=TRUE, (J1230 / $R1230) * 100 * ($S1230 / 100)-J1230, ))), )</f>
        <v/>
      </c>
      <c r="AD1230" s="32" t="str">
        <f t="shared" si="1234"/>
        <v/>
      </c>
      <c r="AE1230" s="32" t="str">
        <f t="shared" si="1234"/>
        <v/>
      </c>
      <c r="AF1230" s="32" t="str">
        <f t="shared" si="1234"/>
        <v/>
      </c>
      <c r="AG1230" s="32" t="str">
        <f t="shared" si="1234"/>
        <v/>
      </c>
      <c r="AH1230" s="33"/>
    </row>
    <row r="1231" hidden="1" outlineLevel="1" collapsed="1">
      <c r="A1231" s="16" t="b">
        <v>0</v>
      </c>
      <c r="B1231" s="17"/>
      <c r="C1231" s="18"/>
      <c r="D1231" s="42">
        <v>45275.0</v>
      </c>
      <c r="E1231" s="80" t="s">
        <v>60</v>
      </c>
      <c r="F1231" s="53" t="s">
        <v>630</v>
      </c>
      <c r="G1231" s="45">
        <v>4.0</v>
      </c>
      <c r="H1231" s="45">
        <v>2.0</v>
      </c>
      <c r="I1231" s="45">
        <v>4.0</v>
      </c>
      <c r="J1231" s="45"/>
      <c r="K1231" s="79"/>
      <c r="L1231" s="45"/>
      <c r="M1231" s="46"/>
      <c r="N1231" s="46"/>
      <c r="O1231" s="47"/>
      <c r="P1231" s="16" t="b">
        <v>1</v>
      </c>
      <c r="Q1231" s="24"/>
      <c r="R1231" s="48">
        <v>10.0</v>
      </c>
      <c r="S1231" s="45">
        <v>22.93</v>
      </c>
      <c r="T1231" s="49" t="s">
        <v>245</v>
      </c>
      <c r="U1231" s="47"/>
      <c r="V1231" s="28"/>
      <c r="W1231" s="29"/>
      <c r="X1231" s="30"/>
      <c r="Y1231" s="31"/>
      <c r="Z1231" s="26">
        <f t="shared" si="5"/>
        <v>5.172</v>
      </c>
      <c r="AA1231" s="26">
        <f t="shared" si="6"/>
        <v>5.172</v>
      </c>
      <c r="AB1231" s="32">
        <f t="shared" si="7"/>
        <v>2.586</v>
      </c>
      <c r="AC1231" s="32" t="str">
        <f t="shared" ref="AC1231:AG1231" si="1235">IF(J1231&lt;&gt;"", IF(AND($P1231=FALSE, $A1231=FALSE), -J1231, IF(AND($P1231=FALSE, $A1231=TRUE), 0, IF($P1231=TRUE, (J1231 / $R1231) * 100 * ($S1231 / 100)-J1231, ))), )</f>
        <v/>
      </c>
      <c r="AD1231" s="32" t="str">
        <f t="shared" si="1235"/>
        <v/>
      </c>
      <c r="AE1231" s="32" t="str">
        <f t="shared" si="1235"/>
        <v/>
      </c>
      <c r="AF1231" s="32" t="str">
        <f t="shared" si="1235"/>
        <v/>
      </c>
      <c r="AG1231" s="32" t="str">
        <f t="shared" si="1235"/>
        <v/>
      </c>
      <c r="AH1231" s="33"/>
    </row>
    <row r="1232" hidden="1" outlineLevel="3">
      <c r="A1232" s="16" t="b">
        <v>0</v>
      </c>
      <c r="B1232" s="17"/>
      <c r="C1232" s="18"/>
      <c r="D1232" s="19"/>
      <c r="E1232" s="20"/>
      <c r="F1232" s="21"/>
      <c r="G1232" s="22"/>
      <c r="H1232" s="22"/>
      <c r="I1232" s="23"/>
      <c r="J1232" s="22"/>
      <c r="K1232" s="23"/>
      <c r="L1232" s="22"/>
      <c r="M1232" s="23"/>
      <c r="N1232" s="23"/>
      <c r="O1232" s="24"/>
      <c r="P1232" s="16" t="b">
        <v>0</v>
      </c>
      <c r="Q1232" s="24"/>
      <c r="R1232" s="25"/>
      <c r="S1232" s="26"/>
      <c r="T1232" s="27"/>
      <c r="U1232" s="24"/>
      <c r="V1232" s="38" t="s">
        <v>29</v>
      </c>
      <c r="W1232" s="29" t="s">
        <v>22</v>
      </c>
      <c r="X1232" s="37" t="s">
        <v>805</v>
      </c>
      <c r="Y1232" s="31"/>
      <c r="Z1232" s="26" t="str">
        <f t="shared" si="5"/>
        <v/>
      </c>
      <c r="AA1232" s="26" t="str">
        <f t="shared" si="6"/>
        <v/>
      </c>
      <c r="AB1232" s="32" t="str">
        <f t="shared" si="7"/>
        <v/>
      </c>
      <c r="AC1232" s="32" t="str">
        <f t="shared" ref="AC1232:AG1232" si="1236">IF(J1232&lt;&gt;"", IF(AND($P1232=FALSE, $A1232=FALSE), -J1232, IF(AND($P1232=FALSE, $A1232=TRUE), 0, IF($P1232=TRUE, (J1232 / $R1232) * 100 * ($S1232 / 100)-J1232, ))), )</f>
        <v/>
      </c>
      <c r="AD1232" s="32" t="str">
        <f t="shared" si="1236"/>
        <v/>
      </c>
      <c r="AE1232" s="32" t="str">
        <f t="shared" si="1236"/>
        <v/>
      </c>
      <c r="AF1232" s="32" t="str">
        <f t="shared" si="1236"/>
        <v/>
      </c>
      <c r="AG1232" s="32" t="str">
        <f t="shared" si="1236"/>
        <v/>
      </c>
      <c r="AH1232" s="33"/>
    </row>
    <row r="1233" hidden="1" outlineLevel="3">
      <c r="A1233" s="16" t="b">
        <v>0</v>
      </c>
      <c r="B1233" s="17"/>
      <c r="C1233" s="18"/>
      <c r="D1233" s="19"/>
      <c r="E1233" s="20"/>
      <c r="F1233" s="21"/>
      <c r="G1233" s="22"/>
      <c r="H1233" s="22"/>
      <c r="I1233" s="23"/>
      <c r="J1233" s="22"/>
      <c r="K1233" s="23"/>
      <c r="L1233" s="22"/>
      <c r="M1233" s="23"/>
      <c r="N1233" s="23"/>
      <c r="O1233" s="24"/>
      <c r="P1233" s="16" t="b">
        <v>0</v>
      </c>
      <c r="Q1233" s="24"/>
      <c r="R1233" s="25"/>
      <c r="S1233" s="26"/>
      <c r="T1233" s="27"/>
      <c r="U1233" s="24"/>
      <c r="V1233" s="38" t="s">
        <v>29</v>
      </c>
      <c r="W1233" s="29" t="s">
        <v>22</v>
      </c>
      <c r="X1233" s="37" t="s">
        <v>454</v>
      </c>
      <c r="Y1233" s="31"/>
      <c r="Z1233" s="26" t="str">
        <f t="shared" si="5"/>
        <v/>
      </c>
      <c r="AA1233" s="26" t="str">
        <f t="shared" si="6"/>
        <v/>
      </c>
      <c r="AB1233" s="32" t="str">
        <f t="shared" si="7"/>
        <v/>
      </c>
      <c r="AC1233" s="32" t="str">
        <f t="shared" ref="AC1233:AG1233" si="1237">IF(J1233&lt;&gt;"", IF(AND($P1233=FALSE, $A1233=FALSE), -J1233, IF(AND($P1233=FALSE, $A1233=TRUE), 0, IF($P1233=TRUE, (J1233 / $R1233) * 100 * ($S1233 / 100)-J1233, ))), )</f>
        <v/>
      </c>
      <c r="AD1233" s="32" t="str">
        <f t="shared" si="1237"/>
        <v/>
      </c>
      <c r="AE1233" s="32" t="str">
        <f t="shared" si="1237"/>
        <v/>
      </c>
      <c r="AF1233" s="32" t="str">
        <f t="shared" si="1237"/>
        <v/>
      </c>
      <c r="AG1233" s="32" t="str">
        <f t="shared" si="1237"/>
        <v/>
      </c>
      <c r="AH1233" s="33"/>
    </row>
    <row r="1234" hidden="1" outlineLevel="3">
      <c r="A1234" s="16" t="b">
        <v>0</v>
      </c>
      <c r="B1234" s="17"/>
      <c r="C1234" s="18"/>
      <c r="D1234" s="19"/>
      <c r="E1234" s="20"/>
      <c r="F1234" s="21"/>
      <c r="G1234" s="22"/>
      <c r="H1234" s="22"/>
      <c r="I1234" s="23"/>
      <c r="J1234" s="22"/>
      <c r="K1234" s="23"/>
      <c r="L1234" s="22"/>
      <c r="M1234" s="23"/>
      <c r="N1234" s="23"/>
      <c r="O1234" s="24"/>
      <c r="P1234" s="16" t="b">
        <v>0</v>
      </c>
      <c r="Q1234" s="24"/>
      <c r="R1234" s="25"/>
      <c r="S1234" s="26"/>
      <c r="T1234" s="27"/>
      <c r="U1234" s="24"/>
      <c r="V1234" s="66" t="s">
        <v>358</v>
      </c>
      <c r="W1234" s="29" t="s">
        <v>22</v>
      </c>
      <c r="X1234" s="37" t="s">
        <v>198</v>
      </c>
      <c r="Y1234" s="31"/>
      <c r="Z1234" s="26" t="str">
        <f t="shared" si="5"/>
        <v/>
      </c>
      <c r="AA1234" s="26" t="str">
        <f t="shared" si="6"/>
        <v/>
      </c>
      <c r="AB1234" s="32" t="str">
        <f t="shared" si="7"/>
        <v/>
      </c>
      <c r="AC1234" s="32" t="str">
        <f t="shared" ref="AC1234:AG1234" si="1238">IF(J1234&lt;&gt;"", IF(AND($P1234=FALSE, $A1234=FALSE), -J1234, IF(AND($P1234=FALSE, $A1234=TRUE), 0, IF($P1234=TRUE, (J1234 / $R1234) * 100 * ($S1234 / 100)-J1234, ))), )</f>
        <v/>
      </c>
      <c r="AD1234" s="32" t="str">
        <f t="shared" si="1238"/>
        <v/>
      </c>
      <c r="AE1234" s="32" t="str">
        <f t="shared" si="1238"/>
        <v/>
      </c>
      <c r="AF1234" s="32" t="str">
        <f t="shared" si="1238"/>
        <v/>
      </c>
      <c r="AG1234" s="32" t="str">
        <f t="shared" si="1238"/>
        <v/>
      </c>
      <c r="AH1234" s="33"/>
    </row>
    <row r="1235" hidden="1" outlineLevel="3">
      <c r="A1235" s="16" t="b">
        <v>0</v>
      </c>
      <c r="B1235" s="17"/>
      <c r="C1235" s="18"/>
      <c r="D1235" s="19"/>
      <c r="E1235" s="20"/>
      <c r="F1235" s="21"/>
      <c r="G1235" s="22"/>
      <c r="H1235" s="22"/>
      <c r="I1235" s="23"/>
      <c r="J1235" s="22"/>
      <c r="K1235" s="23"/>
      <c r="L1235" s="22"/>
      <c r="M1235" s="23"/>
      <c r="N1235" s="23"/>
      <c r="O1235" s="24"/>
      <c r="P1235" s="16" t="b">
        <v>0</v>
      </c>
      <c r="Q1235" s="24"/>
      <c r="R1235" s="25"/>
      <c r="S1235" s="26"/>
      <c r="T1235" s="27"/>
      <c r="U1235" s="24"/>
      <c r="V1235" s="38" t="s">
        <v>29</v>
      </c>
      <c r="W1235" s="29" t="s">
        <v>22</v>
      </c>
      <c r="X1235" s="37" t="s">
        <v>734</v>
      </c>
      <c r="Y1235" s="31"/>
      <c r="Z1235" s="26" t="str">
        <f t="shared" si="5"/>
        <v/>
      </c>
      <c r="AA1235" s="26" t="str">
        <f t="shared" si="6"/>
        <v/>
      </c>
      <c r="AB1235" s="32" t="str">
        <f t="shared" si="7"/>
        <v/>
      </c>
      <c r="AC1235" s="32" t="str">
        <f t="shared" ref="AC1235:AG1235" si="1239">IF(J1235&lt;&gt;"", IF(AND($P1235=FALSE, $A1235=FALSE), -J1235, IF(AND($P1235=FALSE, $A1235=TRUE), 0, IF($P1235=TRUE, (J1235 / $R1235) * 100 * ($S1235 / 100)-J1235, ))), )</f>
        <v/>
      </c>
      <c r="AD1235" s="32" t="str">
        <f t="shared" si="1239"/>
        <v/>
      </c>
      <c r="AE1235" s="32" t="str">
        <f t="shared" si="1239"/>
        <v/>
      </c>
      <c r="AF1235" s="32" t="str">
        <f t="shared" si="1239"/>
        <v/>
      </c>
      <c r="AG1235" s="32" t="str">
        <f t="shared" si="1239"/>
        <v/>
      </c>
      <c r="AH1235" s="33"/>
    </row>
    <row r="1236" hidden="1" outlineLevel="3">
      <c r="A1236" s="16" t="b">
        <v>0</v>
      </c>
      <c r="B1236" s="17"/>
      <c r="C1236" s="18"/>
      <c r="D1236" s="19"/>
      <c r="E1236" s="20"/>
      <c r="F1236" s="21"/>
      <c r="G1236" s="22"/>
      <c r="H1236" s="22"/>
      <c r="I1236" s="23"/>
      <c r="J1236" s="22"/>
      <c r="K1236" s="23"/>
      <c r="L1236" s="22"/>
      <c r="M1236" s="23"/>
      <c r="N1236" s="23"/>
      <c r="O1236" s="24"/>
      <c r="P1236" s="16" t="b">
        <v>0</v>
      </c>
      <c r="Q1236" s="24"/>
      <c r="R1236" s="25"/>
      <c r="S1236" s="26"/>
      <c r="T1236" s="27"/>
      <c r="U1236" s="24"/>
      <c r="V1236" s="38" t="s">
        <v>29</v>
      </c>
      <c r="W1236" s="29" t="s">
        <v>22</v>
      </c>
      <c r="X1236" s="37" t="s">
        <v>840</v>
      </c>
      <c r="Y1236" s="31"/>
      <c r="Z1236" s="26" t="str">
        <f t="shared" si="5"/>
        <v/>
      </c>
      <c r="AA1236" s="26" t="str">
        <f t="shared" si="6"/>
        <v/>
      </c>
      <c r="AB1236" s="32" t="str">
        <f t="shared" si="7"/>
        <v/>
      </c>
      <c r="AC1236" s="32" t="str">
        <f t="shared" ref="AC1236:AG1236" si="1240">IF(J1236&lt;&gt;"", IF(AND($P1236=FALSE, $A1236=FALSE), -J1236, IF(AND($P1236=FALSE, $A1236=TRUE), 0, IF($P1236=TRUE, (J1236 / $R1236) * 100 * ($S1236 / 100)-J1236, ))), )</f>
        <v/>
      </c>
      <c r="AD1236" s="32" t="str">
        <f t="shared" si="1240"/>
        <v/>
      </c>
      <c r="AE1236" s="32" t="str">
        <f t="shared" si="1240"/>
        <v/>
      </c>
      <c r="AF1236" s="32" t="str">
        <f t="shared" si="1240"/>
        <v/>
      </c>
      <c r="AG1236" s="32" t="str">
        <f t="shared" si="1240"/>
        <v/>
      </c>
      <c r="AH1236" s="33"/>
    </row>
    <row r="1237" hidden="1" outlineLevel="2">
      <c r="A1237" s="16" t="b">
        <v>0</v>
      </c>
      <c r="B1237" s="17"/>
      <c r="C1237" s="18"/>
      <c r="D1237" s="42">
        <v>45275.0</v>
      </c>
      <c r="E1237" s="80" t="s">
        <v>60</v>
      </c>
      <c r="F1237" s="53" t="s">
        <v>630</v>
      </c>
      <c r="G1237" s="45">
        <v>3.0</v>
      </c>
      <c r="H1237" s="45">
        <v>1.5</v>
      </c>
      <c r="I1237" s="45">
        <v>5.5</v>
      </c>
      <c r="J1237" s="45"/>
      <c r="K1237" s="79"/>
      <c r="L1237" s="45"/>
      <c r="M1237" s="46"/>
      <c r="N1237" s="46"/>
      <c r="O1237" s="47"/>
      <c r="P1237" s="16" t="b">
        <v>0</v>
      </c>
      <c r="Q1237" s="24"/>
      <c r="R1237" s="48">
        <v>10.0</v>
      </c>
      <c r="S1237" s="45">
        <v>27.5</v>
      </c>
      <c r="T1237" s="49" t="s">
        <v>110</v>
      </c>
      <c r="U1237" s="47"/>
      <c r="V1237" s="28"/>
      <c r="W1237" s="29"/>
      <c r="X1237" s="30"/>
      <c r="Y1237" s="31"/>
      <c r="Z1237" s="26">
        <f t="shared" si="5"/>
        <v>-3</v>
      </c>
      <c r="AA1237" s="26">
        <f t="shared" si="6"/>
        <v>-5.5</v>
      </c>
      <c r="AB1237" s="32">
        <f t="shared" si="7"/>
        <v>-1.5</v>
      </c>
      <c r="AC1237" s="32" t="str">
        <f t="shared" ref="AC1237:AG1237" si="1241">IF(J1237&lt;&gt;"", IF(AND($P1237=FALSE, $A1237=FALSE), -J1237, IF(AND($P1237=FALSE, $A1237=TRUE), 0, IF($P1237=TRUE, (J1237 / $R1237) * 100 * ($S1237 / 100)-J1237, ))), )</f>
        <v/>
      </c>
      <c r="AD1237" s="32" t="str">
        <f t="shared" si="1241"/>
        <v/>
      </c>
      <c r="AE1237" s="32" t="str">
        <f t="shared" si="1241"/>
        <v/>
      </c>
      <c r="AF1237" s="32" t="str">
        <f t="shared" si="1241"/>
        <v/>
      </c>
      <c r="AG1237" s="32" t="str">
        <f t="shared" si="1241"/>
        <v/>
      </c>
      <c r="AH1237" s="33"/>
    </row>
    <row r="1238" hidden="1" outlineLevel="3">
      <c r="A1238" s="16" t="b">
        <v>0</v>
      </c>
      <c r="B1238" s="17"/>
      <c r="C1238" s="18"/>
      <c r="D1238" s="19"/>
      <c r="E1238" s="20"/>
      <c r="F1238" s="21"/>
      <c r="G1238" s="22"/>
      <c r="H1238" s="22"/>
      <c r="I1238" s="23"/>
      <c r="J1238" s="22"/>
      <c r="K1238" s="23"/>
      <c r="L1238" s="22"/>
      <c r="M1238" s="23"/>
      <c r="N1238" s="23"/>
      <c r="O1238" s="24"/>
      <c r="P1238" s="16" t="b">
        <v>0</v>
      </c>
      <c r="Q1238" s="24"/>
      <c r="R1238" s="25"/>
      <c r="S1238" s="26"/>
      <c r="T1238" s="27"/>
      <c r="U1238" s="24"/>
      <c r="V1238" s="28" t="s">
        <v>32</v>
      </c>
      <c r="W1238" s="29" t="s">
        <v>22</v>
      </c>
      <c r="X1238" s="37" t="s">
        <v>707</v>
      </c>
      <c r="Y1238" s="31"/>
      <c r="Z1238" s="26" t="str">
        <f t="shared" si="5"/>
        <v/>
      </c>
      <c r="AA1238" s="26" t="str">
        <f t="shared" si="6"/>
        <v/>
      </c>
      <c r="AB1238" s="32" t="str">
        <f t="shared" si="7"/>
        <v/>
      </c>
      <c r="AC1238" s="32" t="str">
        <f t="shared" ref="AC1238:AG1238" si="1242">IF(J1238&lt;&gt;"", IF(AND($P1238=FALSE, $A1238=FALSE), -J1238, IF(AND($P1238=FALSE, $A1238=TRUE), 0, IF($P1238=TRUE, (J1238 / $R1238) * 100 * ($S1238 / 100)-J1238, ))), )</f>
        <v/>
      </c>
      <c r="AD1238" s="32" t="str">
        <f t="shared" si="1242"/>
        <v/>
      </c>
      <c r="AE1238" s="32" t="str">
        <f t="shared" si="1242"/>
        <v/>
      </c>
      <c r="AF1238" s="32" t="str">
        <f t="shared" si="1242"/>
        <v/>
      </c>
      <c r="AG1238" s="32" t="str">
        <f t="shared" si="1242"/>
        <v/>
      </c>
      <c r="AH1238" s="33"/>
    </row>
    <row r="1239" hidden="1" outlineLevel="3">
      <c r="A1239" s="16" t="b">
        <v>0</v>
      </c>
      <c r="B1239" s="17"/>
      <c r="C1239" s="18"/>
      <c r="D1239" s="19"/>
      <c r="E1239" s="20"/>
      <c r="F1239" s="21"/>
      <c r="G1239" s="22"/>
      <c r="H1239" s="22"/>
      <c r="I1239" s="23"/>
      <c r="J1239" s="22"/>
      <c r="K1239" s="23"/>
      <c r="L1239" s="22"/>
      <c r="M1239" s="23"/>
      <c r="N1239" s="23"/>
      <c r="O1239" s="24"/>
      <c r="P1239" s="16" t="b">
        <v>0</v>
      </c>
      <c r="Q1239" s="24"/>
      <c r="R1239" s="25"/>
      <c r="S1239" s="26"/>
      <c r="T1239" s="27"/>
      <c r="U1239" s="24"/>
      <c r="V1239" s="38" t="s">
        <v>29</v>
      </c>
      <c r="W1239" s="29" t="s">
        <v>22</v>
      </c>
      <c r="X1239" s="37" t="s">
        <v>232</v>
      </c>
      <c r="Y1239" s="31"/>
      <c r="Z1239" s="26" t="str">
        <f t="shared" si="5"/>
        <v/>
      </c>
      <c r="AA1239" s="26" t="str">
        <f t="shared" si="6"/>
        <v/>
      </c>
      <c r="AB1239" s="32" t="str">
        <f t="shared" si="7"/>
        <v/>
      </c>
      <c r="AC1239" s="32" t="str">
        <f t="shared" ref="AC1239:AG1239" si="1243">IF(J1239&lt;&gt;"", IF(AND($P1239=FALSE, $A1239=FALSE), -J1239, IF(AND($P1239=FALSE, $A1239=TRUE), 0, IF($P1239=TRUE, (J1239 / $R1239) * 100 * ($S1239 / 100)-J1239, ))), )</f>
        <v/>
      </c>
      <c r="AD1239" s="32" t="str">
        <f t="shared" si="1243"/>
        <v/>
      </c>
      <c r="AE1239" s="32" t="str">
        <f t="shared" si="1243"/>
        <v/>
      </c>
      <c r="AF1239" s="32" t="str">
        <f t="shared" si="1243"/>
        <v/>
      </c>
      <c r="AG1239" s="32" t="str">
        <f t="shared" si="1243"/>
        <v/>
      </c>
      <c r="AH1239" s="33"/>
    </row>
    <row r="1240" hidden="1" outlineLevel="1" collapsed="1">
      <c r="A1240" s="16" t="b">
        <v>0</v>
      </c>
      <c r="B1240" s="17"/>
      <c r="C1240" s="18"/>
      <c r="D1240" s="42">
        <v>45276.0</v>
      </c>
      <c r="E1240" s="43" t="s">
        <v>24</v>
      </c>
      <c r="F1240" s="53" t="s">
        <v>817</v>
      </c>
      <c r="G1240" s="45">
        <v>2.5</v>
      </c>
      <c r="H1240" s="45">
        <v>1.5</v>
      </c>
      <c r="I1240" s="45">
        <v>2.5</v>
      </c>
      <c r="J1240" s="46"/>
      <c r="K1240" s="46"/>
      <c r="L1240" s="45"/>
      <c r="M1240" s="46"/>
      <c r="N1240" s="46"/>
      <c r="O1240" s="47"/>
      <c r="P1240" s="16" t="b">
        <v>1</v>
      </c>
      <c r="Q1240" s="24"/>
      <c r="R1240" s="48">
        <v>6.5</v>
      </c>
      <c r="S1240" s="45">
        <v>19.01</v>
      </c>
      <c r="T1240" s="49" t="s">
        <v>841</v>
      </c>
      <c r="U1240" s="47"/>
      <c r="V1240" s="28"/>
      <c r="W1240" s="29"/>
      <c r="X1240" s="30"/>
      <c r="Y1240" s="31"/>
      <c r="Z1240" s="26">
        <f t="shared" si="5"/>
        <v>4.811538462</v>
      </c>
      <c r="AA1240" s="26">
        <f t="shared" si="6"/>
        <v>4.811538462</v>
      </c>
      <c r="AB1240" s="32">
        <f t="shared" si="7"/>
        <v>2.886923077</v>
      </c>
      <c r="AC1240" s="32" t="str">
        <f t="shared" ref="AC1240:AG1240" si="1244">IF(J1240&lt;&gt;"", IF(AND($P1240=FALSE, $A1240=FALSE), -J1240, IF(AND($P1240=FALSE, $A1240=TRUE), 0, IF($P1240=TRUE, (J1240 / $R1240) * 100 * ($S1240 / 100)-J1240, ))), )</f>
        <v/>
      </c>
      <c r="AD1240" s="32" t="str">
        <f t="shared" si="1244"/>
        <v/>
      </c>
      <c r="AE1240" s="32" t="str">
        <f t="shared" si="1244"/>
        <v/>
      </c>
      <c r="AF1240" s="32" t="str">
        <f t="shared" si="1244"/>
        <v/>
      </c>
      <c r="AG1240" s="32" t="str">
        <f t="shared" si="1244"/>
        <v/>
      </c>
      <c r="AH1240" s="33"/>
    </row>
    <row r="1241" hidden="1" outlineLevel="3">
      <c r="A1241" s="16" t="b">
        <v>0</v>
      </c>
      <c r="B1241" s="17"/>
      <c r="C1241" s="18"/>
      <c r="D1241" s="19"/>
      <c r="E1241" s="20"/>
      <c r="F1241" s="21"/>
      <c r="G1241" s="22"/>
      <c r="H1241" s="22"/>
      <c r="I1241" s="23"/>
      <c r="J1241" s="22"/>
      <c r="K1241" s="23"/>
      <c r="L1241" s="22"/>
      <c r="M1241" s="23"/>
      <c r="N1241" s="23"/>
      <c r="O1241" s="24"/>
      <c r="P1241" s="16" t="b">
        <v>0</v>
      </c>
      <c r="Q1241" s="24"/>
      <c r="R1241" s="25"/>
      <c r="S1241" s="26"/>
      <c r="T1241" s="27"/>
      <c r="U1241" s="24"/>
      <c r="V1241" s="38" t="s">
        <v>29</v>
      </c>
      <c r="W1241" s="29" t="s">
        <v>22</v>
      </c>
      <c r="X1241" s="37" t="s">
        <v>842</v>
      </c>
      <c r="Y1241" s="31"/>
      <c r="Z1241" s="26" t="str">
        <f t="shared" si="5"/>
        <v/>
      </c>
      <c r="AA1241" s="26" t="str">
        <f t="shared" si="6"/>
        <v/>
      </c>
      <c r="AB1241" s="32" t="str">
        <f t="shared" si="7"/>
        <v/>
      </c>
      <c r="AC1241" s="32" t="str">
        <f t="shared" ref="AC1241:AG1241" si="1245">IF(J1241&lt;&gt;"", IF(AND($P1241=FALSE, $A1241=FALSE), -J1241, IF(AND($P1241=FALSE, $A1241=TRUE), 0, IF($P1241=TRUE, (J1241 / $R1241) * 100 * ($S1241 / 100)-J1241, ))), )</f>
        <v/>
      </c>
      <c r="AD1241" s="32" t="str">
        <f t="shared" si="1245"/>
        <v/>
      </c>
      <c r="AE1241" s="32" t="str">
        <f t="shared" si="1245"/>
        <v/>
      </c>
      <c r="AF1241" s="32" t="str">
        <f t="shared" si="1245"/>
        <v/>
      </c>
      <c r="AG1241" s="32" t="str">
        <f t="shared" si="1245"/>
        <v/>
      </c>
      <c r="AH1241" s="33"/>
    </row>
    <row r="1242" hidden="1" outlineLevel="3">
      <c r="A1242" s="16" t="b">
        <v>0</v>
      </c>
      <c r="B1242" s="17"/>
      <c r="C1242" s="18"/>
      <c r="D1242" s="19"/>
      <c r="E1242" s="20"/>
      <c r="F1242" s="21"/>
      <c r="G1242" s="22"/>
      <c r="H1242" s="22"/>
      <c r="I1242" s="23"/>
      <c r="J1242" s="22"/>
      <c r="K1242" s="23"/>
      <c r="L1242" s="22"/>
      <c r="M1242" s="23"/>
      <c r="N1242" s="23"/>
      <c r="O1242" s="24"/>
      <c r="P1242" s="16" t="b">
        <v>0</v>
      </c>
      <c r="Q1242" s="24"/>
      <c r="R1242" s="25"/>
      <c r="S1242" s="26"/>
      <c r="T1242" s="27"/>
      <c r="U1242" s="24"/>
      <c r="V1242" s="38" t="s">
        <v>29</v>
      </c>
      <c r="W1242" s="29" t="s">
        <v>22</v>
      </c>
      <c r="X1242" s="37" t="s">
        <v>141</v>
      </c>
      <c r="Y1242" s="31"/>
      <c r="Z1242" s="26" t="str">
        <f t="shared" si="5"/>
        <v/>
      </c>
      <c r="AA1242" s="26" t="str">
        <f t="shared" si="6"/>
        <v/>
      </c>
      <c r="AB1242" s="32" t="str">
        <f t="shared" si="7"/>
        <v/>
      </c>
      <c r="AC1242" s="32" t="str">
        <f t="shared" ref="AC1242:AG1242" si="1246">IF(J1242&lt;&gt;"", IF(AND($P1242=FALSE, $A1242=FALSE), -J1242, IF(AND($P1242=FALSE, $A1242=TRUE), 0, IF($P1242=TRUE, (J1242 / $R1242) * 100 * ($S1242 / 100)-J1242, ))), )</f>
        <v/>
      </c>
      <c r="AD1242" s="32" t="str">
        <f t="shared" si="1246"/>
        <v/>
      </c>
      <c r="AE1242" s="32" t="str">
        <f t="shared" si="1246"/>
        <v/>
      </c>
      <c r="AF1242" s="32" t="str">
        <f t="shared" si="1246"/>
        <v/>
      </c>
      <c r="AG1242" s="32" t="str">
        <f t="shared" si="1246"/>
        <v/>
      </c>
      <c r="AH1242" s="33"/>
    </row>
    <row r="1243" hidden="1" outlineLevel="3">
      <c r="A1243" s="16" t="b">
        <v>0</v>
      </c>
      <c r="B1243" s="17"/>
      <c r="C1243" s="18"/>
      <c r="D1243" s="19"/>
      <c r="E1243" s="20"/>
      <c r="F1243" s="21"/>
      <c r="G1243" s="22"/>
      <c r="H1243" s="22"/>
      <c r="I1243" s="23"/>
      <c r="J1243" s="22"/>
      <c r="K1243" s="23"/>
      <c r="L1243" s="22"/>
      <c r="M1243" s="23"/>
      <c r="N1243" s="23"/>
      <c r="O1243" s="24"/>
      <c r="P1243" s="16" t="b">
        <v>0</v>
      </c>
      <c r="Q1243" s="24"/>
      <c r="R1243" s="25"/>
      <c r="S1243" s="26"/>
      <c r="T1243" s="27"/>
      <c r="U1243" s="24"/>
      <c r="V1243" s="38" t="s">
        <v>29</v>
      </c>
      <c r="W1243" s="29" t="s">
        <v>22</v>
      </c>
      <c r="X1243" s="37" t="s">
        <v>843</v>
      </c>
      <c r="Y1243" s="31"/>
      <c r="Z1243" s="26" t="str">
        <f t="shared" si="5"/>
        <v/>
      </c>
      <c r="AA1243" s="26" t="str">
        <f t="shared" si="6"/>
        <v/>
      </c>
      <c r="AB1243" s="32" t="str">
        <f t="shared" si="7"/>
        <v/>
      </c>
      <c r="AC1243" s="32" t="str">
        <f t="shared" ref="AC1243:AG1243" si="1247">IF(J1243&lt;&gt;"", IF(AND($P1243=FALSE, $A1243=FALSE), -J1243, IF(AND($P1243=FALSE, $A1243=TRUE), 0, IF($P1243=TRUE, (J1243 / $R1243) * 100 * ($S1243 / 100)-J1243, ))), )</f>
        <v/>
      </c>
      <c r="AD1243" s="32" t="str">
        <f t="shared" si="1247"/>
        <v/>
      </c>
      <c r="AE1243" s="32" t="str">
        <f t="shared" si="1247"/>
        <v/>
      </c>
      <c r="AF1243" s="32" t="str">
        <f t="shared" si="1247"/>
        <v/>
      </c>
      <c r="AG1243" s="32" t="str">
        <f t="shared" si="1247"/>
        <v/>
      </c>
      <c r="AH1243" s="33"/>
    </row>
    <row r="1244" hidden="1" outlineLevel="3">
      <c r="A1244" s="16" t="b">
        <v>0</v>
      </c>
      <c r="B1244" s="17"/>
      <c r="C1244" s="18"/>
      <c r="D1244" s="19"/>
      <c r="E1244" s="20"/>
      <c r="F1244" s="21"/>
      <c r="G1244" s="22"/>
      <c r="H1244" s="22"/>
      <c r="I1244" s="23"/>
      <c r="J1244" s="22"/>
      <c r="K1244" s="23"/>
      <c r="L1244" s="22"/>
      <c r="M1244" s="23"/>
      <c r="N1244" s="23"/>
      <c r="O1244" s="24"/>
      <c r="P1244" s="16" t="b">
        <v>0</v>
      </c>
      <c r="Q1244" s="24"/>
      <c r="R1244" s="25"/>
      <c r="S1244" s="26"/>
      <c r="T1244" s="27"/>
      <c r="U1244" s="24"/>
      <c r="V1244" s="38" t="s">
        <v>29</v>
      </c>
      <c r="W1244" s="29" t="s">
        <v>22</v>
      </c>
      <c r="X1244" s="37" t="s">
        <v>844</v>
      </c>
      <c r="Y1244" s="31"/>
      <c r="Z1244" s="26" t="str">
        <f t="shared" si="5"/>
        <v/>
      </c>
      <c r="AA1244" s="26" t="str">
        <f t="shared" si="6"/>
        <v/>
      </c>
      <c r="AB1244" s="32" t="str">
        <f t="shared" si="7"/>
        <v/>
      </c>
      <c r="AC1244" s="32" t="str">
        <f t="shared" ref="AC1244:AG1244" si="1248">IF(J1244&lt;&gt;"", IF(AND($P1244=FALSE, $A1244=FALSE), -J1244, IF(AND($P1244=FALSE, $A1244=TRUE), 0, IF($P1244=TRUE, (J1244 / $R1244) * 100 * ($S1244 / 100)-J1244, ))), )</f>
        <v/>
      </c>
      <c r="AD1244" s="32" t="str">
        <f t="shared" si="1248"/>
        <v/>
      </c>
      <c r="AE1244" s="32" t="str">
        <f t="shared" si="1248"/>
        <v/>
      </c>
      <c r="AF1244" s="32" t="str">
        <f t="shared" si="1248"/>
        <v/>
      </c>
      <c r="AG1244" s="32" t="str">
        <f t="shared" si="1248"/>
        <v/>
      </c>
      <c r="AH1244" s="33"/>
    </row>
    <row r="1245" hidden="1" outlineLevel="2" collapsed="1">
      <c r="A1245" s="16" t="b">
        <v>0</v>
      </c>
      <c r="B1245" s="17"/>
      <c r="C1245" s="18"/>
      <c r="D1245" s="42">
        <v>45276.0</v>
      </c>
      <c r="E1245" s="43" t="s">
        <v>24</v>
      </c>
      <c r="F1245" s="53" t="s">
        <v>817</v>
      </c>
      <c r="G1245" s="45">
        <v>2.5</v>
      </c>
      <c r="H1245" s="45">
        <v>1.5</v>
      </c>
      <c r="I1245" s="45">
        <v>2.5</v>
      </c>
      <c r="J1245" s="46"/>
      <c r="K1245" s="46"/>
      <c r="L1245" s="45"/>
      <c r="M1245" s="46"/>
      <c r="N1245" s="46"/>
      <c r="O1245" s="47"/>
      <c r="P1245" s="16" t="b">
        <v>0</v>
      </c>
      <c r="Q1245" s="24"/>
      <c r="R1245" s="48">
        <v>6.5</v>
      </c>
      <c r="S1245" s="45">
        <v>17.04</v>
      </c>
      <c r="T1245" s="49" t="s">
        <v>224</v>
      </c>
      <c r="U1245" s="47"/>
      <c r="V1245" s="28"/>
      <c r="W1245" s="29"/>
      <c r="X1245" s="30"/>
      <c r="Y1245" s="31"/>
      <c r="Z1245" s="26">
        <f t="shared" si="5"/>
        <v>-2.5</v>
      </c>
      <c r="AA1245" s="26">
        <f t="shared" si="6"/>
        <v>-2.5</v>
      </c>
      <c r="AB1245" s="32">
        <f t="shared" si="7"/>
        <v>-1.5</v>
      </c>
      <c r="AC1245" s="32" t="str">
        <f t="shared" ref="AC1245:AG1245" si="1249">IF(J1245&lt;&gt;"", IF(AND($P1245=FALSE, $A1245=FALSE), -J1245, IF(AND($P1245=FALSE, $A1245=TRUE), 0, IF($P1245=TRUE, (J1245 / $R1245) * 100 * ($S1245 / 100)-J1245, ))), )</f>
        <v/>
      </c>
      <c r="AD1245" s="32" t="str">
        <f t="shared" si="1249"/>
        <v/>
      </c>
      <c r="AE1245" s="32" t="str">
        <f t="shared" si="1249"/>
        <v/>
      </c>
      <c r="AF1245" s="32" t="str">
        <f t="shared" si="1249"/>
        <v/>
      </c>
      <c r="AG1245" s="32" t="str">
        <f t="shared" si="1249"/>
        <v/>
      </c>
      <c r="AH1245" s="33"/>
    </row>
    <row r="1246" hidden="1" outlineLevel="3">
      <c r="A1246" s="16" t="b">
        <v>0</v>
      </c>
      <c r="B1246" s="17"/>
      <c r="C1246" s="18"/>
      <c r="D1246" s="19"/>
      <c r="E1246" s="20"/>
      <c r="F1246" s="21"/>
      <c r="G1246" s="22"/>
      <c r="H1246" s="22"/>
      <c r="I1246" s="23"/>
      <c r="J1246" s="22"/>
      <c r="K1246" s="23"/>
      <c r="L1246" s="22"/>
      <c r="M1246" s="23"/>
      <c r="N1246" s="23"/>
      <c r="O1246" s="24"/>
      <c r="P1246" s="16" t="b">
        <v>0</v>
      </c>
      <c r="Q1246" s="24"/>
      <c r="R1246" s="25"/>
      <c r="S1246" s="26"/>
      <c r="T1246" s="27"/>
      <c r="U1246" s="24"/>
      <c r="V1246" s="38" t="s">
        <v>29</v>
      </c>
      <c r="W1246" s="29" t="s">
        <v>22</v>
      </c>
      <c r="X1246" s="37" t="s">
        <v>769</v>
      </c>
      <c r="Y1246" s="31"/>
      <c r="Z1246" s="26" t="str">
        <f t="shared" si="5"/>
        <v/>
      </c>
      <c r="AA1246" s="26" t="str">
        <f t="shared" si="6"/>
        <v/>
      </c>
      <c r="AB1246" s="32" t="str">
        <f t="shared" si="7"/>
        <v/>
      </c>
      <c r="AC1246" s="32" t="str">
        <f t="shared" ref="AC1246:AG1246" si="1250">IF(J1246&lt;&gt;"", IF(AND($P1246=FALSE, $A1246=FALSE), -J1246, IF(AND($P1246=FALSE, $A1246=TRUE), 0, IF($P1246=TRUE, (J1246 / $R1246) * 100 * ($S1246 / 100)-J1246, ))), )</f>
        <v/>
      </c>
      <c r="AD1246" s="32" t="str">
        <f t="shared" si="1250"/>
        <v/>
      </c>
      <c r="AE1246" s="32" t="str">
        <f t="shared" si="1250"/>
        <v/>
      </c>
      <c r="AF1246" s="32" t="str">
        <f t="shared" si="1250"/>
        <v/>
      </c>
      <c r="AG1246" s="32" t="str">
        <f t="shared" si="1250"/>
        <v/>
      </c>
      <c r="AH1246" s="33"/>
    </row>
    <row r="1247" hidden="1" outlineLevel="3">
      <c r="A1247" s="16" t="b">
        <v>0</v>
      </c>
      <c r="B1247" s="17"/>
      <c r="C1247" s="18"/>
      <c r="D1247" s="19"/>
      <c r="E1247" s="20"/>
      <c r="F1247" s="21"/>
      <c r="G1247" s="22"/>
      <c r="H1247" s="22"/>
      <c r="I1247" s="23"/>
      <c r="J1247" s="22"/>
      <c r="K1247" s="23"/>
      <c r="L1247" s="22"/>
      <c r="M1247" s="23"/>
      <c r="N1247" s="23"/>
      <c r="O1247" s="24"/>
      <c r="P1247" s="16" t="b">
        <v>0</v>
      </c>
      <c r="Q1247" s="24"/>
      <c r="R1247" s="25"/>
      <c r="S1247" s="26"/>
      <c r="T1247" s="27"/>
      <c r="U1247" s="24"/>
      <c r="V1247" s="38" t="s">
        <v>29</v>
      </c>
      <c r="W1247" s="29" t="s">
        <v>22</v>
      </c>
      <c r="X1247" s="37" t="s">
        <v>521</v>
      </c>
      <c r="Y1247" s="31"/>
      <c r="Z1247" s="26" t="str">
        <f t="shared" si="5"/>
        <v/>
      </c>
      <c r="AA1247" s="26" t="str">
        <f t="shared" si="6"/>
        <v/>
      </c>
      <c r="AB1247" s="32" t="str">
        <f t="shared" si="7"/>
        <v/>
      </c>
      <c r="AC1247" s="32" t="str">
        <f t="shared" ref="AC1247:AG1247" si="1251">IF(J1247&lt;&gt;"", IF(AND($P1247=FALSE, $A1247=FALSE), -J1247, IF(AND($P1247=FALSE, $A1247=TRUE), 0, IF($P1247=TRUE, (J1247 / $R1247) * 100 * ($S1247 / 100)-J1247, ))), )</f>
        <v/>
      </c>
      <c r="AD1247" s="32" t="str">
        <f t="shared" si="1251"/>
        <v/>
      </c>
      <c r="AE1247" s="32" t="str">
        <f t="shared" si="1251"/>
        <v/>
      </c>
      <c r="AF1247" s="32" t="str">
        <f t="shared" si="1251"/>
        <v/>
      </c>
      <c r="AG1247" s="32" t="str">
        <f t="shared" si="1251"/>
        <v/>
      </c>
      <c r="AH1247" s="33"/>
    </row>
    <row r="1248" hidden="1" outlineLevel="3">
      <c r="A1248" s="16" t="b">
        <v>0</v>
      </c>
      <c r="B1248" s="17"/>
      <c r="C1248" s="18"/>
      <c r="D1248" s="19"/>
      <c r="E1248" s="20"/>
      <c r="F1248" s="21"/>
      <c r="G1248" s="22"/>
      <c r="H1248" s="22"/>
      <c r="I1248" s="23"/>
      <c r="J1248" s="22"/>
      <c r="K1248" s="23"/>
      <c r="L1248" s="22"/>
      <c r="M1248" s="23"/>
      <c r="N1248" s="23"/>
      <c r="O1248" s="24"/>
      <c r="P1248" s="16" t="b">
        <v>0</v>
      </c>
      <c r="Q1248" s="24"/>
      <c r="R1248" s="25"/>
      <c r="S1248" s="26"/>
      <c r="T1248" s="27"/>
      <c r="U1248" s="24"/>
      <c r="V1248" s="28" t="s">
        <v>32</v>
      </c>
      <c r="W1248" s="29" t="s">
        <v>22</v>
      </c>
      <c r="X1248" s="37" t="s">
        <v>845</v>
      </c>
      <c r="Y1248" s="31"/>
      <c r="Z1248" s="26" t="str">
        <f t="shared" si="5"/>
        <v/>
      </c>
      <c r="AA1248" s="26" t="str">
        <f t="shared" si="6"/>
        <v/>
      </c>
      <c r="AB1248" s="32" t="str">
        <f t="shared" si="7"/>
        <v/>
      </c>
      <c r="AC1248" s="32" t="str">
        <f t="shared" ref="AC1248:AG1248" si="1252">IF(J1248&lt;&gt;"", IF(AND($P1248=FALSE, $A1248=FALSE), -J1248, IF(AND($P1248=FALSE, $A1248=TRUE), 0, IF($P1248=TRUE, (J1248 / $R1248) * 100 * ($S1248 / 100)-J1248, ))), )</f>
        <v/>
      </c>
      <c r="AD1248" s="32" t="str">
        <f t="shared" si="1252"/>
        <v/>
      </c>
      <c r="AE1248" s="32" t="str">
        <f t="shared" si="1252"/>
        <v/>
      </c>
      <c r="AF1248" s="32" t="str">
        <f t="shared" si="1252"/>
        <v/>
      </c>
      <c r="AG1248" s="32" t="str">
        <f t="shared" si="1252"/>
        <v/>
      </c>
      <c r="AH1248" s="33"/>
    </row>
    <row r="1249" hidden="1" outlineLevel="3">
      <c r="A1249" s="16" t="b">
        <v>0</v>
      </c>
      <c r="B1249" s="17"/>
      <c r="C1249" s="18"/>
      <c r="D1249" s="19"/>
      <c r="E1249" s="20"/>
      <c r="F1249" s="21"/>
      <c r="G1249" s="22"/>
      <c r="H1249" s="22"/>
      <c r="I1249" s="23"/>
      <c r="J1249" s="22"/>
      <c r="K1249" s="23"/>
      <c r="L1249" s="22"/>
      <c r="M1249" s="23"/>
      <c r="N1249" s="23"/>
      <c r="O1249" s="24"/>
      <c r="P1249" s="16" t="b">
        <v>0</v>
      </c>
      <c r="Q1249" s="24"/>
      <c r="R1249" s="25"/>
      <c r="S1249" s="26"/>
      <c r="T1249" s="27"/>
      <c r="U1249" s="24"/>
      <c r="V1249" s="38" t="s">
        <v>29</v>
      </c>
      <c r="W1249" s="29" t="s">
        <v>22</v>
      </c>
      <c r="X1249" s="37" t="s">
        <v>846</v>
      </c>
      <c r="Y1249" s="31"/>
      <c r="Z1249" s="26" t="str">
        <f t="shared" si="5"/>
        <v/>
      </c>
      <c r="AA1249" s="26" t="str">
        <f t="shared" si="6"/>
        <v/>
      </c>
      <c r="AB1249" s="32" t="str">
        <f t="shared" si="7"/>
        <v/>
      </c>
      <c r="AC1249" s="32" t="str">
        <f t="shared" ref="AC1249:AG1249" si="1253">IF(J1249&lt;&gt;"", IF(AND($P1249=FALSE, $A1249=FALSE), -J1249, IF(AND($P1249=FALSE, $A1249=TRUE), 0, IF($P1249=TRUE, (J1249 / $R1249) * 100 * ($S1249 / 100)-J1249, ))), )</f>
        <v/>
      </c>
      <c r="AD1249" s="32" t="str">
        <f t="shared" si="1253"/>
        <v/>
      </c>
      <c r="AE1249" s="32" t="str">
        <f t="shared" si="1253"/>
        <v/>
      </c>
      <c r="AF1249" s="32" t="str">
        <f t="shared" si="1253"/>
        <v/>
      </c>
      <c r="AG1249" s="32" t="str">
        <f t="shared" si="1253"/>
        <v/>
      </c>
      <c r="AH1249" s="33"/>
    </row>
    <row r="1250" hidden="1" outlineLevel="2" collapsed="1">
      <c r="A1250" s="16" t="b">
        <v>0</v>
      </c>
      <c r="B1250" s="17"/>
      <c r="C1250" s="18"/>
      <c r="D1250" s="42">
        <v>45276.0</v>
      </c>
      <c r="E1250" s="43" t="s">
        <v>24</v>
      </c>
      <c r="F1250" s="53" t="s">
        <v>817</v>
      </c>
      <c r="G1250" s="45">
        <v>2.5</v>
      </c>
      <c r="H1250" s="45">
        <v>1.5</v>
      </c>
      <c r="I1250" s="45">
        <v>2.5</v>
      </c>
      <c r="J1250" s="46"/>
      <c r="K1250" s="46"/>
      <c r="L1250" s="45"/>
      <c r="M1250" s="46"/>
      <c r="N1250" s="46"/>
      <c r="O1250" s="47"/>
      <c r="P1250" s="16" t="b">
        <v>1</v>
      </c>
      <c r="Q1250" s="24"/>
      <c r="R1250" s="48">
        <v>6.5</v>
      </c>
      <c r="S1250" s="45">
        <v>15.36</v>
      </c>
      <c r="T1250" s="49" t="s">
        <v>243</v>
      </c>
      <c r="U1250" s="47"/>
      <c r="V1250" s="28"/>
      <c r="W1250" s="29"/>
      <c r="X1250" s="30"/>
      <c r="Y1250" s="31"/>
      <c r="Z1250" s="26">
        <f t="shared" si="5"/>
        <v>3.407692308</v>
      </c>
      <c r="AA1250" s="26">
        <f t="shared" si="6"/>
        <v>3.407692308</v>
      </c>
      <c r="AB1250" s="32">
        <f t="shared" si="7"/>
        <v>2.044615385</v>
      </c>
      <c r="AC1250" s="32" t="str">
        <f t="shared" ref="AC1250:AG1250" si="1254">IF(J1250&lt;&gt;"", IF(AND($P1250=FALSE, $A1250=FALSE), -J1250, IF(AND($P1250=FALSE, $A1250=TRUE), 0, IF($P1250=TRUE, (J1250 / $R1250) * 100 * ($S1250 / 100)-J1250, ))), )</f>
        <v/>
      </c>
      <c r="AD1250" s="32" t="str">
        <f t="shared" si="1254"/>
        <v/>
      </c>
      <c r="AE1250" s="32" t="str">
        <f t="shared" si="1254"/>
        <v/>
      </c>
      <c r="AF1250" s="32" t="str">
        <f t="shared" si="1254"/>
        <v/>
      </c>
      <c r="AG1250" s="32" t="str">
        <f t="shared" si="1254"/>
        <v/>
      </c>
      <c r="AH1250" s="33"/>
    </row>
    <row r="1251" hidden="1" outlineLevel="3">
      <c r="A1251" s="16" t="b">
        <v>0</v>
      </c>
      <c r="B1251" s="17"/>
      <c r="C1251" s="18"/>
      <c r="D1251" s="19"/>
      <c r="E1251" s="20"/>
      <c r="F1251" s="21"/>
      <c r="G1251" s="22"/>
      <c r="H1251" s="22"/>
      <c r="I1251" s="23"/>
      <c r="J1251" s="22"/>
      <c r="K1251" s="23"/>
      <c r="L1251" s="22"/>
      <c r="M1251" s="23"/>
      <c r="N1251" s="23"/>
      <c r="O1251" s="24"/>
      <c r="P1251" s="16" t="b">
        <v>0</v>
      </c>
      <c r="Q1251" s="24"/>
      <c r="R1251" s="25"/>
      <c r="S1251" s="26"/>
      <c r="T1251" s="27"/>
      <c r="U1251" s="24"/>
      <c r="V1251" s="38" t="s">
        <v>29</v>
      </c>
      <c r="W1251" s="29" t="s">
        <v>22</v>
      </c>
      <c r="X1251" s="37" t="s">
        <v>767</v>
      </c>
      <c r="Y1251" s="31"/>
      <c r="Z1251" s="26" t="str">
        <f t="shared" si="5"/>
        <v/>
      </c>
      <c r="AA1251" s="26" t="str">
        <f t="shared" si="6"/>
        <v/>
      </c>
      <c r="AB1251" s="32" t="str">
        <f t="shared" si="7"/>
        <v/>
      </c>
      <c r="AC1251" s="32" t="str">
        <f t="shared" ref="AC1251:AG1251" si="1255">IF(J1251&lt;&gt;"", IF(AND($P1251=FALSE, $A1251=FALSE), -J1251, IF(AND($P1251=FALSE, $A1251=TRUE), 0, IF($P1251=TRUE, (J1251 / $R1251) * 100 * ($S1251 / 100)-J1251, ))), )</f>
        <v/>
      </c>
      <c r="AD1251" s="32" t="str">
        <f t="shared" si="1255"/>
        <v/>
      </c>
      <c r="AE1251" s="32" t="str">
        <f t="shared" si="1255"/>
        <v/>
      </c>
      <c r="AF1251" s="32" t="str">
        <f t="shared" si="1255"/>
        <v/>
      </c>
      <c r="AG1251" s="32" t="str">
        <f t="shared" si="1255"/>
        <v/>
      </c>
      <c r="AH1251" s="33"/>
    </row>
    <row r="1252" hidden="1" outlineLevel="3">
      <c r="A1252" s="16" t="b">
        <v>0</v>
      </c>
      <c r="B1252" s="17"/>
      <c r="C1252" s="18"/>
      <c r="D1252" s="19"/>
      <c r="E1252" s="20"/>
      <c r="F1252" s="21"/>
      <c r="G1252" s="22"/>
      <c r="H1252" s="22"/>
      <c r="I1252" s="23"/>
      <c r="J1252" s="22"/>
      <c r="K1252" s="23"/>
      <c r="L1252" s="22"/>
      <c r="M1252" s="23"/>
      <c r="N1252" s="23"/>
      <c r="O1252" s="24"/>
      <c r="P1252" s="16" t="b">
        <v>0</v>
      </c>
      <c r="Q1252" s="24"/>
      <c r="R1252" s="25"/>
      <c r="S1252" s="26"/>
      <c r="T1252" s="27"/>
      <c r="U1252" s="24"/>
      <c r="V1252" s="38" t="s">
        <v>29</v>
      </c>
      <c r="W1252" s="29" t="s">
        <v>22</v>
      </c>
      <c r="X1252" s="37" t="s">
        <v>847</v>
      </c>
      <c r="Y1252" s="31"/>
      <c r="Z1252" s="26" t="str">
        <f t="shared" si="5"/>
        <v/>
      </c>
      <c r="AA1252" s="26" t="str">
        <f t="shared" si="6"/>
        <v/>
      </c>
      <c r="AB1252" s="32" t="str">
        <f t="shared" si="7"/>
        <v/>
      </c>
      <c r="AC1252" s="32" t="str">
        <f t="shared" ref="AC1252:AG1252" si="1256">IF(J1252&lt;&gt;"", IF(AND($P1252=FALSE, $A1252=FALSE), -J1252, IF(AND($P1252=FALSE, $A1252=TRUE), 0, IF($P1252=TRUE, (J1252 / $R1252) * 100 * ($S1252 / 100)-J1252, ))), )</f>
        <v/>
      </c>
      <c r="AD1252" s="32" t="str">
        <f t="shared" si="1256"/>
        <v/>
      </c>
      <c r="AE1252" s="32" t="str">
        <f t="shared" si="1256"/>
        <v/>
      </c>
      <c r="AF1252" s="32" t="str">
        <f t="shared" si="1256"/>
        <v/>
      </c>
      <c r="AG1252" s="32" t="str">
        <f t="shared" si="1256"/>
        <v/>
      </c>
      <c r="AH1252" s="33"/>
    </row>
    <row r="1253" hidden="1" outlineLevel="3">
      <c r="A1253" s="16" t="b">
        <v>0</v>
      </c>
      <c r="B1253" s="17"/>
      <c r="C1253" s="18"/>
      <c r="D1253" s="19"/>
      <c r="E1253" s="20"/>
      <c r="F1253" s="21"/>
      <c r="G1253" s="22"/>
      <c r="H1253" s="22"/>
      <c r="I1253" s="23"/>
      <c r="J1253" s="22"/>
      <c r="K1253" s="23"/>
      <c r="L1253" s="22"/>
      <c r="M1253" s="23"/>
      <c r="N1253" s="23"/>
      <c r="O1253" s="24"/>
      <c r="P1253" s="16" t="b">
        <v>0</v>
      </c>
      <c r="Q1253" s="24"/>
      <c r="R1253" s="25"/>
      <c r="S1253" s="26"/>
      <c r="T1253" s="27"/>
      <c r="U1253" s="24"/>
      <c r="V1253" s="38" t="s">
        <v>29</v>
      </c>
      <c r="W1253" s="29" t="s">
        <v>22</v>
      </c>
      <c r="X1253" s="37" t="s">
        <v>848</v>
      </c>
      <c r="Y1253" s="31"/>
      <c r="Z1253" s="26" t="str">
        <f t="shared" si="5"/>
        <v/>
      </c>
      <c r="AA1253" s="26" t="str">
        <f t="shared" si="6"/>
        <v/>
      </c>
      <c r="AB1253" s="32" t="str">
        <f t="shared" si="7"/>
        <v/>
      </c>
      <c r="AC1253" s="32" t="str">
        <f t="shared" ref="AC1253:AG1253" si="1257">IF(J1253&lt;&gt;"", IF(AND($P1253=FALSE, $A1253=FALSE), -J1253, IF(AND($P1253=FALSE, $A1253=TRUE), 0, IF($P1253=TRUE, (J1253 / $R1253) * 100 * ($S1253 / 100)-J1253, ))), )</f>
        <v/>
      </c>
      <c r="AD1253" s="32" t="str">
        <f t="shared" si="1257"/>
        <v/>
      </c>
      <c r="AE1253" s="32" t="str">
        <f t="shared" si="1257"/>
        <v/>
      </c>
      <c r="AF1253" s="32" t="str">
        <f t="shared" si="1257"/>
        <v/>
      </c>
      <c r="AG1253" s="32" t="str">
        <f t="shared" si="1257"/>
        <v/>
      </c>
      <c r="AH1253" s="33"/>
    </row>
    <row r="1254" hidden="1" outlineLevel="3">
      <c r="A1254" s="16" t="b">
        <v>0</v>
      </c>
      <c r="B1254" s="17"/>
      <c r="C1254" s="18"/>
      <c r="D1254" s="19"/>
      <c r="E1254" s="20"/>
      <c r="F1254" s="21"/>
      <c r="G1254" s="22"/>
      <c r="H1254" s="22"/>
      <c r="I1254" s="23"/>
      <c r="J1254" s="22"/>
      <c r="K1254" s="23"/>
      <c r="L1254" s="22"/>
      <c r="M1254" s="23"/>
      <c r="N1254" s="23"/>
      <c r="O1254" s="24"/>
      <c r="P1254" s="16" t="b">
        <v>0</v>
      </c>
      <c r="Q1254" s="24"/>
      <c r="R1254" s="25"/>
      <c r="S1254" s="26"/>
      <c r="T1254" s="27"/>
      <c r="U1254" s="24"/>
      <c r="V1254" s="38" t="s">
        <v>29</v>
      </c>
      <c r="W1254" s="29" t="s">
        <v>22</v>
      </c>
      <c r="X1254" s="37" t="s">
        <v>849</v>
      </c>
      <c r="Y1254" s="31"/>
      <c r="Z1254" s="26" t="str">
        <f t="shared" si="5"/>
        <v/>
      </c>
      <c r="AA1254" s="26" t="str">
        <f t="shared" si="6"/>
        <v/>
      </c>
      <c r="AB1254" s="32" t="str">
        <f t="shared" si="7"/>
        <v/>
      </c>
      <c r="AC1254" s="32" t="str">
        <f t="shared" ref="AC1254:AG1254" si="1258">IF(J1254&lt;&gt;"", IF(AND($P1254=FALSE, $A1254=FALSE), -J1254, IF(AND($P1254=FALSE, $A1254=TRUE), 0, IF($P1254=TRUE, (J1254 / $R1254) * 100 * ($S1254 / 100)-J1254, ))), )</f>
        <v/>
      </c>
      <c r="AD1254" s="32" t="str">
        <f t="shared" si="1258"/>
        <v/>
      </c>
      <c r="AE1254" s="32" t="str">
        <f t="shared" si="1258"/>
        <v/>
      </c>
      <c r="AF1254" s="32" t="str">
        <f t="shared" si="1258"/>
        <v/>
      </c>
      <c r="AG1254" s="32" t="str">
        <f t="shared" si="1258"/>
        <v/>
      </c>
      <c r="AH1254" s="33"/>
    </row>
    <row r="1255" hidden="1" outlineLevel="2" collapsed="1">
      <c r="A1255" s="16" t="b">
        <v>0</v>
      </c>
      <c r="B1255" s="17"/>
      <c r="C1255" s="18"/>
      <c r="D1255" s="42">
        <v>45276.0</v>
      </c>
      <c r="E1255" s="43" t="s">
        <v>24</v>
      </c>
      <c r="F1255" s="53" t="s">
        <v>817</v>
      </c>
      <c r="G1255" s="45">
        <v>2.0</v>
      </c>
      <c r="H1255" s="45">
        <v>1.0</v>
      </c>
      <c r="I1255" s="45">
        <v>2.0</v>
      </c>
      <c r="J1255" s="46"/>
      <c r="K1255" s="46"/>
      <c r="L1255" s="45"/>
      <c r="M1255" s="46"/>
      <c r="N1255" s="46"/>
      <c r="O1255" s="47"/>
      <c r="P1255" s="16" t="b">
        <v>0</v>
      </c>
      <c r="Q1255" s="24"/>
      <c r="R1255" s="48">
        <v>5.0</v>
      </c>
      <c r="S1255" s="45">
        <v>11.75</v>
      </c>
      <c r="T1255" s="49" t="s">
        <v>355</v>
      </c>
      <c r="U1255" s="47"/>
      <c r="V1255" s="28"/>
      <c r="W1255" s="29"/>
      <c r="X1255" s="30"/>
      <c r="Y1255" s="31"/>
      <c r="Z1255" s="26">
        <f t="shared" si="5"/>
        <v>-2</v>
      </c>
      <c r="AA1255" s="26">
        <f t="shared" si="6"/>
        <v>-2</v>
      </c>
      <c r="AB1255" s="32">
        <f t="shared" si="7"/>
        <v>-1</v>
      </c>
      <c r="AC1255" s="32" t="str">
        <f t="shared" ref="AC1255:AG1255" si="1259">IF(J1255&lt;&gt;"", IF(AND($P1255=FALSE, $A1255=FALSE), -J1255, IF(AND($P1255=FALSE, $A1255=TRUE), 0, IF($P1255=TRUE, (J1255 / $R1255) * 100 * ($S1255 / 100)-J1255, ))), )</f>
        <v/>
      </c>
      <c r="AD1255" s="32" t="str">
        <f t="shared" si="1259"/>
        <v/>
      </c>
      <c r="AE1255" s="32" t="str">
        <f t="shared" si="1259"/>
        <v/>
      </c>
      <c r="AF1255" s="32" t="str">
        <f t="shared" si="1259"/>
        <v/>
      </c>
      <c r="AG1255" s="32" t="str">
        <f t="shared" si="1259"/>
        <v/>
      </c>
      <c r="AH1255" s="33"/>
    </row>
    <row r="1256" hidden="1" outlineLevel="3">
      <c r="A1256" s="16" t="b">
        <v>0</v>
      </c>
      <c r="B1256" s="17"/>
      <c r="C1256" s="18"/>
      <c r="D1256" s="19"/>
      <c r="E1256" s="20"/>
      <c r="F1256" s="21"/>
      <c r="G1256" s="22"/>
      <c r="H1256" s="22"/>
      <c r="I1256" s="23"/>
      <c r="J1256" s="22"/>
      <c r="K1256" s="23"/>
      <c r="L1256" s="22"/>
      <c r="M1256" s="23"/>
      <c r="N1256" s="23"/>
      <c r="O1256" s="24"/>
      <c r="P1256" s="16" t="b">
        <v>0</v>
      </c>
      <c r="Q1256" s="24"/>
      <c r="R1256" s="25"/>
      <c r="S1256" s="26"/>
      <c r="T1256" s="27"/>
      <c r="U1256" s="24"/>
      <c r="V1256" s="28" t="s">
        <v>32</v>
      </c>
      <c r="W1256" s="29" t="s">
        <v>22</v>
      </c>
      <c r="X1256" s="37" t="s">
        <v>850</v>
      </c>
      <c r="Y1256" s="31"/>
      <c r="Z1256" s="26" t="str">
        <f t="shared" si="5"/>
        <v/>
      </c>
      <c r="AA1256" s="26" t="str">
        <f t="shared" si="6"/>
        <v/>
      </c>
      <c r="AB1256" s="32" t="str">
        <f t="shared" si="7"/>
        <v/>
      </c>
      <c r="AC1256" s="32" t="str">
        <f t="shared" ref="AC1256:AG1256" si="1260">IF(J1256&lt;&gt;"", IF(AND($P1256=FALSE, $A1256=FALSE), -J1256, IF(AND($P1256=FALSE, $A1256=TRUE), 0, IF($P1256=TRUE, (J1256 / $R1256) * 100 * ($S1256 / 100)-J1256, ))), )</f>
        <v/>
      </c>
      <c r="AD1256" s="32" t="str">
        <f t="shared" si="1260"/>
        <v/>
      </c>
      <c r="AE1256" s="32" t="str">
        <f t="shared" si="1260"/>
        <v/>
      </c>
      <c r="AF1256" s="32" t="str">
        <f t="shared" si="1260"/>
        <v/>
      </c>
      <c r="AG1256" s="32" t="str">
        <f t="shared" si="1260"/>
        <v/>
      </c>
      <c r="AH1256" s="33"/>
    </row>
    <row r="1257" hidden="1" outlineLevel="2" collapsed="1">
      <c r="A1257" s="16" t="b">
        <v>0</v>
      </c>
      <c r="B1257" s="17"/>
      <c r="C1257" s="18"/>
      <c r="D1257" s="42">
        <v>45276.0</v>
      </c>
      <c r="E1257" s="43" t="s">
        <v>24</v>
      </c>
      <c r="F1257" s="53" t="s">
        <v>817</v>
      </c>
      <c r="G1257" s="45">
        <v>1.5</v>
      </c>
      <c r="H1257" s="45">
        <v>0.5</v>
      </c>
      <c r="I1257" s="45">
        <v>2.0</v>
      </c>
      <c r="J1257" s="46"/>
      <c r="K1257" s="46"/>
      <c r="L1257" s="45"/>
      <c r="M1257" s="46"/>
      <c r="N1257" s="46"/>
      <c r="O1257" s="47"/>
      <c r="P1257" s="16" t="b">
        <v>0</v>
      </c>
      <c r="Q1257" s="24"/>
      <c r="R1257" s="48">
        <v>4.0</v>
      </c>
      <c r="S1257" s="45">
        <v>9.53</v>
      </c>
      <c r="T1257" s="49" t="s">
        <v>178</v>
      </c>
      <c r="U1257" s="47"/>
      <c r="V1257" s="28"/>
      <c r="W1257" s="29"/>
      <c r="X1257" s="30"/>
      <c r="Y1257" s="31"/>
      <c r="Z1257" s="26">
        <f t="shared" si="5"/>
        <v>-1.5</v>
      </c>
      <c r="AA1257" s="26">
        <f t="shared" si="6"/>
        <v>-2</v>
      </c>
      <c r="AB1257" s="32">
        <f t="shared" si="7"/>
        <v>-0.5</v>
      </c>
      <c r="AC1257" s="32" t="str">
        <f t="shared" ref="AC1257:AG1257" si="1261">IF(J1257&lt;&gt;"", IF(AND($P1257=FALSE, $A1257=FALSE), -J1257, IF(AND($P1257=FALSE, $A1257=TRUE), 0, IF($P1257=TRUE, (J1257 / $R1257) * 100 * ($S1257 / 100)-J1257, ))), )</f>
        <v/>
      </c>
      <c r="AD1257" s="32" t="str">
        <f t="shared" si="1261"/>
        <v/>
      </c>
      <c r="AE1257" s="32" t="str">
        <f t="shared" si="1261"/>
        <v/>
      </c>
      <c r="AF1257" s="32" t="str">
        <f t="shared" si="1261"/>
        <v/>
      </c>
      <c r="AG1257" s="32" t="str">
        <f t="shared" si="1261"/>
        <v/>
      </c>
      <c r="AH1257" s="33"/>
    </row>
    <row r="1258" hidden="1" outlineLevel="3">
      <c r="A1258" s="16" t="b">
        <v>0</v>
      </c>
      <c r="B1258" s="17"/>
      <c r="C1258" s="18"/>
      <c r="D1258" s="19"/>
      <c r="E1258" s="20"/>
      <c r="F1258" s="21"/>
      <c r="G1258" s="22"/>
      <c r="H1258" s="22"/>
      <c r="I1258" s="23"/>
      <c r="J1258" s="22"/>
      <c r="K1258" s="23"/>
      <c r="L1258" s="22"/>
      <c r="M1258" s="23"/>
      <c r="N1258" s="23"/>
      <c r="O1258" s="24"/>
      <c r="P1258" s="16" t="b">
        <v>0</v>
      </c>
      <c r="Q1258" s="24"/>
      <c r="R1258" s="25"/>
      <c r="S1258" s="26"/>
      <c r="T1258" s="27"/>
      <c r="U1258" s="24"/>
      <c r="V1258" s="28" t="s">
        <v>32</v>
      </c>
      <c r="W1258" s="29" t="s">
        <v>22</v>
      </c>
      <c r="X1258" s="37" t="s">
        <v>379</v>
      </c>
      <c r="Y1258" s="31"/>
      <c r="Z1258" s="26" t="str">
        <f t="shared" si="5"/>
        <v/>
      </c>
      <c r="AA1258" s="26" t="str">
        <f t="shared" si="6"/>
        <v/>
      </c>
      <c r="AB1258" s="32" t="str">
        <f t="shared" si="7"/>
        <v/>
      </c>
      <c r="AC1258" s="32" t="str">
        <f t="shared" ref="AC1258:AG1258" si="1262">IF(J1258&lt;&gt;"", IF(AND($P1258=FALSE, $A1258=FALSE), -J1258, IF(AND($P1258=FALSE, $A1258=TRUE), 0, IF($P1258=TRUE, (J1258 / $R1258) * 100 * ($S1258 / 100)-J1258, ))), )</f>
        <v/>
      </c>
      <c r="AD1258" s="32" t="str">
        <f t="shared" si="1262"/>
        <v/>
      </c>
      <c r="AE1258" s="32" t="str">
        <f t="shared" si="1262"/>
        <v/>
      </c>
      <c r="AF1258" s="32" t="str">
        <f t="shared" si="1262"/>
        <v/>
      </c>
      <c r="AG1258" s="32" t="str">
        <f t="shared" si="1262"/>
        <v/>
      </c>
      <c r="AH1258" s="33"/>
    </row>
    <row r="1259" hidden="1" outlineLevel="3">
      <c r="A1259" s="16" t="b">
        <v>0</v>
      </c>
      <c r="B1259" s="17"/>
      <c r="C1259" s="18"/>
      <c r="D1259" s="19"/>
      <c r="E1259" s="20"/>
      <c r="F1259" s="21"/>
      <c r="G1259" s="22"/>
      <c r="H1259" s="22"/>
      <c r="I1259" s="23"/>
      <c r="J1259" s="22"/>
      <c r="K1259" s="23"/>
      <c r="L1259" s="22"/>
      <c r="M1259" s="23"/>
      <c r="N1259" s="23"/>
      <c r="O1259" s="24"/>
      <c r="P1259" s="16" t="b">
        <v>0</v>
      </c>
      <c r="Q1259" s="24"/>
      <c r="R1259" s="25"/>
      <c r="S1259" s="26"/>
      <c r="T1259" s="27"/>
      <c r="U1259" s="24"/>
      <c r="V1259" s="38" t="s">
        <v>29</v>
      </c>
      <c r="W1259" s="29" t="s">
        <v>22</v>
      </c>
      <c r="X1259" s="37" t="s">
        <v>851</v>
      </c>
      <c r="Y1259" s="31"/>
      <c r="Z1259" s="26" t="str">
        <f t="shared" si="5"/>
        <v/>
      </c>
      <c r="AA1259" s="26" t="str">
        <f t="shared" si="6"/>
        <v/>
      </c>
      <c r="AB1259" s="32" t="str">
        <f t="shared" si="7"/>
        <v/>
      </c>
      <c r="AC1259" s="32" t="str">
        <f t="shared" ref="AC1259:AG1259" si="1263">IF(J1259&lt;&gt;"", IF(AND($P1259=FALSE, $A1259=FALSE), -J1259, IF(AND($P1259=FALSE, $A1259=TRUE), 0, IF($P1259=TRUE, (J1259 / $R1259) * 100 * ($S1259 / 100)-J1259, ))), )</f>
        <v/>
      </c>
      <c r="AD1259" s="32" t="str">
        <f t="shared" si="1263"/>
        <v/>
      </c>
      <c r="AE1259" s="32" t="str">
        <f t="shared" si="1263"/>
        <v/>
      </c>
      <c r="AF1259" s="32" t="str">
        <f t="shared" si="1263"/>
        <v/>
      </c>
      <c r="AG1259" s="32" t="str">
        <f t="shared" si="1263"/>
        <v/>
      </c>
      <c r="AH1259" s="33"/>
    </row>
    <row r="1260" hidden="1" outlineLevel="3">
      <c r="A1260" s="16" t="b">
        <v>0</v>
      </c>
      <c r="B1260" s="17"/>
      <c r="C1260" s="18"/>
      <c r="D1260" s="19"/>
      <c r="E1260" s="20"/>
      <c r="F1260" s="21"/>
      <c r="G1260" s="22"/>
      <c r="H1260" s="22"/>
      <c r="I1260" s="23"/>
      <c r="J1260" s="22"/>
      <c r="K1260" s="23"/>
      <c r="L1260" s="22"/>
      <c r="M1260" s="23"/>
      <c r="N1260" s="23"/>
      <c r="O1260" s="24"/>
      <c r="P1260" s="16" t="b">
        <v>0</v>
      </c>
      <c r="Q1260" s="24"/>
      <c r="R1260" s="25"/>
      <c r="S1260" s="26"/>
      <c r="T1260" s="27"/>
      <c r="U1260" s="24"/>
      <c r="V1260" s="38" t="s">
        <v>29</v>
      </c>
      <c r="W1260" s="29" t="s">
        <v>22</v>
      </c>
      <c r="X1260" s="37" t="s">
        <v>843</v>
      </c>
      <c r="Y1260" s="31"/>
      <c r="Z1260" s="26" t="str">
        <f t="shared" si="5"/>
        <v/>
      </c>
      <c r="AA1260" s="26" t="str">
        <f t="shared" si="6"/>
        <v/>
      </c>
      <c r="AB1260" s="32" t="str">
        <f t="shared" si="7"/>
        <v/>
      </c>
      <c r="AC1260" s="32" t="str">
        <f t="shared" ref="AC1260:AG1260" si="1264">IF(J1260&lt;&gt;"", IF(AND($P1260=FALSE, $A1260=FALSE), -J1260, IF(AND($P1260=FALSE, $A1260=TRUE), 0, IF($P1260=TRUE, (J1260 / $R1260) * 100 * ($S1260 / 100)-J1260, ))), )</f>
        <v/>
      </c>
      <c r="AD1260" s="32" t="str">
        <f t="shared" si="1264"/>
        <v/>
      </c>
      <c r="AE1260" s="32" t="str">
        <f t="shared" si="1264"/>
        <v/>
      </c>
      <c r="AF1260" s="32" t="str">
        <f t="shared" si="1264"/>
        <v/>
      </c>
      <c r="AG1260" s="32" t="str">
        <f t="shared" si="1264"/>
        <v/>
      </c>
      <c r="AH1260" s="33"/>
    </row>
    <row r="1261" hidden="1" outlineLevel="2" collapsed="1">
      <c r="A1261" s="16" t="b">
        <v>0</v>
      </c>
      <c r="B1261" s="17"/>
      <c r="C1261" s="18"/>
      <c r="D1261" s="42">
        <v>45276.0</v>
      </c>
      <c r="E1261" s="43" t="s">
        <v>24</v>
      </c>
      <c r="F1261" s="53" t="s">
        <v>817</v>
      </c>
      <c r="G1261" s="45">
        <v>1.5</v>
      </c>
      <c r="H1261" s="45">
        <v>0.5</v>
      </c>
      <c r="I1261" s="45">
        <v>2.0</v>
      </c>
      <c r="J1261" s="46"/>
      <c r="K1261" s="46"/>
      <c r="L1261" s="45"/>
      <c r="M1261" s="46"/>
      <c r="N1261" s="46"/>
      <c r="O1261" s="47"/>
      <c r="P1261" s="16" t="b">
        <v>0</v>
      </c>
      <c r="Q1261" s="24"/>
      <c r="R1261" s="48">
        <v>4.0</v>
      </c>
      <c r="S1261" s="45">
        <v>86.73</v>
      </c>
      <c r="T1261" s="49" t="s">
        <v>852</v>
      </c>
      <c r="U1261" s="47"/>
      <c r="V1261" s="28"/>
      <c r="W1261" s="29"/>
      <c r="X1261" s="30"/>
      <c r="Y1261" s="31"/>
      <c r="Z1261" s="26">
        <f t="shared" si="5"/>
        <v>-1.5</v>
      </c>
      <c r="AA1261" s="26">
        <f t="shared" si="6"/>
        <v>-2</v>
      </c>
      <c r="AB1261" s="32">
        <f t="shared" si="7"/>
        <v>-0.5</v>
      </c>
      <c r="AC1261" s="32" t="str">
        <f t="shared" ref="AC1261:AG1261" si="1265">IF(J1261&lt;&gt;"", IF(AND($P1261=FALSE, $A1261=FALSE), -J1261, IF(AND($P1261=FALSE, $A1261=TRUE), 0, IF($P1261=TRUE, (J1261 / $R1261) * 100 * ($S1261 / 100)-J1261, ))), )</f>
        <v/>
      </c>
      <c r="AD1261" s="32" t="str">
        <f t="shared" si="1265"/>
        <v/>
      </c>
      <c r="AE1261" s="32" t="str">
        <f t="shared" si="1265"/>
        <v/>
      </c>
      <c r="AF1261" s="32" t="str">
        <f t="shared" si="1265"/>
        <v/>
      </c>
      <c r="AG1261" s="32" t="str">
        <f t="shared" si="1265"/>
        <v/>
      </c>
      <c r="AH1261" s="33"/>
    </row>
    <row r="1262" hidden="1" outlineLevel="3">
      <c r="A1262" s="16" t="b">
        <v>0</v>
      </c>
      <c r="B1262" s="17"/>
      <c r="C1262" s="18"/>
      <c r="D1262" s="19"/>
      <c r="E1262" s="20"/>
      <c r="F1262" s="21"/>
      <c r="G1262" s="22"/>
      <c r="H1262" s="22"/>
      <c r="I1262" s="23"/>
      <c r="J1262" s="22"/>
      <c r="K1262" s="23"/>
      <c r="L1262" s="22"/>
      <c r="M1262" s="23"/>
      <c r="N1262" s="23"/>
      <c r="O1262" s="24"/>
      <c r="P1262" s="16" t="b">
        <v>0</v>
      </c>
      <c r="Q1262" s="24"/>
      <c r="R1262" s="25"/>
      <c r="S1262" s="26"/>
      <c r="T1262" s="27"/>
      <c r="U1262" s="24"/>
      <c r="V1262" s="38" t="s">
        <v>29</v>
      </c>
      <c r="W1262" s="29" t="s">
        <v>22</v>
      </c>
      <c r="X1262" s="37" t="s">
        <v>853</v>
      </c>
      <c r="Y1262" s="31"/>
      <c r="Z1262" s="26" t="str">
        <f t="shared" si="5"/>
        <v/>
      </c>
      <c r="AA1262" s="26" t="str">
        <f t="shared" si="6"/>
        <v/>
      </c>
      <c r="AB1262" s="32" t="str">
        <f t="shared" si="7"/>
        <v/>
      </c>
      <c r="AC1262" s="32" t="str">
        <f t="shared" ref="AC1262:AG1262" si="1266">IF(J1262&lt;&gt;"", IF(AND($P1262=FALSE, $A1262=FALSE), -J1262, IF(AND($P1262=FALSE, $A1262=TRUE), 0, IF($P1262=TRUE, (J1262 / $R1262) * 100 * ($S1262 / 100)-J1262, ))), )</f>
        <v/>
      </c>
      <c r="AD1262" s="32" t="str">
        <f t="shared" si="1266"/>
        <v/>
      </c>
      <c r="AE1262" s="32" t="str">
        <f t="shared" si="1266"/>
        <v/>
      </c>
      <c r="AF1262" s="32" t="str">
        <f t="shared" si="1266"/>
        <v/>
      </c>
      <c r="AG1262" s="32" t="str">
        <f t="shared" si="1266"/>
        <v/>
      </c>
      <c r="AH1262" s="33"/>
    </row>
    <row r="1263" hidden="1" outlineLevel="3">
      <c r="A1263" s="16" t="b">
        <v>0</v>
      </c>
      <c r="B1263" s="17"/>
      <c r="C1263" s="18"/>
      <c r="D1263" s="19"/>
      <c r="E1263" s="20"/>
      <c r="F1263" s="21"/>
      <c r="G1263" s="22"/>
      <c r="H1263" s="22"/>
      <c r="I1263" s="23"/>
      <c r="J1263" s="22"/>
      <c r="K1263" s="23"/>
      <c r="L1263" s="22"/>
      <c r="M1263" s="23"/>
      <c r="N1263" s="23"/>
      <c r="O1263" s="24"/>
      <c r="P1263" s="16" t="b">
        <v>0</v>
      </c>
      <c r="Q1263" s="24"/>
      <c r="R1263" s="25"/>
      <c r="S1263" s="26"/>
      <c r="T1263" s="27"/>
      <c r="U1263" s="24"/>
      <c r="V1263" s="38" t="s">
        <v>29</v>
      </c>
      <c r="W1263" s="29" t="s">
        <v>22</v>
      </c>
      <c r="X1263" s="37" t="s">
        <v>854</v>
      </c>
      <c r="Y1263" s="31"/>
      <c r="Z1263" s="26" t="str">
        <f t="shared" si="5"/>
        <v/>
      </c>
      <c r="AA1263" s="26" t="str">
        <f t="shared" si="6"/>
        <v/>
      </c>
      <c r="AB1263" s="32" t="str">
        <f t="shared" si="7"/>
        <v/>
      </c>
      <c r="AC1263" s="32" t="str">
        <f t="shared" ref="AC1263:AG1263" si="1267">IF(J1263&lt;&gt;"", IF(AND($P1263=FALSE, $A1263=FALSE), -J1263, IF(AND($P1263=FALSE, $A1263=TRUE), 0, IF($P1263=TRUE, (J1263 / $R1263) * 100 * ($S1263 / 100)-J1263, ))), )</f>
        <v/>
      </c>
      <c r="AD1263" s="32" t="str">
        <f t="shared" si="1267"/>
        <v/>
      </c>
      <c r="AE1263" s="32" t="str">
        <f t="shared" si="1267"/>
        <v/>
      </c>
      <c r="AF1263" s="32" t="str">
        <f t="shared" si="1267"/>
        <v/>
      </c>
      <c r="AG1263" s="32" t="str">
        <f t="shared" si="1267"/>
        <v/>
      </c>
      <c r="AH1263" s="33"/>
    </row>
    <row r="1264" hidden="1" outlineLevel="3">
      <c r="A1264" s="16" t="b">
        <v>0</v>
      </c>
      <c r="B1264" s="17"/>
      <c r="C1264" s="18"/>
      <c r="D1264" s="19"/>
      <c r="E1264" s="20"/>
      <c r="F1264" s="21"/>
      <c r="G1264" s="22"/>
      <c r="H1264" s="22"/>
      <c r="I1264" s="23"/>
      <c r="J1264" s="22"/>
      <c r="K1264" s="23"/>
      <c r="L1264" s="22"/>
      <c r="M1264" s="23"/>
      <c r="N1264" s="23"/>
      <c r="O1264" s="24"/>
      <c r="P1264" s="16" t="b">
        <v>0</v>
      </c>
      <c r="Q1264" s="24"/>
      <c r="R1264" s="25"/>
      <c r="S1264" s="26"/>
      <c r="T1264" s="27"/>
      <c r="U1264" s="24"/>
      <c r="V1264" s="38" t="s">
        <v>29</v>
      </c>
      <c r="W1264" s="29" t="s">
        <v>22</v>
      </c>
      <c r="X1264" s="37" t="s">
        <v>855</v>
      </c>
      <c r="Y1264" s="31"/>
      <c r="Z1264" s="26" t="str">
        <f t="shared" si="5"/>
        <v/>
      </c>
      <c r="AA1264" s="26" t="str">
        <f t="shared" si="6"/>
        <v/>
      </c>
      <c r="AB1264" s="32" t="str">
        <f t="shared" si="7"/>
        <v/>
      </c>
      <c r="AC1264" s="32" t="str">
        <f t="shared" ref="AC1264:AG1264" si="1268">IF(J1264&lt;&gt;"", IF(AND($P1264=FALSE, $A1264=FALSE), -J1264, IF(AND($P1264=FALSE, $A1264=TRUE), 0, IF($P1264=TRUE, (J1264 / $R1264) * 100 * ($S1264 / 100)-J1264, ))), )</f>
        <v/>
      </c>
      <c r="AD1264" s="32" t="str">
        <f t="shared" si="1268"/>
        <v/>
      </c>
      <c r="AE1264" s="32" t="str">
        <f t="shared" si="1268"/>
        <v/>
      </c>
      <c r="AF1264" s="32" t="str">
        <f t="shared" si="1268"/>
        <v/>
      </c>
      <c r="AG1264" s="32" t="str">
        <f t="shared" si="1268"/>
        <v/>
      </c>
      <c r="AH1264" s="33"/>
    </row>
    <row r="1265" hidden="1" outlineLevel="3">
      <c r="A1265" s="16" t="b">
        <v>0</v>
      </c>
      <c r="B1265" s="17"/>
      <c r="C1265" s="18"/>
      <c r="D1265" s="19"/>
      <c r="E1265" s="20"/>
      <c r="F1265" s="21"/>
      <c r="G1265" s="22"/>
      <c r="H1265" s="22"/>
      <c r="I1265" s="23"/>
      <c r="J1265" s="22"/>
      <c r="K1265" s="23"/>
      <c r="L1265" s="22"/>
      <c r="M1265" s="23"/>
      <c r="N1265" s="23"/>
      <c r="O1265" s="24"/>
      <c r="P1265" s="16" t="b">
        <v>0</v>
      </c>
      <c r="Q1265" s="24"/>
      <c r="R1265" s="25"/>
      <c r="S1265" s="26"/>
      <c r="T1265" s="27"/>
      <c r="U1265" s="24"/>
      <c r="V1265" s="38" t="s">
        <v>29</v>
      </c>
      <c r="W1265" s="29" t="s">
        <v>22</v>
      </c>
      <c r="X1265" s="37" t="s">
        <v>856</v>
      </c>
      <c r="Y1265" s="31"/>
      <c r="Z1265" s="26" t="str">
        <f t="shared" si="5"/>
        <v/>
      </c>
      <c r="AA1265" s="26" t="str">
        <f t="shared" si="6"/>
        <v/>
      </c>
      <c r="AB1265" s="32" t="str">
        <f t="shared" si="7"/>
        <v/>
      </c>
      <c r="AC1265" s="32" t="str">
        <f t="shared" ref="AC1265:AG1265" si="1269">IF(J1265&lt;&gt;"", IF(AND($P1265=FALSE, $A1265=FALSE), -J1265, IF(AND($P1265=FALSE, $A1265=TRUE), 0, IF($P1265=TRUE, (J1265 / $R1265) * 100 * ($S1265 / 100)-J1265, ))), )</f>
        <v/>
      </c>
      <c r="AD1265" s="32" t="str">
        <f t="shared" si="1269"/>
        <v/>
      </c>
      <c r="AE1265" s="32" t="str">
        <f t="shared" si="1269"/>
        <v/>
      </c>
      <c r="AF1265" s="32" t="str">
        <f t="shared" si="1269"/>
        <v/>
      </c>
      <c r="AG1265" s="32" t="str">
        <f t="shared" si="1269"/>
        <v/>
      </c>
      <c r="AH1265" s="33"/>
    </row>
    <row r="1266" hidden="1" outlineLevel="3">
      <c r="A1266" s="16" t="b">
        <v>0</v>
      </c>
      <c r="B1266" s="17"/>
      <c r="C1266" s="18"/>
      <c r="D1266" s="19"/>
      <c r="E1266" s="20"/>
      <c r="F1266" s="21"/>
      <c r="G1266" s="22"/>
      <c r="H1266" s="22"/>
      <c r="I1266" s="23"/>
      <c r="J1266" s="22"/>
      <c r="K1266" s="23"/>
      <c r="L1266" s="22"/>
      <c r="M1266" s="23"/>
      <c r="N1266" s="23"/>
      <c r="O1266" s="24"/>
      <c r="P1266" s="16" t="b">
        <v>0</v>
      </c>
      <c r="Q1266" s="24"/>
      <c r="R1266" s="25"/>
      <c r="S1266" s="26"/>
      <c r="T1266" s="27"/>
      <c r="U1266" s="24"/>
      <c r="V1266" s="28" t="s">
        <v>32</v>
      </c>
      <c r="W1266" s="29" t="s">
        <v>22</v>
      </c>
      <c r="X1266" s="37" t="s">
        <v>857</v>
      </c>
      <c r="Y1266" s="31"/>
      <c r="Z1266" s="26" t="str">
        <f t="shared" si="5"/>
        <v/>
      </c>
      <c r="AA1266" s="26" t="str">
        <f t="shared" si="6"/>
        <v/>
      </c>
      <c r="AB1266" s="32" t="str">
        <f t="shared" si="7"/>
        <v/>
      </c>
      <c r="AC1266" s="32" t="str">
        <f t="shared" ref="AC1266:AG1266" si="1270">IF(J1266&lt;&gt;"", IF(AND($P1266=FALSE, $A1266=FALSE), -J1266, IF(AND($P1266=FALSE, $A1266=TRUE), 0, IF($P1266=TRUE, (J1266 / $R1266) * 100 * ($S1266 / 100)-J1266, ))), )</f>
        <v/>
      </c>
      <c r="AD1266" s="32" t="str">
        <f t="shared" si="1270"/>
        <v/>
      </c>
      <c r="AE1266" s="32" t="str">
        <f t="shared" si="1270"/>
        <v/>
      </c>
      <c r="AF1266" s="32" t="str">
        <f t="shared" si="1270"/>
        <v/>
      </c>
      <c r="AG1266" s="32" t="str">
        <f t="shared" si="1270"/>
        <v/>
      </c>
      <c r="AH1266" s="33"/>
    </row>
    <row r="1267" hidden="1" outlineLevel="3">
      <c r="A1267" s="16" t="b">
        <v>0</v>
      </c>
      <c r="B1267" s="17"/>
      <c r="C1267" s="18"/>
      <c r="D1267" s="19"/>
      <c r="E1267" s="20"/>
      <c r="F1267" s="21"/>
      <c r="G1267" s="22"/>
      <c r="H1267" s="22"/>
      <c r="I1267" s="23"/>
      <c r="J1267" s="22"/>
      <c r="K1267" s="23"/>
      <c r="L1267" s="22"/>
      <c r="M1267" s="23"/>
      <c r="N1267" s="23"/>
      <c r="O1267" s="24"/>
      <c r="P1267" s="16" t="b">
        <v>0</v>
      </c>
      <c r="Q1267" s="24"/>
      <c r="R1267" s="25"/>
      <c r="S1267" s="26"/>
      <c r="T1267" s="27"/>
      <c r="U1267" s="24"/>
      <c r="V1267" s="38" t="s">
        <v>29</v>
      </c>
      <c r="W1267" s="29" t="s">
        <v>22</v>
      </c>
      <c r="X1267" s="37" t="s">
        <v>858</v>
      </c>
      <c r="Y1267" s="31"/>
      <c r="Z1267" s="26" t="str">
        <f t="shared" si="5"/>
        <v/>
      </c>
      <c r="AA1267" s="26" t="str">
        <f t="shared" si="6"/>
        <v/>
      </c>
      <c r="AB1267" s="32" t="str">
        <f t="shared" si="7"/>
        <v/>
      </c>
      <c r="AC1267" s="32" t="str">
        <f t="shared" ref="AC1267:AG1267" si="1271">IF(J1267&lt;&gt;"", IF(AND($P1267=FALSE, $A1267=FALSE), -J1267, IF(AND($P1267=FALSE, $A1267=TRUE), 0, IF($P1267=TRUE, (J1267 / $R1267) * 100 * ($S1267 / 100)-J1267, ))), )</f>
        <v/>
      </c>
      <c r="AD1267" s="32" t="str">
        <f t="shared" si="1271"/>
        <v/>
      </c>
      <c r="AE1267" s="32" t="str">
        <f t="shared" si="1271"/>
        <v/>
      </c>
      <c r="AF1267" s="32" t="str">
        <f t="shared" si="1271"/>
        <v/>
      </c>
      <c r="AG1267" s="32" t="str">
        <f t="shared" si="1271"/>
        <v/>
      </c>
      <c r="AH1267" s="33"/>
    </row>
    <row r="1268" hidden="1" outlineLevel="2" collapsed="1">
      <c r="A1268" s="16" t="b">
        <v>0</v>
      </c>
      <c r="B1268" s="17"/>
      <c r="C1268" s="18"/>
      <c r="D1268" s="42">
        <v>45276.0</v>
      </c>
      <c r="E1268" s="80" t="s">
        <v>60</v>
      </c>
      <c r="F1268" s="53" t="s">
        <v>630</v>
      </c>
      <c r="G1268" s="45">
        <v>3.0</v>
      </c>
      <c r="H1268" s="45">
        <v>1.5</v>
      </c>
      <c r="I1268" s="45">
        <v>2.0</v>
      </c>
      <c r="J1268" s="45"/>
      <c r="K1268" s="79"/>
      <c r="L1268" s="45"/>
      <c r="M1268" s="46"/>
      <c r="N1268" s="46"/>
      <c r="O1268" s="47"/>
      <c r="P1268" s="16" t="b">
        <v>1</v>
      </c>
      <c r="Q1268" s="24"/>
      <c r="R1268" s="48">
        <v>6.5</v>
      </c>
      <c r="S1268" s="45">
        <v>24.12</v>
      </c>
      <c r="T1268" s="49" t="s">
        <v>285</v>
      </c>
      <c r="U1268" s="47"/>
      <c r="V1268" s="28"/>
      <c r="W1268" s="29"/>
      <c r="X1268" s="30"/>
      <c r="Y1268" s="31"/>
      <c r="Z1268" s="26">
        <f t="shared" si="5"/>
        <v>8.132307692</v>
      </c>
      <c r="AA1268" s="26">
        <f t="shared" si="6"/>
        <v>5.421538462</v>
      </c>
      <c r="AB1268" s="32">
        <f t="shared" si="7"/>
        <v>4.066153846</v>
      </c>
      <c r="AC1268" s="32" t="str">
        <f t="shared" ref="AC1268:AG1268" si="1272">IF(J1268&lt;&gt;"", IF(AND($P1268=FALSE, $A1268=FALSE), -J1268, IF(AND($P1268=FALSE, $A1268=TRUE), 0, IF($P1268=TRUE, (J1268 / $R1268) * 100 * ($S1268 / 100)-J1268, ))), )</f>
        <v/>
      </c>
      <c r="AD1268" s="32" t="str">
        <f t="shared" si="1272"/>
        <v/>
      </c>
      <c r="AE1268" s="32" t="str">
        <f t="shared" si="1272"/>
        <v/>
      </c>
      <c r="AF1268" s="32" t="str">
        <f t="shared" si="1272"/>
        <v/>
      </c>
      <c r="AG1268" s="32" t="str">
        <f t="shared" si="1272"/>
        <v/>
      </c>
      <c r="AH1268" s="33"/>
    </row>
    <row r="1269" hidden="1" outlineLevel="3">
      <c r="A1269" s="16" t="b">
        <v>0</v>
      </c>
      <c r="B1269" s="17"/>
      <c r="C1269" s="18"/>
      <c r="D1269" s="19"/>
      <c r="E1269" s="20"/>
      <c r="F1269" s="21"/>
      <c r="G1269" s="22"/>
      <c r="H1269" s="22"/>
      <c r="I1269" s="23"/>
      <c r="J1269" s="22"/>
      <c r="K1269" s="23"/>
      <c r="L1269" s="22"/>
      <c r="M1269" s="23"/>
      <c r="N1269" s="23"/>
      <c r="O1269" s="24"/>
      <c r="P1269" s="16" t="b">
        <v>0</v>
      </c>
      <c r="Q1269" s="24"/>
      <c r="R1269" s="25"/>
      <c r="S1269" s="26"/>
      <c r="T1269" s="27"/>
      <c r="U1269" s="24"/>
      <c r="V1269" s="38" t="s">
        <v>29</v>
      </c>
      <c r="W1269" s="29" t="s">
        <v>22</v>
      </c>
      <c r="X1269" s="37" t="s">
        <v>859</v>
      </c>
      <c r="Y1269" s="31"/>
      <c r="Z1269" s="26" t="str">
        <f t="shared" si="5"/>
        <v/>
      </c>
      <c r="AA1269" s="26" t="str">
        <f t="shared" si="6"/>
        <v/>
      </c>
      <c r="AB1269" s="32" t="str">
        <f t="shared" si="7"/>
        <v/>
      </c>
      <c r="AC1269" s="32" t="str">
        <f t="shared" ref="AC1269:AG1269" si="1273">IF(J1269&lt;&gt;"", IF(AND($P1269=FALSE, $A1269=FALSE), -J1269, IF(AND($P1269=FALSE, $A1269=TRUE), 0, IF($P1269=TRUE, (J1269 / $R1269) * 100 * ($S1269 / 100)-J1269, ))), )</f>
        <v/>
      </c>
      <c r="AD1269" s="32" t="str">
        <f t="shared" si="1273"/>
        <v/>
      </c>
      <c r="AE1269" s="32" t="str">
        <f t="shared" si="1273"/>
        <v/>
      </c>
      <c r="AF1269" s="32" t="str">
        <f t="shared" si="1273"/>
        <v/>
      </c>
      <c r="AG1269" s="32" t="str">
        <f t="shared" si="1273"/>
        <v/>
      </c>
      <c r="AH1269" s="33"/>
    </row>
    <row r="1270" hidden="1" outlineLevel="3">
      <c r="A1270" s="16" t="b">
        <v>0</v>
      </c>
      <c r="B1270" s="17"/>
      <c r="C1270" s="18"/>
      <c r="D1270" s="19"/>
      <c r="E1270" s="20"/>
      <c r="F1270" s="21"/>
      <c r="G1270" s="22"/>
      <c r="H1270" s="22"/>
      <c r="I1270" s="23"/>
      <c r="J1270" s="22"/>
      <c r="K1270" s="23"/>
      <c r="L1270" s="22"/>
      <c r="M1270" s="23"/>
      <c r="N1270" s="23"/>
      <c r="O1270" s="24"/>
      <c r="P1270" s="16" t="b">
        <v>0</v>
      </c>
      <c r="Q1270" s="24"/>
      <c r="R1270" s="25"/>
      <c r="S1270" s="26"/>
      <c r="T1270" s="27"/>
      <c r="U1270" s="24"/>
      <c r="V1270" s="38" t="s">
        <v>29</v>
      </c>
      <c r="W1270" s="29" t="s">
        <v>22</v>
      </c>
      <c r="X1270" s="37" t="s">
        <v>860</v>
      </c>
      <c r="Y1270" s="31"/>
      <c r="Z1270" s="26" t="str">
        <f t="shared" si="5"/>
        <v/>
      </c>
      <c r="AA1270" s="26" t="str">
        <f t="shared" si="6"/>
        <v/>
      </c>
      <c r="AB1270" s="32" t="str">
        <f t="shared" si="7"/>
        <v/>
      </c>
      <c r="AC1270" s="32" t="str">
        <f t="shared" ref="AC1270:AG1270" si="1274">IF(J1270&lt;&gt;"", IF(AND($P1270=FALSE, $A1270=FALSE), -J1270, IF(AND($P1270=FALSE, $A1270=TRUE), 0, IF($P1270=TRUE, (J1270 / $R1270) * 100 * ($S1270 / 100)-J1270, ))), )</f>
        <v/>
      </c>
      <c r="AD1270" s="32" t="str">
        <f t="shared" si="1274"/>
        <v/>
      </c>
      <c r="AE1270" s="32" t="str">
        <f t="shared" si="1274"/>
        <v/>
      </c>
      <c r="AF1270" s="32" t="str">
        <f t="shared" si="1274"/>
        <v/>
      </c>
      <c r="AG1270" s="32" t="str">
        <f t="shared" si="1274"/>
        <v/>
      </c>
      <c r="AH1270" s="33"/>
    </row>
    <row r="1271" hidden="1" outlineLevel="2" collapsed="1">
      <c r="A1271" s="16" t="b">
        <v>0</v>
      </c>
      <c r="B1271" s="17"/>
      <c r="C1271" s="18"/>
      <c r="D1271" s="42">
        <v>45276.0</v>
      </c>
      <c r="E1271" s="80" t="s">
        <v>60</v>
      </c>
      <c r="F1271" s="53" t="s">
        <v>630</v>
      </c>
      <c r="G1271" s="45">
        <v>3.0</v>
      </c>
      <c r="H1271" s="45">
        <v>1.5</v>
      </c>
      <c r="I1271" s="45">
        <v>3.0</v>
      </c>
      <c r="J1271" s="45"/>
      <c r="K1271" s="79"/>
      <c r="L1271" s="45"/>
      <c r="M1271" s="46"/>
      <c r="N1271" s="46"/>
      <c r="O1271" s="47"/>
      <c r="P1271" s="16" t="b">
        <v>0</v>
      </c>
      <c r="Q1271" s="24"/>
      <c r="R1271" s="48">
        <v>7.5</v>
      </c>
      <c r="S1271" s="45">
        <v>18.31</v>
      </c>
      <c r="T1271" s="49" t="s">
        <v>570</v>
      </c>
      <c r="U1271" s="47"/>
      <c r="V1271" s="28"/>
      <c r="W1271" s="29"/>
      <c r="X1271" s="30"/>
      <c r="Y1271" s="31"/>
      <c r="Z1271" s="26">
        <f t="shared" si="5"/>
        <v>-3</v>
      </c>
      <c r="AA1271" s="26">
        <f t="shared" si="6"/>
        <v>-3</v>
      </c>
      <c r="AB1271" s="32">
        <f t="shared" si="7"/>
        <v>-1.5</v>
      </c>
      <c r="AC1271" s="32" t="str">
        <f t="shared" ref="AC1271:AG1271" si="1275">IF(J1271&lt;&gt;"", IF(AND($P1271=FALSE, $A1271=FALSE), -J1271, IF(AND($P1271=FALSE, $A1271=TRUE), 0, IF($P1271=TRUE, (J1271 / $R1271) * 100 * ($S1271 / 100)-J1271, ))), )</f>
        <v/>
      </c>
      <c r="AD1271" s="32" t="str">
        <f t="shared" si="1275"/>
        <v/>
      </c>
      <c r="AE1271" s="32" t="str">
        <f t="shared" si="1275"/>
        <v/>
      </c>
      <c r="AF1271" s="32" t="str">
        <f t="shared" si="1275"/>
        <v/>
      </c>
      <c r="AG1271" s="32" t="str">
        <f t="shared" si="1275"/>
        <v/>
      </c>
      <c r="AH1271" s="33"/>
    </row>
    <row r="1272" hidden="1" outlineLevel="3">
      <c r="A1272" s="16" t="b">
        <v>0</v>
      </c>
      <c r="B1272" s="17"/>
      <c r="C1272" s="18"/>
      <c r="D1272" s="19"/>
      <c r="E1272" s="20"/>
      <c r="F1272" s="21"/>
      <c r="G1272" s="22"/>
      <c r="H1272" s="22"/>
      <c r="I1272" s="23"/>
      <c r="J1272" s="22"/>
      <c r="K1272" s="23"/>
      <c r="L1272" s="22"/>
      <c r="M1272" s="23"/>
      <c r="N1272" s="23"/>
      <c r="O1272" s="24"/>
      <c r="P1272" s="16" t="b">
        <v>0</v>
      </c>
      <c r="Q1272" s="24"/>
      <c r="R1272" s="25"/>
      <c r="S1272" s="26"/>
      <c r="T1272" s="27"/>
      <c r="U1272" s="24"/>
      <c r="V1272" s="38" t="s">
        <v>29</v>
      </c>
      <c r="W1272" s="29" t="s">
        <v>22</v>
      </c>
      <c r="X1272" s="37" t="s">
        <v>219</v>
      </c>
      <c r="Y1272" s="31"/>
      <c r="Z1272" s="26" t="str">
        <f t="shared" si="5"/>
        <v/>
      </c>
      <c r="AA1272" s="26" t="str">
        <f t="shared" si="6"/>
        <v/>
      </c>
      <c r="AB1272" s="32" t="str">
        <f t="shared" si="7"/>
        <v/>
      </c>
      <c r="AC1272" s="32" t="str">
        <f t="shared" ref="AC1272:AG1272" si="1276">IF(J1272&lt;&gt;"", IF(AND($P1272=FALSE, $A1272=FALSE), -J1272, IF(AND($P1272=FALSE, $A1272=TRUE), 0, IF($P1272=TRUE, (J1272 / $R1272) * 100 * ($S1272 / 100)-J1272, ))), )</f>
        <v/>
      </c>
      <c r="AD1272" s="32" t="str">
        <f t="shared" si="1276"/>
        <v/>
      </c>
      <c r="AE1272" s="32" t="str">
        <f t="shared" si="1276"/>
        <v/>
      </c>
      <c r="AF1272" s="32" t="str">
        <f t="shared" si="1276"/>
        <v/>
      </c>
      <c r="AG1272" s="32" t="str">
        <f t="shared" si="1276"/>
        <v/>
      </c>
      <c r="AH1272" s="33"/>
    </row>
    <row r="1273" hidden="1" outlineLevel="3">
      <c r="A1273" s="16" t="b">
        <v>0</v>
      </c>
      <c r="B1273" s="17"/>
      <c r="C1273" s="18"/>
      <c r="D1273" s="19"/>
      <c r="E1273" s="20"/>
      <c r="F1273" s="21"/>
      <c r="G1273" s="22"/>
      <c r="H1273" s="22"/>
      <c r="I1273" s="23"/>
      <c r="J1273" s="22"/>
      <c r="K1273" s="23"/>
      <c r="L1273" s="22"/>
      <c r="M1273" s="23"/>
      <c r="N1273" s="23"/>
      <c r="O1273" s="24"/>
      <c r="P1273" s="16" t="b">
        <v>0</v>
      </c>
      <c r="Q1273" s="24"/>
      <c r="R1273" s="25"/>
      <c r="S1273" s="26"/>
      <c r="T1273" s="27"/>
      <c r="U1273" s="24"/>
      <c r="V1273" s="38" t="s">
        <v>29</v>
      </c>
      <c r="W1273" s="29" t="s">
        <v>22</v>
      </c>
      <c r="X1273" s="37" t="s">
        <v>861</v>
      </c>
      <c r="Y1273" s="31"/>
      <c r="Z1273" s="26" t="str">
        <f t="shared" si="5"/>
        <v/>
      </c>
      <c r="AA1273" s="26" t="str">
        <f t="shared" si="6"/>
        <v/>
      </c>
      <c r="AB1273" s="32" t="str">
        <f t="shared" si="7"/>
        <v/>
      </c>
      <c r="AC1273" s="32" t="str">
        <f t="shared" ref="AC1273:AG1273" si="1277">IF(J1273&lt;&gt;"", IF(AND($P1273=FALSE, $A1273=FALSE), -J1273, IF(AND($P1273=FALSE, $A1273=TRUE), 0, IF($P1273=TRUE, (J1273 / $R1273) * 100 * ($S1273 / 100)-J1273, ))), )</f>
        <v/>
      </c>
      <c r="AD1273" s="32" t="str">
        <f t="shared" si="1277"/>
        <v/>
      </c>
      <c r="AE1273" s="32" t="str">
        <f t="shared" si="1277"/>
        <v/>
      </c>
      <c r="AF1273" s="32" t="str">
        <f t="shared" si="1277"/>
        <v/>
      </c>
      <c r="AG1273" s="32" t="str">
        <f t="shared" si="1277"/>
        <v/>
      </c>
      <c r="AH1273" s="33"/>
    </row>
    <row r="1274" hidden="1" outlineLevel="3">
      <c r="A1274" s="16" t="b">
        <v>0</v>
      </c>
      <c r="B1274" s="17"/>
      <c r="C1274" s="18"/>
      <c r="D1274" s="19"/>
      <c r="E1274" s="20"/>
      <c r="F1274" s="21"/>
      <c r="G1274" s="22"/>
      <c r="H1274" s="22"/>
      <c r="I1274" s="23"/>
      <c r="J1274" s="22"/>
      <c r="K1274" s="23"/>
      <c r="L1274" s="22"/>
      <c r="M1274" s="23"/>
      <c r="N1274" s="23"/>
      <c r="O1274" s="24"/>
      <c r="P1274" s="16" t="b">
        <v>0</v>
      </c>
      <c r="Q1274" s="24"/>
      <c r="R1274" s="25"/>
      <c r="S1274" s="26"/>
      <c r="T1274" s="27"/>
      <c r="U1274" s="24"/>
      <c r="V1274" s="28" t="s">
        <v>32</v>
      </c>
      <c r="W1274" s="29" t="s">
        <v>22</v>
      </c>
      <c r="X1274" s="37" t="s">
        <v>216</v>
      </c>
      <c r="Y1274" s="31"/>
      <c r="Z1274" s="26" t="str">
        <f t="shared" si="5"/>
        <v/>
      </c>
      <c r="AA1274" s="26" t="str">
        <f t="shared" si="6"/>
        <v/>
      </c>
      <c r="AB1274" s="32" t="str">
        <f t="shared" si="7"/>
        <v/>
      </c>
      <c r="AC1274" s="32" t="str">
        <f t="shared" ref="AC1274:AG1274" si="1278">IF(J1274&lt;&gt;"", IF(AND($P1274=FALSE, $A1274=FALSE), -J1274, IF(AND($P1274=FALSE, $A1274=TRUE), 0, IF($P1274=TRUE, (J1274 / $R1274) * 100 * ($S1274 / 100)-J1274, ))), )</f>
        <v/>
      </c>
      <c r="AD1274" s="32" t="str">
        <f t="shared" si="1278"/>
        <v/>
      </c>
      <c r="AE1274" s="32" t="str">
        <f t="shared" si="1278"/>
        <v/>
      </c>
      <c r="AF1274" s="32" t="str">
        <f t="shared" si="1278"/>
        <v/>
      </c>
      <c r="AG1274" s="32" t="str">
        <f t="shared" si="1278"/>
        <v/>
      </c>
      <c r="AH1274" s="33"/>
    </row>
    <row r="1275" hidden="1" outlineLevel="3">
      <c r="A1275" s="16" t="b">
        <v>0</v>
      </c>
      <c r="B1275" s="17"/>
      <c r="C1275" s="18"/>
      <c r="D1275" s="19"/>
      <c r="E1275" s="20"/>
      <c r="F1275" s="21"/>
      <c r="G1275" s="22"/>
      <c r="H1275" s="22"/>
      <c r="I1275" s="23"/>
      <c r="J1275" s="22"/>
      <c r="K1275" s="23"/>
      <c r="L1275" s="22"/>
      <c r="M1275" s="23"/>
      <c r="N1275" s="23"/>
      <c r="O1275" s="24"/>
      <c r="P1275" s="16" t="b">
        <v>0</v>
      </c>
      <c r="Q1275" s="24"/>
      <c r="R1275" s="25"/>
      <c r="S1275" s="26"/>
      <c r="T1275" s="27"/>
      <c r="U1275" s="24"/>
      <c r="V1275" s="38" t="s">
        <v>29</v>
      </c>
      <c r="W1275" s="29" t="s">
        <v>22</v>
      </c>
      <c r="X1275" s="37" t="s">
        <v>455</v>
      </c>
      <c r="Y1275" s="31"/>
      <c r="Z1275" s="26" t="str">
        <f t="shared" si="5"/>
        <v/>
      </c>
      <c r="AA1275" s="26" t="str">
        <f t="shared" si="6"/>
        <v/>
      </c>
      <c r="AB1275" s="32" t="str">
        <f t="shared" si="7"/>
        <v/>
      </c>
      <c r="AC1275" s="32" t="str">
        <f t="shared" ref="AC1275:AG1275" si="1279">IF(J1275&lt;&gt;"", IF(AND($P1275=FALSE, $A1275=FALSE), -J1275, IF(AND($P1275=FALSE, $A1275=TRUE), 0, IF($P1275=TRUE, (J1275 / $R1275) * 100 * ($S1275 / 100)-J1275, ))), )</f>
        <v/>
      </c>
      <c r="AD1275" s="32" t="str">
        <f t="shared" si="1279"/>
        <v/>
      </c>
      <c r="AE1275" s="32" t="str">
        <f t="shared" si="1279"/>
        <v/>
      </c>
      <c r="AF1275" s="32" t="str">
        <f t="shared" si="1279"/>
        <v/>
      </c>
      <c r="AG1275" s="32" t="str">
        <f t="shared" si="1279"/>
        <v/>
      </c>
      <c r="AH1275" s="33"/>
    </row>
    <row r="1276" hidden="1" outlineLevel="3">
      <c r="A1276" s="16" t="b">
        <v>0</v>
      </c>
      <c r="B1276" s="17"/>
      <c r="C1276" s="18"/>
      <c r="D1276" s="19"/>
      <c r="E1276" s="20"/>
      <c r="F1276" s="21"/>
      <c r="G1276" s="22"/>
      <c r="H1276" s="22"/>
      <c r="I1276" s="23"/>
      <c r="J1276" s="22"/>
      <c r="K1276" s="23"/>
      <c r="L1276" s="22"/>
      <c r="M1276" s="23"/>
      <c r="N1276" s="23"/>
      <c r="O1276" s="24"/>
      <c r="P1276" s="16" t="b">
        <v>0</v>
      </c>
      <c r="Q1276" s="24"/>
      <c r="R1276" s="25"/>
      <c r="S1276" s="26"/>
      <c r="T1276" s="27"/>
      <c r="U1276" s="24"/>
      <c r="V1276" s="38" t="s">
        <v>29</v>
      </c>
      <c r="W1276" s="29" t="s">
        <v>22</v>
      </c>
      <c r="X1276" s="37" t="s">
        <v>454</v>
      </c>
      <c r="Y1276" s="31"/>
      <c r="Z1276" s="26" t="str">
        <f t="shared" si="5"/>
        <v/>
      </c>
      <c r="AA1276" s="26" t="str">
        <f t="shared" si="6"/>
        <v/>
      </c>
      <c r="AB1276" s="32" t="str">
        <f t="shared" si="7"/>
        <v/>
      </c>
      <c r="AC1276" s="32" t="str">
        <f t="shared" ref="AC1276:AG1276" si="1280">IF(J1276&lt;&gt;"", IF(AND($P1276=FALSE, $A1276=FALSE), -J1276, IF(AND($P1276=FALSE, $A1276=TRUE), 0, IF($P1276=TRUE, (J1276 / $R1276) * 100 * ($S1276 / 100)-J1276, ))), )</f>
        <v/>
      </c>
      <c r="AD1276" s="32" t="str">
        <f t="shared" si="1280"/>
        <v/>
      </c>
      <c r="AE1276" s="32" t="str">
        <f t="shared" si="1280"/>
        <v/>
      </c>
      <c r="AF1276" s="32" t="str">
        <f t="shared" si="1280"/>
        <v/>
      </c>
      <c r="AG1276" s="32" t="str">
        <f t="shared" si="1280"/>
        <v/>
      </c>
      <c r="AH1276" s="33"/>
    </row>
    <row r="1277" hidden="1" outlineLevel="2" collapsed="1">
      <c r="A1277" s="16" t="b">
        <v>0</v>
      </c>
      <c r="B1277" s="17"/>
      <c r="C1277" s="18"/>
      <c r="D1277" s="42">
        <v>45276.0</v>
      </c>
      <c r="E1277" s="80" t="s">
        <v>60</v>
      </c>
      <c r="F1277" s="53" t="s">
        <v>630</v>
      </c>
      <c r="G1277" s="45">
        <v>3.25</v>
      </c>
      <c r="H1277" s="45">
        <v>1.75</v>
      </c>
      <c r="I1277" s="45">
        <v>3.25</v>
      </c>
      <c r="J1277" s="45"/>
      <c r="K1277" s="79"/>
      <c r="L1277" s="45"/>
      <c r="M1277" s="46"/>
      <c r="N1277" s="46"/>
      <c r="O1277" s="47"/>
      <c r="P1277" s="16" t="b">
        <v>1</v>
      </c>
      <c r="Q1277" s="24"/>
      <c r="R1277" s="48">
        <v>8.25</v>
      </c>
      <c r="S1277" s="45">
        <v>17.29</v>
      </c>
      <c r="T1277" s="49" t="s">
        <v>529</v>
      </c>
      <c r="U1277" s="47"/>
      <c r="V1277" s="28"/>
      <c r="W1277" s="29"/>
      <c r="X1277" s="30"/>
      <c r="Y1277" s="31"/>
      <c r="Z1277" s="26">
        <f t="shared" si="5"/>
        <v>3.561212121</v>
      </c>
      <c r="AA1277" s="26">
        <f t="shared" si="6"/>
        <v>3.561212121</v>
      </c>
      <c r="AB1277" s="32">
        <f t="shared" si="7"/>
        <v>1.917575758</v>
      </c>
      <c r="AC1277" s="32" t="str">
        <f t="shared" ref="AC1277:AG1277" si="1281">IF(J1277&lt;&gt;"", IF(AND($P1277=FALSE, $A1277=FALSE), -J1277, IF(AND($P1277=FALSE, $A1277=TRUE), 0, IF($P1277=TRUE, (J1277 / $R1277) * 100 * ($S1277 / 100)-J1277, ))), )</f>
        <v/>
      </c>
      <c r="AD1277" s="32" t="str">
        <f t="shared" si="1281"/>
        <v/>
      </c>
      <c r="AE1277" s="32" t="str">
        <f t="shared" si="1281"/>
        <v/>
      </c>
      <c r="AF1277" s="32" t="str">
        <f t="shared" si="1281"/>
        <v/>
      </c>
      <c r="AG1277" s="32" t="str">
        <f t="shared" si="1281"/>
        <v/>
      </c>
      <c r="AH1277" s="33"/>
    </row>
    <row r="1278" hidden="1" outlineLevel="3">
      <c r="A1278" s="16" t="b">
        <v>0</v>
      </c>
      <c r="B1278" s="17"/>
      <c r="C1278" s="18"/>
      <c r="D1278" s="19"/>
      <c r="E1278" s="20"/>
      <c r="F1278" s="21"/>
      <c r="G1278" s="22"/>
      <c r="H1278" s="22"/>
      <c r="I1278" s="23"/>
      <c r="J1278" s="22"/>
      <c r="K1278" s="23"/>
      <c r="L1278" s="22"/>
      <c r="M1278" s="23"/>
      <c r="N1278" s="23"/>
      <c r="O1278" s="24"/>
      <c r="P1278" s="16" t="b">
        <v>0</v>
      </c>
      <c r="Q1278" s="24"/>
      <c r="R1278" s="25"/>
      <c r="S1278" s="26"/>
      <c r="T1278" s="27"/>
      <c r="U1278" s="24"/>
      <c r="V1278" s="38" t="s">
        <v>29</v>
      </c>
      <c r="W1278" s="29" t="s">
        <v>22</v>
      </c>
      <c r="X1278" s="37" t="s">
        <v>814</v>
      </c>
      <c r="Y1278" s="31"/>
      <c r="Z1278" s="26" t="str">
        <f t="shared" si="5"/>
        <v/>
      </c>
      <c r="AA1278" s="26" t="str">
        <f t="shared" si="6"/>
        <v/>
      </c>
      <c r="AB1278" s="32" t="str">
        <f t="shared" si="7"/>
        <v/>
      </c>
      <c r="AC1278" s="32" t="str">
        <f t="shared" ref="AC1278:AG1278" si="1282">IF(J1278&lt;&gt;"", IF(AND($P1278=FALSE, $A1278=FALSE), -J1278, IF(AND($P1278=FALSE, $A1278=TRUE), 0, IF($P1278=TRUE, (J1278 / $R1278) * 100 * ($S1278 / 100)-J1278, ))), )</f>
        <v/>
      </c>
      <c r="AD1278" s="32" t="str">
        <f t="shared" si="1282"/>
        <v/>
      </c>
      <c r="AE1278" s="32" t="str">
        <f t="shared" si="1282"/>
        <v/>
      </c>
      <c r="AF1278" s="32" t="str">
        <f t="shared" si="1282"/>
        <v/>
      </c>
      <c r="AG1278" s="32" t="str">
        <f t="shared" si="1282"/>
        <v/>
      </c>
      <c r="AH1278" s="33"/>
    </row>
    <row r="1279" hidden="1" outlineLevel="3">
      <c r="A1279" s="16" t="b">
        <v>0</v>
      </c>
      <c r="B1279" s="17"/>
      <c r="C1279" s="18"/>
      <c r="D1279" s="19"/>
      <c r="E1279" s="20"/>
      <c r="F1279" s="21"/>
      <c r="G1279" s="22"/>
      <c r="H1279" s="22"/>
      <c r="I1279" s="23"/>
      <c r="J1279" s="22"/>
      <c r="K1279" s="23"/>
      <c r="L1279" s="22"/>
      <c r="M1279" s="23"/>
      <c r="N1279" s="23"/>
      <c r="O1279" s="24"/>
      <c r="P1279" s="16" t="b">
        <v>0</v>
      </c>
      <c r="Q1279" s="24"/>
      <c r="R1279" s="25"/>
      <c r="S1279" s="26"/>
      <c r="T1279" s="27"/>
      <c r="U1279" s="24"/>
      <c r="V1279" s="38" t="s">
        <v>29</v>
      </c>
      <c r="W1279" s="29" t="s">
        <v>22</v>
      </c>
      <c r="X1279" s="37" t="s">
        <v>862</v>
      </c>
      <c r="Y1279" s="31"/>
      <c r="Z1279" s="26" t="str">
        <f t="shared" si="5"/>
        <v/>
      </c>
      <c r="AA1279" s="26" t="str">
        <f t="shared" si="6"/>
        <v/>
      </c>
      <c r="AB1279" s="32" t="str">
        <f t="shared" si="7"/>
        <v/>
      </c>
      <c r="AC1279" s="32" t="str">
        <f t="shared" ref="AC1279:AG1279" si="1283">IF(J1279&lt;&gt;"", IF(AND($P1279=FALSE, $A1279=FALSE), -J1279, IF(AND($P1279=FALSE, $A1279=TRUE), 0, IF($P1279=TRUE, (J1279 / $R1279) * 100 * ($S1279 / 100)-J1279, ))), )</f>
        <v/>
      </c>
      <c r="AD1279" s="32" t="str">
        <f t="shared" si="1283"/>
        <v/>
      </c>
      <c r="AE1279" s="32" t="str">
        <f t="shared" si="1283"/>
        <v/>
      </c>
      <c r="AF1279" s="32" t="str">
        <f t="shared" si="1283"/>
        <v/>
      </c>
      <c r="AG1279" s="32" t="str">
        <f t="shared" si="1283"/>
        <v/>
      </c>
      <c r="AH1279" s="33"/>
    </row>
    <row r="1280" hidden="1" outlineLevel="3">
      <c r="A1280" s="16" t="b">
        <v>0</v>
      </c>
      <c r="B1280" s="17"/>
      <c r="C1280" s="18"/>
      <c r="D1280" s="19"/>
      <c r="E1280" s="20"/>
      <c r="F1280" s="21"/>
      <c r="G1280" s="22"/>
      <c r="H1280" s="22"/>
      <c r="I1280" s="23"/>
      <c r="J1280" s="22"/>
      <c r="K1280" s="23"/>
      <c r="L1280" s="22"/>
      <c r="M1280" s="23"/>
      <c r="N1280" s="23"/>
      <c r="O1280" s="24"/>
      <c r="P1280" s="16" t="b">
        <v>0</v>
      </c>
      <c r="Q1280" s="24"/>
      <c r="R1280" s="25"/>
      <c r="S1280" s="26"/>
      <c r="T1280" s="27"/>
      <c r="U1280" s="24"/>
      <c r="V1280" s="38" t="s">
        <v>29</v>
      </c>
      <c r="W1280" s="29" t="s">
        <v>22</v>
      </c>
      <c r="X1280" s="37" t="s">
        <v>368</v>
      </c>
      <c r="Y1280" s="31"/>
      <c r="Z1280" s="26" t="str">
        <f t="shared" si="5"/>
        <v/>
      </c>
      <c r="AA1280" s="26" t="str">
        <f t="shared" si="6"/>
        <v/>
      </c>
      <c r="AB1280" s="32" t="str">
        <f t="shared" si="7"/>
        <v/>
      </c>
      <c r="AC1280" s="32" t="str">
        <f t="shared" ref="AC1280:AG1280" si="1284">IF(J1280&lt;&gt;"", IF(AND($P1280=FALSE, $A1280=FALSE), -J1280, IF(AND($P1280=FALSE, $A1280=TRUE), 0, IF($P1280=TRUE, (J1280 / $R1280) * 100 * ($S1280 / 100)-J1280, ))), )</f>
        <v/>
      </c>
      <c r="AD1280" s="32" t="str">
        <f t="shared" si="1284"/>
        <v/>
      </c>
      <c r="AE1280" s="32" t="str">
        <f t="shared" si="1284"/>
        <v/>
      </c>
      <c r="AF1280" s="32" t="str">
        <f t="shared" si="1284"/>
        <v/>
      </c>
      <c r="AG1280" s="32" t="str">
        <f t="shared" si="1284"/>
        <v/>
      </c>
      <c r="AH1280" s="33"/>
    </row>
    <row r="1281" hidden="1" outlineLevel="2" collapsed="1">
      <c r="A1281" s="16" t="b">
        <v>0</v>
      </c>
      <c r="B1281" s="17"/>
      <c r="C1281" s="18"/>
      <c r="D1281" s="42">
        <v>45276.0</v>
      </c>
      <c r="E1281" s="80" t="s">
        <v>863</v>
      </c>
      <c r="F1281" s="53" t="s">
        <v>864</v>
      </c>
      <c r="G1281" s="45">
        <v>2.0</v>
      </c>
      <c r="H1281" s="45"/>
      <c r="I1281" s="45">
        <v>10.0</v>
      </c>
      <c r="J1281" s="45"/>
      <c r="K1281" s="79"/>
      <c r="L1281" s="45"/>
      <c r="M1281" s="46"/>
      <c r="N1281" s="46"/>
      <c r="O1281" s="47"/>
      <c r="P1281" s="16" t="b">
        <v>1</v>
      </c>
      <c r="Q1281" s="24"/>
      <c r="R1281" s="48">
        <v>12.0</v>
      </c>
      <c r="S1281" s="45">
        <v>31.2</v>
      </c>
      <c r="T1281" s="49" t="s">
        <v>865</v>
      </c>
      <c r="U1281" s="47"/>
      <c r="V1281" s="28"/>
      <c r="W1281" s="29"/>
      <c r="X1281" s="37"/>
      <c r="Y1281" s="31"/>
      <c r="Z1281" s="26">
        <f t="shared" si="5"/>
        <v>3.2</v>
      </c>
      <c r="AA1281" s="26">
        <f t="shared" si="6"/>
        <v>16</v>
      </c>
      <c r="AB1281" s="32" t="str">
        <f t="shared" si="7"/>
        <v/>
      </c>
      <c r="AC1281" s="32" t="str">
        <f t="shared" ref="AC1281:AG1281" si="1285">IF(J1281&lt;&gt;"", IF(AND($P1281=FALSE, $A1281=FALSE), -J1281, IF(AND($P1281=FALSE, $A1281=TRUE), 0, IF($P1281=TRUE, (J1281 / $R1281) * 100 * ($S1281 / 100)-J1281, ))), )</f>
        <v/>
      </c>
      <c r="AD1281" s="32" t="str">
        <f t="shared" si="1285"/>
        <v/>
      </c>
      <c r="AE1281" s="32" t="str">
        <f t="shared" si="1285"/>
        <v/>
      </c>
      <c r="AF1281" s="32" t="str">
        <f t="shared" si="1285"/>
        <v/>
      </c>
      <c r="AG1281" s="32" t="str">
        <f t="shared" si="1285"/>
        <v/>
      </c>
      <c r="AH1281" s="33"/>
    </row>
    <row r="1282" hidden="1" outlineLevel="3">
      <c r="A1282" s="16" t="b">
        <v>0</v>
      </c>
      <c r="B1282" s="17"/>
      <c r="C1282" s="18"/>
      <c r="D1282" s="19"/>
      <c r="E1282" s="20"/>
      <c r="F1282" s="21"/>
      <c r="G1282" s="22"/>
      <c r="H1282" s="22"/>
      <c r="I1282" s="23"/>
      <c r="J1282" s="22"/>
      <c r="K1282" s="23"/>
      <c r="L1282" s="22"/>
      <c r="M1282" s="23"/>
      <c r="N1282" s="23"/>
      <c r="O1282" s="24"/>
      <c r="P1282" s="16" t="b">
        <v>0</v>
      </c>
      <c r="Q1282" s="24"/>
      <c r="R1282" s="25"/>
      <c r="S1282" s="26"/>
      <c r="T1282" s="27"/>
      <c r="U1282" s="24"/>
      <c r="V1282" s="38" t="s">
        <v>29</v>
      </c>
      <c r="W1282" s="29" t="s">
        <v>22</v>
      </c>
      <c r="X1282" s="37" t="s">
        <v>866</v>
      </c>
      <c r="Y1282" s="31"/>
      <c r="Z1282" s="26" t="str">
        <f t="shared" si="5"/>
        <v/>
      </c>
      <c r="AA1282" s="26" t="str">
        <f t="shared" si="6"/>
        <v/>
      </c>
      <c r="AB1282" s="32" t="str">
        <f t="shared" si="7"/>
        <v/>
      </c>
      <c r="AC1282" s="32" t="str">
        <f t="shared" ref="AC1282:AG1282" si="1286">IF(J1282&lt;&gt;"", IF(AND($P1282=FALSE, $A1282=FALSE), -J1282, IF(AND($P1282=FALSE, $A1282=TRUE), 0, IF($P1282=TRUE, (J1282 / $R1282) * 100 * ($S1282 / 100)-J1282, ))), )</f>
        <v/>
      </c>
      <c r="AD1282" s="32" t="str">
        <f t="shared" si="1286"/>
        <v/>
      </c>
      <c r="AE1282" s="32" t="str">
        <f t="shared" si="1286"/>
        <v/>
      </c>
      <c r="AF1282" s="32" t="str">
        <f t="shared" si="1286"/>
        <v/>
      </c>
      <c r="AG1282" s="32" t="str">
        <f t="shared" si="1286"/>
        <v/>
      </c>
      <c r="AH1282" s="33"/>
    </row>
    <row r="1283" hidden="1" outlineLevel="3">
      <c r="A1283" s="16" t="b">
        <v>0</v>
      </c>
      <c r="B1283" s="17"/>
      <c r="C1283" s="18"/>
      <c r="D1283" s="19"/>
      <c r="E1283" s="20"/>
      <c r="F1283" s="21"/>
      <c r="G1283" s="22"/>
      <c r="H1283" s="22"/>
      <c r="I1283" s="23"/>
      <c r="J1283" s="22"/>
      <c r="K1283" s="23"/>
      <c r="L1283" s="22"/>
      <c r="M1283" s="23"/>
      <c r="N1283" s="23"/>
      <c r="O1283" s="24"/>
      <c r="P1283" s="16" t="b">
        <v>0</v>
      </c>
      <c r="Q1283" s="24"/>
      <c r="R1283" s="25"/>
      <c r="S1283" s="26"/>
      <c r="T1283" s="27"/>
      <c r="U1283" s="24"/>
      <c r="V1283" s="38" t="s">
        <v>29</v>
      </c>
      <c r="W1283" s="29" t="s">
        <v>22</v>
      </c>
      <c r="X1283" s="37" t="s">
        <v>867</v>
      </c>
      <c r="Y1283" s="31"/>
      <c r="Z1283" s="26" t="str">
        <f t="shared" si="5"/>
        <v/>
      </c>
      <c r="AA1283" s="26" t="str">
        <f t="shared" si="6"/>
        <v/>
      </c>
      <c r="AB1283" s="32" t="str">
        <f t="shared" si="7"/>
        <v/>
      </c>
      <c r="AC1283" s="32" t="str">
        <f t="shared" ref="AC1283:AG1283" si="1287">IF(J1283&lt;&gt;"", IF(AND($P1283=FALSE, $A1283=FALSE), -J1283, IF(AND($P1283=FALSE, $A1283=TRUE), 0, IF($P1283=TRUE, (J1283 / $R1283) * 100 * ($S1283 / 100)-J1283, ))), )</f>
        <v/>
      </c>
      <c r="AD1283" s="32" t="str">
        <f t="shared" si="1287"/>
        <v/>
      </c>
      <c r="AE1283" s="32" t="str">
        <f t="shared" si="1287"/>
        <v/>
      </c>
      <c r="AF1283" s="32" t="str">
        <f t="shared" si="1287"/>
        <v/>
      </c>
      <c r="AG1283" s="32" t="str">
        <f t="shared" si="1287"/>
        <v/>
      </c>
      <c r="AH1283" s="33"/>
    </row>
    <row r="1284" hidden="1" outlineLevel="2">
      <c r="A1284" s="16" t="b">
        <v>0</v>
      </c>
      <c r="B1284" s="17"/>
      <c r="C1284" s="18"/>
      <c r="D1284" s="42">
        <v>45276.0</v>
      </c>
      <c r="E1284" s="43" t="s">
        <v>24</v>
      </c>
      <c r="F1284" s="53" t="s">
        <v>817</v>
      </c>
      <c r="G1284" s="45">
        <v>3.0</v>
      </c>
      <c r="H1284" s="45">
        <v>1.5</v>
      </c>
      <c r="I1284" s="45">
        <v>5.5</v>
      </c>
      <c r="J1284" s="46"/>
      <c r="K1284" s="46"/>
      <c r="L1284" s="45"/>
      <c r="M1284" s="46"/>
      <c r="N1284" s="46"/>
      <c r="O1284" s="47"/>
      <c r="P1284" s="16" t="b">
        <v>0</v>
      </c>
      <c r="Q1284" s="24"/>
      <c r="R1284" s="48">
        <v>10.0</v>
      </c>
      <c r="S1284" s="45">
        <v>22.0</v>
      </c>
      <c r="T1284" s="49" t="s">
        <v>221</v>
      </c>
      <c r="U1284" s="47"/>
      <c r="V1284" s="28"/>
      <c r="W1284" s="29"/>
      <c r="X1284" s="30"/>
      <c r="Y1284" s="31"/>
      <c r="Z1284" s="26">
        <f t="shared" si="5"/>
        <v>-3</v>
      </c>
      <c r="AA1284" s="26">
        <f t="shared" si="6"/>
        <v>-5.5</v>
      </c>
      <c r="AB1284" s="32">
        <f t="shared" si="7"/>
        <v>-1.5</v>
      </c>
      <c r="AC1284" s="32" t="str">
        <f t="shared" ref="AC1284:AG1284" si="1288">IF(J1284&lt;&gt;"", IF(AND($P1284=FALSE, $A1284=FALSE), -J1284, IF(AND($P1284=FALSE, $A1284=TRUE), 0, IF($P1284=TRUE, (J1284 / $R1284) * 100 * ($S1284 / 100)-J1284, ))), )</f>
        <v/>
      </c>
      <c r="AD1284" s="32" t="str">
        <f t="shared" si="1288"/>
        <v/>
      </c>
      <c r="AE1284" s="32" t="str">
        <f t="shared" si="1288"/>
        <v/>
      </c>
      <c r="AF1284" s="32" t="str">
        <f t="shared" si="1288"/>
        <v/>
      </c>
      <c r="AG1284" s="32" t="str">
        <f t="shared" si="1288"/>
        <v/>
      </c>
      <c r="AH1284" s="33"/>
    </row>
    <row r="1285" hidden="1" outlineLevel="3">
      <c r="A1285" s="16" t="b">
        <v>0</v>
      </c>
      <c r="B1285" s="17"/>
      <c r="C1285" s="18"/>
      <c r="D1285" s="19"/>
      <c r="E1285" s="20"/>
      <c r="F1285" s="21"/>
      <c r="G1285" s="22"/>
      <c r="H1285" s="22"/>
      <c r="I1285" s="23"/>
      <c r="J1285" s="22"/>
      <c r="K1285" s="23"/>
      <c r="L1285" s="22"/>
      <c r="M1285" s="23"/>
      <c r="N1285" s="23"/>
      <c r="O1285" s="24"/>
      <c r="P1285" s="16" t="b">
        <v>0</v>
      </c>
      <c r="Q1285" s="24"/>
      <c r="R1285" s="25"/>
      <c r="S1285" s="26"/>
      <c r="T1285" s="27"/>
      <c r="U1285" s="24"/>
      <c r="V1285" s="28" t="s">
        <v>32</v>
      </c>
      <c r="W1285" s="29" t="s">
        <v>22</v>
      </c>
      <c r="X1285" s="37" t="s">
        <v>379</v>
      </c>
      <c r="Y1285" s="31"/>
      <c r="Z1285" s="26" t="str">
        <f t="shared" si="5"/>
        <v/>
      </c>
      <c r="AA1285" s="26" t="str">
        <f t="shared" si="6"/>
        <v/>
      </c>
      <c r="AB1285" s="32" t="str">
        <f t="shared" si="7"/>
        <v/>
      </c>
      <c r="AC1285" s="32" t="str">
        <f t="shared" ref="AC1285:AG1285" si="1289">IF(J1285&lt;&gt;"", IF(AND($P1285=FALSE, $A1285=FALSE), -J1285, IF(AND($P1285=FALSE, $A1285=TRUE), 0, IF($P1285=TRUE, (J1285 / $R1285) * 100 * ($S1285 / 100)-J1285, ))), )</f>
        <v/>
      </c>
      <c r="AD1285" s="32" t="str">
        <f t="shared" si="1289"/>
        <v/>
      </c>
      <c r="AE1285" s="32" t="str">
        <f t="shared" si="1289"/>
        <v/>
      </c>
      <c r="AF1285" s="32" t="str">
        <f t="shared" si="1289"/>
        <v/>
      </c>
      <c r="AG1285" s="32" t="str">
        <f t="shared" si="1289"/>
        <v/>
      </c>
      <c r="AH1285" s="33"/>
    </row>
    <row r="1286" hidden="1" outlineLevel="3">
      <c r="A1286" s="16" t="b">
        <v>0</v>
      </c>
      <c r="B1286" s="17"/>
      <c r="C1286" s="18"/>
      <c r="D1286" s="19"/>
      <c r="E1286" s="20"/>
      <c r="F1286" s="21"/>
      <c r="G1286" s="22"/>
      <c r="H1286" s="22"/>
      <c r="I1286" s="23"/>
      <c r="J1286" s="22"/>
      <c r="K1286" s="23"/>
      <c r="L1286" s="22"/>
      <c r="M1286" s="23"/>
      <c r="N1286" s="23"/>
      <c r="O1286" s="24"/>
      <c r="P1286" s="16" t="b">
        <v>0</v>
      </c>
      <c r="Q1286" s="24"/>
      <c r="R1286" s="25"/>
      <c r="S1286" s="26"/>
      <c r="T1286" s="27"/>
      <c r="U1286" s="24"/>
      <c r="V1286" s="38" t="s">
        <v>29</v>
      </c>
      <c r="W1286" s="29" t="s">
        <v>22</v>
      </c>
      <c r="X1286" s="37" t="s">
        <v>787</v>
      </c>
      <c r="Y1286" s="31"/>
      <c r="Z1286" s="26" t="str">
        <f t="shared" si="5"/>
        <v/>
      </c>
      <c r="AA1286" s="26" t="str">
        <f t="shared" si="6"/>
        <v/>
      </c>
      <c r="AB1286" s="32" t="str">
        <f t="shared" si="7"/>
        <v/>
      </c>
      <c r="AC1286" s="32" t="str">
        <f t="shared" ref="AC1286:AG1286" si="1290">IF(J1286&lt;&gt;"", IF(AND($P1286=FALSE, $A1286=FALSE), -J1286, IF(AND($P1286=FALSE, $A1286=TRUE), 0, IF($P1286=TRUE, (J1286 / $R1286) * 100 * ($S1286 / 100)-J1286, ))), )</f>
        <v/>
      </c>
      <c r="AD1286" s="32" t="str">
        <f t="shared" si="1290"/>
        <v/>
      </c>
      <c r="AE1286" s="32" t="str">
        <f t="shared" si="1290"/>
        <v/>
      </c>
      <c r="AF1286" s="32" t="str">
        <f t="shared" si="1290"/>
        <v/>
      </c>
      <c r="AG1286" s="32" t="str">
        <f t="shared" si="1290"/>
        <v/>
      </c>
      <c r="AH1286" s="33"/>
    </row>
    <row r="1287" hidden="1" outlineLevel="3">
      <c r="A1287" s="16" t="b">
        <v>0</v>
      </c>
      <c r="B1287" s="17"/>
      <c r="C1287" s="18"/>
      <c r="D1287" s="19"/>
      <c r="E1287" s="20"/>
      <c r="F1287" s="21"/>
      <c r="G1287" s="22"/>
      <c r="H1287" s="22"/>
      <c r="I1287" s="23"/>
      <c r="J1287" s="22"/>
      <c r="K1287" s="23"/>
      <c r="L1287" s="22"/>
      <c r="M1287" s="23"/>
      <c r="N1287" s="23"/>
      <c r="O1287" s="24"/>
      <c r="P1287" s="16" t="b">
        <v>0</v>
      </c>
      <c r="Q1287" s="24"/>
      <c r="R1287" s="25"/>
      <c r="S1287" s="26"/>
      <c r="T1287" s="27"/>
      <c r="U1287" s="24"/>
      <c r="V1287" s="28" t="s">
        <v>32</v>
      </c>
      <c r="W1287" s="29" t="s">
        <v>22</v>
      </c>
      <c r="X1287" s="37" t="s">
        <v>786</v>
      </c>
      <c r="Y1287" s="31"/>
      <c r="Z1287" s="26" t="str">
        <f t="shared" si="5"/>
        <v/>
      </c>
      <c r="AA1287" s="26" t="str">
        <f t="shared" si="6"/>
        <v/>
      </c>
      <c r="AB1287" s="32" t="str">
        <f t="shared" si="7"/>
        <v/>
      </c>
      <c r="AC1287" s="32" t="str">
        <f t="shared" ref="AC1287:AG1287" si="1291">IF(J1287&lt;&gt;"", IF(AND($P1287=FALSE, $A1287=FALSE), -J1287, IF(AND($P1287=FALSE, $A1287=TRUE), 0, IF($P1287=TRUE, (J1287 / $R1287) * 100 * ($S1287 / 100)-J1287, ))), )</f>
        <v/>
      </c>
      <c r="AD1287" s="32" t="str">
        <f t="shared" si="1291"/>
        <v/>
      </c>
      <c r="AE1287" s="32" t="str">
        <f t="shared" si="1291"/>
        <v/>
      </c>
      <c r="AF1287" s="32" t="str">
        <f t="shared" si="1291"/>
        <v/>
      </c>
      <c r="AG1287" s="32" t="str">
        <f t="shared" si="1291"/>
        <v/>
      </c>
      <c r="AH1287" s="33"/>
    </row>
    <row r="1288" hidden="1" outlineLevel="1" collapsed="1">
      <c r="A1288" s="16" t="b">
        <v>0</v>
      </c>
      <c r="B1288" s="17"/>
      <c r="C1288" s="18"/>
      <c r="D1288" s="42">
        <v>45277.0</v>
      </c>
      <c r="E1288" s="43" t="s">
        <v>24</v>
      </c>
      <c r="F1288" s="53" t="s">
        <v>817</v>
      </c>
      <c r="G1288" s="45">
        <v>3.0</v>
      </c>
      <c r="H1288" s="45">
        <v>1.5</v>
      </c>
      <c r="I1288" s="45">
        <v>3.0</v>
      </c>
      <c r="J1288" s="46"/>
      <c r="K1288" s="46"/>
      <c r="L1288" s="45"/>
      <c r="M1288" s="46"/>
      <c r="N1288" s="46"/>
      <c r="O1288" s="47"/>
      <c r="P1288" s="16" t="b">
        <v>1</v>
      </c>
      <c r="Q1288" s="24"/>
      <c r="R1288" s="48">
        <v>7.5</v>
      </c>
      <c r="S1288" s="45">
        <v>15.36</v>
      </c>
      <c r="T1288" s="49" t="s">
        <v>621</v>
      </c>
      <c r="U1288" s="47"/>
      <c r="V1288" s="28"/>
      <c r="W1288" s="29"/>
      <c r="X1288" s="30"/>
      <c r="Y1288" s="31"/>
      <c r="Z1288" s="26">
        <f t="shared" si="5"/>
        <v>3.144</v>
      </c>
      <c r="AA1288" s="26">
        <f t="shared" si="6"/>
        <v>3.144</v>
      </c>
      <c r="AB1288" s="32">
        <f t="shared" si="7"/>
        <v>1.572</v>
      </c>
      <c r="AC1288" s="32" t="str">
        <f t="shared" ref="AC1288:AG1288" si="1292">IF(J1288&lt;&gt;"", IF(AND($P1288=FALSE, $A1288=FALSE), -J1288, IF(AND($P1288=FALSE, $A1288=TRUE), 0, IF($P1288=TRUE, (J1288 / $R1288) * 100 * ($S1288 / 100)-J1288, ))), )</f>
        <v/>
      </c>
      <c r="AD1288" s="32" t="str">
        <f t="shared" si="1292"/>
        <v/>
      </c>
      <c r="AE1288" s="32" t="str">
        <f t="shared" si="1292"/>
        <v/>
      </c>
      <c r="AF1288" s="32" t="str">
        <f t="shared" si="1292"/>
        <v/>
      </c>
      <c r="AG1288" s="32" t="str">
        <f t="shared" si="1292"/>
        <v/>
      </c>
      <c r="AH1288" s="33"/>
    </row>
    <row r="1289" hidden="1" outlineLevel="3">
      <c r="A1289" s="16" t="b">
        <v>0</v>
      </c>
      <c r="B1289" s="17"/>
      <c r="C1289" s="18"/>
      <c r="D1289" s="19"/>
      <c r="E1289" s="20"/>
      <c r="F1289" s="21"/>
      <c r="G1289" s="22"/>
      <c r="H1289" s="22"/>
      <c r="I1289" s="23"/>
      <c r="J1289" s="22"/>
      <c r="K1289" s="23"/>
      <c r="L1289" s="22"/>
      <c r="M1289" s="23"/>
      <c r="N1289" s="23"/>
      <c r="O1289" s="24"/>
      <c r="P1289" s="16" t="b">
        <v>0</v>
      </c>
      <c r="Q1289" s="24"/>
      <c r="R1289" s="25"/>
      <c r="S1289" s="26"/>
      <c r="T1289" s="27"/>
      <c r="U1289" s="24"/>
      <c r="V1289" s="38" t="s">
        <v>29</v>
      </c>
      <c r="W1289" s="29" t="s">
        <v>22</v>
      </c>
      <c r="X1289" s="37" t="s">
        <v>868</v>
      </c>
      <c r="Y1289" s="31"/>
      <c r="Z1289" s="26" t="str">
        <f t="shared" si="5"/>
        <v/>
      </c>
      <c r="AA1289" s="26" t="str">
        <f t="shared" si="6"/>
        <v/>
      </c>
      <c r="AB1289" s="32" t="str">
        <f t="shared" si="7"/>
        <v/>
      </c>
      <c r="AC1289" s="32" t="str">
        <f t="shared" ref="AC1289:AG1289" si="1293">IF(J1289&lt;&gt;"", IF(AND($P1289=FALSE, $A1289=FALSE), -J1289, IF(AND($P1289=FALSE, $A1289=TRUE), 0, IF($P1289=TRUE, (J1289 / $R1289) * 100 * ($S1289 / 100)-J1289, ))), )</f>
        <v/>
      </c>
      <c r="AD1289" s="32" t="str">
        <f t="shared" si="1293"/>
        <v/>
      </c>
      <c r="AE1289" s="32" t="str">
        <f t="shared" si="1293"/>
        <v/>
      </c>
      <c r="AF1289" s="32" t="str">
        <f t="shared" si="1293"/>
        <v/>
      </c>
      <c r="AG1289" s="32" t="str">
        <f t="shared" si="1293"/>
        <v/>
      </c>
      <c r="AH1289" s="33"/>
    </row>
    <row r="1290" hidden="1" outlineLevel="3">
      <c r="A1290" s="16" t="b">
        <v>0</v>
      </c>
      <c r="B1290" s="17"/>
      <c r="C1290" s="18"/>
      <c r="D1290" s="19"/>
      <c r="E1290" s="20"/>
      <c r="F1290" s="21"/>
      <c r="G1290" s="22"/>
      <c r="H1290" s="22"/>
      <c r="I1290" s="23"/>
      <c r="J1290" s="22"/>
      <c r="K1290" s="23"/>
      <c r="L1290" s="22"/>
      <c r="M1290" s="23"/>
      <c r="N1290" s="23"/>
      <c r="O1290" s="24"/>
      <c r="P1290" s="16" t="b">
        <v>0</v>
      </c>
      <c r="Q1290" s="24"/>
      <c r="R1290" s="25"/>
      <c r="S1290" s="26"/>
      <c r="T1290" s="27"/>
      <c r="U1290" s="24"/>
      <c r="V1290" s="38" t="s">
        <v>29</v>
      </c>
      <c r="W1290" s="29" t="s">
        <v>22</v>
      </c>
      <c r="X1290" s="37" t="s">
        <v>869</v>
      </c>
      <c r="Y1290" s="31"/>
      <c r="Z1290" s="26" t="str">
        <f t="shared" si="5"/>
        <v/>
      </c>
      <c r="AA1290" s="26" t="str">
        <f t="shared" si="6"/>
        <v/>
      </c>
      <c r="AB1290" s="32" t="str">
        <f t="shared" si="7"/>
        <v/>
      </c>
      <c r="AC1290" s="32" t="str">
        <f t="shared" ref="AC1290:AG1290" si="1294">IF(J1290&lt;&gt;"", IF(AND($P1290=FALSE, $A1290=FALSE), -J1290, IF(AND($P1290=FALSE, $A1290=TRUE), 0, IF($P1290=TRUE, (J1290 / $R1290) * 100 * ($S1290 / 100)-J1290, ))), )</f>
        <v/>
      </c>
      <c r="AD1290" s="32" t="str">
        <f t="shared" si="1294"/>
        <v/>
      </c>
      <c r="AE1290" s="32" t="str">
        <f t="shared" si="1294"/>
        <v/>
      </c>
      <c r="AF1290" s="32" t="str">
        <f t="shared" si="1294"/>
        <v/>
      </c>
      <c r="AG1290" s="32" t="str">
        <f t="shared" si="1294"/>
        <v/>
      </c>
      <c r="AH1290" s="33"/>
    </row>
    <row r="1291" hidden="1" outlineLevel="3">
      <c r="A1291" s="16" t="b">
        <v>0</v>
      </c>
      <c r="B1291" s="17"/>
      <c r="C1291" s="18"/>
      <c r="D1291" s="19"/>
      <c r="E1291" s="20"/>
      <c r="F1291" s="21"/>
      <c r="G1291" s="22"/>
      <c r="H1291" s="22"/>
      <c r="I1291" s="23"/>
      <c r="J1291" s="22"/>
      <c r="K1291" s="23"/>
      <c r="L1291" s="22"/>
      <c r="M1291" s="23"/>
      <c r="N1291" s="23"/>
      <c r="O1291" s="24"/>
      <c r="P1291" s="16" t="b">
        <v>0</v>
      </c>
      <c r="Q1291" s="24"/>
      <c r="R1291" s="25"/>
      <c r="S1291" s="26"/>
      <c r="T1291" s="27"/>
      <c r="U1291" s="24"/>
      <c r="V1291" s="38" t="s">
        <v>29</v>
      </c>
      <c r="W1291" s="29" t="s">
        <v>22</v>
      </c>
      <c r="X1291" s="37" t="s">
        <v>870</v>
      </c>
      <c r="Y1291" s="31"/>
      <c r="Z1291" s="26" t="str">
        <f t="shared" si="5"/>
        <v/>
      </c>
      <c r="AA1291" s="26" t="str">
        <f t="shared" si="6"/>
        <v/>
      </c>
      <c r="AB1291" s="32" t="str">
        <f t="shared" si="7"/>
        <v/>
      </c>
      <c r="AC1291" s="32" t="str">
        <f t="shared" ref="AC1291:AG1291" si="1295">IF(J1291&lt;&gt;"", IF(AND($P1291=FALSE, $A1291=FALSE), -J1291, IF(AND($P1291=FALSE, $A1291=TRUE), 0, IF($P1291=TRUE, (J1291 / $R1291) * 100 * ($S1291 / 100)-J1291, ))), )</f>
        <v/>
      </c>
      <c r="AD1291" s="32" t="str">
        <f t="shared" si="1295"/>
        <v/>
      </c>
      <c r="AE1291" s="32" t="str">
        <f t="shared" si="1295"/>
        <v/>
      </c>
      <c r="AF1291" s="32" t="str">
        <f t="shared" si="1295"/>
        <v/>
      </c>
      <c r="AG1291" s="32" t="str">
        <f t="shared" si="1295"/>
        <v/>
      </c>
      <c r="AH1291" s="33"/>
    </row>
    <row r="1292" hidden="1" outlineLevel="2" collapsed="1">
      <c r="A1292" s="16" t="b">
        <v>0</v>
      </c>
      <c r="B1292" s="17"/>
      <c r="C1292" s="18"/>
      <c r="D1292" s="42">
        <v>45277.0</v>
      </c>
      <c r="E1292" s="43" t="s">
        <v>24</v>
      </c>
      <c r="F1292" s="53" t="s">
        <v>817</v>
      </c>
      <c r="G1292" s="45">
        <v>2.0</v>
      </c>
      <c r="H1292" s="45">
        <v>1.0</v>
      </c>
      <c r="I1292" s="45">
        <v>1.0</v>
      </c>
      <c r="J1292" s="46"/>
      <c r="K1292" s="46"/>
      <c r="L1292" s="45"/>
      <c r="M1292" s="46"/>
      <c r="N1292" s="46"/>
      <c r="O1292" s="47"/>
      <c r="P1292" s="16" t="b">
        <v>0</v>
      </c>
      <c r="Q1292" s="24"/>
      <c r="R1292" s="48">
        <v>4.0</v>
      </c>
      <c r="S1292" s="45">
        <v>10.4</v>
      </c>
      <c r="T1292" s="49" t="s">
        <v>865</v>
      </c>
      <c r="U1292" s="47"/>
      <c r="V1292" s="28"/>
      <c r="W1292" s="29"/>
      <c r="X1292" s="30"/>
      <c r="Y1292" s="31"/>
      <c r="Z1292" s="26">
        <f t="shared" si="5"/>
        <v>-2</v>
      </c>
      <c r="AA1292" s="26">
        <f t="shared" si="6"/>
        <v>-1</v>
      </c>
      <c r="AB1292" s="32">
        <f t="shared" si="7"/>
        <v>-1</v>
      </c>
      <c r="AC1292" s="32" t="str">
        <f t="shared" ref="AC1292:AG1292" si="1296">IF(J1292&lt;&gt;"", IF(AND($P1292=FALSE, $A1292=FALSE), -J1292, IF(AND($P1292=FALSE, $A1292=TRUE), 0, IF($P1292=TRUE, (J1292 / $R1292) * 100 * ($S1292 / 100)-J1292, ))), )</f>
        <v/>
      </c>
      <c r="AD1292" s="32" t="str">
        <f t="shared" si="1296"/>
        <v/>
      </c>
      <c r="AE1292" s="32" t="str">
        <f t="shared" si="1296"/>
        <v/>
      </c>
      <c r="AF1292" s="32" t="str">
        <f t="shared" si="1296"/>
        <v/>
      </c>
      <c r="AG1292" s="32" t="str">
        <f t="shared" si="1296"/>
        <v/>
      </c>
      <c r="AH1292" s="33"/>
    </row>
    <row r="1293" hidden="1" outlineLevel="3">
      <c r="A1293" s="16" t="b">
        <v>0</v>
      </c>
      <c r="B1293" s="17"/>
      <c r="C1293" s="18"/>
      <c r="D1293" s="19"/>
      <c r="E1293" s="20"/>
      <c r="F1293" s="21"/>
      <c r="G1293" s="22"/>
      <c r="H1293" s="22"/>
      <c r="I1293" s="23"/>
      <c r="J1293" s="22"/>
      <c r="K1293" s="23"/>
      <c r="L1293" s="22"/>
      <c r="M1293" s="23"/>
      <c r="N1293" s="23"/>
      <c r="O1293" s="24"/>
      <c r="P1293" s="16" t="b">
        <v>0</v>
      </c>
      <c r="Q1293" s="24"/>
      <c r="R1293" s="25"/>
      <c r="S1293" s="26"/>
      <c r="T1293" s="27"/>
      <c r="U1293" s="24"/>
      <c r="V1293" s="28" t="s">
        <v>32</v>
      </c>
      <c r="W1293" s="29" t="s">
        <v>22</v>
      </c>
      <c r="X1293" s="37" t="s">
        <v>242</v>
      </c>
      <c r="Y1293" s="31"/>
      <c r="Z1293" s="26" t="str">
        <f t="shared" si="5"/>
        <v/>
      </c>
      <c r="AA1293" s="26" t="str">
        <f t="shared" si="6"/>
        <v/>
      </c>
      <c r="AB1293" s="32" t="str">
        <f t="shared" si="7"/>
        <v/>
      </c>
      <c r="AC1293" s="32" t="str">
        <f t="shared" ref="AC1293:AG1293" si="1297">IF(J1293&lt;&gt;"", IF(AND($P1293=FALSE, $A1293=FALSE), -J1293, IF(AND($P1293=FALSE, $A1293=TRUE), 0, IF($P1293=TRUE, (J1293 / $R1293) * 100 * ($S1293 / 100)-J1293, ))), )</f>
        <v/>
      </c>
      <c r="AD1293" s="32" t="str">
        <f t="shared" si="1297"/>
        <v/>
      </c>
      <c r="AE1293" s="32" t="str">
        <f t="shared" si="1297"/>
        <v/>
      </c>
      <c r="AF1293" s="32" t="str">
        <f t="shared" si="1297"/>
        <v/>
      </c>
      <c r="AG1293" s="32" t="str">
        <f t="shared" si="1297"/>
        <v/>
      </c>
      <c r="AH1293" s="33"/>
    </row>
    <row r="1294" hidden="1" outlineLevel="3">
      <c r="A1294" s="16" t="b">
        <v>0</v>
      </c>
      <c r="B1294" s="17"/>
      <c r="C1294" s="18"/>
      <c r="D1294" s="19"/>
      <c r="E1294" s="20"/>
      <c r="F1294" s="21"/>
      <c r="G1294" s="22"/>
      <c r="H1294" s="22"/>
      <c r="I1294" s="23"/>
      <c r="J1294" s="22"/>
      <c r="K1294" s="23"/>
      <c r="L1294" s="22"/>
      <c r="M1294" s="23"/>
      <c r="N1294" s="23"/>
      <c r="O1294" s="24"/>
      <c r="P1294" s="16" t="b">
        <v>0</v>
      </c>
      <c r="Q1294" s="24"/>
      <c r="R1294" s="25"/>
      <c r="S1294" s="26"/>
      <c r="T1294" s="27"/>
      <c r="U1294" s="24"/>
      <c r="V1294" s="28" t="s">
        <v>32</v>
      </c>
      <c r="W1294" s="29" t="s">
        <v>22</v>
      </c>
      <c r="X1294" s="37" t="s">
        <v>871</v>
      </c>
      <c r="Y1294" s="31"/>
      <c r="Z1294" s="26" t="str">
        <f t="shared" si="5"/>
        <v/>
      </c>
      <c r="AA1294" s="26" t="str">
        <f t="shared" si="6"/>
        <v/>
      </c>
      <c r="AB1294" s="32" t="str">
        <f t="shared" si="7"/>
        <v/>
      </c>
      <c r="AC1294" s="32" t="str">
        <f t="shared" ref="AC1294:AG1294" si="1298">IF(J1294&lt;&gt;"", IF(AND($P1294=FALSE, $A1294=FALSE), -J1294, IF(AND($P1294=FALSE, $A1294=TRUE), 0, IF($P1294=TRUE, (J1294 / $R1294) * 100 * ($S1294 / 100)-J1294, ))), )</f>
        <v/>
      </c>
      <c r="AD1294" s="32" t="str">
        <f t="shared" si="1298"/>
        <v/>
      </c>
      <c r="AE1294" s="32" t="str">
        <f t="shared" si="1298"/>
        <v/>
      </c>
      <c r="AF1294" s="32" t="str">
        <f t="shared" si="1298"/>
        <v/>
      </c>
      <c r="AG1294" s="32" t="str">
        <f t="shared" si="1298"/>
        <v/>
      </c>
      <c r="AH1294" s="33"/>
    </row>
    <row r="1295" hidden="1" outlineLevel="2" collapsed="1">
      <c r="A1295" s="16" t="b">
        <v>0</v>
      </c>
      <c r="B1295" s="17"/>
      <c r="C1295" s="18"/>
      <c r="D1295" s="42">
        <v>45277.0</v>
      </c>
      <c r="E1295" s="43" t="s">
        <v>24</v>
      </c>
      <c r="F1295" s="53" t="s">
        <v>817</v>
      </c>
      <c r="G1295" s="45">
        <v>2.0</v>
      </c>
      <c r="H1295" s="45">
        <v>1.0</v>
      </c>
      <c r="I1295" s="45">
        <v>2.0</v>
      </c>
      <c r="J1295" s="46"/>
      <c r="K1295" s="46"/>
      <c r="L1295" s="45"/>
      <c r="M1295" s="46"/>
      <c r="N1295" s="46"/>
      <c r="O1295" s="47"/>
      <c r="P1295" s="16" t="b">
        <v>0</v>
      </c>
      <c r="Q1295" s="24"/>
      <c r="R1295" s="48">
        <v>5.0</v>
      </c>
      <c r="S1295" s="45">
        <v>10.8</v>
      </c>
      <c r="T1295" s="49" t="s">
        <v>489</v>
      </c>
      <c r="U1295" s="47"/>
      <c r="V1295" s="28"/>
      <c r="W1295" s="29"/>
      <c r="X1295" s="30"/>
      <c r="Y1295" s="31"/>
      <c r="Z1295" s="26">
        <f t="shared" si="5"/>
        <v>-2</v>
      </c>
      <c r="AA1295" s="26">
        <f t="shared" si="6"/>
        <v>-2</v>
      </c>
      <c r="AB1295" s="32">
        <f t="shared" si="7"/>
        <v>-1</v>
      </c>
      <c r="AC1295" s="32" t="str">
        <f t="shared" ref="AC1295:AG1295" si="1299">IF(J1295&lt;&gt;"", IF(AND($P1295=FALSE, $A1295=FALSE), -J1295, IF(AND($P1295=FALSE, $A1295=TRUE), 0, IF($P1295=TRUE, (J1295 / $R1295) * 100 * ($S1295 / 100)-J1295, ))), )</f>
        <v/>
      </c>
      <c r="AD1295" s="32" t="str">
        <f t="shared" si="1299"/>
        <v/>
      </c>
      <c r="AE1295" s="32" t="str">
        <f t="shared" si="1299"/>
        <v/>
      </c>
      <c r="AF1295" s="32" t="str">
        <f t="shared" si="1299"/>
        <v/>
      </c>
      <c r="AG1295" s="32" t="str">
        <f t="shared" si="1299"/>
        <v/>
      </c>
      <c r="AH1295" s="33"/>
    </row>
    <row r="1296" hidden="1" outlineLevel="3">
      <c r="A1296" s="16" t="b">
        <v>0</v>
      </c>
      <c r="B1296" s="17"/>
      <c r="C1296" s="18"/>
      <c r="D1296" s="19"/>
      <c r="E1296" s="20"/>
      <c r="F1296" s="21"/>
      <c r="G1296" s="22"/>
      <c r="H1296" s="22"/>
      <c r="I1296" s="23"/>
      <c r="J1296" s="22"/>
      <c r="K1296" s="23"/>
      <c r="L1296" s="22"/>
      <c r="M1296" s="23"/>
      <c r="N1296" s="23"/>
      <c r="O1296" s="24"/>
      <c r="P1296" s="16" t="b">
        <v>0</v>
      </c>
      <c r="Q1296" s="24"/>
      <c r="R1296" s="25"/>
      <c r="S1296" s="26"/>
      <c r="T1296" s="27"/>
      <c r="U1296" s="24"/>
      <c r="V1296" s="28" t="s">
        <v>32</v>
      </c>
      <c r="W1296" s="29" t="s">
        <v>22</v>
      </c>
      <c r="X1296" s="37" t="s">
        <v>872</v>
      </c>
      <c r="Y1296" s="31"/>
      <c r="Z1296" s="26" t="str">
        <f t="shared" si="5"/>
        <v/>
      </c>
      <c r="AA1296" s="26" t="str">
        <f t="shared" si="6"/>
        <v/>
      </c>
      <c r="AB1296" s="32" t="str">
        <f t="shared" si="7"/>
        <v/>
      </c>
      <c r="AC1296" s="32" t="str">
        <f t="shared" ref="AC1296:AG1296" si="1300">IF(J1296&lt;&gt;"", IF(AND($P1296=FALSE, $A1296=FALSE), -J1296, IF(AND($P1296=FALSE, $A1296=TRUE), 0, IF($P1296=TRUE, (J1296 / $R1296) * 100 * ($S1296 / 100)-J1296, ))), )</f>
        <v/>
      </c>
      <c r="AD1296" s="32" t="str">
        <f t="shared" si="1300"/>
        <v/>
      </c>
      <c r="AE1296" s="32" t="str">
        <f t="shared" si="1300"/>
        <v/>
      </c>
      <c r="AF1296" s="32" t="str">
        <f t="shared" si="1300"/>
        <v/>
      </c>
      <c r="AG1296" s="32" t="str">
        <f t="shared" si="1300"/>
        <v/>
      </c>
      <c r="AH1296" s="33"/>
    </row>
    <row r="1297" hidden="1" outlineLevel="3">
      <c r="A1297" s="16" t="b">
        <v>0</v>
      </c>
      <c r="B1297" s="17"/>
      <c r="C1297" s="18"/>
      <c r="D1297" s="19"/>
      <c r="E1297" s="20"/>
      <c r="F1297" s="21"/>
      <c r="G1297" s="22"/>
      <c r="H1297" s="22"/>
      <c r="I1297" s="23"/>
      <c r="J1297" s="22"/>
      <c r="K1297" s="23"/>
      <c r="L1297" s="22"/>
      <c r="M1297" s="23"/>
      <c r="N1297" s="23"/>
      <c r="O1297" s="24"/>
      <c r="P1297" s="16" t="b">
        <v>0</v>
      </c>
      <c r="Q1297" s="24"/>
      <c r="R1297" s="25"/>
      <c r="S1297" s="26"/>
      <c r="T1297" s="27"/>
      <c r="U1297" s="24"/>
      <c r="V1297" s="28" t="s">
        <v>32</v>
      </c>
      <c r="W1297" s="29" t="s">
        <v>22</v>
      </c>
      <c r="X1297" s="37" t="s">
        <v>322</v>
      </c>
      <c r="Y1297" s="31"/>
      <c r="Z1297" s="26" t="str">
        <f t="shared" si="5"/>
        <v/>
      </c>
      <c r="AA1297" s="26" t="str">
        <f t="shared" si="6"/>
        <v/>
      </c>
      <c r="AB1297" s="32" t="str">
        <f t="shared" si="7"/>
        <v/>
      </c>
      <c r="AC1297" s="32" t="str">
        <f t="shared" ref="AC1297:AG1297" si="1301">IF(J1297&lt;&gt;"", IF(AND($P1297=FALSE, $A1297=FALSE), -J1297, IF(AND($P1297=FALSE, $A1297=TRUE), 0, IF($P1297=TRUE, (J1297 / $R1297) * 100 * ($S1297 / 100)-J1297, ))), )</f>
        <v/>
      </c>
      <c r="AD1297" s="32" t="str">
        <f t="shared" si="1301"/>
        <v/>
      </c>
      <c r="AE1297" s="32" t="str">
        <f t="shared" si="1301"/>
        <v/>
      </c>
      <c r="AF1297" s="32" t="str">
        <f t="shared" si="1301"/>
        <v/>
      </c>
      <c r="AG1297" s="32" t="str">
        <f t="shared" si="1301"/>
        <v/>
      </c>
      <c r="AH1297" s="33"/>
    </row>
    <row r="1298" hidden="1" outlineLevel="2" collapsed="1">
      <c r="A1298" s="16" t="b">
        <v>0</v>
      </c>
      <c r="B1298" s="17"/>
      <c r="C1298" s="18"/>
      <c r="D1298" s="42">
        <v>45277.0</v>
      </c>
      <c r="E1298" s="43" t="s">
        <v>24</v>
      </c>
      <c r="F1298" s="53" t="s">
        <v>817</v>
      </c>
      <c r="G1298" s="45">
        <v>2.0</v>
      </c>
      <c r="H1298" s="45">
        <v>1.0</v>
      </c>
      <c r="I1298" s="45"/>
      <c r="J1298" s="46"/>
      <c r="K1298" s="46"/>
      <c r="L1298" s="45"/>
      <c r="M1298" s="46"/>
      <c r="N1298" s="46"/>
      <c r="O1298" s="47"/>
      <c r="P1298" s="16" t="b">
        <v>0</v>
      </c>
      <c r="Q1298" s="24"/>
      <c r="R1298" s="48">
        <v>3.0</v>
      </c>
      <c r="S1298" s="45">
        <v>7.61</v>
      </c>
      <c r="T1298" s="49" t="s">
        <v>316</v>
      </c>
      <c r="U1298" s="47"/>
      <c r="V1298" s="28"/>
      <c r="W1298" s="29"/>
      <c r="X1298" s="30"/>
      <c r="Y1298" s="31"/>
      <c r="Z1298" s="26">
        <f t="shared" si="5"/>
        <v>-2</v>
      </c>
      <c r="AA1298" s="26" t="str">
        <f t="shared" si="6"/>
        <v/>
      </c>
      <c r="AB1298" s="32">
        <f t="shared" si="7"/>
        <v>-1</v>
      </c>
      <c r="AC1298" s="32" t="str">
        <f t="shared" ref="AC1298:AG1298" si="1302">IF(J1298&lt;&gt;"", IF(AND($P1298=FALSE, $A1298=FALSE), -J1298, IF(AND($P1298=FALSE, $A1298=TRUE), 0, IF($P1298=TRUE, (J1298 / $R1298) * 100 * ($S1298 / 100)-J1298, ))), )</f>
        <v/>
      </c>
      <c r="AD1298" s="32" t="str">
        <f t="shared" si="1302"/>
        <v/>
      </c>
      <c r="AE1298" s="32" t="str">
        <f t="shared" si="1302"/>
        <v/>
      </c>
      <c r="AF1298" s="32" t="str">
        <f t="shared" si="1302"/>
        <v/>
      </c>
      <c r="AG1298" s="32" t="str">
        <f t="shared" si="1302"/>
        <v/>
      </c>
      <c r="AH1298" s="33"/>
    </row>
    <row r="1299" hidden="1" outlineLevel="3">
      <c r="A1299" s="16" t="b">
        <v>0</v>
      </c>
      <c r="B1299" s="17"/>
      <c r="C1299" s="18"/>
      <c r="D1299" s="19"/>
      <c r="E1299" s="20"/>
      <c r="F1299" s="21"/>
      <c r="G1299" s="22"/>
      <c r="H1299" s="22"/>
      <c r="I1299" s="23"/>
      <c r="J1299" s="22"/>
      <c r="K1299" s="23"/>
      <c r="L1299" s="22"/>
      <c r="M1299" s="23"/>
      <c r="N1299" s="23"/>
      <c r="O1299" s="24"/>
      <c r="P1299" s="16" t="b">
        <v>0</v>
      </c>
      <c r="Q1299" s="24"/>
      <c r="R1299" s="25"/>
      <c r="S1299" s="26"/>
      <c r="T1299" s="27"/>
      <c r="U1299" s="24"/>
      <c r="V1299" s="38" t="s">
        <v>29</v>
      </c>
      <c r="W1299" s="29" t="s">
        <v>22</v>
      </c>
      <c r="X1299" s="37" t="s">
        <v>873</v>
      </c>
      <c r="Y1299" s="31"/>
      <c r="Z1299" s="26" t="str">
        <f t="shared" si="5"/>
        <v/>
      </c>
      <c r="AA1299" s="26" t="str">
        <f t="shared" si="6"/>
        <v/>
      </c>
      <c r="AB1299" s="32" t="str">
        <f t="shared" si="7"/>
        <v/>
      </c>
      <c r="AC1299" s="32" t="str">
        <f t="shared" ref="AC1299:AG1299" si="1303">IF(J1299&lt;&gt;"", IF(AND($P1299=FALSE, $A1299=FALSE), -J1299, IF(AND($P1299=FALSE, $A1299=TRUE), 0, IF($P1299=TRUE, (J1299 / $R1299) * 100 * ($S1299 / 100)-J1299, ))), )</f>
        <v/>
      </c>
      <c r="AD1299" s="32" t="str">
        <f t="shared" si="1303"/>
        <v/>
      </c>
      <c r="AE1299" s="32" t="str">
        <f t="shared" si="1303"/>
        <v/>
      </c>
      <c r="AF1299" s="32" t="str">
        <f t="shared" si="1303"/>
        <v/>
      </c>
      <c r="AG1299" s="32" t="str">
        <f t="shared" si="1303"/>
        <v/>
      </c>
      <c r="AH1299" s="33"/>
    </row>
    <row r="1300" hidden="1" outlineLevel="3">
      <c r="A1300" s="16" t="b">
        <v>0</v>
      </c>
      <c r="B1300" s="17"/>
      <c r="C1300" s="18"/>
      <c r="D1300" s="19"/>
      <c r="E1300" s="20"/>
      <c r="F1300" s="21"/>
      <c r="G1300" s="22"/>
      <c r="H1300" s="22"/>
      <c r="I1300" s="23"/>
      <c r="J1300" s="22"/>
      <c r="K1300" s="23"/>
      <c r="L1300" s="22"/>
      <c r="M1300" s="23"/>
      <c r="N1300" s="23"/>
      <c r="O1300" s="24"/>
      <c r="P1300" s="16" t="b">
        <v>0</v>
      </c>
      <c r="Q1300" s="24"/>
      <c r="R1300" s="25"/>
      <c r="S1300" s="26"/>
      <c r="T1300" s="27"/>
      <c r="U1300" s="24"/>
      <c r="V1300" s="38" t="s">
        <v>29</v>
      </c>
      <c r="W1300" s="29" t="s">
        <v>22</v>
      </c>
      <c r="X1300" s="37" t="s">
        <v>535</v>
      </c>
      <c r="Y1300" s="31"/>
      <c r="Z1300" s="26" t="str">
        <f t="shared" si="5"/>
        <v/>
      </c>
      <c r="AA1300" s="26" t="str">
        <f t="shared" si="6"/>
        <v/>
      </c>
      <c r="AB1300" s="32" t="str">
        <f t="shared" si="7"/>
        <v/>
      </c>
      <c r="AC1300" s="32" t="str">
        <f t="shared" ref="AC1300:AG1300" si="1304">IF(J1300&lt;&gt;"", IF(AND($P1300=FALSE, $A1300=FALSE), -J1300, IF(AND($P1300=FALSE, $A1300=TRUE), 0, IF($P1300=TRUE, (J1300 / $R1300) * 100 * ($S1300 / 100)-J1300, ))), )</f>
        <v/>
      </c>
      <c r="AD1300" s="32" t="str">
        <f t="shared" si="1304"/>
        <v/>
      </c>
      <c r="AE1300" s="32" t="str">
        <f t="shared" si="1304"/>
        <v/>
      </c>
      <c r="AF1300" s="32" t="str">
        <f t="shared" si="1304"/>
        <v/>
      </c>
      <c r="AG1300" s="32" t="str">
        <f t="shared" si="1304"/>
        <v/>
      </c>
      <c r="AH1300" s="33"/>
    </row>
    <row r="1301" hidden="1" outlineLevel="3">
      <c r="A1301" s="16" t="b">
        <v>0</v>
      </c>
      <c r="B1301" s="17"/>
      <c r="C1301" s="18"/>
      <c r="D1301" s="19"/>
      <c r="E1301" s="20"/>
      <c r="F1301" s="21"/>
      <c r="G1301" s="22"/>
      <c r="H1301" s="22"/>
      <c r="I1301" s="23"/>
      <c r="J1301" s="22"/>
      <c r="K1301" s="23"/>
      <c r="L1301" s="22"/>
      <c r="M1301" s="23"/>
      <c r="N1301" s="23"/>
      <c r="O1301" s="24"/>
      <c r="P1301" s="16" t="b">
        <v>0</v>
      </c>
      <c r="Q1301" s="24"/>
      <c r="R1301" s="25"/>
      <c r="S1301" s="26"/>
      <c r="T1301" s="27"/>
      <c r="U1301" s="24"/>
      <c r="V1301" s="28" t="s">
        <v>32</v>
      </c>
      <c r="W1301" s="29" t="s">
        <v>22</v>
      </c>
      <c r="X1301" s="37" t="s">
        <v>874</v>
      </c>
      <c r="Y1301" s="31"/>
      <c r="Z1301" s="26" t="str">
        <f t="shared" si="5"/>
        <v/>
      </c>
      <c r="AA1301" s="26" t="str">
        <f t="shared" si="6"/>
        <v/>
      </c>
      <c r="AB1301" s="32" t="str">
        <f t="shared" si="7"/>
        <v/>
      </c>
      <c r="AC1301" s="32" t="str">
        <f t="shared" ref="AC1301:AG1301" si="1305">IF(J1301&lt;&gt;"", IF(AND($P1301=FALSE, $A1301=FALSE), -J1301, IF(AND($P1301=FALSE, $A1301=TRUE), 0, IF($P1301=TRUE, (J1301 / $R1301) * 100 * ($S1301 / 100)-J1301, ))), )</f>
        <v/>
      </c>
      <c r="AD1301" s="32" t="str">
        <f t="shared" si="1305"/>
        <v/>
      </c>
      <c r="AE1301" s="32" t="str">
        <f t="shared" si="1305"/>
        <v/>
      </c>
      <c r="AF1301" s="32" t="str">
        <f t="shared" si="1305"/>
        <v/>
      </c>
      <c r="AG1301" s="32" t="str">
        <f t="shared" si="1305"/>
        <v/>
      </c>
      <c r="AH1301" s="33"/>
    </row>
    <row r="1302" hidden="1" outlineLevel="2" collapsed="1">
      <c r="A1302" s="16" t="b">
        <v>0</v>
      </c>
      <c r="B1302" s="17"/>
      <c r="C1302" s="18"/>
      <c r="D1302" s="42">
        <v>45277.0</v>
      </c>
      <c r="E1302" s="43" t="s">
        <v>24</v>
      </c>
      <c r="F1302" s="53" t="s">
        <v>817</v>
      </c>
      <c r="G1302" s="45">
        <v>1.5</v>
      </c>
      <c r="H1302" s="45">
        <v>0.75</v>
      </c>
      <c r="I1302" s="45">
        <v>1.5</v>
      </c>
      <c r="J1302" s="46"/>
      <c r="K1302" s="46"/>
      <c r="L1302" s="45"/>
      <c r="M1302" s="46"/>
      <c r="N1302" s="46"/>
      <c r="O1302" s="47"/>
      <c r="P1302" s="16" t="b">
        <v>0</v>
      </c>
      <c r="Q1302" s="24"/>
      <c r="R1302" s="48">
        <v>3.75</v>
      </c>
      <c r="S1302" s="45">
        <v>20.79</v>
      </c>
      <c r="T1302" s="49" t="s">
        <v>875</v>
      </c>
      <c r="U1302" s="47"/>
      <c r="V1302" s="28"/>
      <c r="W1302" s="29"/>
      <c r="X1302" s="30"/>
      <c r="Y1302" s="31"/>
      <c r="Z1302" s="26">
        <f t="shared" si="5"/>
        <v>-1.5</v>
      </c>
      <c r="AA1302" s="26">
        <f t="shared" si="6"/>
        <v>-1.5</v>
      </c>
      <c r="AB1302" s="32">
        <f t="shared" si="7"/>
        <v>-0.75</v>
      </c>
      <c r="AC1302" s="32" t="str">
        <f t="shared" ref="AC1302:AG1302" si="1306">IF(J1302&lt;&gt;"", IF(AND($P1302=FALSE, $A1302=FALSE), -J1302, IF(AND($P1302=FALSE, $A1302=TRUE), 0, IF($P1302=TRUE, (J1302 / $R1302) * 100 * ($S1302 / 100)-J1302, ))), )</f>
        <v/>
      </c>
      <c r="AD1302" s="32" t="str">
        <f t="shared" si="1306"/>
        <v/>
      </c>
      <c r="AE1302" s="32" t="str">
        <f t="shared" si="1306"/>
        <v/>
      </c>
      <c r="AF1302" s="32" t="str">
        <f t="shared" si="1306"/>
        <v/>
      </c>
      <c r="AG1302" s="32" t="str">
        <f t="shared" si="1306"/>
        <v/>
      </c>
      <c r="AH1302" s="33"/>
    </row>
    <row r="1303" hidden="1" outlineLevel="3">
      <c r="A1303" s="16" t="b">
        <v>0</v>
      </c>
      <c r="B1303" s="17"/>
      <c r="C1303" s="18"/>
      <c r="D1303" s="19"/>
      <c r="E1303" s="20"/>
      <c r="F1303" s="21"/>
      <c r="G1303" s="22"/>
      <c r="H1303" s="22"/>
      <c r="I1303" s="23"/>
      <c r="J1303" s="22"/>
      <c r="K1303" s="23"/>
      <c r="L1303" s="22"/>
      <c r="M1303" s="23"/>
      <c r="N1303" s="23"/>
      <c r="O1303" s="24"/>
      <c r="P1303" s="16" t="b">
        <v>0</v>
      </c>
      <c r="Q1303" s="24"/>
      <c r="R1303" s="25"/>
      <c r="S1303" s="26"/>
      <c r="T1303" s="27"/>
      <c r="U1303" s="24"/>
      <c r="V1303" s="38" t="s">
        <v>29</v>
      </c>
      <c r="W1303" s="29" t="s">
        <v>22</v>
      </c>
      <c r="X1303" s="37" t="s">
        <v>876</v>
      </c>
      <c r="Y1303" s="31"/>
      <c r="Z1303" s="26" t="str">
        <f t="shared" si="5"/>
        <v/>
      </c>
      <c r="AA1303" s="26" t="str">
        <f t="shared" si="6"/>
        <v/>
      </c>
      <c r="AB1303" s="32" t="str">
        <f t="shared" si="7"/>
        <v/>
      </c>
      <c r="AC1303" s="32" t="str">
        <f t="shared" ref="AC1303:AG1303" si="1307">IF(J1303&lt;&gt;"", IF(AND($P1303=FALSE, $A1303=FALSE), -J1303, IF(AND($P1303=FALSE, $A1303=TRUE), 0, IF($P1303=TRUE, (J1303 / $R1303) * 100 * ($S1303 / 100)-J1303, ))), )</f>
        <v/>
      </c>
      <c r="AD1303" s="32" t="str">
        <f t="shared" si="1307"/>
        <v/>
      </c>
      <c r="AE1303" s="32" t="str">
        <f t="shared" si="1307"/>
        <v/>
      </c>
      <c r="AF1303" s="32" t="str">
        <f t="shared" si="1307"/>
        <v/>
      </c>
      <c r="AG1303" s="32" t="str">
        <f t="shared" si="1307"/>
        <v/>
      </c>
      <c r="AH1303" s="33"/>
    </row>
    <row r="1304" hidden="1" outlineLevel="3">
      <c r="A1304" s="16" t="b">
        <v>0</v>
      </c>
      <c r="B1304" s="17"/>
      <c r="C1304" s="18"/>
      <c r="D1304" s="19"/>
      <c r="E1304" s="20"/>
      <c r="F1304" s="21"/>
      <c r="G1304" s="22"/>
      <c r="H1304" s="22"/>
      <c r="I1304" s="23"/>
      <c r="J1304" s="22"/>
      <c r="K1304" s="23"/>
      <c r="L1304" s="22"/>
      <c r="M1304" s="23"/>
      <c r="N1304" s="23"/>
      <c r="O1304" s="24"/>
      <c r="P1304" s="16" t="b">
        <v>0</v>
      </c>
      <c r="Q1304" s="24"/>
      <c r="R1304" s="25"/>
      <c r="S1304" s="26"/>
      <c r="T1304" s="27"/>
      <c r="U1304" s="24"/>
      <c r="V1304" s="28" t="s">
        <v>32</v>
      </c>
      <c r="W1304" s="29" t="s">
        <v>22</v>
      </c>
      <c r="X1304" s="37" t="s">
        <v>877</v>
      </c>
      <c r="Y1304" s="31"/>
      <c r="Z1304" s="26" t="str">
        <f t="shared" si="5"/>
        <v/>
      </c>
      <c r="AA1304" s="26" t="str">
        <f t="shared" si="6"/>
        <v/>
      </c>
      <c r="AB1304" s="32" t="str">
        <f t="shared" si="7"/>
        <v/>
      </c>
      <c r="AC1304" s="32" t="str">
        <f t="shared" ref="AC1304:AG1304" si="1308">IF(J1304&lt;&gt;"", IF(AND($P1304=FALSE, $A1304=FALSE), -J1304, IF(AND($P1304=FALSE, $A1304=TRUE), 0, IF($P1304=TRUE, (J1304 / $R1304) * 100 * ($S1304 / 100)-J1304, ))), )</f>
        <v/>
      </c>
      <c r="AD1304" s="32" t="str">
        <f t="shared" si="1308"/>
        <v/>
      </c>
      <c r="AE1304" s="32" t="str">
        <f t="shared" si="1308"/>
        <v/>
      </c>
      <c r="AF1304" s="32" t="str">
        <f t="shared" si="1308"/>
        <v/>
      </c>
      <c r="AG1304" s="32" t="str">
        <f t="shared" si="1308"/>
        <v/>
      </c>
      <c r="AH1304" s="33"/>
    </row>
    <row r="1305" hidden="1" outlineLevel="3">
      <c r="A1305" s="16" t="b">
        <v>0</v>
      </c>
      <c r="B1305" s="17"/>
      <c r="C1305" s="18"/>
      <c r="D1305" s="19"/>
      <c r="E1305" s="20"/>
      <c r="F1305" s="21"/>
      <c r="G1305" s="22"/>
      <c r="H1305" s="22"/>
      <c r="I1305" s="23"/>
      <c r="J1305" s="22"/>
      <c r="K1305" s="23"/>
      <c r="L1305" s="22"/>
      <c r="M1305" s="23"/>
      <c r="N1305" s="23"/>
      <c r="O1305" s="24"/>
      <c r="P1305" s="16" t="b">
        <v>0</v>
      </c>
      <c r="Q1305" s="24"/>
      <c r="R1305" s="25"/>
      <c r="S1305" s="26"/>
      <c r="T1305" s="27"/>
      <c r="U1305" s="24"/>
      <c r="V1305" s="38" t="s">
        <v>29</v>
      </c>
      <c r="W1305" s="29" t="s">
        <v>22</v>
      </c>
      <c r="X1305" s="37" t="s">
        <v>878</v>
      </c>
      <c r="Y1305" s="31"/>
      <c r="Z1305" s="26" t="str">
        <f t="shared" si="5"/>
        <v/>
      </c>
      <c r="AA1305" s="26" t="str">
        <f t="shared" si="6"/>
        <v/>
      </c>
      <c r="AB1305" s="32" t="str">
        <f t="shared" si="7"/>
        <v/>
      </c>
      <c r="AC1305" s="32" t="str">
        <f t="shared" ref="AC1305:AG1305" si="1309">IF(J1305&lt;&gt;"", IF(AND($P1305=FALSE, $A1305=FALSE), -J1305, IF(AND($P1305=FALSE, $A1305=TRUE), 0, IF($P1305=TRUE, (J1305 / $R1305) * 100 * ($S1305 / 100)-J1305, ))), )</f>
        <v/>
      </c>
      <c r="AD1305" s="32" t="str">
        <f t="shared" si="1309"/>
        <v/>
      </c>
      <c r="AE1305" s="32" t="str">
        <f t="shared" si="1309"/>
        <v/>
      </c>
      <c r="AF1305" s="32" t="str">
        <f t="shared" si="1309"/>
        <v/>
      </c>
      <c r="AG1305" s="32" t="str">
        <f t="shared" si="1309"/>
        <v/>
      </c>
      <c r="AH1305" s="33"/>
    </row>
    <row r="1306" hidden="1" outlineLevel="2" collapsed="1">
      <c r="A1306" s="16" t="b">
        <v>0</v>
      </c>
      <c r="B1306" s="17"/>
      <c r="C1306" s="18"/>
      <c r="D1306" s="42">
        <v>45277.0</v>
      </c>
      <c r="E1306" s="43" t="s">
        <v>24</v>
      </c>
      <c r="F1306" s="53" t="s">
        <v>817</v>
      </c>
      <c r="G1306" s="45">
        <v>1.0</v>
      </c>
      <c r="H1306" s="45">
        <v>0.5</v>
      </c>
      <c r="I1306" s="45">
        <v>1.0</v>
      </c>
      <c r="J1306" s="46"/>
      <c r="K1306" s="46"/>
      <c r="L1306" s="45"/>
      <c r="M1306" s="46"/>
      <c r="N1306" s="46"/>
      <c r="O1306" s="47"/>
      <c r="P1306" s="16" t="b">
        <v>0</v>
      </c>
      <c r="Q1306" s="24"/>
      <c r="R1306" s="48">
        <v>2.5</v>
      </c>
      <c r="S1306" s="45">
        <v>21.55</v>
      </c>
      <c r="T1306" s="49" t="s">
        <v>879</v>
      </c>
      <c r="U1306" s="47"/>
      <c r="V1306" s="28"/>
      <c r="W1306" s="29"/>
      <c r="X1306" s="30"/>
      <c r="Y1306" s="31"/>
      <c r="Z1306" s="26">
        <f t="shared" si="5"/>
        <v>-1</v>
      </c>
      <c r="AA1306" s="26">
        <f t="shared" si="6"/>
        <v>-1</v>
      </c>
      <c r="AB1306" s="32">
        <f t="shared" si="7"/>
        <v>-0.5</v>
      </c>
      <c r="AC1306" s="32" t="str">
        <f t="shared" ref="AC1306:AG1306" si="1310">IF(J1306&lt;&gt;"", IF(AND($P1306=FALSE, $A1306=FALSE), -J1306, IF(AND($P1306=FALSE, $A1306=TRUE), 0, IF($P1306=TRUE, (J1306 / $R1306) * 100 * ($S1306 / 100)-J1306, ))), )</f>
        <v/>
      </c>
      <c r="AD1306" s="32" t="str">
        <f t="shared" si="1310"/>
        <v/>
      </c>
      <c r="AE1306" s="32" t="str">
        <f t="shared" si="1310"/>
        <v/>
      </c>
      <c r="AF1306" s="32" t="str">
        <f t="shared" si="1310"/>
        <v/>
      </c>
      <c r="AG1306" s="32" t="str">
        <f t="shared" si="1310"/>
        <v/>
      </c>
      <c r="AH1306" s="33"/>
    </row>
    <row r="1307" hidden="1" outlineLevel="3">
      <c r="A1307" s="16" t="b">
        <v>0</v>
      </c>
      <c r="B1307" s="17"/>
      <c r="C1307" s="18"/>
      <c r="D1307" s="19"/>
      <c r="E1307" s="20"/>
      <c r="F1307" s="21"/>
      <c r="G1307" s="22"/>
      <c r="H1307" s="22"/>
      <c r="I1307" s="23"/>
      <c r="J1307" s="22"/>
      <c r="K1307" s="23"/>
      <c r="L1307" s="22"/>
      <c r="M1307" s="23"/>
      <c r="N1307" s="23"/>
      <c r="O1307" s="24"/>
      <c r="P1307" s="16" t="b">
        <v>0</v>
      </c>
      <c r="Q1307" s="24"/>
      <c r="R1307" s="25"/>
      <c r="S1307" s="26"/>
      <c r="T1307" s="27"/>
      <c r="U1307" s="24"/>
      <c r="V1307" s="28" t="s">
        <v>32</v>
      </c>
      <c r="W1307" s="29" t="s">
        <v>22</v>
      </c>
      <c r="X1307" s="37" t="s">
        <v>880</v>
      </c>
      <c r="Y1307" s="31"/>
      <c r="Z1307" s="26" t="str">
        <f t="shared" si="5"/>
        <v/>
      </c>
      <c r="AA1307" s="26" t="str">
        <f t="shared" si="6"/>
        <v/>
      </c>
      <c r="AB1307" s="32" t="str">
        <f t="shared" si="7"/>
        <v/>
      </c>
      <c r="AC1307" s="32" t="str">
        <f t="shared" ref="AC1307:AG1307" si="1311">IF(J1307&lt;&gt;"", IF(AND($P1307=FALSE, $A1307=FALSE), -J1307, IF(AND($P1307=FALSE, $A1307=TRUE), 0, IF($P1307=TRUE, (J1307 / $R1307) * 100 * ($S1307 / 100)-J1307, ))), )</f>
        <v/>
      </c>
      <c r="AD1307" s="32" t="str">
        <f t="shared" si="1311"/>
        <v/>
      </c>
      <c r="AE1307" s="32" t="str">
        <f t="shared" si="1311"/>
        <v/>
      </c>
      <c r="AF1307" s="32" t="str">
        <f t="shared" si="1311"/>
        <v/>
      </c>
      <c r="AG1307" s="32" t="str">
        <f t="shared" si="1311"/>
        <v/>
      </c>
      <c r="AH1307" s="33"/>
    </row>
    <row r="1308" hidden="1" outlineLevel="3">
      <c r="A1308" s="16" t="b">
        <v>0</v>
      </c>
      <c r="B1308" s="17"/>
      <c r="C1308" s="18"/>
      <c r="D1308" s="19"/>
      <c r="E1308" s="20"/>
      <c r="F1308" s="21"/>
      <c r="G1308" s="22"/>
      <c r="H1308" s="22"/>
      <c r="I1308" s="23"/>
      <c r="J1308" s="22"/>
      <c r="K1308" s="23"/>
      <c r="L1308" s="22"/>
      <c r="M1308" s="23"/>
      <c r="N1308" s="23"/>
      <c r="O1308" s="24"/>
      <c r="P1308" s="16" t="b">
        <v>0</v>
      </c>
      <c r="Q1308" s="24"/>
      <c r="R1308" s="25"/>
      <c r="S1308" s="26"/>
      <c r="T1308" s="27"/>
      <c r="U1308" s="24"/>
      <c r="V1308" s="28" t="s">
        <v>32</v>
      </c>
      <c r="W1308" s="29" t="s">
        <v>22</v>
      </c>
      <c r="X1308" s="37" t="s">
        <v>881</v>
      </c>
      <c r="Y1308" s="31"/>
      <c r="Z1308" s="26" t="str">
        <f t="shared" si="5"/>
        <v/>
      </c>
      <c r="AA1308" s="26" t="str">
        <f t="shared" si="6"/>
        <v/>
      </c>
      <c r="AB1308" s="32" t="str">
        <f t="shared" si="7"/>
        <v/>
      </c>
      <c r="AC1308" s="32" t="str">
        <f t="shared" ref="AC1308:AG1308" si="1312">IF(J1308&lt;&gt;"", IF(AND($P1308=FALSE, $A1308=FALSE), -J1308, IF(AND($P1308=FALSE, $A1308=TRUE), 0, IF($P1308=TRUE, (J1308 / $R1308) * 100 * ($S1308 / 100)-J1308, ))), )</f>
        <v/>
      </c>
      <c r="AD1308" s="32" t="str">
        <f t="shared" si="1312"/>
        <v/>
      </c>
      <c r="AE1308" s="32" t="str">
        <f t="shared" si="1312"/>
        <v/>
      </c>
      <c r="AF1308" s="32" t="str">
        <f t="shared" si="1312"/>
        <v/>
      </c>
      <c r="AG1308" s="32" t="str">
        <f t="shared" si="1312"/>
        <v/>
      </c>
      <c r="AH1308" s="33"/>
    </row>
    <row r="1309" hidden="1" outlineLevel="3">
      <c r="A1309" s="16" t="b">
        <v>0</v>
      </c>
      <c r="B1309" s="17"/>
      <c r="C1309" s="18"/>
      <c r="D1309" s="19"/>
      <c r="E1309" s="20"/>
      <c r="F1309" s="21"/>
      <c r="G1309" s="22"/>
      <c r="H1309" s="22"/>
      <c r="I1309" s="23"/>
      <c r="J1309" s="22"/>
      <c r="K1309" s="23"/>
      <c r="L1309" s="22"/>
      <c r="M1309" s="23"/>
      <c r="N1309" s="23"/>
      <c r="O1309" s="24"/>
      <c r="P1309" s="16" t="b">
        <v>0</v>
      </c>
      <c r="Q1309" s="24"/>
      <c r="R1309" s="25"/>
      <c r="S1309" s="26"/>
      <c r="T1309" s="27"/>
      <c r="U1309" s="24"/>
      <c r="V1309" s="38" t="s">
        <v>29</v>
      </c>
      <c r="W1309" s="29" t="s">
        <v>22</v>
      </c>
      <c r="X1309" s="37" t="s">
        <v>882</v>
      </c>
      <c r="Y1309" s="31"/>
      <c r="Z1309" s="26" t="str">
        <f t="shared" si="5"/>
        <v/>
      </c>
      <c r="AA1309" s="26" t="str">
        <f t="shared" si="6"/>
        <v/>
      </c>
      <c r="AB1309" s="32" t="str">
        <f t="shared" si="7"/>
        <v/>
      </c>
      <c r="AC1309" s="32" t="str">
        <f t="shared" ref="AC1309:AG1309" si="1313">IF(J1309&lt;&gt;"", IF(AND($P1309=FALSE, $A1309=FALSE), -J1309, IF(AND($P1309=FALSE, $A1309=TRUE), 0, IF($P1309=TRUE, (J1309 / $R1309) * 100 * ($S1309 / 100)-J1309, ))), )</f>
        <v/>
      </c>
      <c r="AD1309" s="32" t="str">
        <f t="shared" si="1313"/>
        <v/>
      </c>
      <c r="AE1309" s="32" t="str">
        <f t="shared" si="1313"/>
        <v/>
      </c>
      <c r="AF1309" s="32" t="str">
        <f t="shared" si="1313"/>
        <v/>
      </c>
      <c r="AG1309" s="32" t="str">
        <f t="shared" si="1313"/>
        <v/>
      </c>
      <c r="AH1309" s="33"/>
    </row>
    <row r="1310" hidden="1" outlineLevel="3">
      <c r="A1310" s="16" t="b">
        <v>0</v>
      </c>
      <c r="B1310" s="17"/>
      <c r="C1310" s="18"/>
      <c r="D1310" s="19"/>
      <c r="E1310" s="20"/>
      <c r="F1310" s="21"/>
      <c r="G1310" s="22"/>
      <c r="H1310" s="22"/>
      <c r="I1310" s="23"/>
      <c r="J1310" s="22"/>
      <c r="K1310" s="23"/>
      <c r="L1310" s="22"/>
      <c r="M1310" s="23"/>
      <c r="N1310" s="23"/>
      <c r="O1310" s="24"/>
      <c r="P1310" s="16" t="b">
        <v>0</v>
      </c>
      <c r="Q1310" s="24"/>
      <c r="R1310" s="25"/>
      <c r="S1310" s="26"/>
      <c r="T1310" s="27"/>
      <c r="U1310" s="24"/>
      <c r="V1310" s="28" t="s">
        <v>32</v>
      </c>
      <c r="W1310" s="29" t="s">
        <v>22</v>
      </c>
      <c r="X1310" s="37" t="s">
        <v>883</v>
      </c>
      <c r="Y1310" s="31"/>
      <c r="Z1310" s="26" t="str">
        <f t="shared" si="5"/>
        <v/>
      </c>
      <c r="AA1310" s="26" t="str">
        <f t="shared" si="6"/>
        <v/>
      </c>
      <c r="AB1310" s="32" t="str">
        <f t="shared" si="7"/>
        <v/>
      </c>
      <c r="AC1310" s="32" t="str">
        <f t="shared" ref="AC1310:AG1310" si="1314">IF(J1310&lt;&gt;"", IF(AND($P1310=FALSE, $A1310=FALSE), -J1310, IF(AND($P1310=FALSE, $A1310=TRUE), 0, IF($P1310=TRUE, (J1310 / $R1310) * 100 * ($S1310 / 100)-J1310, ))), )</f>
        <v/>
      </c>
      <c r="AD1310" s="32" t="str">
        <f t="shared" si="1314"/>
        <v/>
      </c>
      <c r="AE1310" s="32" t="str">
        <f t="shared" si="1314"/>
        <v/>
      </c>
      <c r="AF1310" s="32" t="str">
        <f t="shared" si="1314"/>
        <v/>
      </c>
      <c r="AG1310" s="32" t="str">
        <f t="shared" si="1314"/>
        <v/>
      </c>
      <c r="AH1310" s="33"/>
    </row>
    <row r="1311" hidden="1" outlineLevel="2" collapsed="1">
      <c r="A1311" s="16" t="b">
        <v>0</v>
      </c>
      <c r="B1311" s="17"/>
      <c r="C1311" s="18"/>
      <c r="D1311" s="42">
        <v>45277.0</v>
      </c>
      <c r="E1311" s="43" t="s">
        <v>24</v>
      </c>
      <c r="F1311" s="53" t="s">
        <v>817</v>
      </c>
      <c r="G1311" s="45">
        <v>1.5</v>
      </c>
      <c r="H1311" s="45">
        <v>0.75</v>
      </c>
      <c r="I1311" s="45">
        <v>10.0</v>
      </c>
      <c r="J1311" s="46"/>
      <c r="K1311" s="46"/>
      <c r="L1311" s="45"/>
      <c r="M1311" s="46"/>
      <c r="N1311" s="46"/>
      <c r="O1311" s="47"/>
      <c r="P1311" s="16" t="b">
        <v>0</v>
      </c>
      <c r="Q1311" s="24"/>
      <c r="R1311" s="48">
        <v>12.25</v>
      </c>
      <c r="S1311" s="45">
        <v>30.62</v>
      </c>
      <c r="T1311" s="49" t="s">
        <v>44</v>
      </c>
      <c r="U1311" s="47"/>
      <c r="V1311" s="28"/>
      <c r="W1311" s="29"/>
      <c r="X1311" s="30"/>
      <c r="Y1311" s="31"/>
      <c r="Z1311" s="26">
        <f t="shared" si="5"/>
        <v>-1.5</v>
      </c>
      <c r="AA1311" s="26">
        <f t="shared" si="6"/>
        <v>-10</v>
      </c>
      <c r="AB1311" s="32">
        <f t="shared" si="7"/>
        <v>-0.75</v>
      </c>
      <c r="AC1311" s="32" t="str">
        <f t="shared" ref="AC1311:AG1311" si="1315">IF(J1311&lt;&gt;"", IF(AND($P1311=FALSE, $A1311=FALSE), -J1311, IF(AND($P1311=FALSE, $A1311=TRUE), 0, IF($P1311=TRUE, (J1311 / $R1311) * 100 * ($S1311 / 100)-J1311, ))), )</f>
        <v/>
      </c>
      <c r="AD1311" s="32" t="str">
        <f t="shared" si="1315"/>
        <v/>
      </c>
      <c r="AE1311" s="32" t="str">
        <f t="shared" si="1315"/>
        <v/>
      </c>
      <c r="AF1311" s="32" t="str">
        <f t="shared" si="1315"/>
        <v/>
      </c>
      <c r="AG1311" s="32" t="str">
        <f t="shared" si="1315"/>
        <v/>
      </c>
      <c r="AH1311" s="33"/>
    </row>
    <row r="1312" hidden="1" outlineLevel="3">
      <c r="A1312" s="16" t="b">
        <v>0</v>
      </c>
      <c r="B1312" s="17"/>
      <c r="C1312" s="18"/>
      <c r="D1312" s="19"/>
      <c r="E1312" s="20"/>
      <c r="F1312" s="21"/>
      <c r="G1312" s="22"/>
      <c r="H1312" s="22"/>
      <c r="I1312" s="23"/>
      <c r="J1312" s="22"/>
      <c r="K1312" s="23"/>
      <c r="L1312" s="22"/>
      <c r="M1312" s="23"/>
      <c r="N1312" s="23"/>
      <c r="O1312" s="24"/>
      <c r="P1312" s="16" t="b">
        <v>0</v>
      </c>
      <c r="Q1312" s="24"/>
      <c r="R1312" s="25"/>
      <c r="S1312" s="26"/>
      <c r="T1312" s="27"/>
      <c r="U1312" s="24"/>
      <c r="V1312" s="38" t="s">
        <v>29</v>
      </c>
      <c r="W1312" s="29" t="s">
        <v>22</v>
      </c>
      <c r="X1312" s="37" t="s">
        <v>884</v>
      </c>
      <c r="Y1312" s="31"/>
      <c r="Z1312" s="26" t="str">
        <f t="shared" si="5"/>
        <v/>
      </c>
      <c r="AA1312" s="26" t="str">
        <f t="shared" si="6"/>
        <v/>
      </c>
      <c r="AB1312" s="32" t="str">
        <f t="shared" si="7"/>
        <v/>
      </c>
      <c r="AC1312" s="32" t="str">
        <f t="shared" ref="AC1312:AG1312" si="1316">IF(J1312&lt;&gt;"", IF(AND($P1312=FALSE, $A1312=FALSE), -J1312, IF(AND($P1312=FALSE, $A1312=TRUE), 0, IF($P1312=TRUE, (J1312 / $R1312) * 100 * ($S1312 / 100)-J1312, ))), )</f>
        <v/>
      </c>
      <c r="AD1312" s="32" t="str">
        <f t="shared" si="1316"/>
        <v/>
      </c>
      <c r="AE1312" s="32" t="str">
        <f t="shared" si="1316"/>
        <v/>
      </c>
      <c r="AF1312" s="32" t="str">
        <f t="shared" si="1316"/>
        <v/>
      </c>
      <c r="AG1312" s="32" t="str">
        <f t="shared" si="1316"/>
        <v/>
      </c>
      <c r="AH1312" s="33"/>
    </row>
    <row r="1313" hidden="1" outlineLevel="3">
      <c r="A1313" s="16" t="b">
        <v>0</v>
      </c>
      <c r="B1313" s="17"/>
      <c r="C1313" s="18"/>
      <c r="D1313" s="19"/>
      <c r="E1313" s="20"/>
      <c r="F1313" s="21"/>
      <c r="G1313" s="22"/>
      <c r="H1313" s="22"/>
      <c r="I1313" s="23"/>
      <c r="J1313" s="22"/>
      <c r="K1313" s="23"/>
      <c r="L1313" s="22"/>
      <c r="M1313" s="23"/>
      <c r="N1313" s="23"/>
      <c r="O1313" s="24"/>
      <c r="P1313" s="16" t="b">
        <v>0</v>
      </c>
      <c r="Q1313" s="24"/>
      <c r="R1313" s="25"/>
      <c r="S1313" s="26"/>
      <c r="T1313" s="27"/>
      <c r="U1313" s="24"/>
      <c r="V1313" s="28" t="s">
        <v>32</v>
      </c>
      <c r="W1313" s="29" t="s">
        <v>22</v>
      </c>
      <c r="X1313" s="37" t="s">
        <v>883</v>
      </c>
      <c r="Y1313" s="31"/>
      <c r="Z1313" s="26" t="str">
        <f t="shared" si="5"/>
        <v/>
      </c>
      <c r="AA1313" s="26" t="str">
        <f t="shared" si="6"/>
        <v/>
      </c>
      <c r="AB1313" s="32" t="str">
        <f t="shared" si="7"/>
        <v/>
      </c>
      <c r="AC1313" s="32" t="str">
        <f t="shared" ref="AC1313:AG1313" si="1317">IF(J1313&lt;&gt;"", IF(AND($P1313=FALSE, $A1313=FALSE), -J1313, IF(AND($P1313=FALSE, $A1313=TRUE), 0, IF($P1313=TRUE, (J1313 / $R1313) * 100 * ($S1313 / 100)-J1313, ))), )</f>
        <v/>
      </c>
      <c r="AD1313" s="32" t="str">
        <f t="shared" si="1317"/>
        <v/>
      </c>
      <c r="AE1313" s="32" t="str">
        <f t="shared" si="1317"/>
        <v/>
      </c>
      <c r="AF1313" s="32" t="str">
        <f t="shared" si="1317"/>
        <v/>
      </c>
      <c r="AG1313" s="32" t="str">
        <f t="shared" si="1317"/>
        <v/>
      </c>
      <c r="AH1313" s="33"/>
    </row>
    <row r="1314" hidden="1" outlineLevel="2" collapsed="1">
      <c r="A1314" s="16" t="b">
        <v>0</v>
      </c>
      <c r="B1314" s="17"/>
      <c r="C1314" s="18"/>
      <c r="D1314" s="42">
        <v>45277.0</v>
      </c>
      <c r="E1314" s="43" t="s">
        <v>24</v>
      </c>
      <c r="F1314" s="53" t="s">
        <v>817</v>
      </c>
      <c r="G1314" s="45">
        <v>1.5</v>
      </c>
      <c r="H1314" s="45">
        <v>0.75</v>
      </c>
      <c r="I1314" s="45">
        <v>2.75</v>
      </c>
      <c r="J1314" s="46"/>
      <c r="K1314" s="46"/>
      <c r="L1314" s="45"/>
      <c r="M1314" s="46"/>
      <c r="N1314" s="46"/>
      <c r="O1314" s="47"/>
      <c r="P1314" s="16" t="b">
        <v>0</v>
      </c>
      <c r="Q1314" s="24"/>
      <c r="R1314" s="48">
        <v>5.0</v>
      </c>
      <c r="S1314" s="45">
        <v>31.25</v>
      </c>
      <c r="T1314" s="49" t="s">
        <v>885</v>
      </c>
      <c r="U1314" s="47"/>
      <c r="V1314" s="28"/>
      <c r="W1314" s="29"/>
      <c r="X1314" s="30"/>
      <c r="Y1314" s="31"/>
      <c r="Z1314" s="26">
        <f t="shared" si="5"/>
        <v>-1.5</v>
      </c>
      <c r="AA1314" s="26">
        <f t="shared" si="6"/>
        <v>-2.75</v>
      </c>
      <c r="AB1314" s="32">
        <f t="shared" si="7"/>
        <v>-0.75</v>
      </c>
      <c r="AC1314" s="32" t="str">
        <f t="shared" ref="AC1314:AG1314" si="1318">IF(J1314&lt;&gt;"", IF(AND($P1314=FALSE, $A1314=FALSE), -J1314, IF(AND($P1314=FALSE, $A1314=TRUE), 0, IF($P1314=TRUE, (J1314 / $R1314) * 100 * ($S1314 / 100)-J1314, ))), )</f>
        <v/>
      </c>
      <c r="AD1314" s="32" t="str">
        <f t="shared" si="1318"/>
        <v/>
      </c>
      <c r="AE1314" s="32" t="str">
        <f t="shared" si="1318"/>
        <v/>
      </c>
      <c r="AF1314" s="32" t="str">
        <f t="shared" si="1318"/>
        <v/>
      </c>
      <c r="AG1314" s="32" t="str">
        <f t="shared" si="1318"/>
        <v/>
      </c>
      <c r="AH1314" s="33"/>
    </row>
    <row r="1315" hidden="1" outlineLevel="3">
      <c r="A1315" s="16" t="b">
        <v>0</v>
      </c>
      <c r="B1315" s="17"/>
      <c r="C1315" s="18"/>
      <c r="D1315" s="19"/>
      <c r="E1315" s="20"/>
      <c r="F1315" s="21"/>
      <c r="G1315" s="22"/>
      <c r="H1315" s="22"/>
      <c r="I1315" s="23"/>
      <c r="J1315" s="22"/>
      <c r="K1315" s="23"/>
      <c r="L1315" s="22"/>
      <c r="M1315" s="23"/>
      <c r="N1315" s="23"/>
      <c r="O1315" s="24"/>
      <c r="P1315" s="16" t="b">
        <v>0</v>
      </c>
      <c r="Q1315" s="24"/>
      <c r="R1315" s="25"/>
      <c r="S1315" s="26"/>
      <c r="T1315" s="27"/>
      <c r="U1315" s="24"/>
      <c r="V1315" s="28" t="s">
        <v>32</v>
      </c>
      <c r="W1315" s="29" t="s">
        <v>22</v>
      </c>
      <c r="X1315" s="37" t="s">
        <v>886</v>
      </c>
      <c r="Y1315" s="31"/>
      <c r="Z1315" s="26" t="str">
        <f t="shared" si="5"/>
        <v/>
      </c>
      <c r="AA1315" s="26" t="str">
        <f t="shared" si="6"/>
        <v/>
      </c>
      <c r="AB1315" s="32" t="str">
        <f t="shared" si="7"/>
        <v/>
      </c>
      <c r="AC1315" s="32" t="str">
        <f t="shared" ref="AC1315:AG1315" si="1319">IF(J1315&lt;&gt;"", IF(AND($P1315=FALSE, $A1315=FALSE), -J1315, IF(AND($P1315=FALSE, $A1315=TRUE), 0, IF($P1315=TRUE, (J1315 / $R1315) * 100 * ($S1315 / 100)-J1315, ))), )</f>
        <v/>
      </c>
      <c r="AD1315" s="32" t="str">
        <f t="shared" si="1319"/>
        <v/>
      </c>
      <c r="AE1315" s="32" t="str">
        <f t="shared" si="1319"/>
        <v/>
      </c>
      <c r="AF1315" s="32" t="str">
        <f t="shared" si="1319"/>
        <v/>
      </c>
      <c r="AG1315" s="32" t="str">
        <f t="shared" si="1319"/>
        <v/>
      </c>
      <c r="AH1315" s="33"/>
    </row>
    <row r="1316" hidden="1" outlineLevel="3">
      <c r="A1316" s="16" t="b">
        <v>0</v>
      </c>
      <c r="B1316" s="17"/>
      <c r="C1316" s="18"/>
      <c r="D1316" s="19"/>
      <c r="E1316" s="20"/>
      <c r="F1316" s="21"/>
      <c r="G1316" s="22"/>
      <c r="H1316" s="22"/>
      <c r="I1316" s="23"/>
      <c r="J1316" s="22"/>
      <c r="K1316" s="23"/>
      <c r="L1316" s="22"/>
      <c r="M1316" s="23"/>
      <c r="N1316" s="23"/>
      <c r="O1316" s="24"/>
      <c r="P1316" s="16" t="b">
        <v>0</v>
      </c>
      <c r="Q1316" s="24"/>
      <c r="R1316" s="25"/>
      <c r="S1316" s="26"/>
      <c r="T1316" s="27"/>
      <c r="U1316" s="24"/>
      <c r="V1316" s="28" t="s">
        <v>32</v>
      </c>
      <c r="W1316" s="29" t="s">
        <v>22</v>
      </c>
      <c r="X1316" s="37" t="s">
        <v>887</v>
      </c>
      <c r="Y1316" s="31"/>
      <c r="Z1316" s="26" t="str">
        <f t="shared" si="5"/>
        <v/>
      </c>
      <c r="AA1316" s="26" t="str">
        <f t="shared" si="6"/>
        <v/>
      </c>
      <c r="AB1316" s="32" t="str">
        <f t="shared" si="7"/>
        <v/>
      </c>
      <c r="AC1316" s="32" t="str">
        <f t="shared" ref="AC1316:AG1316" si="1320">IF(J1316&lt;&gt;"", IF(AND($P1316=FALSE, $A1316=FALSE), -J1316, IF(AND($P1316=FALSE, $A1316=TRUE), 0, IF($P1316=TRUE, (J1316 / $R1316) * 100 * ($S1316 / 100)-J1316, ))), )</f>
        <v/>
      </c>
      <c r="AD1316" s="32" t="str">
        <f t="shared" si="1320"/>
        <v/>
      </c>
      <c r="AE1316" s="32" t="str">
        <f t="shared" si="1320"/>
        <v/>
      </c>
      <c r="AF1316" s="32" t="str">
        <f t="shared" si="1320"/>
        <v/>
      </c>
      <c r="AG1316" s="32" t="str">
        <f t="shared" si="1320"/>
        <v/>
      </c>
      <c r="AH1316" s="33"/>
    </row>
    <row r="1317" hidden="1" outlineLevel="3">
      <c r="A1317" s="16" t="b">
        <v>0</v>
      </c>
      <c r="B1317" s="17"/>
      <c r="C1317" s="18"/>
      <c r="D1317" s="19"/>
      <c r="E1317" s="20"/>
      <c r="F1317" s="21"/>
      <c r="G1317" s="22"/>
      <c r="H1317" s="22"/>
      <c r="I1317" s="23"/>
      <c r="J1317" s="22"/>
      <c r="K1317" s="23"/>
      <c r="L1317" s="22"/>
      <c r="M1317" s="23"/>
      <c r="N1317" s="23"/>
      <c r="O1317" s="24"/>
      <c r="P1317" s="16" t="b">
        <v>0</v>
      </c>
      <c r="Q1317" s="24"/>
      <c r="R1317" s="25"/>
      <c r="S1317" s="26"/>
      <c r="T1317" s="27"/>
      <c r="U1317" s="24"/>
      <c r="V1317" s="28" t="s">
        <v>32</v>
      </c>
      <c r="W1317" s="29" t="s">
        <v>22</v>
      </c>
      <c r="X1317" s="37" t="s">
        <v>888</v>
      </c>
      <c r="Y1317" s="31"/>
      <c r="Z1317" s="26" t="str">
        <f t="shared" si="5"/>
        <v/>
      </c>
      <c r="AA1317" s="26" t="str">
        <f t="shared" si="6"/>
        <v/>
      </c>
      <c r="AB1317" s="32" t="str">
        <f t="shared" si="7"/>
        <v/>
      </c>
      <c r="AC1317" s="32" t="str">
        <f t="shared" ref="AC1317:AG1317" si="1321">IF(J1317&lt;&gt;"", IF(AND($P1317=FALSE, $A1317=FALSE), -J1317, IF(AND($P1317=FALSE, $A1317=TRUE), 0, IF($P1317=TRUE, (J1317 / $R1317) * 100 * ($S1317 / 100)-J1317, ))), )</f>
        <v/>
      </c>
      <c r="AD1317" s="32" t="str">
        <f t="shared" si="1321"/>
        <v/>
      </c>
      <c r="AE1317" s="32" t="str">
        <f t="shared" si="1321"/>
        <v/>
      </c>
      <c r="AF1317" s="32" t="str">
        <f t="shared" si="1321"/>
        <v/>
      </c>
      <c r="AG1317" s="32" t="str">
        <f t="shared" si="1321"/>
        <v/>
      </c>
      <c r="AH1317" s="33"/>
    </row>
    <row r="1318" hidden="1" outlineLevel="2" collapsed="1">
      <c r="A1318" s="16" t="b">
        <v>0</v>
      </c>
      <c r="B1318" s="17"/>
      <c r="C1318" s="18"/>
      <c r="D1318" s="42">
        <v>45277.0</v>
      </c>
      <c r="E1318" s="43" t="s">
        <v>24</v>
      </c>
      <c r="F1318" s="53" t="s">
        <v>817</v>
      </c>
      <c r="G1318" s="45">
        <v>3.0</v>
      </c>
      <c r="H1318" s="45">
        <v>1.5</v>
      </c>
      <c r="I1318" s="45">
        <v>2.5</v>
      </c>
      <c r="J1318" s="46"/>
      <c r="K1318" s="46"/>
      <c r="L1318" s="45"/>
      <c r="M1318" s="46"/>
      <c r="N1318" s="46"/>
      <c r="O1318" s="47"/>
      <c r="P1318" s="16" t="b">
        <v>0</v>
      </c>
      <c r="Q1318" s="24"/>
      <c r="R1318" s="48">
        <v>7.0</v>
      </c>
      <c r="S1318" s="45">
        <v>18.61</v>
      </c>
      <c r="T1318" s="49" t="s">
        <v>889</v>
      </c>
      <c r="U1318" s="47"/>
      <c r="V1318" s="28"/>
      <c r="W1318" s="29"/>
      <c r="X1318" s="37"/>
      <c r="Y1318" s="31"/>
      <c r="Z1318" s="26">
        <f t="shared" si="5"/>
        <v>-3</v>
      </c>
      <c r="AA1318" s="26">
        <f t="shared" si="6"/>
        <v>-2.5</v>
      </c>
      <c r="AB1318" s="32">
        <f t="shared" si="7"/>
        <v>-1.5</v>
      </c>
      <c r="AC1318" s="32" t="str">
        <f t="shared" ref="AC1318:AG1318" si="1322">IF(J1318&lt;&gt;"", IF(AND($P1318=FALSE, $A1318=FALSE), -J1318, IF(AND($P1318=FALSE, $A1318=TRUE), 0, IF($P1318=TRUE, (J1318 / $R1318) * 100 * ($S1318 / 100)-J1318, ))), )</f>
        <v/>
      </c>
      <c r="AD1318" s="32" t="str">
        <f t="shared" si="1322"/>
        <v/>
      </c>
      <c r="AE1318" s="32" t="str">
        <f t="shared" si="1322"/>
        <v/>
      </c>
      <c r="AF1318" s="32" t="str">
        <f t="shared" si="1322"/>
        <v/>
      </c>
      <c r="AG1318" s="32" t="str">
        <f t="shared" si="1322"/>
        <v/>
      </c>
      <c r="AH1318" s="33"/>
    </row>
    <row r="1319" hidden="1" outlineLevel="3">
      <c r="A1319" s="16" t="b">
        <v>0</v>
      </c>
      <c r="B1319" s="17"/>
      <c r="C1319" s="18"/>
      <c r="D1319" s="19"/>
      <c r="E1319" s="20"/>
      <c r="F1319" s="21"/>
      <c r="G1319" s="22"/>
      <c r="H1319" s="22"/>
      <c r="I1319" s="23"/>
      <c r="J1319" s="22"/>
      <c r="K1319" s="23"/>
      <c r="L1319" s="22"/>
      <c r="M1319" s="23"/>
      <c r="N1319" s="23"/>
      <c r="O1319" s="24"/>
      <c r="P1319" s="16" t="b">
        <v>0</v>
      </c>
      <c r="Q1319" s="24"/>
      <c r="R1319" s="25"/>
      <c r="S1319" s="26"/>
      <c r="T1319" s="27"/>
      <c r="U1319" s="24"/>
      <c r="V1319" s="38" t="s">
        <v>29</v>
      </c>
      <c r="W1319" s="29" t="s">
        <v>22</v>
      </c>
      <c r="X1319" s="37" t="s">
        <v>890</v>
      </c>
      <c r="Y1319" s="31"/>
      <c r="Z1319" s="26" t="str">
        <f t="shared" si="5"/>
        <v/>
      </c>
      <c r="AA1319" s="26" t="str">
        <f t="shared" si="6"/>
        <v/>
      </c>
      <c r="AB1319" s="32" t="str">
        <f t="shared" si="7"/>
        <v/>
      </c>
      <c r="AC1319" s="32" t="str">
        <f t="shared" ref="AC1319:AG1319" si="1323">IF(J1319&lt;&gt;"", IF(AND($P1319=FALSE, $A1319=FALSE), -J1319, IF(AND($P1319=FALSE, $A1319=TRUE), 0, IF($P1319=TRUE, (J1319 / $R1319) * 100 * ($S1319 / 100)-J1319, ))), )</f>
        <v/>
      </c>
      <c r="AD1319" s="32" t="str">
        <f t="shared" si="1323"/>
        <v/>
      </c>
      <c r="AE1319" s="32" t="str">
        <f t="shared" si="1323"/>
        <v/>
      </c>
      <c r="AF1319" s="32" t="str">
        <f t="shared" si="1323"/>
        <v/>
      </c>
      <c r="AG1319" s="32" t="str">
        <f t="shared" si="1323"/>
        <v/>
      </c>
      <c r="AH1319" s="33"/>
    </row>
    <row r="1320" hidden="1" outlineLevel="3">
      <c r="A1320" s="16" t="b">
        <v>0</v>
      </c>
      <c r="B1320" s="17"/>
      <c r="C1320" s="18"/>
      <c r="D1320" s="19"/>
      <c r="E1320" s="20"/>
      <c r="F1320" s="21"/>
      <c r="G1320" s="22"/>
      <c r="H1320" s="22"/>
      <c r="I1320" s="23"/>
      <c r="J1320" s="22"/>
      <c r="K1320" s="23"/>
      <c r="L1320" s="22"/>
      <c r="M1320" s="23"/>
      <c r="N1320" s="23"/>
      <c r="O1320" s="24"/>
      <c r="P1320" s="16" t="b">
        <v>0</v>
      </c>
      <c r="Q1320" s="24"/>
      <c r="R1320" s="25"/>
      <c r="S1320" s="26"/>
      <c r="T1320" s="27"/>
      <c r="U1320" s="24"/>
      <c r="V1320" s="28" t="s">
        <v>32</v>
      </c>
      <c r="W1320" s="29" t="s">
        <v>22</v>
      </c>
      <c r="X1320" s="37" t="s">
        <v>659</v>
      </c>
      <c r="Y1320" s="31"/>
      <c r="Z1320" s="26" t="str">
        <f t="shared" si="5"/>
        <v/>
      </c>
      <c r="AA1320" s="26" t="str">
        <f t="shared" si="6"/>
        <v/>
      </c>
      <c r="AB1320" s="32" t="str">
        <f t="shared" si="7"/>
        <v/>
      </c>
      <c r="AC1320" s="32" t="str">
        <f t="shared" ref="AC1320:AG1320" si="1324">IF(J1320&lt;&gt;"", IF(AND($P1320=FALSE, $A1320=FALSE), -J1320, IF(AND($P1320=FALSE, $A1320=TRUE), 0, IF($P1320=TRUE, (J1320 / $R1320) * 100 * ($S1320 / 100)-J1320, ))), )</f>
        <v/>
      </c>
      <c r="AD1320" s="32" t="str">
        <f t="shared" si="1324"/>
        <v/>
      </c>
      <c r="AE1320" s="32" t="str">
        <f t="shared" si="1324"/>
        <v/>
      </c>
      <c r="AF1320" s="32" t="str">
        <f t="shared" si="1324"/>
        <v/>
      </c>
      <c r="AG1320" s="32" t="str">
        <f t="shared" si="1324"/>
        <v/>
      </c>
      <c r="AH1320" s="33"/>
    </row>
    <row r="1321" hidden="1" outlineLevel="3">
      <c r="A1321" s="16" t="b">
        <v>0</v>
      </c>
      <c r="B1321" s="17"/>
      <c r="C1321" s="18"/>
      <c r="D1321" s="19"/>
      <c r="E1321" s="20"/>
      <c r="F1321" s="21"/>
      <c r="G1321" s="22"/>
      <c r="H1321" s="22"/>
      <c r="I1321" s="23"/>
      <c r="J1321" s="22"/>
      <c r="K1321" s="23"/>
      <c r="L1321" s="22"/>
      <c r="M1321" s="23"/>
      <c r="N1321" s="23"/>
      <c r="O1321" s="24"/>
      <c r="P1321" s="16" t="b">
        <v>0</v>
      </c>
      <c r="Q1321" s="24"/>
      <c r="R1321" s="25"/>
      <c r="S1321" s="26"/>
      <c r="T1321" s="27"/>
      <c r="U1321" s="24"/>
      <c r="V1321" s="38" t="s">
        <v>29</v>
      </c>
      <c r="W1321" s="29" t="s">
        <v>22</v>
      </c>
      <c r="X1321" s="37" t="s">
        <v>891</v>
      </c>
      <c r="Y1321" s="31"/>
      <c r="Z1321" s="26" t="str">
        <f t="shared" si="5"/>
        <v/>
      </c>
      <c r="AA1321" s="26" t="str">
        <f t="shared" si="6"/>
        <v/>
      </c>
      <c r="AB1321" s="32" t="str">
        <f t="shared" si="7"/>
        <v/>
      </c>
      <c r="AC1321" s="32" t="str">
        <f t="shared" ref="AC1321:AG1321" si="1325">IF(J1321&lt;&gt;"", IF(AND($P1321=FALSE, $A1321=FALSE), -J1321, IF(AND($P1321=FALSE, $A1321=TRUE), 0, IF($P1321=TRUE, (J1321 / $R1321) * 100 * ($S1321 / 100)-J1321, ))), )</f>
        <v/>
      </c>
      <c r="AD1321" s="32" t="str">
        <f t="shared" si="1325"/>
        <v/>
      </c>
      <c r="AE1321" s="32" t="str">
        <f t="shared" si="1325"/>
        <v/>
      </c>
      <c r="AF1321" s="32" t="str">
        <f t="shared" si="1325"/>
        <v/>
      </c>
      <c r="AG1321" s="32" t="str">
        <f t="shared" si="1325"/>
        <v/>
      </c>
      <c r="AH1321" s="33"/>
    </row>
    <row r="1322" hidden="1" outlineLevel="3">
      <c r="A1322" s="16" t="b">
        <v>0</v>
      </c>
      <c r="B1322" s="17"/>
      <c r="C1322" s="18"/>
      <c r="D1322" s="19"/>
      <c r="E1322" s="20"/>
      <c r="F1322" s="21"/>
      <c r="G1322" s="22"/>
      <c r="H1322" s="22"/>
      <c r="I1322" s="23"/>
      <c r="J1322" s="22"/>
      <c r="K1322" s="23"/>
      <c r="L1322" s="22"/>
      <c r="M1322" s="23"/>
      <c r="N1322" s="23"/>
      <c r="O1322" s="24"/>
      <c r="P1322" s="16" t="b">
        <v>0</v>
      </c>
      <c r="Q1322" s="24"/>
      <c r="R1322" s="25"/>
      <c r="S1322" s="26"/>
      <c r="T1322" s="27"/>
      <c r="U1322" s="24"/>
      <c r="V1322" s="38" t="s">
        <v>29</v>
      </c>
      <c r="W1322" s="29" t="s">
        <v>22</v>
      </c>
      <c r="X1322" s="37" t="s">
        <v>892</v>
      </c>
      <c r="Y1322" s="31"/>
      <c r="Z1322" s="26" t="str">
        <f t="shared" si="5"/>
        <v/>
      </c>
      <c r="AA1322" s="26" t="str">
        <f t="shared" si="6"/>
        <v/>
      </c>
      <c r="AB1322" s="32" t="str">
        <f t="shared" si="7"/>
        <v/>
      </c>
      <c r="AC1322" s="32" t="str">
        <f t="shared" ref="AC1322:AG1322" si="1326">IF(J1322&lt;&gt;"", IF(AND($P1322=FALSE, $A1322=FALSE), -J1322, IF(AND($P1322=FALSE, $A1322=TRUE), 0, IF($P1322=TRUE, (J1322 / $R1322) * 100 * ($S1322 / 100)-J1322, ))), )</f>
        <v/>
      </c>
      <c r="AD1322" s="32" t="str">
        <f t="shared" si="1326"/>
        <v/>
      </c>
      <c r="AE1322" s="32" t="str">
        <f t="shared" si="1326"/>
        <v/>
      </c>
      <c r="AF1322" s="32" t="str">
        <f t="shared" si="1326"/>
        <v/>
      </c>
      <c r="AG1322" s="32" t="str">
        <f t="shared" si="1326"/>
        <v/>
      </c>
      <c r="AH1322" s="33"/>
    </row>
    <row r="1323" hidden="1" outlineLevel="2" collapsed="1">
      <c r="A1323" s="16" t="b">
        <v>0</v>
      </c>
      <c r="B1323" s="17"/>
      <c r="C1323" s="18"/>
      <c r="D1323" s="42">
        <v>45277.0</v>
      </c>
      <c r="E1323" s="43" t="s">
        <v>24</v>
      </c>
      <c r="F1323" s="53" t="s">
        <v>817</v>
      </c>
      <c r="G1323" s="45">
        <v>4.0</v>
      </c>
      <c r="H1323" s="45">
        <v>1.0</v>
      </c>
      <c r="I1323" s="45">
        <v>2.5</v>
      </c>
      <c r="J1323" s="46"/>
      <c r="K1323" s="46"/>
      <c r="L1323" s="45"/>
      <c r="M1323" s="46"/>
      <c r="N1323" s="46"/>
      <c r="O1323" s="47"/>
      <c r="P1323" s="16" t="b">
        <v>0</v>
      </c>
      <c r="Q1323" s="24"/>
      <c r="R1323" s="48">
        <v>7.5</v>
      </c>
      <c r="S1323" s="45">
        <v>36.66</v>
      </c>
      <c r="T1323" s="49" t="s">
        <v>893</v>
      </c>
      <c r="U1323" s="47"/>
      <c r="V1323" s="28"/>
      <c r="W1323" s="29"/>
      <c r="X1323" s="30"/>
      <c r="Y1323" s="31"/>
      <c r="Z1323" s="26">
        <f t="shared" si="5"/>
        <v>-4</v>
      </c>
      <c r="AA1323" s="26">
        <f t="shared" si="6"/>
        <v>-2.5</v>
      </c>
      <c r="AB1323" s="32">
        <f t="shared" si="7"/>
        <v>-1</v>
      </c>
      <c r="AC1323" s="32" t="str">
        <f t="shared" ref="AC1323:AG1323" si="1327">IF(J1323&lt;&gt;"", IF(AND($P1323=FALSE, $A1323=FALSE), -J1323, IF(AND($P1323=FALSE, $A1323=TRUE), 0, IF($P1323=TRUE, (J1323 / $R1323) * 100 * ($S1323 / 100)-J1323, ))), )</f>
        <v/>
      </c>
      <c r="AD1323" s="32" t="str">
        <f t="shared" si="1327"/>
        <v/>
      </c>
      <c r="AE1323" s="32" t="str">
        <f t="shared" si="1327"/>
        <v/>
      </c>
      <c r="AF1323" s="32" t="str">
        <f t="shared" si="1327"/>
        <v/>
      </c>
      <c r="AG1323" s="32" t="str">
        <f t="shared" si="1327"/>
        <v/>
      </c>
      <c r="AH1323" s="33"/>
    </row>
    <row r="1324" hidden="1" outlineLevel="3">
      <c r="A1324" s="16" t="b">
        <v>0</v>
      </c>
      <c r="B1324" s="17"/>
      <c r="C1324" s="18"/>
      <c r="D1324" s="19"/>
      <c r="E1324" s="20"/>
      <c r="F1324" s="21"/>
      <c r="G1324" s="22"/>
      <c r="H1324" s="22"/>
      <c r="I1324" s="23"/>
      <c r="J1324" s="22"/>
      <c r="K1324" s="23"/>
      <c r="L1324" s="22"/>
      <c r="M1324" s="23"/>
      <c r="N1324" s="23"/>
      <c r="O1324" s="24"/>
      <c r="P1324" s="16" t="b">
        <v>0</v>
      </c>
      <c r="Q1324" s="24"/>
      <c r="R1324" s="25"/>
      <c r="S1324" s="26"/>
      <c r="T1324" s="27"/>
      <c r="U1324" s="24"/>
      <c r="V1324" s="38" t="s">
        <v>29</v>
      </c>
      <c r="W1324" s="29" t="s">
        <v>22</v>
      </c>
      <c r="X1324" s="37" t="s">
        <v>312</v>
      </c>
      <c r="Y1324" s="31"/>
      <c r="Z1324" s="26" t="str">
        <f t="shared" si="5"/>
        <v/>
      </c>
      <c r="AA1324" s="26" t="str">
        <f t="shared" si="6"/>
        <v/>
      </c>
      <c r="AB1324" s="32" t="str">
        <f t="shared" si="7"/>
        <v/>
      </c>
      <c r="AC1324" s="32" t="str">
        <f t="shared" ref="AC1324:AG1324" si="1328">IF(J1324&lt;&gt;"", IF(AND($P1324=FALSE, $A1324=FALSE), -J1324, IF(AND($P1324=FALSE, $A1324=TRUE), 0, IF($P1324=TRUE, (J1324 / $R1324) * 100 * ($S1324 / 100)-J1324, ))), )</f>
        <v/>
      </c>
      <c r="AD1324" s="32" t="str">
        <f t="shared" si="1328"/>
        <v/>
      </c>
      <c r="AE1324" s="32" t="str">
        <f t="shared" si="1328"/>
        <v/>
      </c>
      <c r="AF1324" s="32" t="str">
        <f t="shared" si="1328"/>
        <v/>
      </c>
      <c r="AG1324" s="32" t="str">
        <f t="shared" si="1328"/>
        <v/>
      </c>
      <c r="AH1324" s="33"/>
    </row>
    <row r="1325" hidden="1" outlineLevel="3">
      <c r="A1325" s="16" t="b">
        <v>0</v>
      </c>
      <c r="B1325" s="17"/>
      <c r="C1325" s="18"/>
      <c r="D1325" s="19"/>
      <c r="E1325" s="20"/>
      <c r="F1325" s="21"/>
      <c r="G1325" s="22"/>
      <c r="H1325" s="22"/>
      <c r="I1325" s="23"/>
      <c r="J1325" s="22"/>
      <c r="K1325" s="23"/>
      <c r="L1325" s="22"/>
      <c r="M1325" s="23"/>
      <c r="N1325" s="23"/>
      <c r="O1325" s="24"/>
      <c r="P1325" s="16" t="b">
        <v>0</v>
      </c>
      <c r="Q1325" s="24"/>
      <c r="R1325" s="25"/>
      <c r="S1325" s="26"/>
      <c r="T1325" s="27"/>
      <c r="U1325" s="24"/>
      <c r="V1325" s="38" t="s">
        <v>29</v>
      </c>
      <c r="W1325" s="29" t="s">
        <v>22</v>
      </c>
      <c r="X1325" s="37" t="s">
        <v>894</v>
      </c>
      <c r="Y1325" s="31"/>
      <c r="Z1325" s="26" t="str">
        <f t="shared" si="5"/>
        <v/>
      </c>
      <c r="AA1325" s="26" t="str">
        <f t="shared" si="6"/>
        <v/>
      </c>
      <c r="AB1325" s="32" t="str">
        <f t="shared" si="7"/>
        <v/>
      </c>
      <c r="AC1325" s="32" t="str">
        <f t="shared" ref="AC1325:AG1325" si="1329">IF(J1325&lt;&gt;"", IF(AND($P1325=FALSE, $A1325=FALSE), -J1325, IF(AND($P1325=FALSE, $A1325=TRUE), 0, IF($P1325=TRUE, (J1325 / $R1325) * 100 * ($S1325 / 100)-J1325, ))), )</f>
        <v/>
      </c>
      <c r="AD1325" s="32" t="str">
        <f t="shared" si="1329"/>
        <v/>
      </c>
      <c r="AE1325" s="32" t="str">
        <f t="shared" si="1329"/>
        <v/>
      </c>
      <c r="AF1325" s="32" t="str">
        <f t="shared" si="1329"/>
        <v/>
      </c>
      <c r="AG1325" s="32" t="str">
        <f t="shared" si="1329"/>
        <v/>
      </c>
      <c r="AH1325" s="33"/>
    </row>
    <row r="1326" hidden="1" outlineLevel="3">
      <c r="A1326" s="16" t="b">
        <v>0</v>
      </c>
      <c r="B1326" s="17"/>
      <c r="C1326" s="18"/>
      <c r="D1326" s="19"/>
      <c r="E1326" s="20"/>
      <c r="F1326" s="21"/>
      <c r="G1326" s="22"/>
      <c r="H1326" s="22"/>
      <c r="I1326" s="23"/>
      <c r="J1326" s="22"/>
      <c r="K1326" s="23"/>
      <c r="L1326" s="22"/>
      <c r="M1326" s="23"/>
      <c r="N1326" s="23"/>
      <c r="O1326" s="24"/>
      <c r="P1326" s="16" t="b">
        <v>0</v>
      </c>
      <c r="Q1326" s="24"/>
      <c r="R1326" s="25"/>
      <c r="S1326" s="26"/>
      <c r="T1326" s="27"/>
      <c r="U1326" s="24"/>
      <c r="V1326" s="28" t="s">
        <v>32</v>
      </c>
      <c r="W1326" s="29" t="s">
        <v>22</v>
      </c>
      <c r="X1326" s="37" t="s">
        <v>675</v>
      </c>
      <c r="Y1326" s="31"/>
      <c r="Z1326" s="26" t="str">
        <f t="shared" si="5"/>
        <v/>
      </c>
      <c r="AA1326" s="26" t="str">
        <f t="shared" si="6"/>
        <v/>
      </c>
      <c r="AB1326" s="32" t="str">
        <f t="shared" si="7"/>
        <v/>
      </c>
      <c r="AC1326" s="32" t="str">
        <f t="shared" ref="AC1326:AG1326" si="1330">IF(J1326&lt;&gt;"", IF(AND($P1326=FALSE, $A1326=FALSE), -J1326, IF(AND($P1326=FALSE, $A1326=TRUE), 0, IF($P1326=TRUE, (J1326 / $R1326) * 100 * ($S1326 / 100)-J1326, ))), )</f>
        <v/>
      </c>
      <c r="AD1326" s="32" t="str">
        <f t="shared" si="1330"/>
        <v/>
      </c>
      <c r="AE1326" s="32" t="str">
        <f t="shared" si="1330"/>
        <v/>
      </c>
      <c r="AF1326" s="32" t="str">
        <f t="shared" si="1330"/>
        <v/>
      </c>
      <c r="AG1326" s="32" t="str">
        <f t="shared" si="1330"/>
        <v/>
      </c>
      <c r="AH1326" s="33"/>
    </row>
    <row r="1327" hidden="1" outlineLevel="3">
      <c r="A1327" s="16" t="b">
        <v>0</v>
      </c>
      <c r="B1327" s="17"/>
      <c r="C1327" s="18"/>
      <c r="D1327" s="19"/>
      <c r="E1327" s="20"/>
      <c r="F1327" s="21"/>
      <c r="G1327" s="22"/>
      <c r="H1327" s="22"/>
      <c r="I1327" s="23"/>
      <c r="J1327" s="22"/>
      <c r="K1327" s="23"/>
      <c r="L1327" s="22"/>
      <c r="M1327" s="23"/>
      <c r="N1327" s="23"/>
      <c r="O1327" s="24"/>
      <c r="P1327" s="16" t="b">
        <v>0</v>
      </c>
      <c r="Q1327" s="24"/>
      <c r="R1327" s="25"/>
      <c r="S1327" s="26"/>
      <c r="T1327" s="27"/>
      <c r="U1327" s="24"/>
      <c r="V1327" s="28" t="s">
        <v>32</v>
      </c>
      <c r="W1327" s="29" t="s">
        <v>22</v>
      </c>
      <c r="X1327" s="37" t="s">
        <v>676</v>
      </c>
      <c r="Y1327" s="31"/>
      <c r="Z1327" s="26" t="str">
        <f t="shared" si="5"/>
        <v/>
      </c>
      <c r="AA1327" s="26" t="str">
        <f t="shared" si="6"/>
        <v/>
      </c>
      <c r="AB1327" s="32" t="str">
        <f t="shared" si="7"/>
        <v/>
      </c>
      <c r="AC1327" s="32" t="str">
        <f t="shared" ref="AC1327:AG1327" si="1331">IF(J1327&lt;&gt;"", IF(AND($P1327=FALSE, $A1327=FALSE), -J1327, IF(AND($P1327=FALSE, $A1327=TRUE), 0, IF($P1327=TRUE, (J1327 / $R1327) * 100 * ($S1327 / 100)-J1327, ))), )</f>
        <v/>
      </c>
      <c r="AD1327" s="32" t="str">
        <f t="shared" si="1331"/>
        <v/>
      </c>
      <c r="AE1327" s="32" t="str">
        <f t="shared" si="1331"/>
        <v/>
      </c>
      <c r="AF1327" s="32" t="str">
        <f t="shared" si="1331"/>
        <v/>
      </c>
      <c r="AG1327" s="32" t="str">
        <f t="shared" si="1331"/>
        <v/>
      </c>
      <c r="AH1327" s="33"/>
    </row>
    <row r="1328" hidden="1" outlineLevel="3">
      <c r="A1328" s="16" t="b">
        <v>0</v>
      </c>
      <c r="B1328" s="17"/>
      <c r="C1328" s="18"/>
      <c r="D1328" s="19"/>
      <c r="E1328" s="20"/>
      <c r="F1328" s="21"/>
      <c r="G1328" s="22"/>
      <c r="H1328" s="22"/>
      <c r="I1328" s="23"/>
      <c r="J1328" s="22"/>
      <c r="K1328" s="23"/>
      <c r="L1328" s="22"/>
      <c r="M1328" s="23"/>
      <c r="N1328" s="23"/>
      <c r="O1328" s="24"/>
      <c r="P1328" s="16" t="b">
        <v>0</v>
      </c>
      <c r="Q1328" s="24"/>
      <c r="R1328" s="25"/>
      <c r="S1328" s="26"/>
      <c r="T1328" s="27"/>
      <c r="U1328" s="24"/>
      <c r="V1328" s="38" t="s">
        <v>29</v>
      </c>
      <c r="W1328" s="29" t="s">
        <v>22</v>
      </c>
      <c r="X1328" s="37" t="s">
        <v>497</v>
      </c>
      <c r="Y1328" s="31"/>
      <c r="Z1328" s="26" t="str">
        <f t="shared" si="5"/>
        <v/>
      </c>
      <c r="AA1328" s="26" t="str">
        <f t="shared" si="6"/>
        <v/>
      </c>
      <c r="AB1328" s="32" t="str">
        <f t="shared" si="7"/>
        <v/>
      </c>
      <c r="AC1328" s="32" t="str">
        <f t="shared" ref="AC1328:AG1328" si="1332">IF(J1328&lt;&gt;"", IF(AND($P1328=FALSE, $A1328=FALSE), -J1328, IF(AND($P1328=FALSE, $A1328=TRUE), 0, IF($P1328=TRUE, (J1328 / $R1328) * 100 * ($S1328 / 100)-J1328, ))), )</f>
        <v/>
      </c>
      <c r="AD1328" s="32" t="str">
        <f t="shared" si="1332"/>
        <v/>
      </c>
      <c r="AE1328" s="32" t="str">
        <f t="shared" si="1332"/>
        <v/>
      </c>
      <c r="AF1328" s="32" t="str">
        <f t="shared" si="1332"/>
        <v/>
      </c>
      <c r="AG1328" s="32" t="str">
        <f t="shared" si="1332"/>
        <v/>
      </c>
      <c r="AH1328" s="33"/>
    </row>
    <row r="1329" hidden="1" outlineLevel="3">
      <c r="A1329" s="16" t="b">
        <v>0</v>
      </c>
      <c r="B1329" s="17"/>
      <c r="C1329" s="18"/>
      <c r="D1329" s="19"/>
      <c r="E1329" s="20"/>
      <c r="F1329" s="21"/>
      <c r="G1329" s="22"/>
      <c r="H1329" s="22"/>
      <c r="I1329" s="23"/>
      <c r="J1329" s="22"/>
      <c r="K1329" s="23"/>
      <c r="L1329" s="22"/>
      <c r="M1329" s="23"/>
      <c r="N1329" s="23"/>
      <c r="O1329" s="24"/>
      <c r="P1329" s="16" t="b">
        <v>0</v>
      </c>
      <c r="Q1329" s="24"/>
      <c r="R1329" s="25"/>
      <c r="S1329" s="26"/>
      <c r="T1329" s="27"/>
      <c r="U1329" s="24"/>
      <c r="V1329" s="38" t="s">
        <v>29</v>
      </c>
      <c r="W1329" s="29" t="s">
        <v>22</v>
      </c>
      <c r="X1329" s="37" t="s">
        <v>406</v>
      </c>
      <c r="Y1329" s="31"/>
      <c r="Z1329" s="26" t="str">
        <f t="shared" si="5"/>
        <v/>
      </c>
      <c r="AA1329" s="26" t="str">
        <f t="shared" si="6"/>
        <v/>
      </c>
      <c r="AB1329" s="32" t="str">
        <f t="shared" si="7"/>
        <v/>
      </c>
      <c r="AC1329" s="32" t="str">
        <f t="shared" ref="AC1329:AG1329" si="1333">IF(J1329&lt;&gt;"", IF(AND($P1329=FALSE, $A1329=FALSE), -J1329, IF(AND($P1329=FALSE, $A1329=TRUE), 0, IF($P1329=TRUE, (J1329 / $R1329) * 100 * ($S1329 / 100)-J1329, ))), )</f>
        <v/>
      </c>
      <c r="AD1329" s="32" t="str">
        <f t="shared" si="1333"/>
        <v/>
      </c>
      <c r="AE1329" s="32" t="str">
        <f t="shared" si="1333"/>
        <v/>
      </c>
      <c r="AF1329" s="32" t="str">
        <f t="shared" si="1333"/>
        <v/>
      </c>
      <c r="AG1329" s="32" t="str">
        <f t="shared" si="1333"/>
        <v/>
      </c>
      <c r="AH1329" s="33"/>
    </row>
    <row r="1330" hidden="1" outlineLevel="2" collapsed="1">
      <c r="A1330" s="16" t="b">
        <v>0</v>
      </c>
      <c r="B1330" s="17"/>
      <c r="C1330" s="18"/>
      <c r="D1330" s="42">
        <v>45277.0</v>
      </c>
      <c r="E1330" s="43" t="s">
        <v>24</v>
      </c>
      <c r="F1330" s="53" t="s">
        <v>817</v>
      </c>
      <c r="G1330" s="45">
        <v>2.0</v>
      </c>
      <c r="H1330" s="45">
        <v>0.5</v>
      </c>
      <c r="I1330" s="45">
        <v>1.0</v>
      </c>
      <c r="J1330" s="46"/>
      <c r="K1330" s="46"/>
      <c r="L1330" s="45"/>
      <c r="M1330" s="46"/>
      <c r="N1330" s="46"/>
      <c r="O1330" s="47"/>
      <c r="P1330" s="16" t="b">
        <v>0</v>
      </c>
      <c r="Q1330" s="24"/>
      <c r="R1330" s="48">
        <v>3.5</v>
      </c>
      <c r="S1330" s="45">
        <v>26.08</v>
      </c>
      <c r="T1330" s="49" t="s">
        <v>895</v>
      </c>
      <c r="U1330" s="47"/>
      <c r="V1330" s="28"/>
      <c r="W1330" s="29"/>
      <c r="X1330" s="30"/>
      <c r="Y1330" s="31"/>
      <c r="Z1330" s="26">
        <f t="shared" si="5"/>
        <v>-2</v>
      </c>
      <c r="AA1330" s="26">
        <f t="shared" si="6"/>
        <v>-1</v>
      </c>
      <c r="AB1330" s="32">
        <f t="shared" si="7"/>
        <v>-0.5</v>
      </c>
      <c r="AC1330" s="32" t="str">
        <f t="shared" ref="AC1330:AG1330" si="1334">IF(J1330&lt;&gt;"", IF(AND($P1330=FALSE, $A1330=FALSE), -J1330, IF(AND($P1330=FALSE, $A1330=TRUE), 0, IF($P1330=TRUE, (J1330 / $R1330) * 100 * ($S1330 / 100)-J1330, ))), )</f>
        <v/>
      </c>
      <c r="AD1330" s="32" t="str">
        <f t="shared" si="1334"/>
        <v/>
      </c>
      <c r="AE1330" s="32" t="str">
        <f t="shared" si="1334"/>
        <v/>
      </c>
      <c r="AF1330" s="32" t="str">
        <f t="shared" si="1334"/>
        <v/>
      </c>
      <c r="AG1330" s="32" t="str">
        <f t="shared" si="1334"/>
        <v/>
      </c>
      <c r="AH1330" s="33"/>
    </row>
    <row r="1331" hidden="1" outlineLevel="3">
      <c r="A1331" s="16" t="b">
        <v>0</v>
      </c>
      <c r="B1331" s="17"/>
      <c r="C1331" s="18"/>
      <c r="D1331" s="19"/>
      <c r="E1331" s="20"/>
      <c r="F1331" s="21"/>
      <c r="G1331" s="22"/>
      <c r="H1331" s="22"/>
      <c r="I1331" s="23"/>
      <c r="J1331" s="22"/>
      <c r="K1331" s="23"/>
      <c r="L1331" s="22"/>
      <c r="M1331" s="23"/>
      <c r="N1331" s="23"/>
      <c r="O1331" s="24"/>
      <c r="P1331" s="16" t="b">
        <v>0</v>
      </c>
      <c r="Q1331" s="24"/>
      <c r="R1331" s="25"/>
      <c r="S1331" s="26"/>
      <c r="T1331" s="27"/>
      <c r="U1331" s="24"/>
      <c r="V1331" s="38" t="s">
        <v>29</v>
      </c>
      <c r="W1331" s="29" t="s">
        <v>22</v>
      </c>
      <c r="X1331" s="37" t="s">
        <v>896</v>
      </c>
      <c r="Y1331" s="31"/>
      <c r="Z1331" s="26" t="str">
        <f t="shared" si="5"/>
        <v/>
      </c>
      <c r="AA1331" s="26" t="str">
        <f t="shared" si="6"/>
        <v/>
      </c>
      <c r="AB1331" s="32" t="str">
        <f t="shared" si="7"/>
        <v/>
      </c>
      <c r="AC1331" s="32" t="str">
        <f t="shared" ref="AC1331:AG1331" si="1335">IF(J1331&lt;&gt;"", IF(AND($P1331=FALSE, $A1331=FALSE), -J1331, IF(AND($P1331=FALSE, $A1331=TRUE), 0, IF($P1331=TRUE, (J1331 / $R1331) * 100 * ($S1331 / 100)-J1331, ))), )</f>
        <v/>
      </c>
      <c r="AD1331" s="32" t="str">
        <f t="shared" si="1335"/>
        <v/>
      </c>
      <c r="AE1331" s="32" t="str">
        <f t="shared" si="1335"/>
        <v/>
      </c>
      <c r="AF1331" s="32" t="str">
        <f t="shared" si="1335"/>
        <v/>
      </c>
      <c r="AG1331" s="32" t="str">
        <f t="shared" si="1335"/>
        <v/>
      </c>
      <c r="AH1331" s="33"/>
    </row>
    <row r="1332" hidden="1" outlineLevel="3">
      <c r="A1332" s="16" t="b">
        <v>0</v>
      </c>
      <c r="B1332" s="17"/>
      <c r="C1332" s="18"/>
      <c r="D1332" s="19"/>
      <c r="E1332" s="20"/>
      <c r="F1332" s="21"/>
      <c r="G1332" s="22"/>
      <c r="H1332" s="22"/>
      <c r="I1332" s="23"/>
      <c r="J1332" s="22"/>
      <c r="K1332" s="23"/>
      <c r="L1332" s="22"/>
      <c r="M1332" s="23"/>
      <c r="N1332" s="23"/>
      <c r="O1332" s="24"/>
      <c r="P1332" s="16" t="b">
        <v>0</v>
      </c>
      <c r="Q1332" s="24"/>
      <c r="R1332" s="25"/>
      <c r="S1332" s="26"/>
      <c r="T1332" s="27"/>
      <c r="U1332" s="24"/>
      <c r="V1332" s="38" t="s">
        <v>29</v>
      </c>
      <c r="W1332" s="29" t="s">
        <v>22</v>
      </c>
      <c r="X1332" s="37" t="s">
        <v>897</v>
      </c>
      <c r="Y1332" s="31"/>
      <c r="Z1332" s="26" t="str">
        <f t="shared" si="5"/>
        <v/>
      </c>
      <c r="AA1332" s="26" t="str">
        <f t="shared" si="6"/>
        <v/>
      </c>
      <c r="AB1332" s="32" t="str">
        <f t="shared" si="7"/>
        <v/>
      </c>
      <c r="AC1332" s="32" t="str">
        <f t="shared" ref="AC1332:AG1332" si="1336">IF(J1332&lt;&gt;"", IF(AND($P1332=FALSE, $A1332=FALSE), -J1332, IF(AND($P1332=FALSE, $A1332=TRUE), 0, IF($P1332=TRUE, (J1332 / $R1332) * 100 * ($S1332 / 100)-J1332, ))), )</f>
        <v/>
      </c>
      <c r="AD1332" s="32" t="str">
        <f t="shared" si="1336"/>
        <v/>
      </c>
      <c r="AE1332" s="32" t="str">
        <f t="shared" si="1336"/>
        <v/>
      </c>
      <c r="AF1332" s="32" t="str">
        <f t="shared" si="1336"/>
        <v/>
      </c>
      <c r="AG1332" s="32" t="str">
        <f t="shared" si="1336"/>
        <v/>
      </c>
      <c r="AH1332" s="33"/>
    </row>
    <row r="1333" hidden="1" outlineLevel="3">
      <c r="A1333" s="16" t="b">
        <v>0</v>
      </c>
      <c r="B1333" s="17"/>
      <c r="C1333" s="18"/>
      <c r="D1333" s="19"/>
      <c r="E1333" s="20"/>
      <c r="F1333" s="21"/>
      <c r="G1333" s="22"/>
      <c r="H1333" s="22"/>
      <c r="I1333" s="23"/>
      <c r="J1333" s="22"/>
      <c r="K1333" s="23"/>
      <c r="L1333" s="22"/>
      <c r="M1333" s="23"/>
      <c r="N1333" s="23"/>
      <c r="O1333" s="24"/>
      <c r="P1333" s="16" t="b">
        <v>0</v>
      </c>
      <c r="Q1333" s="24"/>
      <c r="R1333" s="25"/>
      <c r="S1333" s="26"/>
      <c r="T1333" s="27"/>
      <c r="U1333" s="24"/>
      <c r="V1333" s="28" t="s">
        <v>32</v>
      </c>
      <c r="W1333" s="29" t="s">
        <v>22</v>
      </c>
      <c r="X1333" s="37" t="s">
        <v>898</v>
      </c>
      <c r="Y1333" s="31"/>
      <c r="Z1333" s="26" t="str">
        <f t="shared" si="5"/>
        <v/>
      </c>
      <c r="AA1333" s="26" t="str">
        <f t="shared" si="6"/>
        <v/>
      </c>
      <c r="AB1333" s="32" t="str">
        <f t="shared" si="7"/>
        <v/>
      </c>
      <c r="AC1333" s="32" t="str">
        <f t="shared" ref="AC1333:AG1333" si="1337">IF(J1333&lt;&gt;"", IF(AND($P1333=FALSE, $A1333=FALSE), -J1333, IF(AND($P1333=FALSE, $A1333=TRUE), 0, IF($P1333=TRUE, (J1333 / $R1333) * 100 * ($S1333 / 100)-J1333, ))), )</f>
        <v/>
      </c>
      <c r="AD1333" s="32" t="str">
        <f t="shared" si="1337"/>
        <v/>
      </c>
      <c r="AE1333" s="32" t="str">
        <f t="shared" si="1337"/>
        <v/>
      </c>
      <c r="AF1333" s="32" t="str">
        <f t="shared" si="1337"/>
        <v/>
      </c>
      <c r="AG1333" s="32" t="str">
        <f t="shared" si="1337"/>
        <v/>
      </c>
      <c r="AH1333" s="33"/>
    </row>
    <row r="1334" hidden="1" outlineLevel="3">
      <c r="A1334" s="16" t="b">
        <v>0</v>
      </c>
      <c r="B1334" s="17"/>
      <c r="C1334" s="18"/>
      <c r="D1334" s="19"/>
      <c r="E1334" s="20"/>
      <c r="F1334" s="21"/>
      <c r="G1334" s="22"/>
      <c r="H1334" s="22"/>
      <c r="I1334" s="23"/>
      <c r="J1334" s="22"/>
      <c r="K1334" s="23"/>
      <c r="L1334" s="22"/>
      <c r="M1334" s="23"/>
      <c r="N1334" s="23"/>
      <c r="O1334" s="24"/>
      <c r="P1334" s="16" t="b">
        <v>0</v>
      </c>
      <c r="Q1334" s="24"/>
      <c r="R1334" s="25"/>
      <c r="S1334" s="26"/>
      <c r="T1334" s="27"/>
      <c r="U1334" s="24"/>
      <c r="V1334" s="38" t="s">
        <v>29</v>
      </c>
      <c r="W1334" s="29" t="s">
        <v>22</v>
      </c>
      <c r="X1334" s="37" t="s">
        <v>899</v>
      </c>
      <c r="Y1334" s="31"/>
      <c r="Z1334" s="26" t="str">
        <f t="shared" si="5"/>
        <v/>
      </c>
      <c r="AA1334" s="26" t="str">
        <f t="shared" si="6"/>
        <v/>
      </c>
      <c r="AB1334" s="32" t="str">
        <f t="shared" si="7"/>
        <v/>
      </c>
      <c r="AC1334" s="32" t="str">
        <f t="shared" ref="AC1334:AG1334" si="1338">IF(J1334&lt;&gt;"", IF(AND($P1334=FALSE, $A1334=FALSE), -J1334, IF(AND($P1334=FALSE, $A1334=TRUE), 0, IF($P1334=TRUE, (J1334 / $R1334) * 100 * ($S1334 / 100)-J1334, ))), )</f>
        <v/>
      </c>
      <c r="AD1334" s="32" t="str">
        <f t="shared" si="1338"/>
        <v/>
      </c>
      <c r="AE1334" s="32" t="str">
        <f t="shared" si="1338"/>
        <v/>
      </c>
      <c r="AF1334" s="32" t="str">
        <f t="shared" si="1338"/>
        <v/>
      </c>
      <c r="AG1334" s="32" t="str">
        <f t="shared" si="1338"/>
        <v/>
      </c>
      <c r="AH1334" s="33"/>
    </row>
    <row r="1335" hidden="1" outlineLevel="2" collapsed="1">
      <c r="A1335" s="16" t="b">
        <v>0</v>
      </c>
      <c r="B1335" s="17"/>
      <c r="C1335" s="18"/>
      <c r="D1335" s="42">
        <v>45277.0</v>
      </c>
      <c r="E1335" s="43" t="s">
        <v>24</v>
      </c>
      <c r="F1335" s="53" t="s">
        <v>817</v>
      </c>
      <c r="G1335" s="45">
        <v>2.0</v>
      </c>
      <c r="H1335" s="45">
        <v>0.5</v>
      </c>
      <c r="I1335" s="45">
        <v>2.0</v>
      </c>
      <c r="J1335" s="46"/>
      <c r="K1335" s="46"/>
      <c r="L1335" s="45"/>
      <c r="M1335" s="46"/>
      <c r="N1335" s="46"/>
      <c r="O1335" s="47"/>
      <c r="P1335" s="16" t="b">
        <v>1</v>
      </c>
      <c r="Q1335" s="24"/>
      <c r="R1335" s="48">
        <v>4.5</v>
      </c>
      <c r="S1335" s="45">
        <v>9.0</v>
      </c>
      <c r="T1335" s="49">
        <v>-100.0</v>
      </c>
      <c r="U1335" s="47"/>
      <c r="V1335" s="28"/>
      <c r="W1335" s="29"/>
      <c r="X1335" s="30"/>
      <c r="Y1335" s="31"/>
      <c r="Z1335" s="26">
        <f t="shared" si="5"/>
        <v>2</v>
      </c>
      <c r="AA1335" s="26">
        <f t="shared" si="6"/>
        <v>2</v>
      </c>
      <c r="AB1335" s="32">
        <f t="shared" si="7"/>
        <v>0.5</v>
      </c>
      <c r="AC1335" s="32" t="str">
        <f t="shared" ref="AC1335:AG1335" si="1339">IF(J1335&lt;&gt;"", IF(AND($P1335=FALSE, $A1335=FALSE), -J1335, IF(AND($P1335=FALSE, $A1335=TRUE), 0, IF($P1335=TRUE, (J1335 / $R1335) * 100 * ($S1335 / 100)-J1335, ))), )</f>
        <v/>
      </c>
      <c r="AD1335" s="32" t="str">
        <f t="shared" si="1339"/>
        <v/>
      </c>
      <c r="AE1335" s="32" t="str">
        <f t="shared" si="1339"/>
        <v/>
      </c>
      <c r="AF1335" s="32" t="str">
        <f t="shared" si="1339"/>
        <v/>
      </c>
      <c r="AG1335" s="32" t="str">
        <f t="shared" si="1339"/>
        <v/>
      </c>
      <c r="AH1335" s="33"/>
    </row>
    <row r="1336" hidden="1" outlineLevel="3">
      <c r="A1336" s="16" t="b">
        <v>0</v>
      </c>
      <c r="B1336" s="17"/>
      <c r="C1336" s="18"/>
      <c r="D1336" s="19"/>
      <c r="E1336" s="20"/>
      <c r="F1336" s="21"/>
      <c r="G1336" s="22"/>
      <c r="H1336" s="22"/>
      <c r="I1336" s="23"/>
      <c r="J1336" s="22"/>
      <c r="K1336" s="23"/>
      <c r="L1336" s="22"/>
      <c r="M1336" s="23"/>
      <c r="N1336" s="23"/>
      <c r="O1336" s="24"/>
      <c r="P1336" s="16" t="b">
        <v>0</v>
      </c>
      <c r="Q1336" s="24"/>
      <c r="R1336" s="25"/>
      <c r="S1336" s="26"/>
      <c r="T1336" s="27"/>
      <c r="U1336" s="24"/>
      <c r="V1336" s="38" t="s">
        <v>29</v>
      </c>
      <c r="W1336" s="29" t="s">
        <v>22</v>
      </c>
      <c r="X1336" s="37" t="s">
        <v>609</v>
      </c>
      <c r="Y1336" s="31"/>
      <c r="Z1336" s="26" t="str">
        <f t="shared" si="5"/>
        <v/>
      </c>
      <c r="AA1336" s="26" t="str">
        <f t="shared" si="6"/>
        <v/>
      </c>
      <c r="AB1336" s="32" t="str">
        <f t="shared" si="7"/>
        <v/>
      </c>
      <c r="AC1336" s="32" t="str">
        <f t="shared" ref="AC1336:AG1336" si="1340">IF(J1336&lt;&gt;"", IF(AND($P1336=FALSE, $A1336=FALSE), -J1336, IF(AND($P1336=FALSE, $A1336=TRUE), 0, IF($P1336=TRUE, (J1336 / $R1336) * 100 * ($S1336 / 100)-J1336, ))), )</f>
        <v/>
      </c>
      <c r="AD1336" s="32" t="str">
        <f t="shared" si="1340"/>
        <v/>
      </c>
      <c r="AE1336" s="32" t="str">
        <f t="shared" si="1340"/>
        <v/>
      </c>
      <c r="AF1336" s="32" t="str">
        <f t="shared" si="1340"/>
        <v/>
      </c>
      <c r="AG1336" s="32" t="str">
        <f t="shared" si="1340"/>
        <v/>
      </c>
      <c r="AH1336" s="33"/>
    </row>
    <row r="1337" hidden="1" outlineLevel="2" collapsed="1">
      <c r="A1337" s="16" t="b">
        <v>0</v>
      </c>
      <c r="B1337" s="17"/>
      <c r="C1337" s="18"/>
      <c r="D1337" s="42">
        <v>45277.0</v>
      </c>
      <c r="E1337" s="43" t="s">
        <v>24</v>
      </c>
      <c r="F1337" s="53" t="s">
        <v>817</v>
      </c>
      <c r="G1337" s="45">
        <v>3.0</v>
      </c>
      <c r="H1337" s="45">
        <v>1.5</v>
      </c>
      <c r="I1337" s="45">
        <v>5.5</v>
      </c>
      <c r="J1337" s="46"/>
      <c r="K1337" s="46"/>
      <c r="L1337" s="45"/>
      <c r="M1337" s="46"/>
      <c r="N1337" s="46"/>
      <c r="O1337" s="47"/>
      <c r="P1337" s="16" t="b">
        <v>0</v>
      </c>
      <c r="Q1337" s="24"/>
      <c r="R1337" s="48">
        <v>10.0</v>
      </c>
      <c r="S1337" s="45">
        <v>28.23</v>
      </c>
      <c r="T1337" s="49" t="s">
        <v>400</v>
      </c>
      <c r="U1337" s="47"/>
      <c r="V1337" s="28"/>
      <c r="W1337" s="29"/>
      <c r="X1337" s="30"/>
      <c r="Y1337" s="31"/>
      <c r="Z1337" s="26">
        <f t="shared" si="5"/>
        <v>-3</v>
      </c>
      <c r="AA1337" s="26">
        <f t="shared" si="6"/>
        <v>-5.5</v>
      </c>
      <c r="AB1337" s="32">
        <f t="shared" si="7"/>
        <v>-1.5</v>
      </c>
      <c r="AC1337" s="32" t="str">
        <f t="shared" ref="AC1337:AG1337" si="1341">IF(J1337&lt;&gt;"", IF(AND($P1337=FALSE, $A1337=FALSE), -J1337, IF(AND($P1337=FALSE, $A1337=TRUE), 0, IF($P1337=TRUE, (J1337 / $R1337) * 100 * ($S1337 / 100)-J1337, ))), )</f>
        <v/>
      </c>
      <c r="AD1337" s="32" t="str">
        <f t="shared" si="1341"/>
        <v/>
      </c>
      <c r="AE1337" s="32" t="str">
        <f t="shared" si="1341"/>
        <v/>
      </c>
      <c r="AF1337" s="32" t="str">
        <f t="shared" si="1341"/>
        <v/>
      </c>
      <c r="AG1337" s="32" t="str">
        <f t="shared" si="1341"/>
        <v/>
      </c>
      <c r="AH1337" s="33"/>
    </row>
    <row r="1338" hidden="1" outlineLevel="3">
      <c r="A1338" s="16" t="b">
        <v>0</v>
      </c>
      <c r="B1338" s="17"/>
      <c r="C1338" s="18"/>
      <c r="D1338" s="19"/>
      <c r="E1338" s="20"/>
      <c r="F1338" s="21"/>
      <c r="G1338" s="22"/>
      <c r="H1338" s="22"/>
      <c r="I1338" s="23"/>
      <c r="J1338" s="22"/>
      <c r="K1338" s="23"/>
      <c r="L1338" s="22"/>
      <c r="M1338" s="23"/>
      <c r="N1338" s="23"/>
      <c r="O1338" s="24"/>
      <c r="P1338" s="16" t="b">
        <v>0</v>
      </c>
      <c r="Q1338" s="24"/>
      <c r="R1338" s="25"/>
      <c r="S1338" s="26"/>
      <c r="T1338" s="27"/>
      <c r="U1338" s="24"/>
      <c r="V1338" s="28" t="s">
        <v>32</v>
      </c>
      <c r="W1338" s="29" t="s">
        <v>22</v>
      </c>
      <c r="X1338" s="37" t="s">
        <v>375</v>
      </c>
      <c r="Y1338" s="31"/>
      <c r="Z1338" s="26" t="str">
        <f t="shared" si="5"/>
        <v/>
      </c>
      <c r="AA1338" s="26" t="str">
        <f t="shared" si="6"/>
        <v/>
      </c>
      <c r="AB1338" s="32" t="str">
        <f t="shared" si="7"/>
        <v/>
      </c>
      <c r="AC1338" s="32" t="str">
        <f t="shared" ref="AC1338:AG1338" si="1342">IF(J1338&lt;&gt;"", IF(AND($P1338=FALSE, $A1338=FALSE), -J1338, IF(AND($P1338=FALSE, $A1338=TRUE), 0, IF($P1338=TRUE, (J1338 / $R1338) * 100 * ($S1338 / 100)-J1338, ))), )</f>
        <v/>
      </c>
      <c r="AD1338" s="32" t="str">
        <f t="shared" si="1342"/>
        <v/>
      </c>
      <c r="AE1338" s="32" t="str">
        <f t="shared" si="1342"/>
        <v/>
      </c>
      <c r="AF1338" s="32" t="str">
        <f t="shared" si="1342"/>
        <v/>
      </c>
      <c r="AG1338" s="32" t="str">
        <f t="shared" si="1342"/>
        <v/>
      </c>
      <c r="AH1338" s="33"/>
    </row>
    <row r="1339" hidden="1" outlineLevel="3">
      <c r="A1339" s="16" t="b">
        <v>0</v>
      </c>
      <c r="B1339" s="17"/>
      <c r="C1339" s="18"/>
      <c r="D1339" s="19"/>
      <c r="E1339" s="20"/>
      <c r="F1339" s="21"/>
      <c r="G1339" s="22"/>
      <c r="H1339" s="22"/>
      <c r="I1339" s="23"/>
      <c r="J1339" s="22"/>
      <c r="K1339" s="23"/>
      <c r="L1339" s="22"/>
      <c r="M1339" s="23"/>
      <c r="N1339" s="23"/>
      <c r="O1339" s="24"/>
      <c r="P1339" s="16" t="b">
        <v>0</v>
      </c>
      <c r="Q1339" s="24"/>
      <c r="R1339" s="25"/>
      <c r="S1339" s="26"/>
      <c r="T1339" s="27"/>
      <c r="U1339" s="24"/>
      <c r="V1339" s="28" t="s">
        <v>32</v>
      </c>
      <c r="W1339" s="29" t="s">
        <v>22</v>
      </c>
      <c r="X1339" s="37" t="s">
        <v>783</v>
      </c>
      <c r="Y1339" s="31"/>
      <c r="Z1339" s="26" t="str">
        <f t="shared" si="5"/>
        <v/>
      </c>
      <c r="AA1339" s="26" t="str">
        <f t="shared" si="6"/>
        <v/>
      </c>
      <c r="AB1339" s="32" t="str">
        <f t="shared" si="7"/>
        <v/>
      </c>
      <c r="AC1339" s="32" t="str">
        <f t="shared" ref="AC1339:AG1339" si="1343">IF(J1339&lt;&gt;"", IF(AND($P1339=FALSE, $A1339=FALSE), -J1339, IF(AND($P1339=FALSE, $A1339=TRUE), 0, IF($P1339=TRUE, (J1339 / $R1339) * 100 * ($S1339 / 100)-J1339, ))), )</f>
        <v/>
      </c>
      <c r="AD1339" s="32" t="str">
        <f t="shared" si="1343"/>
        <v/>
      </c>
      <c r="AE1339" s="32" t="str">
        <f t="shared" si="1343"/>
        <v/>
      </c>
      <c r="AF1339" s="32" t="str">
        <f t="shared" si="1343"/>
        <v/>
      </c>
      <c r="AG1339" s="32" t="str">
        <f t="shared" si="1343"/>
        <v/>
      </c>
      <c r="AH1339" s="33"/>
    </row>
    <row r="1340" hidden="1" outlineLevel="3">
      <c r="A1340" s="16" t="b">
        <v>0</v>
      </c>
      <c r="B1340" s="17"/>
      <c r="C1340" s="18"/>
      <c r="D1340" s="19"/>
      <c r="E1340" s="20"/>
      <c r="F1340" s="21"/>
      <c r="G1340" s="22"/>
      <c r="H1340" s="22"/>
      <c r="I1340" s="23"/>
      <c r="J1340" s="22"/>
      <c r="K1340" s="23"/>
      <c r="L1340" s="22"/>
      <c r="M1340" s="23"/>
      <c r="N1340" s="23"/>
      <c r="O1340" s="24"/>
      <c r="P1340" s="16" t="b">
        <v>0</v>
      </c>
      <c r="Q1340" s="24"/>
      <c r="R1340" s="25"/>
      <c r="S1340" s="26"/>
      <c r="T1340" s="27"/>
      <c r="U1340" s="24"/>
      <c r="V1340" s="28" t="s">
        <v>32</v>
      </c>
      <c r="W1340" s="29" t="s">
        <v>22</v>
      </c>
      <c r="X1340" s="37" t="s">
        <v>138</v>
      </c>
      <c r="Y1340" s="31"/>
      <c r="Z1340" s="26" t="str">
        <f t="shared" si="5"/>
        <v/>
      </c>
      <c r="AA1340" s="26" t="str">
        <f t="shared" si="6"/>
        <v/>
      </c>
      <c r="AB1340" s="32" t="str">
        <f t="shared" si="7"/>
        <v/>
      </c>
      <c r="AC1340" s="32" t="str">
        <f t="shared" ref="AC1340:AG1340" si="1344">IF(J1340&lt;&gt;"", IF(AND($P1340=FALSE, $A1340=FALSE), -J1340, IF(AND($P1340=FALSE, $A1340=TRUE), 0, IF($P1340=TRUE, (J1340 / $R1340) * 100 * ($S1340 / 100)-J1340, ))), )</f>
        <v/>
      </c>
      <c r="AD1340" s="32" t="str">
        <f t="shared" si="1344"/>
        <v/>
      </c>
      <c r="AE1340" s="32" t="str">
        <f t="shared" si="1344"/>
        <v/>
      </c>
      <c r="AF1340" s="32" t="str">
        <f t="shared" si="1344"/>
        <v/>
      </c>
      <c r="AG1340" s="32" t="str">
        <f t="shared" si="1344"/>
        <v/>
      </c>
      <c r="AH1340" s="33"/>
    </row>
    <row r="1341" hidden="1" outlineLevel="3">
      <c r="A1341" s="16" t="b">
        <v>0</v>
      </c>
      <c r="B1341" s="17"/>
      <c r="C1341" s="18"/>
      <c r="D1341" s="19"/>
      <c r="E1341" s="20"/>
      <c r="F1341" s="21"/>
      <c r="G1341" s="22"/>
      <c r="H1341" s="22"/>
      <c r="I1341" s="23"/>
      <c r="J1341" s="22"/>
      <c r="K1341" s="23"/>
      <c r="L1341" s="22"/>
      <c r="M1341" s="23"/>
      <c r="N1341" s="23"/>
      <c r="O1341" s="24"/>
      <c r="P1341" s="16" t="b">
        <v>0</v>
      </c>
      <c r="Q1341" s="24"/>
      <c r="R1341" s="25"/>
      <c r="S1341" s="26"/>
      <c r="T1341" s="27"/>
      <c r="U1341" s="24"/>
      <c r="V1341" s="38" t="s">
        <v>29</v>
      </c>
      <c r="W1341" s="29" t="s">
        <v>22</v>
      </c>
      <c r="X1341" s="37" t="s">
        <v>488</v>
      </c>
      <c r="Y1341" s="31"/>
      <c r="Z1341" s="26" t="str">
        <f t="shared" si="5"/>
        <v/>
      </c>
      <c r="AA1341" s="26" t="str">
        <f t="shared" si="6"/>
        <v/>
      </c>
      <c r="AB1341" s="32" t="str">
        <f t="shared" si="7"/>
        <v/>
      </c>
      <c r="AC1341" s="32" t="str">
        <f t="shared" ref="AC1341:AG1341" si="1345">IF(J1341&lt;&gt;"", IF(AND($P1341=FALSE, $A1341=FALSE), -J1341, IF(AND($P1341=FALSE, $A1341=TRUE), 0, IF($P1341=TRUE, (J1341 / $R1341) * 100 * ($S1341 / 100)-J1341, ))), )</f>
        <v/>
      </c>
      <c r="AD1341" s="32" t="str">
        <f t="shared" si="1345"/>
        <v/>
      </c>
      <c r="AE1341" s="32" t="str">
        <f t="shared" si="1345"/>
        <v/>
      </c>
      <c r="AF1341" s="32" t="str">
        <f t="shared" si="1345"/>
        <v/>
      </c>
      <c r="AG1341" s="32" t="str">
        <f t="shared" si="1345"/>
        <v/>
      </c>
      <c r="AH1341" s="33"/>
    </row>
    <row r="1342" hidden="1" outlineLevel="2" collapsed="1">
      <c r="A1342" s="16" t="b">
        <v>0</v>
      </c>
      <c r="B1342" s="17"/>
      <c r="C1342" s="18"/>
      <c r="D1342" s="42">
        <v>45277.0</v>
      </c>
      <c r="E1342" s="43" t="s">
        <v>24</v>
      </c>
      <c r="F1342" s="53" t="s">
        <v>817</v>
      </c>
      <c r="G1342" s="45">
        <v>3.0</v>
      </c>
      <c r="H1342" s="45">
        <v>1.5</v>
      </c>
      <c r="I1342" s="45">
        <v>10.5</v>
      </c>
      <c r="J1342" s="46"/>
      <c r="K1342" s="46"/>
      <c r="L1342" s="45"/>
      <c r="M1342" s="46"/>
      <c r="N1342" s="46"/>
      <c r="O1342" s="47"/>
      <c r="P1342" s="16" t="b">
        <v>0</v>
      </c>
      <c r="Q1342" s="24"/>
      <c r="R1342" s="48">
        <v>15.0</v>
      </c>
      <c r="S1342" s="45">
        <v>37.5</v>
      </c>
      <c r="T1342" s="49" t="s">
        <v>44</v>
      </c>
      <c r="U1342" s="47"/>
      <c r="V1342" s="28"/>
      <c r="W1342" s="29"/>
      <c r="X1342" s="30"/>
      <c r="Y1342" s="31"/>
      <c r="Z1342" s="26">
        <f t="shared" si="5"/>
        <v>-3</v>
      </c>
      <c r="AA1342" s="26">
        <f t="shared" si="6"/>
        <v>-10.5</v>
      </c>
      <c r="AB1342" s="32">
        <f t="shared" si="7"/>
        <v>-1.5</v>
      </c>
      <c r="AC1342" s="32" t="str">
        <f t="shared" ref="AC1342:AG1342" si="1346">IF(J1342&lt;&gt;"", IF(AND($P1342=FALSE, $A1342=FALSE), -J1342, IF(AND($P1342=FALSE, $A1342=TRUE), 0, IF($P1342=TRUE, (J1342 / $R1342) * 100 * ($S1342 / 100)-J1342, ))), )</f>
        <v/>
      </c>
      <c r="AD1342" s="32" t="str">
        <f t="shared" si="1346"/>
        <v/>
      </c>
      <c r="AE1342" s="32" t="str">
        <f t="shared" si="1346"/>
        <v/>
      </c>
      <c r="AF1342" s="32" t="str">
        <f t="shared" si="1346"/>
        <v/>
      </c>
      <c r="AG1342" s="32" t="str">
        <f t="shared" si="1346"/>
        <v/>
      </c>
      <c r="AH1342" s="33"/>
    </row>
    <row r="1343" hidden="1" outlineLevel="3">
      <c r="A1343" s="16" t="b">
        <v>0</v>
      </c>
      <c r="B1343" s="17"/>
      <c r="C1343" s="18"/>
      <c r="D1343" s="19"/>
      <c r="E1343" s="20"/>
      <c r="F1343" s="21"/>
      <c r="G1343" s="22"/>
      <c r="H1343" s="22"/>
      <c r="I1343" s="23"/>
      <c r="J1343" s="22"/>
      <c r="K1343" s="23"/>
      <c r="L1343" s="22"/>
      <c r="M1343" s="23"/>
      <c r="N1343" s="23"/>
      <c r="O1343" s="24"/>
      <c r="P1343" s="16" t="b">
        <v>0</v>
      </c>
      <c r="Q1343" s="24"/>
      <c r="R1343" s="25"/>
      <c r="S1343" s="26"/>
      <c r="T1343" s="27"/>
      <c r="U1343" s="24"/>
      <c r="V1343" s="28" t="s">
        <v>32</v>
      </c>
      <c r="W1343" s="29" t="s">
        <v>22</v>
      </c>
      <c r="X1343" s="37" t="s">
        <v>375</v>
      </c>
      <c r="Y1343" s="31"/>
      <c r="Z1343" s="26" t="str">
        <f t="shared" si="5"/>
        <v/>
      </c>
      <c r="AA1343" s="26" t="str">
        <f t="shared" si="6"/>
        <v/>
      </c>
      <c r="AB1343" s="32" t="str">
        <f t="shared" si="7"/>
        <v/>
      </c>
      <c r="AC1343" s="32" t="str">
        <f t="shared" ref="AC1343:AG1343" si="1347">IF(J1343&lt;&gt;"", IF(AND($P1343=FALSE, $A1343=FALSE), -J1343, IF(AND($P1343=FALSE, $A1343=TRUE), 0, IF($P1343=TRUE, (J1343 / $R1343) * 100 * ($S1343 / 100)-J1343, ))), )</f>
        <v/>
      </c>
      <c r="AD1343" s="32" t="str">
        <f t="shared" si="1347"/>
        <v/>
      </c>
      <c r="AE1343" s="32" t="str">
        <f t="shared" si="1347"/>
        <v/>
      </c>
      <c r="AF1343" s="32" t="str">
        <f t="shared" si="1347"/>
        <v/>
      </c>
      <c r="AG1343" s="32" t="str">
        <f t="shared" si="1347"/>
        <v/>
      </c>
      <c r="AH1343" s="33"/>
    </row>
    <row r="1344" hidden="1" outlineLevel="3">
      <c r="A1344" s="16" t="b">
        <v>0</v>
      </c>
      <c r="B1344" s="17"/>
      <c r="C1344" s="18"/>
      <c r="D1344" s="19"/>
      <c r="E1344" s="20"/>
      <c r="F1344" s="21"/>
      <c r="G1344" s="22"/>
      <c r="H1344" s="22"/>
      <c r="I1344" s="23"/>
      <c r="J1344" s="22"/>
      <c r="K1344" s="23"/>
      <c r="L1344" s="22"/>
      <c r="M1344" s="23"/>
      <c r="N1344" s="23"/>
      <c r="O1344" s="24"/>
      <c r="P1344" s="16" t="b">
        <v>0</v>
      </c>
      <c r="Q1344" s="24"/>
      <c r="R1344" s="25"/>
      <c r="S1344" s="26"/>
      <c r="T1344" s="27"/>
      <c r="U1344" s="24"/>
      <c r="V1344" s="28" t="s">
        <v>32</v>
      </c>
      <c r="W1344" s="29" t="s">
        <v>22</v>
      </c>
      <c r="X1344" s="37" t="s">
        <v>134</v>
      </c>
      <c r="Y1344" s="31"/>
      <c r="Z1344" s="26" t="str">
        <f t="shared" si="5"/>
        <v/>
      </c>
      <c r="AA1344" s="26" t="str">
        <f t="shared" si="6"/>
        <v/>
      </c>
      <c r="AB1344" s="32" t="str">
        <f t="shared" si="7"/>
        <v/>
      </c>
      <c r="AC1344" s="32" t="str">
        <f t="shared" ref="AC1344:AG1344" si="1348">IF(J1344&lt;&gt;"", IF(AND($P1344=FALSE, $A1344=FALSE), -J1344, IF(AND($P1344=FALSE, $A1344=TRUE), 0, IF($P1344=TRUE, (J1344 / $R1344) * 100 * ($S1344 / 100)-J1344, ))), )</f>
        <v/>
      </c>
      <c r="AD1344" s="32" t="str">
        <f t="shared" si="1348"/>
        <v/>
      </c>
      <c r="AE1344" s="32" t="str">
        <f t="shared" si="1348"/>
        <v/>
      </c>
      <c r="AF1344" s="32" t="str">
        <f t="shared" si="1348"/>
        <v/>
      </c>
      <c r="AG1344" s="32" t="str">
        <f t="shared" si="1348"/>
        <v/>
      </c>
      <c r="AH1344" s="33"/>
    </row>
    <row r="1345" hidden="1" outlineLevel="3">
      <c r="A1345" s="16" t="b">
        <v>0</v>
      </c>
      <c r="B1345" s="17"/>
      <c r="C1345" s="18"/>
      <c r="D1345" s="19"/>
      <c r="E1345" s="20"/>
      <c r="F1345" s="21"/>
      <c r="G1345" s="22"/>
      <c r="H1345" s="22"/>
      <c r="I1345" s="23"/>
      <c r="J1345" s="22"/>
      <c r="K1345" s="23"/>
      <c r="L1345" s="22"/>
      <c r="M1345" s="23"/>
      <c r="N1345" s="23"/>
      <c r="O1345" s="24"/>
      <c r="P1345" s="16" t="b">
        <v>0</v>
      </c>
      <c r="Q1345" s="24"/>
      <c r="R1345" s="25"/>
      <c r="S1345" s="26"/>
      <c r="T1345" s="27"/>
      <c r="U1345" s="24"/>
      <c r="V1345" s="38" t="s">
        <v>29</v>
      </c>
      <c r="W1345" s="29" t="s">
        <v>22</v>
      </c>
      <c r="X1345" s="37" t="s">
        <v>483</v>
      </c>
      <c r="Y1345" s="31"/>
      <c r="Z1345" s="26" t="str">
        <f t="shared" si="5"/>
        <v/>
      </c>
      <c r="AA1345" s="26" t="str">
        <f t="shared" si="6"/>
        <v/>
      </c>
      <c r="AB1345" s="32" t="str">
        <f t="shared" si="7"/>
        <v/>
      </c>
      <c r="AC1345" s="32" t="str">
        <f t="shared" ref="AC1345:AG1345" si="1349">IF(J1345&lt;&gt;"", IF(AND($P1345=FALSE, $A1345=FALSE), -J1345, IF(AND($P1345=FALSE, $A1345=TRUE), 0, IF($P1345=TRUE, (J1345 / $R1345) * 100 * ($S1345 / 100)-J1345, ))), )</f>
        <v/>
      </c>
      <c r="AD1345" s="32" t="str">
        <f t="shared" si="1349"/>
        <v/>
      </c>
      <c r="AE1345" s="32" t="str">
        <f t="shared" si="1349"/>
        <v/>
      </c>
      <c r="AF1345" s="32" t="str">
        <f t="shared" si="1349"/>
        <v/>
      </c>
      <c r="AG1345" s="32" t="str">
        <f t="shared" si="1349"/>
        <v/>
      </c>
      <c r="AH1345" s="33"/>
    </row>
    <row r="1346" hidden="1" outlineLevel="2" collapsed="1">
      <c r="A1346" s="16" t="b">
        <v>0</v>
      </c>
      <c r="B1346" s="17"/>
      <c r="C1346" s="18"/>
      <c r="D1346" s="42">
        <v>45277.0</v>
      </c>
      <c r="E1346" s="43" t="s">
        <v>24</v>
      </c>
      <c r="F1346" s="53" t="s">
        <v>817</v>
      </c>
      <c r="G1346" s="45">
        <v>2.0</v>
      </c>
      <c r="H1346" s="45">
        <v>1.0</v>
      </c>
      <c r="I1346" s="45">
        <v>2.0</v>
      </c>
      <c r="J1346" s="46"/>
      <c r="K1346" s="46"/>
      <c r="L1346" s="45"/>
      <c r="M1346" s="46"/>
      <c r="N1346" s="46"/>
      <c r="O1346" s="47"/>
      <c r="P1346" s="16" t="b">
        <v>0</v>
      </c>
      <c r="Q1346" s="24"/>
      <c r="R1346" s="48">
        <v>5.0</v>
      </c>
      <c r="S1346" s="45">
        <v>10.75</v>
      </c>
      <c r="T1346" s="49" t="s">
        <v>599</v>
      </c>
      <c r="U1346" s="47"/>
      <c r="V1346" s="28"/>
      <c r="W1346" s="29"/>
      <c r="X1346" s="30"/>
      <c r="Y1346" s="31"/>
      <c r="Z1346" s="26">
        <f t="shared" si="5"/>
        <v>-2</v>
      </c>
      <c r="AA1346" s="26">
        <f t="shared" si="6"/>
        <v>-2</v>
      </c>
      <c r="AB1346" s="32">
        <f t="shared" si="7"/>
        <v>-1</v>
      </c>
      <c r="AC1346" s="32" t="str">
        <f t="shared" ref="AC1346:AG1346" si="1350">IF(J1346&lt;&gt;"", IF(AND($P1346=FALSE, $A1346=FALSE), -J1346, IF(AND($P1346=FALSE, $A1346=TRUE), 0, IF($P1346=TRUE, (J1346 / $R1346) * 100 * ($S1346 / 100)-J1346, ))), )</f>
        <v/>
      </c>
      <c r="AD1346" s="32" t="str">
        <f t="shared" si="1350"/>
        <v/>
      </c>
      <c r="AE1346" s="32" t="str">
        <f t="shared" si="1350"/>
        <v/>
      </c>
      <c r="AF1346" s="32" t="str">
        <f t="shared" si="1350"/>
        <v/>
      </c>
      <c r="AG1346" s="32" t="str">
        <f t="shared" si="1350"/>
        <v/>
      </c>
      <c r="AH1346" s="33"/>
    </row>
    <row r="1347" hidden="1" outlineLevel="3">
      <c r="A1347" s="16" t="b">
        <v>0</v>
      </c>
      <c r="B1347" s="17"/>
      <c r="C1347" s="18"/>
      <c r="D1347" s="19"/>
      <c r="E1347" s="20"/>
      <c r="F1347" s="21"/>
      <c r="G1347" s="22"/>
      <c r="H1347" s="22"/>
      <c r="I1347" s="23"/>
      <c r="J1347" s="22"/>
      <c r="K1347" s="23"/>
      <c r="L1347" s="22"/>
      <c r="M1347" s="23"/>
      <c r="N1347" s="23"/>
      <c r="O1347" s="24"/>
      <c r="P1347" s="16" t="b">
        <v>0</v>
      </c>
      <c r="Q1347" s="24"/>
      <c r="R1347" s="25"/>
      <c r="S1347" s="26"/>
      <c r="T1347" s="27"/>
      <c r="U1347" s="24"/>
      <c r="V1347" s="28" t="s">
        <v>32</v>
      </c>
      <c r="W1347" s="29" t="s">
        <v>22</v>
      </c>
      <c r="X1347" s="37" t="s">
        <v>900</v>
      </c>
      <c r="Y1347" s="31"/>
      <c r="Z1347" s="26" t="str">
        <f t="shared" si="5"/>
        <v/>
      </c>
      <c r="AA1347" s="26" t="str">
        <f t="shared" si="6"/>
        <v/>
      </c>
      <c r="AB1347" s="32" t="str">
        <f t="shared" si="7"/>
        <v/>
      </c>
      <c r="AC1347" s="32" t="str">
        <f t="shared" ref="AC1347:AG1347" si="1351">IF(J1347&lt;&gt;"", IF(AND($P1347=FALSE, $A1347=FALSE), -J1347, IF(AND($P1347=FALSE, $A1347=TRUE), 0, IF($P1347=TRUE, (J1347 / $R1347) * 100 * ($S1347 / 100)-J1347, ))), )</f>
        <v/>
      </c>
      <c r="AD1347" s="32" t="str">
        <f t="shared" si="1351"/>
        <v/>
      </c>
      <c r="AE1347" s="32" t="str">
        <f t="shared" si="1351"/>
        <v/>
      </c>
      <c r="AF1347" s="32" t="str">
        <f t="shared" si="1351"/>
        <v/>
      </c>
      <c r="AG1347" s="32" t="str">
        <f t="shared" si="1351"/>
        <v/>
      </c>
      <c r="AH1347" s="33"/>
    </row>
    <row r="1348" hidden="1" outlineLevel="2" collapsed="1">
      <c r="A1348" s="16" t="b">
        <v>0</v>
      </c>
      <c r="B1348" s="17"/>
      <c r="C1348" s="18"/>
      <c r="D1348" s="42">
        <v>45277.0</v>
      </c>
      <c r="E1348" s="43" t="s">
        <v>24</v>
      </c>
      <c r="F1348" s="53" t="s">
        <v>817</v>
      </c>
      <c r="G1348" s="45">
        <v>2.0</v>
      </c>
      <c r="H1348" s="45">
        <v>1.0</v>
      </c>
      <c r="I1348" s="45">
        <v>7.0</v>
      </c>
      <c r="J1348" s="46"/>
      <c r="K1348" s="46"/>
      <c r="L1348" s="45"/>
      <c r="M1348" s="46"/>
      <c r="N1348" s="46"/>
      <c r="O1348" s="47"/>
      <c r="P1348" s="16" t="b">
        <v>0</v>
      </c>
      <c r="Q1348" s="24"/>
      <c r="R1348" s="48">
        <v>10.0</v>
      </c>
      <c r="S1348" s="45">
        <v>83.62</v>
      </c>
      <c r="T1348" s="49" t="s">
        <v>901</v>
      </c>
      <c r="U1348" s="47"/>
      <c r="V1348" s="28"/>
      <c r="W1348" s="29"/>
      <c r="X1348" s="30"/>
      <c r="Y1348" s="31"/>
      <c r="Z1348" s="26">
        <f t="shared" si="5"/>
        <v>-2</v>
      </c>
      <c r="AA1348" s="26">
        <f t="shared" si="6"/>
        <v>-7</v>
      </c>
      <c r="AB1348" s="32">
        <f t="shared" si="7"/>
        <v>-1</v>
      </c>
      <c r="AC1348" s="32" t="str">
        <f t="shared" ref="AC1348:AG1348" si="1352">IF(J1348&lt;&gt;"", IF(AND($P1348=FALSE, $A1348=FALSE), -J1348, IF(AND($P1348=FALSE, $A1348=TRUE), 0, IF($P1348=TRUE, (J1348 / $R1348) * 100 * ($S1348 / 100)-J1348, ))), )</f>
        <v/>
      </c>
      <c r="AD1348" s="32" t="str">
        <f t="shared" si="1352"/>
        <v/>
      </c>
      <c r="AE1348" s="32" t="str">
        <f t="shared" si="1352"/>
        <v/>
      </c>
      <c r="AF1348" s="32" t="str">
        <f t="shared" si="1352"/>
        <v/>
      </c>
      <c r="AG1348" s="32" t="str">
        <f t="shared" si="1352"/>
        <v/>
      </c>
      <c r="AH1348" s="33"/>
    </row>
    <row r="1349" hidden="1" outlineLevel="3">
      <c r="A1349" s="16" t="b">
        <v>0</v>
      </c>
      <c r="B1349" s="17"/>
      <c r="C1349" s="18"/>
      <c r="D1349" s="19"/>
      <c r="E1349" s="20"/>
      <c r="F1349" s="21"/>
      <c r="G1349" s="22"/>
      <c r="H1349" s="22"/>
      <c r="I1349" s="23"/>
      <c r="J1349" s="22"/>
      <c r="K1349" s="23"/>
      <c r="L1349" s="22"/>
      <c r="M1349" s="23"/>
      <c r="N1349" s="23"/>
      <c r="O1349" s="24"/>
      <c r="P1349" s="16" t="b">
        <v>0</v>
      </c>
      <c r="Q1349" s="24"/>
      <c r="R1349" s="25"/>
      <c r="S1349" s="26"/>
      <c r="T1349" s="27"/>
      <c r="U1349" s="24"/>
      <c r="V1349" s="38" t="s">
        <v>29</v>
      </c>
      <c r="W1349" s="29" t="s">
        <v>22</v>
      </c>
      <c r="X1349" s="37" t="s">
        <v>902</v>
      </c>
      <c r="Y1349" s="31"/>
      <c r="Z1349" s="26" t="str">
        <f t="shared" si="5"/>
        <v/>
      </c>
      <c r="AA1349" s="26" t="str">
        <f t="shared" si="6"/>
        <v/>
      </c>
      <c r="AB1349" s="32" t="str">
        <f t="shared" si="7"/>
        <v/>
      </c>
      <c r="AC1349" s="32" t="str">
        <f t="shared" ref="AC1349:AG1349" si="1353">IF(J1349&lt;&gt;"", IF(AND($P1349=FALSE, $A1349=FALSE), -J1349, IF(AND($P1349=FALSE, $A1349=TRUE), 0, IF($P1349=TRUE, (J1349 / $R1349) * 100 * ($S1349 / 100)-J1349, ))), )</f>
        <v/>
      </c>
      <c r="AD1349" s="32" t="str">
        <f t="shared" si="1353"/>
        <v/>
      </c>
      <c r="AE1349" s="32" t="str">
        <f t="shared" si="1353"/>
        <v/>
      </c>
      <c r="AF1349" s="32" t="str">
        <f t="shared" si="1353"/>
        <v/>
      </c>
      <c r="AG1349" s="32" t="str">
        <f t="shared" si="1353"/>
        <v/>
      </c>
      <c r="AH1349" s="33"/>
    </row>
    <row r="1350" hidden="1" outlineLevel="3">
      <c r="A1350" s="16" t="b">
        <v>0</v>
      </c>
      <c r="B1350" s="17"/>
      <c r="C1350" s="18"/>
      <c r="D1350" s="19"/>
      <c r="E1350" s="20"/>
      <c r="F1350" s="21"/>
      <c r="G1350" s="22"/>
      <c r="H1350" s="22"/>
      <c r="I1350" s="23"/>
      <c r="J1350" s="22"/>
      <c r="K1350" s="23"/>
      <c r="L1350" s="22"/>
      <c r="M1350" s="23"/>
      <c r="N1350" s="23"/>
      <c r="O1350" s="24"/>
      <c r="P1350" s="16" t="b">
        <v>0</v>
      </c>
      <c r="Q1350" s="24"/>
      <c r="R1350" s="25"/>
      <c r="S1350" s="26"/>
      <c r="T1350" s="27"/>
      <c r="U1350" s="24"/>
      <c r="V1350" s="28" t="s">
        <v>32</v>
      </c>
      <c r="W1350" s="29" t="s">
        <v>22</v>
      </c>
      <c r="X1350" s="37" t="s">
        <v>903</v>
      </c>
      <c r="Y1350" s="31"/>
      <c r="Z1350" s="26" t="str">
        <f t="shared" si="5"/>
        <v/>
      </c>
      <c r="AA1350" s="26" t="str">
        <f t="shared" si="6"/>
        <v/>
      </c>
      <c r="AB1350" s="32" t="str">
        <f t="shared" si="7"/>
        <v/>
      </c>
      <c r="AC1350" s="32" t="str">
        <f t="shared" ref="AC1350:AG1350" si="1354">IF(J1350&lt;&gt;"", IF(AND($P1350=FALSE, $A1350=FALSE), -J1350, IF(AND($P1350=FALSE, $A1350=TRUE), 0, IF($P1350=TRUE, (J1350 / $R1350) * 100 * ($S1350 / 100)-J1350, ))), )</f>
        <v/>
      </c>
      <c r="AD1350" s="32" t="str">
        <f t="shared" si="1354"/>
        <v/>
      </c>
      <c r="AE1350" s="32" t="str">
        <f t="shared" si="1354"/>
        <v/>
      </c>
      <c r="AF1350" s="32" t="str">
        <f t="shared" si="1354"/>
        <v/>
      </c>
      <c r="AG1350" s="32" t="str">
        <f t="shared" si="1354"/>
        <v/>
      </c>
      <c r="AH1350" s="33"/>
    </row>
    <row r="1351" hidden="1" outlineLevel="3">
      <c r="A1351" s="16" t="b">
        <v>0</v>
      </c>
      <c r="B1351" s="17"/>
      <c r="C1351" s="18"/>
      <c r="D1351" s="19"/>
      <c r="E1351" s="20"/>
      <c r="F1351" s="21"/>
      <c r="G1351" s="22"/>
      <c r="H1351" s="22"/>
      <c r="I1351" s="23"/>
      <c r="J1351" s="22"/>
      <c r="K1351" s="23"/>
      <c r="L1351" s="22"/>
      <c r="M1351" s="23"/>
      <c r="N1351" s="23"/>
      <c r="O1351" s="24"/>
      <c r="P1351" s="16" t="b">
        <v>0</v>
      </c>
      <c r="Q1351" s="24"/>
      <c r="R1351" s="25"/>
      <c r="S1351" s="26"/>
      <c r="T1351" s="27"/>
      <c r="U1351" s="24"/>
      <c r="V1351" s="38" t="s">
        <v>29</v>
      </c>
      <c r="W1351" s="29" t="s">
        <v>22</v>
      </c>
      <c r="X1351" s="37" t="s">
        <v>690</v>
      </c>
      <c r="Y1351" s="31"/>
      <c r="Z1351" s="26" t="str">
        <f t="shared" si="5"/>
        <v/>
      </c>
      <c r="AA1351" s="26" t="str">
        <f t="shared" si="6"/>
        <v/>
      </c>
      <c r="AB1351" s="32" t="str">
        <f t="shared" si="7"/>
        <v/>
      </c>
      <c r="AC1351" s="32" t="str">
        <f t="shared" ref="AC1351:AG1351" si="1355">IF(J1351&lt;&gt;"", IF(AND($P1351=FALSE, $A1351=FALSE), -J1351, IF(AND($P1351=FALSE, $A1351=TRUE), 0, IF($P1351=TRUE, (J1351 / $R1351) * 100 * ($S1351 / 100)-J1351, ))), )</f>
        <v/>
      </c>
      <c r="AD1351" s="32" t="str">
        <f t="shared" si="1355"/>
        <v/>
      </c>
      <c r="AE1351" s="32" t="str">
        <f t="shared" si="1355"/>
        <v/>
      </c>
      <c r="AF1351" s="32" t="str">
        <f t="shared" si="1355"/>
        <v/>
      </c>
      <c r="AG1351" s="32" t="str">
        <f t="shared" si="1355"/>
        <v/>
      </c>
      <c r="AH1351" s="33"/>
    </row>
    <row r="1352" hidden="1" outlineLevel="3">
      <c r="A1352" s="16" t="b">
        <v>0</v>
      </c>
      <c r="B1352" s="17"/>
      <c r="C1352" s="18"/>
      <c r="D1352" s="19"/>
      <c r="E1352" s="20"/>
      <c r="F1352" s="21"/>
      <c r="G1352" s="22"/>
      <c r="H1352" s="22"/>
      <c r="I1352" s="23"/>
      <c r="J1352" s="22"/>
      <c r="K1352" s="23"/>
      <c r="L1352" s="22"/>
      <c r="M1352" s="23"/>
      <c r="N1352" s="23"/>
      <c r="O1352" s="24"/>
      <c r="P1352" s="16" t="b">
        <v>0</v>
      </c>
      <c r="Q1352" s="24"/>
      <c r="R1352" s="25"/>
      <c r="S1352" s="26"/>
      <c r="T1352" s="27"/>
      <c r="U1352" s="24"/>
      <c r="V1352" s="28" t="s">
        <v>32</v>
      </c>
      <c r="W1352" s="29" t="s">
        <v>22</v>
      </c>
      <c r="X1352" s="37" t="s">
        <v>904</v>
      </c>
      <c r="Y1352" s="31"/>
      <c r="Z1352" s="26" t="str">
        <f t="shared" si="5"/>
        <v/>
      </c>
      <c r="AA1352" s="26" t="str">
        <f t="shared" si="6"/>
        <v/>
      </c>
      <c r="AB1352" s="32" t="str">
        <f t="shared" si="7"/>
        <v/>
      </c>
      <c r="AC1352" s="32" t="str">
        <f t="shared" ref="AC1352:AG1352" si="1356">IF(J1352&lt;&gt;"", IF(AND($P1352=FALSE, $A1352=FALSE), -J1352, IF(AND($P1352=FALSE, $A1352=TRUE), 0, IF($P1352=TRUE, (J1352 / $R1352) * 100 * ($S1352 / 100)-J1352, ))), )</f>
        <v/>
      </c>
      <c r="AD1352" s="32" t="str">
        <f t="shared" si="1356"/>
        <v/>
      </c>
      <c r="AE1352" s="32" t="str">
        <f t="shared" si="1356"/>
        <v/>
      </c>
      <c r="AF1352" s="32" t="str">
        <f t="shared" si="1356"/>
        <v/>
      </c>
      <c r="AG1352" s="32" t="str">
        <f t="shared" si="1356"/>
        <v/>
      </c>
      <c r="AH1352" s="33"/>
    </row>
    <row r="1353" hidden="1" outlineLevel="3">
      <c r="A1353" s="16" t="b">
        <v>0</v>
      </c>
      <c r="B1353" s="17"/>
      <c r="C1353" s="18"/>
      <c r="D1353" s="19"/>
      <c r="E1353" s="20"/>
      <c r="F1353" s="21"/>
      <c r="G1353" s="22"/>
      <c r="H1353" s="22"/>
      <c r="I1353" s="23"/>
      <c r="J1353" s="22"/>
      <c r="K1353" s="23"/>
      <c r="L1353" s="22"/>
      <c r="M1353" s="23"/>
      <c r="N1353" s="23"/>
      <c r="O1353" s="24"/>
      <c r="P1353" s="16" t="b">
        <v>0</v>
      </c>
      <c r="Q1353" s="24"/>
      <c r="R1353" s="25"/>
      <c r="S1353" s="26"/>
      <c r="T1353" s="27"/>
      <c r="U1353" s="24"/>
      <c r="V1353" s="28" t="s">
        <v>32</v>
      </c>
      <c r="W1353" s="29" t="s">
        <v>22</v>
      </c>
      <c r="X1353" s="37" t="s">
        <v>905</v>
      </c>
      <c r="Y1353" s="31"/>
      <c r="Z1353" s="26" t="str">
        <f t="shared" si="5"/>
        <v/>
      </c>
      <c r="AA1353" s="26" t="str">
        <f t="shared" si="6"/>
        <v/>
      </c>
      <c r="AB1353" s="32" t="str">
        <f t="shared" si="7"/>
        <v/>
      </c>
      <c r="AC1353" s="32" t="str">
        <f t="shared" ref="AC1353:AG1353" si="1357">IF(J1353&lt;&gt;"", IF(AND($P1353=FALSE, $A1353=FALSE), -J1353, IF(AND($P1353=FALSE, $A1353=TRUE), 0, IF($P1353=TRUE, (J1353 / $R1353) * 100 * ($S1353 / 100)-J1353, ))), )</f>
        <v/>
      </c>
      <c r="AD1353" s="32" t="str">
        <f t="shared" si="1357"/>
        <v/>
      </c>
      <c r="AE1353" s="32" t="str">
        <f t="shared" si="1357"/>
        <v/>
      </c>
      <c r="AF1353" s="32" t="str">
        <f t="shared" si="1357"/>
        <v/>
      </c>
      <c r="AG1353" s="32" t="str">
        <f t="shared" si="1357"/>
        <v/>
      </c>
      <c r="AH1353" s="33"/>
    </row>
    <row r="1354" hidden="1" outlineLevel="3">
      <c r="A1354" s="16" t="b">
        <v>0</v>
      </c>
      <c r="B1354" s="17"/>
      <c r="C1354" s="18"/>
      <c r="D1354" s="19"/>
      <c r="E1354" s="20"/>
      <c r="F1354" s="21"/>
      <c r="G1354" s="22"/>
      <c r="H1354" s="22"/>
      <c r="I1354" s="23"/>
      <c r="J1354" s="22"/>
      <c r="K1354" s="23"/>
      <c r="L1354" s="22"/>
      <c r="M1354" s="23"/>
      <c r="N1354" s="23"/>
      <c r="O1354" s="24"/>
      <c r="P1354" s="16" t="b">
        <v>0</v>
      </c>
      <c r="Q1354" s="24"/>
      <c r="R1354" s="25"/>
      <c r="S1354" s="26"/>
      <c r="T1354" s="27"/>
      <c r="U1354" s="24"/>
      <c r="V1354" s="38" t="s">
        <v>29</v>
      </c>
      <c r="W1354" s="29" t="s">
        <v>22</v>
      </c>
      <c r="X1354" s="37" t="s">
        <v>906</v>
      </c>
      <c r="Y1354" s="31"/>
      <c r="Z1354" s="26" t="str">
        <f t="shared" si="5"/>
        <v/>
      </c>
      <c r="AA1354" s="26" t="str">
        <f t="shared" si="6"/>
        <v/>
      </c>
      <c r="AB1354" s="32" t="str">
        <f t="shared" si="7"/>
        <v/>
      </c>
      <c r="AC1354" s="32" t="str">
        <f t="shared" ref="AC1354:AG1354" si="1358">IF(J1354&lt;&gt;"", IF(AND($P1354=FALSE, $A1354=FALSE), -J1354, IF(AND($P1354=FALSE, $A1354=TRUE), 0, IF($P1354=TRUE, (J1354 / $R1354) * 100 * ($S1354 / 100)-J1354, ))), )</f>
        <v/>
      </c>
      <c r="AD1354" s="32" t="str">
        <f t="shared" si="1358"/>
        <v/>
      </c>
      <c r="AE1354" s="32" t="str">
        <f t="shared" si="1358"/>
        <v/>
      </c>
      <c r="AF1354" s="32" t="str">
        <f t="shared" si="1358"/>
        <v/>
      </c>
      <c r="AG1354" s="32" t="str">
        <f t="shared" si="1358"/>
        <v/>
      </c>
      <c r="AH1354" s="33"/>
    </row>
    <row r="1355" hidden="1" outlineLevel="2">
      <c r="A1355" s="16" t="b">
        <v>0</v>
      </c>
      <c r="B1355" s="17"/>
      <c r="C1355" s="18"/>
      <c r="D1355" s="42">
        <v>45277.0</v>
      </c>
      <c r="E1355" s="43" t="s">
        <v>24</v>
      </c>
      <c r="F1355" s="53" t="s">
        <v>817</v>
      </c>
      <c r="G1355" s="45">
        <v>2.0</v>
      </c>
      <c r="H1355" s="45">
        <v>1.0</v>
      </c>
      <c r="I1355" s="45">
        <v>7.0</v>
      </c>
      <c r="J1355" s="46"/>
      <c r="K1355" s="46"/>
      <c r="L1355" s="45"/>
      <c r="M1355" s="46"/>
      <c r="N1355" s="46"/>
      <c r="O1355" s="47"/>
      <c r="P1355" s="16" t="b">
        <v>0</v>
      </c>
      <c r="Q1355" s="24"/>
      <c r="R1355" s="48">
        <v>10.0</v>
      </c>
      <c r="S1355" s="45">
        <v>28.0</v>
      </c>
      <c r="T1355" s="49" t="s">
        <v>907</v>
      </c>
      <c r="U1355" s="47"/>
      <c r="V1355" s="28"/>
      <c r="W1355" s="29"/>
      <c r="X1355" s="30"/>
      <c r="Y1355" s="31"/>
      <c r="Z1355" s="26">
        <f t="shared" si="5"/>
        <v>-2</v>
      </c>
      <c r="AA1355" s="26">
        <f t="shared" si="6"/>
        <v>-7</v>
      </c>
      <c r="AB1355" s="32">
        <f t="shared" si="7"/>
        <v>-1</v>
      </c>
      <c r="AC1355" s="32" t="str">
        <f t="shared" ref="AC1355:AG1355" si="1359">IF(J1355&lt;&gt;"", IF(AND($P1355=FALSE, $A1355=FALSE), -J1355, IF(AND($P1355=FALSE, $A1355=TRUE), 0, IF($P1355=TRUE, (J1355 / $R1355) * 100 * ($S1355 / 100)-J1355, ))), )</f>
        <v/>
      </c>
      <c r="AD1355" s="32" t="str">
        <f t="shared" si="1359"/>
        <v/>
      </c>
      <c r="AE1355" s="32" t="str">
        <f t="shared" si="1359"/>
        <v/>
      </c>
      <c r="AF1355" s="32" t="str">
        <f t="shared" si="1359"/>
        <v/>
      </c>
      <c r="AG1355" s="32" t="str">
        <f t="shared" si="1359"/>
        <v/>
      </c>
      <c r="AH1355" s="33"/>
    </row>
    <row r="1356" hidden="1" outlineLevel="3">
      <c r="A1356" s="16" t="b">
        <v>0</v>
      </c>
      <c r="B1356" s="17"/>
      <c r="C1356" s="18"/>
      <c r="D1356" s="19"/>
      <c r="E1356" s="20"/>
      <c r="F1356" s="21"/>
      <c r="G1356" s="22"/>
      <c r="H1356" s="22"/>
      <c r="I1356" s="23"/>
      <c r="J1356" s="22"/>
      <c r="K1356" s="23"/>
      <c r="L1356" s="22"/>
      <c r="M1356" s="23"/>
      <c r="N1356" s="23"/>
      <c r="O1356" s="24"/>
      <c r="P1356" s="16" t="b">
        <v>0</v>
      </c>
      <c r="Q1356" s="24"/>
      <c r="R1356" s="25"/>
      <c r="S1356" s="26"/>
      <c r="T1356" s="27"/>
      <c r="U1356" s="24"/>
      <c r="V1356" s="28" t="s">
        <v>32</v>
      </c>
      <c r="W1356" s="29" t="s">
        <v>22</v>
      </c>
      <c r="X1356" s="37" t="s">
        <v>908</v>
      </c>
      <c r="Y1356" s="31"/>
      <c r="Z1356" s="26" t="str">
        <f t="shared" si="5"/>
        <v/>
      </c>
      <c r="AA1356" s="26" t="str">
        <f t="shared" si="6"/>
        <v/>
      </c>
      <c r="AB1356" s="32" t="str">
        <f t="shared" si="7"/>
        <v/>
      </c>
      <c r="AC1356" s="32" t="str">
        <f t="shared" ref="AC1356:AG1356" si="1360">IF(J1356&lt;&gt;"", IF(AND($P1356=FALSE, $A1356=FALSE), -J1356, IF(AND($P1356=FALSE, $A1356=TRUE), 0, IF($P1356=TRUE, (J1356 / $R1356) * 100 * ($S1356 / 100)-J1356, ))), )</f>
        <v/>
      </c>
      <c r="AD1356" s="32" t="str">
        <f t="shared" si="1360"/>
        <v/>
      </c>
      <c r="AE1356" s="32" t="str">
        <f t="shared" si="1360"/>
        <v/>
      </c>
      <c r="AF1356" s="32" t="str">
        <f t="shared" si="1360"/>
        <v/>
      </c>
      <c r="AG1356" s="32" t="str">
        <f t="shared" si="1360"/>
        <v/>
      </c>
      <c r="AH1356" s="33"/>
    </row>
    <row r="1357" hidden="1" outlineLevel="3">
      <c r="A1357" s="16" t="b">
        <v>0</v>
      </c>
      <c r="B1357" s="17"/>
      <c r="C1357" s="18"/>
      <c r="D1357" s="19"/>
      <c r="E1357" s="20"/>
      <c r="F1357" s="21"/>
      <c r="G1357" s="22"/>
      <c r="H1357" s="22"/>
      <c r="I1357" s="23"/>
      <c r="J1357" s="22"/>
      <c r="K1357" s="23"/>
      <c r="L1357" s="22"/>
      <c r="M1357" s="23"/>
      <c r="N1357" s="23"/>
      <c r="O1357" s="24"/>
      <c r="P1357" s="16" t="b">
        <v>0</v>
      </c>
      <c r="Q1357" s="24"/>
      <c r="R1357" s="25"/>
      <c r="S1357" s="26"/>
      <c r="T1357" s="27"/>
      <c r="U1357" s="24"/>
      <c r="V1357" s="38" t="s">
        <v>29</v>
      </c>
      <c r="W1357" s="29" t="s">
        <v>22</v>
      </c>
      <c r="X1357" s="37" t="s">
        <v>311</v>
      </c>
      <c r="Y1357" s="31"/>
      <c r="Z1357" s="26" t="str">
        <f t="shared" si="5"/>
        <v/>
      </c>
      <c r="AA1357" s="26" t="str">
        <f t="shared" si="6"/>
        <v/>
      </c>
      <c r="AB1357" s="32" t="str">
        <f t="shared" si="7"/>
        <v/>
      </c>
      <c r="AC1357" s="32" t="str">
        <f t="shared" ref="AC1357:AG1357" si="1361">IF(J1357&lt;&gt;"", IF(AND($P1357=FALSE, $A1357=FALSE), -J1357, IF(AND($P1357=FALSE, $A1357=TRUE), 0, IF($P1357=TRUE, (J1357 / $R1357) * 100 * ($S1357 / 100)-J1357, ))), )</f>
        <v/>
      </c>
      <c r="AD1357" s="32" t="str">
        <f t="shared" si="1361"/>
        <v/>
      </c>
      <c r="AE1357" s="32" t="str">
        <f t="shared" si="1361"/>
        <v/>
      </c>
      <c r="AF1357" s="32" t="str">
        <f t="shared" si="1361"/>
        <v/>
      </c>
      <c r="AG1357" s="32" t="str">
        <f t="shared" si="1361"/>
        <v/>
      </c>
      <c r="AH1357" s="33"/>
    </row>
    <row r="1358" hidden="1" outlineLevel="1" collapsed="1">
      <c r="A1358" s="16" t="b">
        <v>0</v>
      </c>
      <c r="B1358" s="17"/>
      <c r="C1358" s="18"/>
      <c r="D1358" s="42">
        <v>45278.0</v>
      </c>
      <c r="E1358" s="43" t="s">
        <v>24</v>
      </c>
      <c r="F1358" s="53" t="s">
        <v>817</v>
      </c>
      <c r="G1358" s="45">
        <v>2.0</v>
      </c>
      <c r="H1358" s="45">
        <v>1.0</v>
      </c>
      <c r="I1358" s="45">
        <v>3.0</v>
      </c>
      <c r="J1358" s="46"/>
      <c r="K1358" s="46"/>
      <c r="L1358" s="45"/>
      <c r="M1358" s="46"/>
      <c r="N1358" s="46"/>
      <c r="O1358" s="47"/>
      <c r="P1358" s="16" t="b">
        <v>0</v>
      </c>
      <c r="Q1358" s="24"/>
      <c r="R1358" s="48">
        <v>6.0</v>
      </c>
      <c r="S1358" s="45">
        <v>12.89</v>
      </c>
      <c r="T1358" s="49" t="s">
        <v>599</v>
      </c>
      <c r="U1358" s="47"/>
      <c r="V1358" s="28"/>
      <c r="W1358" s="29"/>
      <c r="X1358" s="30"/>
      <c r="Y1358" s="31"/>
      <c r="Z1358" s="26">
        <f t="shared" si="5"/>
        <v>-2</v>
      </c>
      <c r="AA1358" s="26">
        <f t="shared" si="6"/>
        <v>-3</v>
      </c>
      <c r="AB1358" s="32">
        <f t="shared" si="7"/>
        <v>-1</v>
      </c>
      <c r="AC1358" s="32" t="str">
        <f t="shared" ref="AC1358:AG1358" si="1362">IF(J1358&lt;&gt;"", IF(AND($P1358=FALSE, $A1358=FALSE), -J1358, IF(AND($P1358=FALSE, $A1358=TRUE), 0, IF($P1358=TRUE, (J1358 / $R1358) * 100 * ($S1358 / 100)-J1358, ))), )</f>
        <v/>
      </c>
      <c r="AD1358" s="32" t="str">
        <f t="shared" si="1362"/>
        <v/>
      </c>
      <c r="AE1358" s="32" t="str">
        <f t="shared" si="1362"/>
        <v/>
      </c>
      <c r="AF1358" s="32" t="str">
        <f t="shared" si="1362"/>
        <v/>
      </c>
      <c r="AG1358" s="32" t="str">
        <f t="shared" si="1362"/>
        <v/>
      </c>
      <c r="AH1358" s="33"/>
    </row>
    <row r="1359" hidden="1" outlineLevel="3">
      <c r="A1359" s="16" t="b">
        <v>0</v>
      </c>
      <c r="B1359" s="17"/>
      <c r="C1359" s="18"/>
      <c r="D1359" s="19"/>
      <c r="E1359" s="20"/>
      <c r="F1359" s="21"/>
      <c r="G1359" s="22"/>
      <c r="H1359" s="22"/>
      <c r="I1359" s="23"/>
      <c r="J1359" s="22"/>
      <c r="K1359" s="23"/>
      <c r="L1359" s="22"/>
      <c r="M1359" s="23"/>
      <c r="N1359" s="23"/>
      <c r="O1359" s="24"/>
      <c r="P1359" s="16" t="b">
        <v>0</v>
      </c>
      <c r="Q1359" s="24"/>
      <c r="R1359" s="25"/>
      <c r="S1359" s="26"/>
      <c r="T1359" s="27"/>
      <c r="U1359" s="24"/>
      <c r="V1359" s="28" t="s">
        <v>32</v>
      </c>
      <c r="W1359" s="29" t="s">
        <v>22</v>
      </c>
      <c r="X1359" s="37" t="s">
        <v>603</v>
      </c>
      <c r="Y1359" s="31"/>
      <c r="Z1359" s="26" t="str">
        <f t="shared" si="5"/>
        <v/>
      </c>
      <c r="AA1359" s="26" t="str">
        <f t="shared" si="6"/>
        <v/>
      </c>
      <c r="AB1359" s="32" t="str">
        <f t="shared" si="7"/>
        <v/>
      </c>
      <c r="AC1359" s="32" t="str">
        <f t="shared" ref="AC1359:AG1359" si="1363">IF(J1359&lt;&gt;"", IF(AND($P1359=FALSE, $A1359=FALSE), -J1359, IF(AND($P1359=FALSE, $A1359=TRUE), 0, IF($P1359=TRUE, (J1359 / $R1359) * 100 * ($S1359 / 100)-J1359, ))), )</f>
        <v/>
      </c>
      <c r="AD1359" s="32" t="str">
        <f t="shared" si="1363"/>
        <v/>
      </c>
      <c r="AE1359" s="32" t="str">
        <f t="shared" si="1363"/>
        <v/>
      </c>
      <c r="AF1359" s="32" t="str">
        <f t="shared" si="1363"/>
        <v/>
      </c>
      <c r="AG1359" s="32" t="str">
        <f t="shared" si="1363"/>
        <v/>
      </c>
      <c r="AH1359" s="33"/>
    </row>
    <row r="1360" hidden="1" outlineLevel="3">
      <c r="A1360" s="16" t="b">
        <v>0</v>
      </c>
      <c r="B1360" s="17"/>
      <c r="C1360" s="18"/>
      <c r="D1360" s="19"/>
      <c r="E1360" s="20"/>
      <c r="F1360" s="21"/>
      <c r="G1360" s="22"/>
      <c r="H1360" s="22"/>
      <c r="I1360" s="23"/>
      <c r="J1360" s="22"/>
      <c r="K1360" s="23"/>
      <c r="L1360" s="22"/>
      <c r="M1360" s="23"/>
      <c r="N1360" s="23"/>
      <c r="O1360" s="24"/>
      <c r="P1360" s="16" t="b">
        <v>0</v>
      </c>
      <c r="Q1360" s="24"/>
      <c r="R1360" s="25"/>
      <c r="S1360" s="26"/>
      <c r="T1360" s="27"/>
      <c r="U1360" s="24"/>
      <c r="V1360" s="38" t="s">
        <v>29</v>
      </c>
      <c r="W1360" s="29" t="s">
        <v>22</v>
      </c>
      <c r="X1360" s="37" t="s">
        <v>909</v>
      </c>
      <c r="Y1360" s="31"/>
      <c r="Z1360" s="26" t="str">
        <f t="shared" si="5"/>
        <v/>
      </c>
      <c r="AA1360" s="26" t="str">
        <f t="shared" si="6"/>
        <v/>
      </c>
      <c r="AB1360" s="32" t="str">
        <f t="shared" si="7"/>
        <v/>
      </c>
      <c r="AC1360" s="32" t="str">
        <f t="shared" ref="AC1360:AG1360" si="1364">IF(J1360&lt;&gt;"", IF(AND($P1360=FALSE, $A1360=FALSE), -J1360, IF(AND($P1360=FALSE, $A1360=TRUE), 0, IF($P1360=TRUE, (J1360 / $R1360) * 100 * ($S1360 / 100)-J1360, ))), )</f>
        <v/>
      </c>
      <c r="AD1360" s="32" t="str">
        <f t="shared" si="1364"/>
        <v/>
      </c>
      <c r="AE1360" s="32" t="str">
        <f t="shared" si="1364"/>
        <v/>
      </c>
      <c r="AF1360" s="32" t="str">
        <f t="shared" si="1364"/>
        <v/>
      </c>
      <c r="AG1360" s="32" t="str">
        <f t="shared" si="1364"/>
        <v/>
      </c>
      <c r="AH1360" s="33"/>
    </row>
    <row r="1361" hidden="1" outlineLevel="3">
      <c r="A1361" s="16" t="b">
        <v>0</v>
      </c>
      <c r="B1361" s="17"/>
      <c r="C1361" s="18"/>
      <c r="D1361" s="19"/>
      <c r="E1361" s="20"/>
      <c r="F1361" s="21"/>
      <c r="G1361" s="22"/>
      <c r="H1361" s="22"/>
      <c r="I1361" s="23"/>
      <c r="J1361" s="22"/>
      <c r="K1361" s="23"/>
      <c r="L1361" s="22"/>
      <c r="M1361" s="23"/>
      <c r="N1361" s="23"/>
      <c r="O1361" s="24"/>
      <c r="P1361" s="16" t="b">
        <v>0</v>
      </c>
      <c r="Q1361" s="24"/>
      <c r="R1361" s="25"/>
      <c r="S1361" s="26"/>
      <c r="T1361" s="27"/>
      <c r="U1361" s="24"/>
      <c r="V1361" s="28" t="s">
        <v>32</v>
      </c>
      <c r="W1361" s="29" t="s">
        <v>22</v>
      </c>
      <c r="X1361" s="37" t="s">
        <v>910</v>
      </c>
      <c r="Y1361" s="31"/>
      <c r="Z1361" s="26" t="str">
        <f t="shared" si="5"/>
        <v/>
      </c>
      <c r="AA1361" s="26" t="str">
        <f t="shared" si="6"/>
        <v/>
      </c>
      <c r="AB1361" s="32" t="str">
        <f t="shared" si="7"/>
        <v/>
      </c>
      <c r="AC1361" s="32" t="str">
        <f t="shared" ref="AC1361:AG1361" si="1365">IF(J1361&lt;&gt;"", IF(AND($P1361=FALSE, $A1361=FALSE), -J1361, IF(AND($P1361=FALSE, $A1361=TRUE), 0, IF($P1361=TRUE, (J1361 / $R1361) * 100 * ($S1361 / 100)-J1361, ))), )</f>
        <v/>
      </c>
      <c r="AD1361" s="32" t="str">
        <f t="shared" si="1365"/>
        <v/>
      </c>
      <c r="AE1361" s="32" t="str">
        <f t="shared" si="1365"/>
        <v/>
      </c>
      <c r="AF1361" s="32" t="str">
        <f t="shared" si="1365"/>
        <v/>
      </c>
      <c r="AG1361" s="32" t="str">
        <f t="shared" si="1365"/>
        <v/>
      </c>
      <c r="AH1361" s="33"/>
    </row>
    <row r="1362" hidden="1" outlineLevel="3">
      <c r="A1362" s="16" t="b">
        <v>0</v>
      </c>
      <c r="B1362" s="17"/>
      <c r="C1362" s="18"/>
      <c r="D1362" s="19"/>
      <c r="E1362" s="20"/>
      <c r="F1362" s="21"/>
      <c r="G1362" s="22"/>
      <c r="H1362" s="22"/>
      <c r="I1362" s="23"/>
      <c r="J1362" s="22"/>
      <c r="K1362" s="23"/>
      <c r="L1362" s="22"/>
      <c r="M1362" s="23"/>
      <c r="N1362" s="23"/>
      <c r="O1362" s="24"/>
      <c r="P1362" s="16" t="b">
        <v>0</v>
      </c>
      <c r="Q1362" s="24"/>
      <c r="R1362" s="25"/>
      <c r="S1362" s="26"/>
      <c r="T1362" s="27"/>
      <c r="U1362" s="24"/>
      <c r="V1362" s="38" t="s">
        <v>29</v>
      </c>
      <c r="W1362" s="29" t="s">
        <v>22</v>
      </c>
      <c r="X1362" s="37" t="s">
        <v>911</v>
      </c>
      <c r="Y1362" s="31"/>
      <c r="Z1362" s="26" t="str">
        <f t="shared" si="5"/>
        <v/>
      </c>
      <c r="AA1362" s="26" t="str">
        <f t="shared" si="6"/>
        <v/>
      </c>
      <c r="AB1362" s="32" t="str">
        <f t="shared" si="7"/>
        <v/>
      </c>
      <c r="AC1362" s="32" t="str">
        <f t="shared" ref="AC1362:AG1362" si="1366">IF(J1362&lt;&gt;"", IF(AND($P1362=FALSE, $A1362=FALSE), -J1362, IF(AND($P1362=FALSE, $A1362=TRUE), 0, IF($P1362=TRUE, (J1362 / $R1362) * 100 * ($S1362 / 100)-J1362, ))), )</f>
        <v/>
      </c>
      <c r="AD1362" s="32" t="str">
        <f t="shared" si="1366"/>
        <v/>
      </c>
      <c r="AE1362" s="32" t="str">
        <f t="shared" si="1366"/>
        <v/>
      </c>
      <c r="AF1362" s="32" t="str">
        <f t="shared" si="1366"/>
        <v/>
      </c>
      <c r="AG1362" s="32" t="str">
        <f t="shared" si="1366"/>
        <v/>
      </c>
      <c r="AH1362" s="33"/>
    </row>
    <row r="1363" hidden="1" outlineLevel="2" collapsed="1">
      <c r="A1363" s="16" t="b">
        <v>0</v>
      </c>
      <c r="B1363" s="17"/>
      <c r="C1363" s="18"/>
      <c r="D1363" s="42">
        <v>45278.0</v>
      </c>
      <c r="E1363" s="80" t="s">
        <v>60</v>
      </c>
      <c r="F1363" s="53" t="s">
        <v>630</v>
      </c>
      <c r="G1363" s="45">
        <v>3.0</v>
      </c>
      <c r="H1363" s="45">
        <v>1.5</v>
      </c>
      <c r="I1363" s="45">
        <v>3.0</v>
      </c>
      <c r="J1363" s="45"/>
      <c r="K1363" s="79"/>
      <c r="L1363" s="45"/>
      <c r="M1363" s="46"/>
      <c r="N1363" s="46"/>
      <c r="O1363" s="47"/>
      <c r="P1363" s="16" t="b">
        <v>1</v>
      </c>
      <c r="Q1363" s="24"/>
      <c r="R1363" s="48">
        <v>7.5</v>
      </c>
      <c r="S1363" s="45">
        <v>19.67</v>
      </c>
      <c r="T1363" s="49" t="s">
        <v>224</v>
      </c>
      <c r="U1363" s="47"/>
      <c r="V1363" s="28"/>
      <c r="W1363" s="29"/>
      <c r="X1363" s="30"/>
      <c r="Y1363" s="31"/>
      <c r="Z1363" s="26">
        <f t="shared" si="5"/>
        <v>4.868</v>
      </c>
      <c r="AA1363" s="26">
        <f t="shared" si="6"/>
        <v>4.868</v>
      </c>
      <c r="AB1363" s="32">
        <f t="shared" si="7"/>
        <v>2.434</v>
      </c>
      <c r="AC1363" s="32" t="str">
        <f t="shared" ref="AC1363:AG1363" si="1367">IF(J1363&lt;&gt;"", IF(AND($P1363=FALSE, $A1363=FALSE), -J1363, IF(AND($P1363=FALSE, $A1363=TRUE), 0, IF($P1363=TRUE, (J1363 / $R1363) * 100 * ($S1363 / 100)-J1363, ))), )</f>
        <v/>
      </c>
      <c r="AD1363" s="32" t="str">
        <f t="shared" si="1367"/>
        <v/>
      </c>
      <c r="AE1363" s="32" t="str">
        <f t="shared" si="1367"/>
        <v/>
      </c>
      <c r="AF1363" s="32" t="str">
        <f t="shared" si="1367"/>
        <v/>
      </c>
      <c r="AG1363" s="32" t="str">
        <f t="shared" si="1367"/>
        <v/>
      </c>
      <c r="AH1363" s="33"/>
    </row>
    <row r="1364" hidden="1" outlineLevel="3">
      <c r="A1364" s="16" t="b">
        <v>0</v>
      </c>
      <c r="B1364" s="17"/>
      <c r="C1364" s="18"/>
      <c r="D1364" s="19"/>
      <c r="E1364" s="20"/>
      <c r="F1364" s="21"/>
      <c r="G1364" s="22"/>
      <c r="H1364" s="22"/>
      <c r="I1364" s="23"/>
      <c r="J1364" s="22"/>
      <c r="K1364" s="23"/>
      <c r="L1364" s="22"/>
      <c r="M1364" s="23"/>
      <c r="N1364" s="23"/>
      <c r="O1364" s="24"/>
      <c r="P1364" s="16" t="b">
        <v>0</v>
      </c>
      <c r="Q1364" s="24"/>
      <c r="R1364" s="25"/>
      <c r="S1364" s="26"/>
      <c r="T1364" s="27"/>
      <c r="U1364" s="24"/>
      <c r="V1364" s="38" t="s">
        <v>29</v>
      </c>
      <c r="W1364" s="29" t="s">
        <v>22</v>
      </c>
      <c r="X1364" s="37" t="s">
        <v>455</v>
      </c>
      <c r="Y1364" s="31"/>
      <c r="Z1364" s="26" t="str">
        <f t="shared" si="5"/>
        <v/>
      </c>
      <c r="AA1364" s="26" t="str">
        <f t="shared" si="6"/>
        <v/>
      </c>
      <c r="AB1364" s="32" t="str">
        <f t="shared" si="7"/>
        <v/>
      </c>
      <c r="AC1364" s="32" t="str">
        <f t="shared" ref="AC1364:AG1364" si="1368">IF(J1364&lt;&gt;"", IF(AND($P1364=FALSE, $A1364=FALSE), -J1364, IF(AND($P1364=FALSE, $A1364=TRUE), 0, IF($P1364=TRUE, (J1364 / $R1364) * 100 * ($S1364 / 100)-J1364, ))), )</f>
        <v/>
      </c>
      <c r="AD1364" s="32" t="str">
        <f t="shared" si="1368"/>
        <v/>
      </c>
      <c r="AE1364" s="32" t="str">
        <f t="shared" si="1368"/>
        <v/>
      </c>
      <c r="AF1364" s="32" t="str">
        <f t="shared" si="1368"/>
        <v/>
      </c>
      <c r="AG1364" s="32" t="str">
        <f t="shared" si="1368"/>
        <v/>
      </c>
      <c r="AH1364" s="33"/>
    </row>
    <row r="1365" hidden="1" outlineLevel="3">
      <c r="A1365" s="16" t="b">
        <v>0</v>
      </c>
      <c r="B1365" s="17"/>
      <c r="C1365" s="18"/>
      <c r="D1365" s="19"/>
      <c r="E1365" s="20"/>
      <c r="F1365" s="21"/>
      <c r="G1365" s="22"/>
      <c r="H1365" s="22"/>
      <c r="I1365" s="23"/>
      <c r="J1365" s="22"/>
      <c r="K1365" s="23"/>
      <c r="L1365" s="22"/>
      <c r="M1365" s="23"/>
      <c r="N1365" s="23"/>
      <c r="O1365" s="24"/>
      <c r="P1365" s="16" t="b">
        <v>0</v>
      </c>
      <c r="Q1365" s="24"/>
      <c r="R1365" s="25"/>
      <c r="S1365" s="26"/>
      <c r="T1365" s="27"/>
      <c r="U1365" s="24"/>
      <c r="V1365" s="38" t="s">
        <v>29</v>
      </c>
      <c r="W1365" s="29" t="s">
        <v>22</v>
      </c>
      <c r="X1365" s="37" t="s">
        <v>454</v>
      </c>
      <c r="Y1365" s="31"/>
      <c r="Z1365" s="26" t="str">
        <f t="shared" si="5"/>
        <v/>
      </c>
      <c r="AA1365" s="26" t="str">
        <f t="shared" si="6"/>
        <v/>
      </c>
      <c r="AB1365" s="32" t="str">
        <f t="shared" si="7"/>
        <v/>
      </c>
      <c r="AC1365" s="32" t="str">
        <f t="shared" ref="AC1365:AG1365" si="1369">IF(J1365&lt;&gt;"", IF(AND($P1365=FALSE, $A1365=FALSE), -J1365, IF(AND($P1365=FALSE, $A1365=TRUE), 0, IF($P1365=TRUE, (J1365 / $R1365) * 100 * ($S1365 / 100)-J1365, ))), )</f>
        <v/>
      </c>
      <c r="AD1365" s="32" t="str">
        <f t="shared" si="1369"/>
        <v/>
      </c>
      <c r="AE1365" s="32" t="str">
        <f t="shared" si="1369"/>
        <v/>
      </c>
      <c r="AF1365" s="32" t="str">
        <f t="shared" si="1369"/>
        <v/>
      </c>
      <c r="AG1365" s="32" t="str">
        <f t="shared" si="1369"/>
        <v/>
      </c>
      <c r="AH1365" s="33"/>
    </row>
    <row r="1366" hidden="1" outlineLevel="3">
      <c r="A1366" s="16" t="b">
        <v>0</v>
      </c>
      <c r="B1366" s="17"/>
      <c r="C1366" s="18"/>
      <c r="D1366" s="19"/>
      <c r="E1366" s="20"/>
      <c r="F1366" s="21"/>
      <c r="G1366" s="22"/>
      <c r="H1366" s="22"/>
      <c r="I1366" s="23"/>
      <c r="J1366" s="22"/>
      <c r="K1366" s="23"/>
      <c r="L1366" s="22"/>
      <c r="M1366" s="23"/>
      <c r="N1366" s="23"/>
      <c r="O1366" s="24"/>
      <c r="P1366" s="16" t="b">
        <v>0</v>
      </c>
      <c r="Q1366" s="24"/>
      <c r="R1366" s="25"/>
      <c r="S1366" s="26"/>
      <c r="T1366" s="27"/>
      <c r="U1366" s="24"/>
      <c r="V1366" s="38" t="s">
        <v>29</v>
      </c>
      <c r="W1366" s="29" t="s">
        <v>22</v>
      </c>
      <c r="X1366" s="37" t="s">
        <v>814</v>
      </c>
      <c r="Y1366" s="31"/>
      <c r="Z1366" s="26" t="str">
        <f t="shared" si="5"/>
        <v/>
      </c>
      <c r="AA1366" s="26" t="str">
        <f t="shared" si="6"/>
        <v/>
      </c>
      <c r="AB1366" s="32" t="str">
        <f t="shared" si="7"/>
        <v/>
      </c>
      <c r="AC1366" s="32" t="str">
        <f t="shared" ref="AC1366:AG1366" si="1370">IF(J1366&lt;&gt;"", IF(AND($P1366=FALSE, $A1366=FALSE), -J1366, IF(AND($P1366=FALSE, $A1366=TRUE), 0, IF($P1366=TRUE, (J1366 / $R1366) * 100 * ($S1366 / 100)-J1366, ))), )</f>
        <v/>
      </c>
      <c r="AD1366" s="32" t="str">
        <f t="shared" si="1370"/>
        <v/>
      </c>
      <c r="AE1366" s="32" t="str">
        <f t="shared" si="1370"/>
        <v/>
      </c>
      <c r="AF1366" s="32" t="str">
        <f t="shared" si="1370"/>
        <v/>
      </c>
      <c r="AG1366" s="32" t="str">
        <f t="shared" si="1370"/>
        <v/>
      </c>
      <c r="AH1366" s="33"/>
    </row>
    <row r="1367" hidden="1" outlineLevel="3">
      <c r="A1367" s="16" t="b">
        <v>0</v>
      </c>
      <c r="B1367" s="17"/>
      <c r="C1367" s="18"/>
      <c r="D1367" s="19"/>
      <c r="E1367" s="20"/>
      <c r="F1367" s="21"/>
      <c r="G1367" s="22"/>
      <c r="H1367" s="22"/>
      <c r="I1367" s="23"/>
      <c r="J1367" s="22"/>
      <c r="K1367" s="23"/>
      <c r="L1367" s="22"/>
      <c r="M1367" s="23"/>
      <c r="N1367" s="23"/>
      <c r="O1367" s="24"/>
      <c r="P1367" s="16" t="b">
        <v>0</v>
      </c>
      <c r="Q1367" s="24"/>
      <c r="R1367" s="25"/>
      <c r="S1367" s="26"/>
      <c r="T1367" s="27"/>
      <c r="U1367" s="24"/>
      <c r="V1367" s="38" t="s">
        <v>29</v>
      </c>
      <c r="W1367" s="29" t="s">
        <v>22</v>
      </c>
      <c r="X1367" s="37" t="s">
        <v>64</v>
      </c>
      <c r="Y1367" s="31"/>
      <c r="Z1367" s="26" t="str">
        <f t="shared" si="5"/>
        <v/>
      </c>
      <c r="AA1367" s="26" t="str">
        <f t="shared" si="6"/>
        <v/>
      </c>
      <c r="AB1367" s="32" t="str">
        <f t="shared" si="7"/>
        <v/>
      </c>
      <c r="AC1367" s="32" t="str">
        <f t="shared" ref="AC1367:AG1367" si="1371">IF(J1367&lt;&gt;"", IF(AND($P1367=FALSE, $A1367=FALSE), -J1367, IF(AND($P1367=FALSE, $A1367=TRUE), 0, IF($P1367=TRUE, (J1367 / $R1367) * 100 * ($S1367 / 100)-J1367, ))), )</f>
        <v/>
      </c>
      <c r="AD1367" s="32" t="str">
        <f t="shared" si="1371"/>
        <v/>
      </c>
      <c r="AE1367" s="32" t="str">
        <f t="shared" si="1371"/>
        <v/>
      </c>
      <c r="AF1367" s="32" t="str">
        <f t="shared" si="1371"/>
        <v/>
      </c>
      <c r="AG1367" s="32" t="str">
        <f t="shared" si="1371"/>
        <v/>
      </c>
      <c r="AH1367" s="33"/>
    </row>
    <row r="1368" hidden="1" outlineLevel="2" collapsed="1">
      <c r="A1368" s="16" t="b">
        <v>0</v>
      </c>
      <c r="B1368" s="17"/>
      <c r="C1368" s="18"/>
      <c r="D1368" s="42">
        <v>45278.0</v>
      </c>
      <c r="E1368" s="80" t="s">
        <v>60</v>
      </c>
      <c r="F1368" s="53" t="s">
        <v>630</v>
      </c>
      <c r="G1368" s="45">
        <v>2.0</v>
      </c>
      <c r="H1368" s="45">
        <v>1.0</v>
      </c>
      <c r="I1368" s="45">
        <v>2.0</v>
      </c>
      <c r="J1368" s="45"/>
      <c r="K1368" s="79"/>
      <c r="L1368" s="45"/>
      <c r="M1368" s="46"/>
      <c r="N1368" s="46"/>
      <c r="O1368" s="47"/>
      <c r="P1368" s="16" t="b">
        <v>0</v>
      </c>
      <c r="Q1368" s="24"/>
      <c r="R1368" s="48">
        <v>5.0</v>
      </c>
      <c r="S1368" s="45">
        <v>11.0</v>
      </c>
      <c r="T1368" s="49" t="s">
        <v>221</v>
      </c>
      <c r="U1368" s="47"/>
      <c r="V1368" s="28"/>
      <c r="W1368" s="29"/>
      <c r="X1368" s="30"/>
      <c r="Y1368" s="31"/>
      <c r="Z1368" s="26">
        <f t="shared" si="5"/>
        <v>-2</v>
      </c>
      <c r="AA1368" s="26">
        <f t="shared" si="6"/>
        <v>-2</v>
      </c>
      <c r="AB1368" s="32">
        <f t="shared" si="7"/>
        <v>-1</v>
      </c>
      <c r="AC1368" s="32" t="str">
        <f t="shared" ref="AC1368:AG1368" si="1372">IF(J1368&lt;&gt;"", IF(AND($P1368=FALSE, $A1368=FALSE), -J1368, IF(AND($P1368=FALSE, $A1368=TRUE), 0, IF($P1368=TRUE, (J1368 / $R1368) * 100 * ($S1368 / 100)-J1368, ))), )</f>
        <v/>
      </c>
      <c r="AD1368" s="32" t="str">
        <f t="shared" si="1372"/>
        <v/>
      </c>
      <c r="AE1368" s="32" t="str">
        <f t="shared" si="1372"/>
        <v/>
      </c>
      <c r="AF1368" s="32" t="str">
        <f t="shared" si="1372"/>
        <v/>
      </c>
      <c r="AG1368" s="32" t="str">
        <f t="shared" si="1372"/>
        <v/>
      </c>
      <c r="AH1368" s="33"/>
    </row>
    <row r="1369" hidden="1" outlineLevel="3">
      <c r="A1369" s="16" t="b">
        <v>0</v>
      </c>
      <c r="B1369" s="17"/>
      <c r="C1369" s="18"/>
      <c r="D1369" s="19"/>
      <c r="E1369" s="20"/>
      <c r="F1369" s="21"/>
      <c r="G1369" s="22"/>
      <c r="H1369" s="22"/>
      <c r="I1369" s="23"/>
      <c r="J1369" s="22"/>
      <c r="K1369" s="23"/>
      <c r="L1369" s="22"/>
      <c r="M1369" s="23"/>
      <c r="N1369" s="23"/>
      <c r="O1369" s="24"/>
      <c r="P1369" s="16" t="b">
        <v>0</v>
      </c>
      <c r="Q1369" s="24"/>
      <c r="R1369" s="25"/>
      <c r="S1369" s="26"/>
      <c r="T1369" s="27"/>
      <c r="U1369" s="24"/>
      <c r="V1369" s="28" t="s">
        <v>32</v>
      </c>
      <c r="W1369" s="29" t="s">
        <v>22</v>
      </c>
      <c r="X1369" s="37" t="s">
        <v>912</v>
      </c>
      <c r="Y1369" s="31"/>
      <c r="Z1369" s="26" t="str">
        <f t="shared" si="5"/>
        <v/>
      </c>
      <c r="AA1369" s="26" t="str">
        <f t="shared" si="6"/>
        <v/>
      </c>
      <c r="AB1369" s="32" t="str">
        <f t="shared" si="7"/>
        <v/>
      </c>
      <c r="AC1369" s="32" t="str">
        <f t="shared" ref="AC1369:AG1369" si="1373">IF(J1369&lt;&gt;"", IF(AND($P1369=FALSE, $A1369=FALSE), -J1369, IF(AND($P1369=FALSE, $A1369=TRUE), 0, IF($P1369=TRUE, (J1369 / $R1369) * 100 * ($S1369 / 100)-J1369, ))), )</f>
        <v/>
      </c>
      <c r="AD1369" s="32" t="str">
        <f t="shared" si="1373"/>
        <v/>
      </c>
      <c r="AE1369" s="32" t="str">
        <f t="shared" si="1373"/>
        <v/>
      </c>
      <c r="AF1369" s="32" t="str">
        <f t="shared" si="1373"/>
        <v/>
      </c>
      <c r="AG1369" s="32" t="str">
        <f t="shared" si="1373"/>
        <v/>
      </c>
      <c r="AH1369" s="33"/>
    </row>
    <row r="1370" hidden="1" outlineLevel="3">
      <c r="A1370" s="16" t="b">
        <v>0</v>
      </c>
      <c r="B1370" s="17"/>
      <c r="C1370" s="18"/>
      <c r="D1370" s="19"/>
      <c r="E1370" s="20"/>
      <c r="F1370" s="21"/>
      <c r="G1370" s="22"/>
      <c r="H1370" s="22"/>
      <c r="I1370" s="23"/>
      <c r="J1370" s="22"/>
      <c r="K1370" s="23"/>
      <c r="L1370" s="22"/>
      <c r="M1370" s="23"/>
      <c r="N1370" s="23"/>
      <c r="O1370" s="24"/>
      <c r="P1370" s="16" t="b">
        <v>0</v>
      </c>
      <c r="Q1370" s="24"/>
      <c r="R1370" s="25"/>
      <c r="S1370" s="26"/>
      <c r="T1370" s="27"/>
      <c r="U1370" s="24"/>
      <c r="V1370" s="28" t="s">
        <v>32</v>
      </c>
      <c r="W1370" s="29" t="s">
        <v>22</v>
      </c>
      <c r="X1370" s="37" t="s">
        <v>217</v>
      </c>
      <c r="Y1370" s="31"/>
      <c r="Z1370" s="26" t="str">
        <f t="shared" si="5"/>
        <v/>
      </c>
      <c r="AA1370" s="26" t="str">
        <f t="shared" si="6"/>
        <v/>
      </c>
      <c r="AB1370" s="32" t="str">
        <f t="shared" si="7"/>
        <v/>
      </c>
      <c r="AC1370" s="32" t="str">
        <f t="shared" ref="AC1370:AG1370" si="1374">IF(J1370&lt;&gt;"", IF(AND($P1370=FALSE, $A1370=FALSE), -J1370, IF(AND($P1370=FALSE, $A1370=TRUE), 0, IF($P1370=TRUE, (J1370 / $R1370) * 100 * ($S1370 / 100)-J1370, ))), )</f>
        <v/>
      </c>
      <c r="AD1370" s="32" t="str">
        <f t="shared" si="1374"/>
        <v/>
      </c>
      <c r="AE1370" s="32" t="str">
        <f t="shared" si="1374"/>
        <v/>
      </c>
      <c r="AF1370" s="32" t="str">
        <f t="shared" si="1374"/>
        <v/>
      </c>
      <c r="AG1370" s="32" t="str">
        <f t="shared" si="1374"/>
        <v/>
      </c>
      <c r="AH1370" s="33"/>
    </row>
    <row r="1371" hidden="1" outlineLevel="3">
      <c r="A1371" s="16" t="b">
        <v>0</v>
      </c>
      <c r="B1371" s="17"/>
      <c r="C1371" s="18"/>
      <c r="D1371" s="19"/>
      <c r="E1371" s="20"/>
      <c r="F1371" s="21"/>
      <c r="G1371" s="22"/>
      <c r="H1371" s="22"/>
      <c r="I1371" s="23"/>
      <c r="J1371" s="22"/>
      <c r="K1371" s="23"/>
      <c r="L1371" s="22"/>
      <c r="M1371" s="23"/>
      <c r="N1371" s="23"/>
      <c r="O1371" s="24"/>
      <c r="P1371" s="16" t="b">
        <v>0</v>
      </c>
      <c r="Q1371" s="24"/>
      <c r="R1371" s="25"/>
      <c r="S1371" s="26"/>
      <c r="T1371" s="27"/>
      <c r="U1371" s="24"/>
      <c r="V1371" s="38" t="s">
        <v>29</v>
      </c>
      <c r="W1371" s="29" t="s">
        <v>22</v>
      </c>
      <c r="X1371" s="37" t="s">
        <v>421</v>
      </c>
      <c r="Y1371" s="31"/>
      <c r="Z1371" s="26" t="str">
        <f t="shared" si="5"/>
        <v/>
      </c>
      <c r="AA1371" s="26" t="str">
        <f t="shared" si="6"/>
        <v/>
      </c>
      <c r="AB1371" s="32" t="str">
        <f t="shared" si="7"/>
        <v/>
      </c>
      <c r="AC1371" s="32" t="str">
        <f t="shared" ref="AC1371:AG1371" si="1375">IF(J1371&lt;&gt;"", IF(AND($P1371=FALSE, $A1371=FALSE), -J1371, IF(AND($P1371=FALSE, $A1371=TRUE), 0, IF($P1371=TRUE, (J1371 / $R1371) * 100 * ($S1371 / 100)-J1371, ))), )</f>
        <v/>
      </c>
      <c r="AD1371" s="32" t="str">
        <f t="shared" si="1375"/>
        <v/>
      </c>
      <c r="AE1371" s="32" t="str">
        <f t="shared" si="1375"/>
        <v/>
      </c>
      <c r="AF1371" s="32" t="str">
        <f t="shared" si="1375"/>
        <v/>
      </c>
      <c r="AG1371" s="32" t="str">
        <f t="shared" si="1375"/>
        <v/>
      </c>
      <c r="AH1371" s="33"/>
    </row>
    <row r="1372" hidden="1" outlineLevel="3">
      <c r="A1372" s="16" t="b">
        <v>0</v>
      </c>
      <c r="B1372" s="17"/>
      <c r="C1372" s="18"/>
      <c r="D1372" s="19"/>
      <c r="E1372" s="20"/>
      <c r="F1372" s="21"/>
      <c r="G1372" s="22"/>
      <c r="H1372" s="22"/>
      <c r="I1372" s="23"/>
      <c r="J1372" s="22"/>
      <c r="K1372" s="23"/>
      <c r="L1372" s="22"/>
      <c r="M1372" s="23"/>
      <c r="N1372" s="23"/>
      <c r="O1372" s="24"/>
      <c r="P1372" s="16" t="b">
        <v>0</v>
      </c>
      <c r="Q1372" s="24"/>
      <c r="R1372" s="25"/>
      <c r="S1372" s="26"/>
      <c r="T1372" s="27"/>
      <c r="U1372" s="24"/>
      <c r="V1372" s="38" t="s">
        <v>29</v>
      </c>
      <c r="W1372" s="29" t="s">
        <v>22</v>
      </c>
      <c r="X1372" s="37" t="s">
        <v>219</v>
      </c>
      <c r="Y1372" s="31"/>
      <c r="Z1372" s="26" t="str">
        <f t="shared" si="5"/>
        <v/>
      </c>
      <c r="AA1372" s="26" t="str">
        <f t="shared" si="6"/>
        <v/>
      </c>
      <c r="AB1372" s="32" t="str">
        <f t="shared" si="7"/>
        <v/>
      </c>
      <c r="AC1372" s="32" t="str">
        <f t="shared" ref="AC1372:AG1372" si="1376">IF(J1372&lt;&gt;"", IF(AND($P1372=FALSE, $A1372=FALSE), -J1372, IF(AND($P1372=FALSE, $A1372=TRUE), 0, IF($P1372=TRUE, (J1372 / $R1372) * 100 * ($S1372 / 100)-J1372, ))), )</f>
        <v/>
      </c>
      <c r="AD1372" s="32" t="str">
        <f t="shared" si="1376"/>
        <v/>
      </c>
      <c r="AE1372" s="32" t="str">
        <f t="shared" si="1376"/>
        <v/>
      </c>
      <c r="AF1372" s="32" t="str">
        <f t="shared" si="1376"/>
        <v/>
      </c>
      <c r="AG1372" s="32" t="str">
        <f t="shared" si="1376"/>
        <v/>
      </c>
      <c r="AH1372" s="33"/>
    </row>
    <row r="1373" hidden="1" outlineLevel="2">
      <c r="A1373" s="16" t="b">
        <v>0</v>
      </c>
      <c r="B1373" s="17"/>
      <c r="C1373" s="18"/>
      <c r="D1373" s="42">
        <v>45278.0</v>
      </c>
      <c r="E1373" s="80" t="s">
        <v>60</v>
      </c>
      <c r="F1373" s="53" t="s">
        <v>630</v>
      </c>
      <c r="G1373" s="45">
        <v>2.0</v>
      </c>
      <c r="H1373" s="45">
        <v>1.0</v>
      </c>
      <c r="I1373" s="45">
        <v>2.0</v>
      </c>
      <c r="J1373" s="45"/>
      <c r="K1373" s="79"/>
      <c r="L1373" s="45"/>
      <c r="M1373" s="46"/>
      <c r="N1373" s="46"/>
      <c r="O1373" s="47"/>
      <c r="P1373" s="16" t="b">
        <v>0</v>
      </c>
      <c r="Q1373" s="24"/>
      <c r="R1373" s="48">
        <v>5.0</v>
      </c>
      <c r="S1373" s="45">
        <v>18.98</v>
      </c>
      <c r="T1373" s="49" t="s">
        <v>913</v>
      </c>
      <c r="U1373" s="47"/>
      <c r="V1373" s="28"/>
      <c r="W1373" s="29"/>
      <c r="X1373" s="30"/>
      <c r="Y1373" s="31"/>
      <c r="Z1373" s="26">
        <f t="shared" si="5"/>
        <v>-2</v>
      </c>
      <c r="AA1373" s="26">
        <f t="shared" si="6"/>
        <v>-2</v>
      </c>
      <c r="AB1373" s="32">
        <f t="shared" si="7"/>
        <v>-1</v>
      </c>
      <c r="AC1373" s="32" t="str">
        <f t="shared" ref="AC1373:AG1373" si="1377">IF(J1373&lt;&gt;"", IF(AND($P1373=FALSE, $A1373=FALSE), -J1373, IF(AND($P1373=FALSE, $A1373=TRUE), 0, IF($P1373=TRUE, (J1373 / $R1373) * 100 * ($S1373 / 100)-J1373, ))), )</f>
        <v/>
      </c>
      <c r="AD1373" s="32" t="str">
        <f t="shared" si="1377"/>
        <v/>
      </c>
      <c r="AE1373" s="32" t="str">
        <f t="shared" si="1377"/>
        <v/>
      </c>
      <c r="AF1373" s="32" t="str">
        <f t="shared" si="1377"/>
        <v/>
      </c>
      <c r="AG1373" s="32" t="str">
        <f t="shared" si="1377"/>
        <v/>
      </c>
      <c r="AH1373" s="33"/>
    </row>
    <row r="1374" hidden="1" outlineLevel="3">
      <c r="A1374" s="16" t="b">
        <v>0</v>
      </c>
      <c r="B1374" s="17"/>
      <c r="C1374" s="18"/>
      <c r="D1374" s="19"/>
      <c r="E1374" s="20"/>
      <c r="F1374" s="21"/>
      <c r="G1374" s="22"/>
      <c r="H1374" s="22"/>
      <c r="I1374" s="23"/>
      <c r="J1374" s="22"/>
      <c r="K1374" s="23"/>
      <c r="L1374" s="22"/>
      <c r="M1374" s="23"/>
      <c r="N1374" s="23"/>
      <c r="O1374" s="24"/>
      <c r="P1374" s="16" t="b">
        <v>0</v>
      </c>
      <c r="Q1374" s="24"/>
      <c r="R1374" s="25"/>
      <c r="S1374" s="26"/>
      <c r="T1374" s="27"/>
      <c r="U1374" s="24"/>
      <c r="V1374" s="38" t="s">
        <v>29</v>
      </c>
      <c r="W1374" s="29" t="s">
        <v>22</v>
      </c>
      <c r="X1374" s="37" t="s">
        <v>914</v>
      </c>
      <c r="Y1374" s="31"/>
      <c r="Z1374" s="26" t="str">
        <f t="shared" si="5"/>
        <v/>
      </c>
      <c r="AA1374" s="26" t="str">
        <f t="shared" si="6"/>
        <v/>
      </c>
      <c r="AB1374" s="32" t="str">
        <f t="shared" si="7"/>
        <v/>
      </c>
      <c r="AC1374" s="32" t="str">
        <f t="shared" ref="AC1374:AG1374" si="1378">IF(J1374&lt;&gt;"", IF(AND($P1374=FALSE, $A1374=FALSE), -J1374, IF(AND($P1374=FALSE, $A1374=TRUE), 0, IF($P1374=TRUE, (J1374 / $R1374) * 100 * ($S1374 / 100)-J1374, ))), )</f>
        <v/>
      </c>
      <c r="AD1374" s="32" t="str">
        <f t="shared" si="1378"/>
        <v/>
      </c>
      <c r="AE1374" s="32" t="str">
        <f t="shared" si="1378"/>
        <v/>
      </c>
      <c r="AF1374" s="32" t="str">
        <f t="shared" si="1378"/>
        <v/>
      </c>
      <c r="AG1374" s="32" t="str">
        <f t="shared" si="1378"/>
        <v/>
      </c>
      <c r="AH1374" s="33"/>
    </row>
    <row r="1375" hidden="1" outlineLevel="3">
      <c r="A1375" s="16" t="b">
        <v>0</v>
      </c>
      <c r="B1375" s="17"/>
      <c r="C1375" s="18"/>
      <c r="D1375" s="19"/>
      <c r="E1375" s="20"/>
      <c r="F1375" s="21"/>
      <c r="G1375" s="22"/>
      <c r="H1375" s="22"/>
      <c r="I1375" s="23"/>
      <c r="J1375" s="22"/>
      <c r="K1375" s="23"/>
      <c r="L1375" s="22"/>
      <c r="M1375" s="23"/>
      <c r="N1375" s="23"/>
      <c r="O1375" s="24"/>
      <c r="P1375" s="16" t="b">
        <v>0</v>
      </c>
      <c r="Q1375" s="24"/>
      <c r="R1375" s="25"/>
      <c r="S1375" s="26"/>
      <c r="T1375" s="27"/>
      <c r="U1375" s="24"/>
      <c r="V1375" s="28" t="s">
        <v>32</v>
      </c>
      <c r="W1375" s="29" t="s">
        <v>22</v>
      </c>
      <c r="X1375" s="37" t="s">
        <v>915</v>
      </c>
      <c r="Y1375" s="31"/>
      <c r="Z1375" s="26" t="str">
        <f t="shared" si="5"/>
        <v/>
      </c>
      <c r="AA1375" s="26" t="str">
        <f t="shared" si="6"/>
        <v/>
      </c>
      <c r="AB1375" s="32" t="str">
        <f t="shared" si="7"/>
        <v/>
      </c>
      <c r="AC1375" s="32" t="str">
        <f t="shared" ref="AC1375:AG1375" si="1379">IF(J1375&lt;&gt;"", IF(AND($P1375=FALSE, $A1375=FALSE), -J1375, IF(AND($P1375=FALSE, $A1375=TRUE), 0, IF($P1375=TRUE, (J1375 / $R1375) * 100 * ($S1375 / 100)-J1375, ))), )</f>
        <v/>
      </c>
      <c r="AD1375" s="32" t="str">
        <f t="shared" si="1379"/>
        <v/>
      </c>
      <c r="AE1375" s="32" t="str">
        <f t="shared" si="1379"/>
        <v/>
      </c>
      <c r="AF1375" s="32" t="str">
        <f t="shared" si="1379"/>
        <v/>
      </c>
      <c r="AG1375" s="32" t="str">
        <f t="shared" si="1379"/>
        <v/>
      </c>
      <c r="AH1375" s="33"/>
    </row>
    <row r="1376" hidden="1" outlineLevel="3">
      <c r="A1376" s="16" t="b">
        <v>0</v>
      </c>
      <c r="B1376" s="17"/>
      <c r="C1376" s="18"/>
      <c r="D1376" s="19"/>
      <c r="E1376" s="20"/>
      <c r="F1376" s="21"/>
      <c r="G1376" s="22"/>
      <c r="H1376" s="22"/>
      <c r="I1376" s="23"/>
      <c r="J1376" s="22"/>
      <c r="K1376" s="23"/>
      <c r="L1376" s="22"/>
      <c r="M1376" s="23"/>
      <c r="N1376" s="23"/>
      <c r="O1376" s="24"/>
      <c r="P1376" s="16" t="b">
        <v>0</v>
      </c>
      <c r="Q1376" s="24"/>
      <c r="R1376" s="25"/>
      <c r="S1376" s="26"/>
      <c r="T1376" s="27"/>
      <c r="U1376" s="24"/>
      <c r="V1376" s="38" t="s">
        <v>29</v>
      </c>
      <c r="W1376" s="29" t="s">
        <v>22</v>
      </c>
      <c r="X1376" s="37" t="s">
        <v>916</v>
      </c>
      <c r="Y1376" s="31"/>
      <c r="Z1376" s="26" t="str">
        <f t="shared" si="5"/>
        <v/>
      </c>
      <c r="AA1376" s="26" t="str">
        <f t="shared" si="6"/>
        <v/>
      </c>
      <c r="AB1376" s="32" t="str">
        <f t="shared" si="7"/>
        <v/>
      </c>
      <c r="AC1376" s="32" t="str">
        <f t="shared" ref="AC1376:AG1376" si="1380">IF(J1376&lt;&gt;"", IF(AND($P1376=FALSE, $A1376=FALSE), -J1376, IF(AND($P1376=FALSE, $A1376=TRUE), 0, IF($P1376=TRUE, (J1376 / $R1376) * 100 * ($S1376 / 100)-J1376, ))), )</f>
        <v/>
      </c>
      <c r="AD1376" s="32" t="str">
        <f t="shared" si="1380"/>
        <v/>
      </c>
      <c r="AE1376" s="32" t="str">
        <f t="shared" si="1380"/>
        <v/>
      </c>
      <c r="AF1376" s="32" t="str">
        <f t="shared" si="1380"/>
        <v/>
      </c>
      <c r="AG1376" s="32" t="str">
        <f t="shared" si="1380"/>
        <v/>
      </c>
      <c r="AH1376" s="33"/>
    </row>
    <row r="1377" hidden="1" outlineLevel="3">
      <c r="A1377" s="16" t="b">
        <v>0</v>
      </c>
      <c r="B1377" s="17"/>
      <c r="C1377" s="18"/>
      <c r="D1377" s="19"/>
      <c r="E1377" s="20"/>
      <c r="F1377" s="21"/>
      <c r="G1377" s="22"/>
      <c r="H1377" s="22"/>
      <c r="I1377" s="23"/>
      <c r="J1377" s="22"/>
      <c r="K1377" s="23"/>
      <c r="L1377" s="22"/>
      <c r="M1377" s="23"/>
      <c r="N1377" s="23"/>
      <c r="O1377" s="24"/>
      <c r="P1377" s="16" t="b">
        <v>0</v>
      </c>
      <c r="Q1377" s="24"/>
      <c r="R1377" s="25"/>
      <c r="S1377" s="26"/>
      <c r="T1377" s="27"/>
      <c r="U1377" s="24"/>
      <c r="V1377" s="28" t="s">
        <v>32</v>
      </c>
      <c r="W1377" s="29" t="s">
        <v>22</v>
      </c>
      <c r="X1377" s="37" t="s">
        <v>917</v>
      </c>
      <c r="Y1377" s="31"/>
      <c r="Z1377" s="26" t="str">
        <f t="shared" si="5"/>
        <v/>
      </c>
      <c r="AA1377" s="26" t="str">
        <f t="shared" si="6"/>
        <v/>
      </c>
      <c r="AB1377" s="32" t="str">
        <f t="shared" si="7"/>
        <v/>
      </c>
      <c r="AC1377" s="32" t="str">
        <f t="shared" ref="AC1377:AG1377" si="1381">IF(J1377&lt;&gt;"", IF(AND($P1377=FALSE, $A1377=FALSE), -J1377, IF(AND($P1377=FALSE, $A1377=TRUE), 0, IF($P1377=TRUE, (J1377 / $R1377) * 100 * ($S1377 / 100)-J1377, ))), )</f>
        <v/>
      </c>
      <c r="AD1377" s="32" t="str">
        <f t="shared" si="1381"/>
        <v/>
      </c>
      <c r="AE1377" s="32" t="str">
        <f t="shared" si="1381"/>
        <v/>
      </c>
      <c r="AF1377" s="32" t="str">
        <f t="shared" si="1381"/>
        <v/>
      </c>
      <c r="AG1377" s="32" t="str">
        <f t="shared" si="1381"/>
        <v/>
      </c>
      <c r="AH1377" s="33"/>
    </row>
    <row r="1378" hidden="1" outlineLevel="1" collapsed="1">
      <c r="A1378" s="16" t="b">
        <v>0</v>
      </c>
      <c r="B1378" s="17"/>
      <c r="C1378" s="18"/>
      <c r="D1378" s="42">
        <v>45279.0</v>
      </c>
      <c r="E1378" s="80" t="s">
        <v>60</v>
      </c>
      <c r="F1378" s="53" t="s">
        <v>630</v>
      </c>
      <c r="G1378" s="45">
        <v>2.0</v>
      </c>
      <c r="H1378" s="45">
        <v>1.0</v>
      </c>
      <c r="I1378" s="45">
        <v>2.0</v>
      </c>
      <c r="J1378" s="45"/>
      <c r="K1378" s="79"/>
      <c r="L1378" s="45"/>
      <c r="M1378" s="46"/>
      <c r="N1378" s="46"/>
      <c r="O1378" s="47"/>
      <c r="P1378" s="16" t="b">
        <v>1</v>
      </c>
      <c r="Q1378" s="24"/>
      <c r="R1378" s="48">
        <v>5.0</v>
      </c>
      <c r="S1378" s="45">
        <v>10.4</v>
      </c>
      <c r="T1378" s="49" t="s">
        <v>748</v>
      </c>
      <c r="U1378" s="47"/>
      <c r="V1378" s="28"/>
      <c r="W1378" s="29"/>
      <c r="X1378" s="30"/>
      <c r="Y1378" s="31"/>
      <c r="Z1378" s="26">
        <f t="shared" si="5"/>
        <v>2.16</v>
      </c>
      <c r="AA1378" s="26">
        <f t="shared" si="6"/>
        <v>2.16</v>
      </c>
      <c r="AB1378" s="32">
        <f t="shared" si="7"/>
        <v>1.08</v>
      </c>
      <c r="AC1378" s="32" t="str">
        <f t="shared" ref="AC1378:AG1378" si="1382">IF(J1378&lt;&gt;"", IF(AND($P1378=FALSE, $A1378=FALSE), -J1378, IF(AND($P1378=FALSE, $A1378=TRUE), 0, IF($P1378=TRUE, (J1378 / $R1378) * 100 * ($S1378 / 100)-J1378, ))), )</f>
        <v/>
      </c>
      <c r="AD1378" s="32" t="str">
        <f t="shared" si="1382"/>
        <v/>
      </c>
      <c r="AE1378" s="32" t="str">
        <f t="shared" si="1382"/>
        <v/>
      </c>
      <c r="AF1378" s="32" t="str">
        <f t="shared" si="1382"/>
        <v/>
      </c>
      <c r="AG1378" s="32" t="str">
        <f t="shared" si="1382"/>
        <v/>
      </c>
      <c r="AH1378" s="33"/>
    </row>
    <row r="1379" hidden="1" outlineLevel="3">
      <c r="A1379" s="16" t="b">
        <v>0</v>
      </c>
      <c r="B1379" s="17"/>
      <c r="C1379" s="18"/>
      <c r="D1379" s="19"/>
      <c r="E1379" s="20"/>
      <c r="F1379" s="21"/>
      <c r="G1379" s="22"/>
      <c r="H1379" s="22"/>
      <c r="I1379" s="23"/>
      <c r="J1379" s="22"/>
      <c r="K1379" s="23"/>
      <c r="L1379" s="22"/>
      <c r="M1379" s="23"/>
      <c r="N1379" s="23"/>
      <c r="O1379" s="24"/>
      <c r="P1379" s="16" t="b">
        <v>0</v>
      </c>
      <c r="Q1379" s="24"/>
      <c r="R1379" s="25"/>
      <c r="S1379" s="26"/>
      <c r="T1379" s="27"/>
      <c r="U1379" s="24"/>
      <c r="V1379" s="38" t="s">
        <v>29</v>
      </c>
      <c r="W1379" s="29" t="s">
        <v>22</v>
      </c>
      <c r="X1379" s="37" t="s">
        <v>918</v>
      </c>
      <c r="Y1379" s="31"/>
      <c r="Z1379" s="26" t="str">
        <f t="shared" si="5"/>
        <v/>
      </c>
      <c r="AA1379" s="26" t="str">
        <f t="shared" si="6"/>
        <v/>
      </c>
      <c r="AB1379" s="32" t="str">
        <f t="shared" si="7"/>
        <v/>
      </c>
      <c r="AC1379" s="32" t="str">
        <f t="shared" ref="AC1379:AG1379" si="1383">IF(J1379&lt;&gt;"", IF(AND($P1379=FALSE, $A1379=FALSE), -J1379, IF(AND($P1379=FALSE, $A1379=TRUE), 0, IF($P1379=TRUE, (J1379 / $R1379) * 100 * ($S1379 / 100)-J1379, ))), )</f>
        <v/>
      </c>
      <c r="AD1379" s="32" t="str">
        <f t="shared" si="1383"/>
        <v/>
      </c>
      <c r="AE1379" s="32" t="str">
        <f t="shared" si="1383"/>
        <v/>
      </c>
      <c r="AF1379" s="32" t="str">
        <f t="shared" si="1383"/>
        <v/>
      </c>
      <c r="AG1379" s="32" t="str">
        <f t="shared" si="1383"/>
        <v/>
      </c>
      <c r="AH1379" s="33"/>
    </row>
    <row r="1380" hidden="1" outlineLevel="2" collapsed="1">
      <c r="A1380" s="16" t="b">
        <v>0</v>
      </c>
      <c r="B1380" s="17"/>
      <c r="C1380" s="18"/>
      <c r="D1380" s="42">
        <v>45279.0</v>
      </c>
      <c r="E1380" s="80" t="s">
        <v>60</v>
      </c>
      <c r="F1380" s="53" t="s">
        <v>630</v>
      </c>
      <c r="G1380" s="45">
        <v>3.5</v>
      </c>
      <c r="H1380" s="45">
        <v>1.5</v>
      </c>
      <c r="I1380" s="45">
        <v>3.5</v>
      </c>
      <c r="J1380" s="45"/>
      <c r="K1380" s="79"/>
      <c r="L1380" s="45"/>
      <c r="M1380" s="46"/>
      <c r="N1380" s="46"/>
      <c r="O1380" s="47"/>
      <c r="P1380" s="16" t="b">
        <v>0</v>
      </c>
      <c r="Q1380" s="24"/>
      <c r="R1380" s="48">
        <v>8.5</v>
      </c>
      <c r="S1380" s="45">
        <v>18.71</v>
      </c>
      <c r="T1380" s="49" t="s">
        <v>221</v>
      </c>
      <c r="U1380" s="47"/>
      <c r="V1380" s="28"/>
      <c r="W1380" s="29"/>
      <c r="X1380" s="30"/>
      <c r="Y1380" s="31"/>
      <c r="Z1380" s="26">
        <f t="shared" si="5"/>
        <v>-3.5</v>
      </c>
      <c r="AA1380" s="26">
        <f t="shared" si="6"/>
        <v>-3.5</v>
      </c>
      <c r="AB1380" s="32">
        <f t="shared" si="7"/>
        <v>-1.5</v>
      </c>
      <c r="AC1380" s="32" t="str">
        <f t="shared" ref="AC1380:AG1380" si="1384">IF(J1380&lt;&gt;"", IF(AND($P1380=FALSE, $A1380=FALSE), -J1380, IF(AND($P1380=FALSE, $A1380=TRUE), 0, IF($P1380=TRUE, (J1380 / $R1380) * 100 * ($S1380 / 100)-J1380, ))), )</f>
        <v/>
      </c>
      <c r="AD1380" s="32" t="str">
        <f t="shared" si="1384"/>
        <v/>
      </c>
      <c r="AE1380" s="32" t="str">
        <f t="shared" si="1384"/>
        <v/>
      </c>
      <c r="AF1380" s="32" t="str">
        <f t="shared" si="1384"/>
        <v/>
      </c>
      <c r="AG1380" s="32" t="str">
        <f t="shared" si="1384"/>
        <v/>
      </c>
      <c r="AH1380" s="33"/>
    </row>
    <row r="1381" hidden="1" outlineLevel="3">
      <c r="A1381" s="16" t="b">
        <v>0</v>
      </c>
      <c r="B1381" s="17"/>
      <c r="C1381" s="18"/>
      <c r="D1381" s="19"/>
      <c r="E1381" s="20"/>
      <c r="F1381" s="21"/>
      <c r="G1381" s="22"/>
      <c r="H1381" s="22"/>
      <c r="I1381" s="23"/>
      <c r="J1381" s="22"/>
      <c r="K1381" s="23"/>
      <c r="L1381" s="22"/>
      <c r="M1381" s="23"/>
      <c r="N1381" s="23"/>
      <c r="O1381" s="24"/>
      <c r="P1381" s="16" t="b">
        <v>0</v>
      </c>
      <c r="Q1381" s="24"/>
      <c r="R1381" s="25"/>
      <c r="S1381" s="26"/>
      <c r="T1381" s="27"/>
      <c r="U1381" s="24"/>
      <c r="V1381" s="28" t="s">
        <v>32</v>
      </c>
      <c r="W1381" s="29" t="s">
        <v>22</v>
      </c>
      <c r="X1381" s="37" t="s">
        <v>919</v>
      </c>
      <c r="Y1381" s="31"/>
      <c r="Z1381" s="26" t="str">
        <f t="shared" si="5"/>
        <v/>
      </c>
      <c r="AA1381" s="26" t="str">
        <f t="shared" si="6"/>
        <v/>
      </c>
      <c r="AB1381" s="32" t="str">
        <f t="shared" si="7"/>
        <v/>
      </c>
      <c r="AC1381" s="32" t="str">
        <f t="shared" ref="AC1381:AG1381" si="1385">IF(J1381&lt;&gt;"", IF(AND($P1381=FALSE, $A1381=FALSE), -J1381, IF(AND($P1381=FALSE, $A1381=TRUE), 0, IF($P1381=TRUE, (J1381 / $R1381) * 100 * ($S1381 / 100)-J1381, ))), )</f>
        <v/>
      </c>
      <c r="AD1381" s="32" t="str">
        <f t="shared" si="1385"/>
        <v/>
      </c>
      <c r="AE1381" s="32" t="str">
        <f t="shared" si="1385"/>
        <v/>
      </c>
      <c r="AF1381" s="32" t="str">
        <f t="shared" si="1385"/>
        <v/>
      </c>
      <c r="AG1381" s="32" t="str">
        <f t="shared" si="1385"/>
        <v/>
      </c>
      <c r="AH1381" s="33"/>
    </row>
    <row r="1382" hidden="1" outlineLevel="3">
      <c r="A1382" s="16" t="b">
        <v>0</v>
      </c>
      <c r="B1382" s="17"/>
      <c r="C1382" s="18"/>
      <c r="D1382" s="19"/>
      <c r="E1382" s="20"/>
      <c r="F1382" s="21"/>
      <c r="G1382" s="22"/>
      <c r="H1382" s="22"/>
      <c r="I1382" s="23"/>
      <c r="J1382" s="22"/>
      <c r="K1382" s="23"/>
      <c r="L1382" s="22"/>
      <c r="M1382" s="23"/>
      <c r="N1382" s="23"/>
      <c r="O1382" s="24"/>
      <c r="P1382" s="16" t="b">
        <v>0</v>
      </c>
      <c r="Q1382" s="24"/>
      <c r="R1382" s="25"/>
      <c r="S1382" s="26"/>
      <c r="T1382" s="27"/>
      <c r="U1382" s="24"/>
      <c r="V1382" s="38" t="s">
        <v>29</v>
      </c>
      <c r="W1382" s="29" t="s">
        <v>22</v>
      </c>
      <c r="X1382" s="37" t="s">
        <v>920</v>
      </c>
      <c r="Y1382" s="31"/>
      <c r="Z1382" s="26" t="str">
        <f t="shared" si="5"/>
        <v/>
      </c>
      <c r="AA1382" s="26" t="str">
        <f t="shared" si="6"/>
        <v/>
      </c>
      <c r="AB1382" s="32" t="str">
        <f t="shared" si="7"/>
        <v/>
      </c>
      <c r="AC1382" s="32" t="str">
        <f t="shared" ref="AC1382:AG1382" si="1386">IF(J1382&lt;&gt;"", IF(AND($P1382=FALSE, $A1382=FALSE), -J1382, IF(AND($P1382=FALSE, $A1382=TRUE), 0, IF($P1382=TRUE, (J1382 / $R1382) * 100 * ($S1382 / 100)-J1382, ))), )</f>
        <v/>
      </c>
      <c r="AD1382" s="32" t="str">
        <f t="shared" si="1386"/>
        <v/>
      </c>
      <c r="AE1382" s="32" t="str">
        <f t="shared" si="1386"/>
        <v/>
      </c>
      <c r="AF1382" s="32" t="str">
        <f t="shared" si="1386"/>
        <v/>
      </c>
      <c r="AG1382" s="32" t="str">
        <f t="shared" si="1386"/>
        <v/>
      </c>
      <c r="AH1382" s="33"/>
    </row>
    <row r="1383" hidden="1" outlineLevel="3">
      <c r="A1383" s="16" t="b">
        <v>0</v>
      </c>
      <c r="B1383" s="17"/>
      <c r="C1383" s="18"/>
      <c r="D1383" s="19"/>
      <c r="E1383" s="20"/>
      <c r="F1383" s="21"/>
      <c r="G1383" s="22"/>
      <c r="H1383" s="22"/>
      <c r="I1383" s="23"/>
      <c r="J1383" s="22"/>
      <c r="K1383" s="23"/>
      <c r="L1383" s="22"/>
      <c r="M1383" s="23"/>
      <c r="N1383" s="23"/>
      <c r="O1383" s="24"/>
      <c r="P1383" s="16" t="b">
        <v>0</v>
      </c>
      <c r="Q1383" s="24"/>
      <c r="R1383" s="25"/>
      <c r="S1383" s="26"/>
      <c r="T1383" s="27"/>
      <c r="U1383" s="24"/>
      <c r="V1383" s="38" t="s">
        <v>29</v>
      </c>
      <c r="W1383" s="29" t="s">
        <v>22</v>
      </c>
      <c r="X1383" s="37" t="s">
        <v>921</v>
      </c>
      <c r="Y1383" s="31"/>
      <c r="Z1383" s="26" t="str">
        <f t="shared" si="5"/>
        <v/>
      </c>
      <c r="AA1383" s="26" t="str">
        <f t="shared" si="6"/>
        <v/>
      </c>
      <c r="AB1383" s="32" t="str">
        <f t="shared" si="7"/>
        <v/>
      </c>
      <c r="AC1383" s="32" t="str">
        <f t="shared" ref="AC1383:AG1383" si="1387">IF(J1383&lt;&gt;"", IF(AND($P1383=FALSE, $A1383=FALSE), -J1383, IF(AND($P1383=FALSE, $A1383=TRUE), 0, IF($P1383=TRUE, (J1383 / $R1383) * 100 * ($S1383 / 100)-J1383, ))), )</f>
        <v/>
      </c>
      <c r="AD1383" s="32" t="str">
        <f t="shared" si="1387"/>
        <v/>
      </c>
      <c r="AE1383" s="32" t="str">
        <f t="shared" si="1387"/>
        <v/>
      </c>
      <c r="AF1383" s="32" t="str">
        <f t="shared" si="1387"/>
        <v/>
      </c>
      <c r="AG1383" s="32" t="str">
        <f t="shared" si="1387"/>
        <v/>
      </c>
      <c r="AH1383" s="33"/>
    </row>
    <row r="1384" hidden="1" outlineLevel="3">
      <c r="A1384" s="16" t="b">
        <v>0</v>
      </c>
      <c r="B1384" s="17"/>
      <c r="C1384" s="18"/>
      <c r="D1384" s="19"/>
      <c r="E1384" s="20"/>
      <c r="F1384" s="21"/>
      <c r="G1384" s="22"/>
      <c r="H1384" s="22"/>
      <c r="I1384" s="23"/>
      <c r="J1384" s="22"/>
      <c r="K1384" s="23"/>
      <c r="L1384" s="22"/>
      <c r="M1384" s="23"/>
      <c r="N1384" s="23"/>
      <c r="O1384" s="24"/>
      <c r="P1384" s="16" t="b">
        <v>0</v>
      </c>
      <c r="Q1384" s="24"/>
      <c r="R1384" s="25"/>
      <c r="S1384" s="26"/>
      <c r="T1384" s="27"/>
      <c r="U1384" s="24"/>
      <c r="V1384" s="38" t="s">
        <v>29</v>
      </c>
      <c r="W1384" s="29" t="s">
        <v>22</v>
      </c>
      <c r="X1384" s="37" t="s">
        <v>479</v>
      </c>
      <c r="Y1384" s="31"/>
      <c r="Z1384" s="26" t="str">
        <f t="shared" si="5"/>
        <v/>
      </c>
      <c r="AA1384" s="26" t="str">
        <f t="shared" si="6"/>
        <v/>
      </c>
      <c r="AB1384" s="32" t="str">
        <f t="shared" si="7"/>
        <v/>
      </c>
      <c r="AC1384" s="32" t="str">
        <f t="shared" ref="AC1384:AG1384" si="1388">IF(J1384&lt;&gt;"", IF(AND($P1384=FALSE, $A1384=FALSE), -J1384, IF(AND($P1384=FALSE, $A1384=TRUE), 0, IF($P1384=TRUE, (J1384 / $R1384) * 100 * ($S1384 / 100)-J1384, ))), )</f>
        <v/>
      </c>
      <c r="AD1384" s="32" t="str">
        <f t="shared" si="1388"/>
        <v/>
      </c>
      <c r="AE1384" s="32" t="str">
        <f t="shared" si="1388"/>
        <v/>
      </c>
      <c r="AF1384" s="32" t="str">
        <f t="shared" si="1388"/>
        <v/>
      </c>
      <c r="AG1384" s="32" t="str">
        <f t="shared" si="1388"/>
        <v/>
      </c>
      <c r="AH1384" s="33"/>
    </row>
    <row r="1385" hidden="1" outlineLevel="2" collapsed="1">
      <c r="A1385" s="16" t="b">
        <v>0</v>
      </c>
      <c r="B1385" s="17"/>
      <c r="C1385" s="18"/>
      <c r="D1385" s="42">
        <v>45279.0</v>
      </c>
      <c r="E1385" s="80" t="s">
        <v>60</v>
      </c>
      <c r="F1385" s="53" t="s">
        <v>630</v>
      </c>
      <c r="G1385" s="45">
        <v>1.5</v>
      </c>
      <c r="H1385" s="45">
        <v>1.0</v>
      </c>
      <c r="I1385" s="45">
        <v>1.5</v>
      </c>
      <c r="J1385" s="45"/>
      <c r="K1385" s="79"/>
      <c r="L1385" s="45"/>
      <c r="M1385" s="46"/>
      <c r="N1385" s="46"/>
      <c r="O1385" s="47"/>
      <c r="P1385" s="16" t="b">
        <v>0</v>
      </c>
      <c r="Q1385" s="24"/>
      <c r="R1385" s="48">
        <v>4.0</v>
      </c>
      <c r="S1385" s="45">
        <v>9.36</v>
      </c>
      <c r="T1385" s="49" t="s">
        <v>139</v>
      </c>
      <c r="U1385" s="47"/>
      <c r="V1385" s="28"/>
      <c r="W1385" s="29"/>
      <c r="X1385" s="30"/>
      <c r="Y1385" s="31"/>
      <c r="Z1385" s="26">
        <f t="shared" si="5"/>
        <v>-1.5</v>
      </c>
      <c r="AA1385" s="26">
        <f t="shared" si="6"/>
        <v>-1.5</v>
      </c>
      <c r="AB1385" s="32">
        <f t="shared" si="7"/>
        <v>-1</v>
      </c>
      <c r="AC1385" s="32" t="str">
        <f t="shared" ref="AC1385:AG1385" si="1389">IF(J1385&lt;&gt;"", IF(AND($P1385=FALSE, $A1385=FALSE), -J1385, IF(AND($P1385=FALSE, $A1385=TRUE), 0, IF($P1385=TRUE, (J1385 / $R1385) * 100 * ($S1385 / 100)-J1385, ))), )</f>
        <v/>
      </c>
      <c r="AD1385" s="32" t="str">
        <f t="shared" si="1389"/>
        <v/>
      </c>
      <c r="AE1385" s="32" t="str">
        <f t="shared" si="1389"/>
        <v/>
      </c>
      <c r="AF1385" s="32" t="str">
        <f t="shared" si="1389"/>
        <v/>
      </c>
      <c r="AG1385" s="32" t="str">
        <f t="shared" si="1389"/>
        <v/>
      </c>
      <c r="AH1385" s="33"/>
    </row>
    <row r="1386" hidden="1" outlineLevel="3">
      <c r="A1386" s="16" t="b">
        <v>0</v>
      </c>
      <c r="B1386" s="17"/>
      <c r="C1386" s="18"/>
      <c r="D1386" s="19"/>
      <c r="E1386" s="20"/>
      <c r="F1386" s="21"/>
      <c r="G1386" s="22"/>
      <c r="H1386" s="22"/>
      <c r="I1386" s="23"/>
      <c r="J1386" s="22"/>
      <c r="K1386" s="23"/>
      <c r="L1386" s="22"/>
      <c r="M1386" s="23"/>
      <c r="N1386" s="23"/>
      <c r="O1386" s="24"/>
      <c r="P1386" s="16" t="b">
        <v>0</v>
      </c>
      <c r="Q1386" s="24"/>
      <c r="R1386" s="25"/>
      <c r="S1386" s="26"/>
      <c r="T1386" s="27"/>
      <c r="U1386" s="24"/>
      <c r="V1386" s="28" t="s">
        <v>32</v>
      </c>
      <c r="W1386" s="29" t="s">
        <v>22</v>
      </c>
      <c r="X1386" s="37" t="s">
        <v>731</v>
      </c>
      <c r="Y1386" s="31"/>
      <c r="Z1386" s="26" t="str">
        <f t="shared" si="5"/>
        <v/>
      </c>
      <c r="AA1386" s="26" t="str">
        <f t="shared" si="6"/>
        <v/>
      </c>
      <c r="AB1386" s="32" t="str">
        <f t="shared" si="7"/>
        <v/>
      </c>
      <c r="AC1386" s="32" t="str">
        <f t="shared" ref="AC1386:AG1386" si="1390">IF(J1386&lt;&gt;"", IF(AND($P1386=FALSE, $A1386=FALSE), -J1386, IF(AND($P1386=FALSE, $A1386=TRUE), 0, IF($P1386=TRUE, (J1386 / $R1386) * 100 * ($S1386 / 100)-J1386, ))), )</f>
        <v/>
      </c>
      <c r="AD1386" s="32" t="str">
        <f t="shared" si="1390"/>
        <v/>
      </c>
      <c r="AE1386" s="32" t="str">
        <f t="shared" si="1390"/>
        <v/>
      </c>
      <c r="AF1386" s="32" t="str">
        <f t="shared" si="1390"/>
        <v/>
      </c>
      <c r="AG1386" s="32" t="str">
        <f t="shared" si="1390"/>
        <v/>
      </c>
      <c r="AH1386" s="33"/>
    </row>
    <row r="1387" hidden="1" outlineLevel="3">
      <c r="A1387" s="16" t="b">
        <v>0</v>
      </c>
      <c r="B1387" s="17"/>
      <c r="C1387" s="18"/>
      <c r="D1387" s="19"/>
      <c r="E1387" s="20"/>
      <c r="F1387" s="21"/>
      <c r="G1387" s="22"/>
      <c r="H1387" s="22"/>
      <c r="I1387" s="23"/>
      <c r="J1387" s="22"/>
      <c r="K1387" s="23"/>
      <c r="L1387" s="22"/>
      <c r="M1387" s="23"/>
      <c r="N1387" s="23"/>
      <c r="O1387" s="24"/>
      <c r="P1387" s="16" t="b">
        <v>0</v>
      </c>
      <c r="Q1387" s="24"/>
      <c r="R1387" s="25"/>
      <c r="S1387" s="26"/>
      <c r="T1387" s="27"/>
      <c r="U1387" s="24"/>
      <c r="V1387" s="38" t="s">
        <v>29</v>
      </c>
      <c r="W1387" s="29" t="s">
        <v>22</v>
      </c>
      <c r="X1387" s="37" t="s">
        <v>922</v>
      </c>
      <c r="Y1387" s="31"/>
      <c r="Z1387" s="26" t="str">
        <f t="shared" si="5"/>
        <v/>
      </c>
      <c r="AA1387" s="26" t="str">
        <f t="shared" si="6"/>
        <v/>
      </c>
      <c r="AB1387" s="32" t="str">
        <f t="shared" si="7"/>
        <v/>
      </c>
      <c r="AC1387" s="32" t="str">
        <f t="shared" ref="AC1387:AG1387" si="1391">IF(J1387&lt;&gt;"", IF(AND($P1387=FALSE, $A1387=FALSE), -J1387, IF(AND($P1387=FALSE, $A1387=TRUE), 0, IF($P1387=TRUE, (J1387 / $R1387) * 100 * ($S1387 / 100)-J1387, ))), )</f>
        <v/>
      </c>
      <c r="AD1387" s="32" t="str">
        <f t="shared" si="1391"/>
        <v/>
      </c>
      <c r="AE1387" s="32" t="str">
        <f t="shared" si="1391"/>
        <v/>
      </c>
      <c r="AF1387" s="32" t="str">
        <f t="shared" si="1391"/>
        <v/>
      </c>
      <c r="AG1387" s="32" t="str">
        <f t="shared" si="1391"/>
        <v/>
      </c>
      <c r="AH1387" s="33"/>
    </row>
    <row r="1388" hidden="1" outlineLevel="3">
      <c r="A1388" s="16" t="b">
        <v>0</v>
      </c>
      <c r="B1388" s="17"/>
      <c r="C1388" s="18"/>
      <c r="D1388" s="19"/>
      <c r="E1388" s="20"/>
      <c r="F1388" s="21"/>
      <c r="G1388" s="22"/>
      <c r="H1388" s="22"/>
      <c r="I1388" s="23"/>
      <c r="J1388" s="22"/>
      <c r="K1388" s="23"/>
      <c r="L1388" s="22"/>
      <c r="M1388" s="23"/>
      <c r="N1388" s="23"/>
      <c r="O1388" s="24"/>
      <c r="P1388" s="16" t="b">
        <v>0</v>
      </c>
      <c r="Q1388" s="24"/>
      <c r="R1388" s="25"/>
      <c r="S1388" s="26"/>
      <c r="T1388" s="27"/>
      <c r="U1388" s="24"/>
      <c r="V1388" s="28" t="s">
        <v>32</v>
      </c>
      <c r="W1388" s="29" t="s">
        <v>22</v>
      </c>
      <c r="X1388" s="37" t="s">
        <v>420</v>
      </c>
      <c r="Y1388" s="31"/>
      <c r="Z1388" s="26" t="str">
        <f t="shared" si="5"/>
        <v/>
      </c>
      <c r="AA1388" s="26" t="str">
        <f t="shared" si="6"/>
        <v/>
      </c>
      <c r="AB1388" s="32" t="str">
        <f t="shared" si="7"/>
        <v/>
      </c>
      <c r="AC1388" s="32" t="str">
        <f t="shared" ref="AC1388:AG1388" si="1392">IF(J1388&lt;&gt;"", IF(AND($P1388=FALSE, $A1388=FALSE), -J1388, IF(AND($P1388=FALSE, $A1388=TRUE), 0, IF($P1388=TRUE, (J1388 / $R1388) * 100 * ($S1388 / 100)-J1388, ))), )</f>
        <v/>
      </c>
      <c r="AD1388" s="32" t="str">
        <f t="shared" si="1392"/>
        <v/>
      </c>
      <c r="AE1388" s="32" t="str">
        <f t="shared" si="1392"/>
        <v/>
      </c>
      <c r="AF1388" s="32" t="str">
        <f t="shared" si="1392"/>
        <v/>
      </c>
      <c r="AG1388" s="32" t="str">
        <f t="shared" si="1392"/>
        <v/>
      </c>
      <c r="AH1388" s="33"/>
    </row>
    <row r="1389" hidden="1" outlineLevel="3">
      <c r="A1389" s="16" t="b">
        <v>0</v>
      </c>
      <c r="B1389" s="17"/>
      <c r="C1389" s="18"/>
      <c r="D1389" s="19"/>
      <c r="E1389" s="20"/>
      <c r="F1389" s="21"/>
      <c r="G1389" s="22"/>
      <c r="H1389" s="22"/>
      <c r="I1389" s="23"/>
      <c r="J1389" s="22"/>
      <c r="K1389" s="23"/>
      <c r="L1389" s="22"/>
      <c r="M1389" s="23"/>
      <c r="N1389" s="23"/>
      <c r="O1389" s="24"/>
      <c r="P1389" s="16" t="b">
        <v>0</v>
      </c>
      <c r="Q1389" s="24"/>
      <c r="R1389" s="25"/>
      <c r="S1389" s="26"/>
      <c r="T1389" s="27"/>
      <c r="U1389" s="24"/>
      <c r="V1389" s="28" t="s">
        <v>32</v>
      </c>
      <c r="W1389" s="29" t="s">
        <v>22</v>
      </c>
      <c r="X1389" s="37" t="s">
        <v>711</v>
      </c>
      <c r="Y1389" s="31"/>
      <c r="Z1389" s="26" t="str">
        <f t="shared" si="5"/>
        <v/>
      </c>
      <c r="AA1389" s="26" t="str">
        <f t="shared" si="6"/>
        <v/>
      </c>
      <c r="AB1389" s="32" t="str">
        <f t="shared" si="7"/>
        <v/>
      </c>
      <c r="AC1389" s="32" t="str">
        <f t="shared" ref="AC1389:AG1389" si="1393">IF(J1389&lt;&gt;"", IF(AND($P1389=FALSE, $A1389=FALSE), -J1389, IF(AND($P1389=FALSE, $A1389=TRUE), 0, IF($P1389=TRUE, (J1389 / $R1389) * 100 * ($S1389 / 100)-J1389, ))), )</f>
        <v/>
      </c>
      <c r="AD1389" s="32" t="str">
        <f t="shared" si="1393"/>
        <v/>
      </c>
      <c r="AE1389" s="32" t="str">
        <f t="shared" si="1393"/>
        <v/>
      </c>
      <c r="AF1389" s="32" t="str">
        <f t="shared" si="1393"/>
        <v/>
      </c>
      <c r="AG1389" s="32" t="str">
        <f t="shared" si="1393"/>
        <v/>
      </c>
      <c r="AH1389" s="33"/>
    </row>
    <row r="1390" hidden="1" outlineLevel="3">
      <c r="A1390" s="16" t="b">
        <v>0</v>
      </c>
      <c r="B1390" s="17"/>
      <c r="C1390" s="18"/>
      <c r="D1390" s="19"/>
      <c r="E1390" s="20"/>
      <c r="F1390" s="21"/>
      <c r="G1390" s="22"/>
      <c r="H1390" s="22"/>
      <c r="I1390" s="23"/>
      <c r="J1390" s="22"/>
      <c r="K1390" s="23"/>
      <c r="L1390" s="22"/>
      <c r="M1390" s="23"/>
      <c r="N1390" s="23"/>
      <c r="O1390" s="24"/>
      <c r="P1390" s="16" t="b">
        <v>0</v>
      </c>
      <c r="Q1390" s="24"/>
      <c r="R1390" s="25"/>
      <c r="S1390" s="26"/>
      <c r="T1390" s="27"/>
      <c r="U1390" s="24"/>
      <c r="V1390" s="38" t="s">
        <v>29</v>
      </c>
      <c r="W1390" s="29" t="s">
        <v>22</v>
      </c>
      <c r="X1390" s="37" t="s">
        <v>923</v>
      </c>
      <c r="Y1390" s="31"/>
      <c r="Z1390" s="26" t="str">
        <f t="shared" si="5"/>
        <v/>
      </c>
      <c r="AA1390" s="26" t="str">
        <f t="shared" si="6"/>
        <v/>
      </c>
      <c r="AB1390" s="32" t="str">
        <f t="shared" si="7"/>
        <v/>
      </c>
      <c r="AC1390" s="32" t="str">
        <f t="shared" ref="AC1390:AG1390" si="1394">IF(J1390&lt;&gt;"", IF(AND($P1390=FALSE, $A1390=FALSE), -J1390, IF(AND($P1390=FALSE, $A1390=TRUE), 0, IF($P1390=TRUE, (J1390 / $R1390) * 100 * ($S1390 / 100)-J1390, ))), )</f>
        <v/>
      </c>
      <c r="AD1390" s="32" t="str">
        <f t="shared" si="1394"/>
        <v/>
      </c>
      <c r="AE1390" s="32" t="str">
        <f t="shared" si="1394"/>
        <v/>
      </c>
      <c r="AF1390" s="32" t="str">
        <f t="shared" si="1394"/>
        <v/>
      </c>
      <c r="AG1390" s="32" t="str">
        <f t="shared" si="1394"/>
        <v/>
      </c>
      <c r="AH1390" s="33"/>
    </row>
    <row r="1391" hidden="1" outlineLevel="2">
      <c r="A1391" s="16" t="b">
        <v>0</v>
      </c>
      <c r="B1391" s="17"/>
      <c r="C1391" s="18"/>
      <c r="D1391" s="42">
        <v>45279.0</v>
      </c>
      <c r="E1391" s="80" t="s">
        <v>60</v>
      </c>
      <c r="F1391" s="53" t="s">
        <v>630</v>
      </c>
      <c r="G1391" s="45">
        <v>4.0</v>
      </c>
      <c r="H1391" s="45">
        <v>2.0</v>
      </c>
      <c r="I1391" s="45">
        <v>4.0</v>
      </c>
      <c r="J1391" s="45"/>
      <c r="K1391" s="79"/>
      <c r="L1391" s="45"/>
      <c r="M1391" s="46"/>
      <c r="N1391" s="46"/>
      <c r="O1391" s="47"/>
      <c r="P1391" s="16" t="b">
        <v>1</v>
      </c>
      <c r="Q1391" s="24"/>
      <c r="R1391" s="48">
        <v>10.0</v>
      </c>
      <c r="S1391" s="45">
        <v>68.54</v>
      </c>
      <c r="T1391" s="49" t="s">
        <v>924</v>
      </c>
      <c r="U1391" s="47"/>
      <c r="V1391" s="28"/>
      <c r="W1391" s="29"/>
      <c r="X1391" s="30"/>
      <c r="Y1391" s="31"/>
      <c r="Z1391" s="26">
        <f t="shared" si="5"/>
        <v>23.416</v>
      </c>
      <c r="AA1391" s="26">
        <f t="shared" si="6"/>
        <v>23.416</v>
      </c>
      <c r="AB1391" s="32">
        <f t="shared" si="7"/>
        <v>11.708</v>
      </c>
      <c r="AC1391" s="32" t="str">
        <f t="shared" ref="AC1391:AG1391" si="1395">IF(J1391&lt;&gt;"", IF(AND($P1391=FALSE, $A1391=FALSE), -J1391, IF(AND($P1391=FALSE, $A1391=TRUE), 0, IF($P1391=TRUE, (J1391 / $R1391) * 100 * ($S1391 / 100)-J1391, ))), )</f>
        <v/>
      </c>
      <c r="AD1391" s="32" t="str">
        <f t="shared" si="1395"/>
        <v/>
      </c>
      <c r="AE1391" s="32" t="str">
        <f t="shared" si="1395"/>
        <v/>
      </c>
      <c r="AF1391" s="32" t="str">
        <f t="shared" si="1395"/>
        <v/>
      </c>
      <c r="AG1391" s="32" t="str">
        <f t="shared" si="1395"/>
        <v/>
      </c>
      <c r="AH1391" s="33"/>
    </row>
    <row r="1392" hidden="1" outlineLevel="3">
      <c r="A1392" s="16" t="b">
        <v>0</v>
      </c>
      <c r="B1392" s="17"/>
      <c r="C1392" s="18"/>
      <c r="D1392" s="19"/>
      <c r="E1392" s="20"/>
      <c r="F1392" s="21"/>
      <c r="G1392" s="22"/>
      <c r="H1392" s="22"/>
      <c r="I1392" s="23"/>
      <c r="J1392" s="22"/>
      <c r="K1392" s="23"/>
      <c r="L1392" s="22"/>
      <c r="M1392" s="23"/>
      <c r="N1392" s="23"/>
      <c r="O1392" s="24"/>
      <c r="P1392" s="16" t="b">
        <v>0</v>
      </c>
      <c r="Q1392" s="24"/>
      <c r="R1392" s="25"/>
      <c r="S1392" s="45"/>
      <c r="T1392" s="27"/>
      <c r="U1392" s="24"/>
      <c r="V1392" s="38" t="s">
        <v>29</v>
      </c>
      <c r="W1392" s="29" t="s">
        <v>22</v>
      </c>
      <c r="X1392" s="37" t="s">
        <v>925</v>
      </c>
      <c r="Y1392" s="31"/>
      <c r="Z1392" s="26" t="str">
        <f t="shared" si="5"/>
        <v/>
      </c>
      <c r="AA1392" s="26" t="str">
        <f t="shared" si="6"/>
        <v/>
      </c>
      <c r="AB1392" s="32" t="str">
        <f t="shared" si="7"/>
        <v/>
      </c>
      <c r="AC1392" s="32" t="str">
        <f t="shared" ref="AC1392:AG1392" si="1396">IF(J1392&lt;&gt;"", IF(AND($P1392=FALSE, $A1392=FALSE), -J1392, IF(AND($P1392=FALSE, $A1392=TRUE), 0, IF($P1392=TRUE, (J1392 / $R1392) * 100 * ($S1392 / 100)-J1392, ))), )</f>
        <v/>
      </c>
      <c r="AD1392" s="32" t="str">
        <f t="shared" si="1396"/>
        <v/>
      </c>
      <c r="AE1392" s="32" t="str">
        <f t="shared" si="1396"/>
        <v/>
      </c>
      <c r="AF1392" s="32" t="str">
        <f t="shared" si="1396"/>
        <v/>
      </c>
      <c r="AG1392" s="32" t="str">
        <f t="shared" si="1396"/>
        <v/>
      </c>
      <c r="AH1392" s="33"/>
    </row>
    <row r="1393" hidden="1" outlineLevel="3">
      <c r="A1393" s="16" t="b">
        <v>0</v>
      </c>
      <c r="B1393" s="17"/>
      <c r="C1393" s="18"/>
      <c r="D1393" s="19"/>
      <c r="E1393" s="20"/>
      <c r="F1393" s="21"/>
      <c r="G1393" s="22"/>
      <c r="H1393" s="22"/>
      <c r="I1393" s="23"/>
      <c r="J1393" s="22"/>
      <c r="K1393" s="23"/>
      <c r="L1393" s="22"/>
      <c r="M1393" s="23"/>
      <c r="N1393" s="23"/>
      <c r="O1393" s="24"/>
      <c r="P1393" s="16" t="b">
        <v>0</v>
      </c>
      <c r="Q1393" s="24"/>
      <c r="R1393" s="25"/>
      <c r="S1393" s="26"/>
      <c r="T1393" s="27"/>
      <c r="U1393" s="24"/>
      <c r="V1393" s="38" t="s">
        <v>29</v>
      </c>
      <c r="W1393" s="29" t="s">
        <v>22</v>
      </c>
      <c r="X1393" s="37" t="s">
        <v>926</v>
      </c>
      <c r="Y1393" s="31"/>
      <c r="Z1393" s="26" t="str">
        <f t="shared" si="5"/>
        <v/>
      </c>
      <c r="AA1393" s="26" t="str">
        <f t="shared" si="6"/>
        <v/>
      </c>
      <c r="AB1393" s="32" t="str">
        <f t="shared" si="7"/>
        <v/>
      </c>
      <c r="AC1393" s="32" t="str">
        <f t="shared" ref="AC1393:AG1393" si="1397">IF(J1393&lt;&gt;"", IF(AND($P1393=FALSE, $A1393=FALSE), -J1393, IF(AND($P1393=FALSE, $A1393=TRUE), 0, IF($P1393=TRUE, (J1393 / $R1393) * 100 * ($S1393 / 100)-J1393, ))), )</f>
        <v/>
      </c>
      <c r="AD1393" s="32" t="str">
        <f t="shared" si="1397"/>
        <v/>
      </c>
      <c r="AE1393" s="32" t="str">
        <f t="shared" si="1397"/>
        <v/>
      </c>
      <c r="AF1393" s="32" t="str">
        <f t="shared" si="1397"/>
        <v/>
      </c>
      <c r="AG1393" s="32" t="str">
        <f t="shared" si="1397"/>
        <v/>
      </c>
      <c r="AH1393" s="33"/>
    </row>
    <row r="1394" hidden="1" outlineLevel="3">
      <c r="A1394" s="16" t="b">
        <v>0</v>
      </c>
      <c r="B1394" s="17"/>
      <c r="C1394" s="18"/>
      <c r="D1394" s="19"/>
      <c r="E1394" s="20"/>
      <c r="F1394" s="21"/>
      <c r="G1394" s="22"/>
      <c r="H1394" s="22"/>
      <c r="I1394" s="23"/>
      <c r="J1394" s="22"/>
      <c r="K1394" s="23"/>
      <c r="L1394" s="22"/>
      <c r="M1394" s="23"/>
      <c r="N1394" s="23"/>
      <c r="O1394" s="24"/>
      <c r="P1394" s="16" t="b">
        <v>0</v>
      </c>
      <c r="Q1394" s="24"/>
      <c r="R1394" s="25"/>
      <c r="S1394" s="26"/>
      <c r="T1394" s="27"/>
      <c r="U1394" s="24"/>
      <c r="V1394" s="38" t="s">
        <v>29</v>
      </c>
      <c r="W1394" s="29" t="s">
        <v>22</v>
      </c>
      <c r="X1394" s="37" t="s">
        <v>927</v>
      </c>
      <c r="Y1394" s="31"/>
      <c r="Z1394" s="26" t="str">
        <f t="shared" si="5"/>
        <v/>
      </c>
      <c r="AA1394" s="26" t="str">
        <f t="shared" si="6"/>
        <v/>
      </c>
      <c r="AB1394" s="32" t="str">
        <f t="shared" si="7"/>
        <v/>
      </c>
      <c r="AC1394" s="32" t="str">
        <f t="shared" ref="AC1394:AG1394" si="1398">IF(J1394&lt;&gt;"", IF(AND($P1394=FALSE, $A1394=FALSE), -J1394, IF(AND($P1394=FALSE, $A1394=TRUE), 0, IF($P1394=TRUE, (J1394 / $R1394) * 100 * ($S1394 / 100)-J1394, ))), )</f>
        <v/>
      </c>
      <c r="AD1394" s="32" t="str">
        <f t="shared" si="1398"/>
        <v/>
      </c>
      <c r="AE1394" s="32" t="str">
        <f t="shared" si="1398"/>
        <v/>
      </c>
      <c r="AF1394" s="32" t="str">
        <f t="shared" si="1398"/>
        <v/>
      </c>
      <c r="AG1394" s="32" t="str">
        <f t="shared" si="1398"/>
        <v/>
      </c>
      <c r="AH1394" s="33"/>
    </row>
    <row r="1395" hidden="1" outlineLevel="3">
      <c r="A1395" s="16" t="b">
        <v>0</v>
      </c>
      <c r="B1395" s="17"/>
      <c r="C1395" s="18"/>
      <c r="D1395" s="19"/>
      <c r="E1395" s="20"/>
      <c r="F1395" s="21"/>
      <c r="G1395" s="22"/>
      <c r="H1395" s="22"/>
      <c r="I1395" s="23"/>
      <c r="J1395" s="22"/>
      <c r="K1395" s="23"/>
      <c r="L1395" s="22"/>
      <c r="M1395" s="23"/>
      <c r="N1395" s="23"/>
      <c r="O1395" s="24"/>
      <c r="P1395" s="16" t="b">
        <v>0</v>
      </c>
      <c r="Q1395" s="24"/>
      <c r="R1395" s="25"/>
      <c r="S1395" s="26"/>
      <c r="T1395" s="27"/>
      <c r="U1395" s="24"/>
      <c r="V1395" s="38" t="s">
        <v>29</v>
      </c>
      <c r="W1395" s="29" t="s">
        <v>22</v>
      </c>
      <c r="X1395" s="37" t="s">
        <v>928</v>
      </c>
      <c r="Y1395" s="31"/>
      <c r="Z1395" s="26" t="str">
        <f t="shared" si="5"/>
        <v/>
      </c>
      <c r="AA1395" s="26" t="str">
        <f t="shared" si="6"/>
        <v/>
      </c>
      <c r="AB1395" s="32" t="str">
        <f t="shared" si="7"/>
        <v/>
      </c>
      <c r="AC1395" s="32" t="str">
        <f t="shared" ref="AC1395:AG1395" si="1399">IF(J1395&lt;&gt;"", IF(AND($P1395=FALSE, $A1395=FALSE), -J1395, IF(AND($P1395=FALSE, $A1395=TRUE), 0, IF($P1395=TRUE, (J1395 / $R1395) * 100 * ($S1395 / 100)-J1395, ))), )</f>
        <v/>
      </c>
      <c r="AD1395" s="32" t="str">
        <f t="shared" si="1399"/>
        <v/>
      </c>
      <c r="AE1395" s="32" t="str">
        <f t="shared" si="1399"/>
        <v/>
      </c>
      <c r="AF1395" s="32" t="str">
        <f t="shared" si="1399"/>
        <v/>
      </c>
      <c r="AG1395" s="32" t="str">
        <f t="shared" si="1399"/>
        <v/>
      </c>
      <c r="AH1395" s="33"/>
    </row>
    <row r="1396" hidden="1" outlineLevel="1" collapsed="1">
      <c r="A1396" s="16" t="b">
        <v>0</v>
      </c>
      <c r="B1396" s="17"/>
      <c r="C1396" s="18"/>
      <c r="D1396" s="42">
        <v>45280.0</v>
      </c>
      <c r="E1396" s="80" t="s">
        <v>60</v>
      </c>
      <c r="F1396" s="53" t="s">
        <v>630</v>
      </c>
      <c r="G1396" s="45">
        <v>3.0</v>
      </c>
      <c r="H1396" s="45">
        <v>1.5</v>
      </c>
      <c r="I1396" s="45">
        <v>3.0</v>
      </c>
      <c r="J1396" s="45"/>
      <c r="K1396" s="79"/>
      <c r="L1396" s="45"/>
      <c r="M1396" s="46"/>
      <c r="N1396" s="46"/>
      <c r="O1396" s="47"/>
      <c r="P1396" s="16" t="b">
        <v>0</v>
      </c>
      <c r="Q1396" s="24"/>
      <c r="R1396" s="48">
        <v>7.5</v>
      </c>
      <c r="S1396" s="45">
        <v>15.8</v>
      </c>
      <c r="T1396" s="49" t="s">
        <v>378</v>
      </c>
      <c r="U1396" s="47"/>
      <c r="V1396" s="28"/>
      <c r="W1396" s="29"/>
      <c r="X1396" s="30"/>
      <c r="Y1396" s="31"/>
      <c r="Z1396" s="26">
        <f t="shared" si="5"/>
        <v>-3</v>
      </c>
      <c r="AA1396" s="26">
        <f t="shared" si="6"/>
        <v>-3</v>
      </c>
      <c r="AB1396" s="32">
        <f t="shared" si="7"/>
        <v>-1.5</v>
      </c>
      <c r="AC1396" s="32" t="str">
        <f t="shared" ref="AC1396:AG1396" si="1400">IF(J1396&lt;&gt;"", IF(AND($P1396=FALSE, $A1396=FALSE), -J1396, IF(AND($P1396=FALSE, $A1396=TRUE), 0, IF($P1396=TRUE, (J1396 / $R1396) * 100 * ($S1396 / 100)-J1396, ))), )</f>
        <v/>
      </c>
      <c r="AD1396" s="32" t="str">
        <f t="shared" si="1400"/>
        <v/>
      </c>
      <c r="AE1396" s="32" t="str">
        <f t="shared" si="1400"/>
        <v/>
      </c>
      <c r="AF1396" s="32" t="str">
        <f t="shared" si="1400"/>
        <v/>
      </c>
      <c r="AG1396" s="32" t="str">
        <f t="shared" si="1400"/>
        <v/>
      </c>
      <c r="AH1396" s="33"/>
    </row>
    <row r="1397" hidden="1" outlineLevel="3">
      <c r="A1397" s="16" t="b">
        <v>0</v>
      </c>
      <c r="B1397" s="17"/>
      <c r="C1397" s="18"/>
      <c r="D1397" s="19"/>
      <c r="E1397" s="20"/>
      <c r="F1397" s="21"/>
      <c r="G1397" s="22"/>
      <c r="H1397" s="22"/>
      <c r="I1397" s="23"/>
      <c r="J1397" s="22"/>
      <c r="K1397" s="23"/>
      <c r="L1397" s="22"/>
      <c r="M1397" s="23"/>
      <c r="N1397" s="23"/>
      <c r="O1397" s="24"/>
      <c r="P1397" s="16" t="b">
        <v>0</v>
      </c>
      <c r="Q1397" s="24"/>
      <c r="R1397" s="25"/>
      <c r="S1397" s="26"/>
      <c r="T1397" s="27"/>
      <c r="U1397" s="24"/>
      <c r="V1397" s="38" t="s">
        <v>29</v>
      </c>
      <c r="W1397" s="29" t="s">
        <v>22</v>
      </c>
      <c r="X1397" s="37" t="s">
        <v>738</v>
      </c>
      <c r="Y1397" s="31"/>
      <c r="Z1397" s="26" t="str">
        <f t="shared" si="5"/>
        <v/>
      </c>
      <c r="AA1397" s="26" t="str">
        <f t="shared" si="6"/>
        <v/>
      </c>
      <c r="AB1397" s="32" t="str">
        <f t="shared" si="7"/>
        <v/>
      </c>
      <c r="AC1397" s="32" t="str">
        <f t="shared" ref="AC1397:AG1397" si="1401">IF(J1397&lt;&gt;"", IF(AND($P1397=FALSE, $A1397=FALSE), -J1397, IF(AND($P1397=FALSE, $A1397=TRUE), 0, IF($P1397=TRUE, (J1397 / $R1397) * 100 * ($S1397 / 100)-J1397, ))), )</f>
        <v/>
      </c>
      <c r="AD1397" s="32" t="str">
        <f t="shared" si="1401"/>
        <v/>
      </c>
      <c r="AE1397" s="32" t="str">
        <f t="shared" si="1401"/>
        <v/>
      </c>
      <c r="AF1397" s="32" t="str">
        <f t="shared" si="1401"/>
        <v/>
      </c>
      <c r="AG1397" s="32" t="str">
        <f t="shared" si="1401"/>
        <v/>
      </c>
      <c r="AH1397" s="33"/>
    </row>
    <row r="1398" hidden="1" outlineLevel="3">
      <c r="A1398" s="16" t="b">
        <v>0</v>
      </c>
      <c r="B1398" s="17"/>
      <c r="C1398" s="18"/>
      <c r="D1398" s="19"/>
      <c r="E1398" s="20"/>
      <c r="F1398" s="21"/>
      <c r="G1398" s="22"/>
      <c r="H1398" s="22"/>
      <c r="I1398" s="23"/>
      <c r="J1398" s="22"/>
      <c r="K1398" s="23"/>
      <c r="L1398" s="22"/>
      <c r="M1398" s="23"/>
      <c r="N1398" s="23"/>
      <c r="O1398" s="24"/>
      <c r="P1398" s="16" t="b">
        <v>0</v>
      </c>
      <c r="Q1398" s="24"/>
      <c r="R1398" s="25"/>
      <c r="S1398" s="26"/>
      <c r="T1398" s="27"/>
      <c r="U1398" s="24"/>
      <c r="V1398" s="38" t="s">
        <v>29</v>
      </c>
      <c r="W1398" s="29" t="s">
        <v>22</v>
      </c>
      <c r="X1398" s="37" t="s">
        <v>740</v>
      </c>
      <c r="Y1398" s="31"/>
      <c r="Z1398" s="26" t="str">
        <f t="shared" si="5"/>
        <v/>
      </c>
      <c r="AA1398" s="26" t="str">
        <f t="shared" si="6"/>
        <v/>
      </c>
      <c r="AB1398" s="32" t="str">
        <f t="shared" si="7"/>
        <v/>
      </c>
      <c r="AC1398" s="32" t="str">
        <f t="shared" ref="AC1398:AG1398" si="1402">IF(J1398&lt;&gt;"", IF(AND($P1398=FALSE, $A1398=FALSE), -J1398, IF(AND($P1398=FALSE, $A1398=TRUE), 0, IF($P1398=TRUE, (J1398 / $R1398) * 100 * ($S1398 / 100)-J1398, ))), )</f>
        <v/>
      </c>
      <c r="AD1398" s="32" t="str">
        <f t="shared" si="1402"/>
        <v/>
      </c>
      <c r="AE1398" s="32" t="str">
        <f t="shared" si="1402"/>
        <v/>
      </c>
      <c r="AF1398" s="32" t="str">
        <f t="shared" si="1402"/>
        <v/>
      </c>
      <c r="AG1398" s="32" t="str">
        <f t="shared" si="1402"/>
        <v/>
      </c>
      <c r="AH1398" s="33"/>
    </row>
    <row r="1399" hidden="1" outlineLevel="3">
      <c r="A1399" s="16" t="b">
        <v>0</v>
      </c>
      <c r="B1399" s="17"/>
      <c r="C1399" s="18"/>
      <c r="D1399" s="19"/>
      <c r="E1399" s="20"/>
      <c r="F1399" s="21"/>
      <c r="G1399" s="22"/>
      <c r="H1399" s="22"/>
      <c r="I1399" s="23"/>
      <c r="J1399" s="22"/>
      <c r="K1399" s="23"/>
      <c r="L1399" s="22"/>
      <c r="M1399" s="23"/>
      <c r="N1399" s="23"/>
      <c r="O1399" s="24"/>
      <c r="P1399" s="16" t="b">
        <v>0</v>
      </c>
      <c r="Q1399" s="24"/>
      <c r="R1399" s="25"/>
      <c r="S1399" s="26"/>
      <c r="T1399" s="27"/>
      <c r="U1399" s="24"/>
      <c r="V1399" s="28" t="s">
        <v>32</v>
      </c>
      <c r="W1399" s="29" t="s">
        <v>22</v>
      </c>
      <c r="X1399" s="37" t="s">
        <v>814</v>
      </c>
      <c r="Y1399" s="31"/>
      <c r="Z1399" s="26" t="str">
        <f t="shared" si="5"/>
        <v/>
      </c>
      <c r="AA1399" s="26" t="str">
        <f t="shared" si="6"/>
        <v/>
      </c>
      <c r="AB1399" s="32" t="str">
        <f t="shared" si="7"/>
        <v/>
      </c>
      <c r="AC1399" s="32" t="str">
        <f t="shared" ref="AC1399:AG1399" si="1403">IF(J1399&lt;&gt;"", IF(AND($P1399=FALSE, $A1399=FALSE), -J1399, IF(AND($P1399=FALSE, $A1399=TRUE), 0, IF($P1399=TRUE, (J1399 / $R1399) * 100 * ($S1399 / 100)-J1399, ))), )</f>
        <v/>
      </c>
      <c r="AD1399" s="32" t="str">
        <f t="shared" si="1403"/>
        <v/>
      </c>
      <c r="AE1399" s="32" t="str">
        <f t="shared" si="1403"/>
        <v/>
      </c>
      <c r="AF1399" s="32" t="str">
        <f t="shared" si="1403"/>
        <v/>
      </c>
      <c r="AG1399" s="32" t="str">
        <f t="shared" si="1403"/>
        <v/>
      </c>
      <c r="AH1399" s="33"/>
    </row>
    <row r="1400" hidden="1" outlineLevel="3">
      <c r="A1400" s="16" t="b">
        <v>0</v>
      </c>
      <c r="B1400" s="17"/>
      <c r="C1400" s="18"/>
      <c r="D1400" s="19"/>
      <c r="E1400" s="20"/>
      <c r="F1400" s="21"/>
      <c r="G1400" s="22"/>
      <c r="H1400" s="22"/>
      <c r="I1400" s="23"/>
      <c r="J1400" s="22"/>
      <c r="K1400" s="23"/>
      <c r="L1400" s="22"/>
      <c r="M1400" s="23"/>
      <c r="N1400" s="23"/>
      <c r="O1400" s="24"/>
      <c r="P1400" s="16" t="b">
        <v>0</v>
      </c>
      <c r="Q1400" s="24"/>
      <c r="R1400" s="25"/>
      <c r="S1400" s="26"/>
      <c r="T1400" s="27"/>
      <c r="U1400" s="24"/>
      <c r="V1400" s="38" t="s">
        <v>29</v>
      </c>
      <c r="W1400" s="29" t="s">
        <v>22</v>
      </c>
      <c r="X1400" s="37" t="s">
        <v>64</v>
      </c>
      <c r="Y1400" s="31"/>
      <c r="Z1400" s="26" t="str">
        <f t="shared" si="5"/>
        <v/>
      </c>
      <c r="AA1400" s="26" t="str">
        <f t="shared" si="6"/>
        <v/>
      </c>
      <c r="AB1400" s="32" t="str">
        <f t="shared" si="7"/>
        <v/>
      </c>
      <c r="AC1400" s="32" t="str">
        <f t="shared" ref="AC1400:AG1400" si="1404">IF(J1400&lt;&gt;"", IF(AND($P1400=FALSE, $A1400=FALSE), -J1400, IF(AND($P1400=FALSE, $A1400=TRUE), 0, IF($P1400=TRUE, (J1400 / $R1400) * 100 * ($S1400 / 100)-J1400, ))), )</f>
        <v/>
      </c>
      <c r="AD1400" s="32" t="str">
        <f t="shared" si="1404"/>
        <v/>
      </c>
      <c r="AE1400" s="32" t="str">
        <f t="shared" si="1404"/>
        <v/>
      </c>
      <c r="AF1400" s="32" t="str">
        <f t="shared" si="1404"/>
        <v/>
      </c>
      <c r="AG1400" s="32" t="str">
        <f t="shared" si="1404"/>
        <v/>
      </c>
      <c r="AH1400" s="33"/>
    </row>
    <row r="1401" hidden="1" outlineLevel="2" collapsed="1">
      <c r="A1401" s="16" t="b">
        <v>0</v>
      </c>
      <c r="B1401" s="17"/>
      <c r="C1401" s="18"/>
      <c r="D1401" s="42">
        <v>45280.0</v>
      </c>
      <c r="E1401" s="80" t="s">
        <v>60</v>
      </c>
      <c r="F1401" s="53" t="s">
        <v>630</v>
      </c>
      <c r="G1401" s="45">
        <v>3.0</v>
      </c>
      <c r="H1401" s="45">
        <v>1.5</v>
      </c>
      <c r="I1401" s="45">
        <v>3.0</v>
      </c>
      <c r="J1401" s="45"/>
      <c r="K1401" s="79"/>
      <c r="L1401" s="45"/>
      <c r="M1401" s="46"/>
      <c r="N1401" s="46"/>
      <c r="O1401" s="47"/>
      <c r="P1401" s="16" t="b">
        <v>0</v>
      </c>
      <c r="Q1401" s="24"/>
      <c r="R1401" s="48">
        <v>7.5</v>
      </c>
      <c r="S1401" s="45">
        <v>15.47</v>
      </c>
      <c r="T1401" s="49" t="s">
        <v>631</v>
      </c>
      <c r="U1401" s="47"/>
      <c r="V1401" s="28"/>
      <c r="W1401" s="29"/>
      <c r="X1401" s="30"/>
      <c r="Y1401" s="31"/>
      <c r="Z1401" s="26">
        <f t="shared" si="5"/>
        <v>-3</v>
      </c>
      <c r="AA1401" s="26">
        <f t="shared" si="6"/>
        <v>-3</v>
      </c>
      <c r="AB1401" s="32">
        <f t="shared" si="7"/>
        <v>-1.5</v>
      </c>
      <c r="AC1401" s="32" t="str">
        <f t="shared" ref="AC1401:AG1401" si="1405">IF(J1401&lt;&gt;"", IF(AND($P1401=FALSE, $A1401=FALSE), -J1401, IF(AND($P1401=FALSE, $A1401=TRUE), 0, IF($P1401=TRUE, (J1401 / $R1401) * 100 * ($S1401 / 100)-J1401, ))), )</f>
        <v/>
      </c>
      <c r="AD1401" s="32" t="str">
        <f t="shared" si="1405"/>
        <v/>
      </c>
      <c r="AE1401" s="32" t="str">
        <f t="shared" si="1405"/>
        <v/>
      </c>
      <c r="AF1401" s="32" t="str">
        <f t="shared" si="1405"/>
        <v/>
      </c>
      <c r="AG1401" s="32" t="str">
        <f t="shared" si="1405"/>
        <v/>
      </c>
      <c r="AH1401" s="33"/>
    </row>
    <row r="1402" hidden="1" outlineLevel="3">
      <c r="A1402" s="16" t="b">
        <v>0</v>
      </c>
      <c r="B1402" s="17"/>
      <c r="C1402" s="18"/>
      <c r="D1402" s="19"/>
      <c r="E1402" s="20"/>
      <c r="F1402" s="21"/>
      <c r="G1402" s="22"/>
      <c r="H1402" s="22"/>
      <c r="I1402" s="23"/>
      <c r="J1402" s="22"/>
      <c r="K1402" s="23"/>
      <c r="L1402" s="22"/>
      <c r="M1402" s="23"/>
      <c r="N1402" s="23"/>
      <c r="O1402" s="24"/>
      <c r="P1402" s="16" t="b">
        <v>0</v>
      </c>
      <c r="Q1402" s="24"/>
      <c r="R1402" s="25"/>
      <c r="S1402" s="26"/>
      <c r="T1402" s="27"/>
      <c r="U1402" s="24"/>
      <c r="V1402" s="38" t="s">
        <v>29</v>
      </c>
      <c r="W1402" s="29" t="s">
        <v>22</v>
      </c>
      <c r="X1402" s="37" t="s">
        <v>929</v>
      </c>
      <c r="Y1402" s="31"/>
      <c r="Z1402" s="26" t="str">
        <f t="shared" si="5"/>
        <v/>
      </c>
      <c r="AA1402" s="26" t="str">
        <f t="shared" si="6"/>
        <v/>
      </c>
      <c r="AB1402" s="32" t="str">
        <f t="shared" si="7"/>
        <v/>
      </c>
      <c r="AC1402" s="32" t="str">
        <f t="shared" ref="AC1402:AG1402" si="1406">IF(J1402&lt;&gt;"", IF(AND($P1402=FALSE, $A1402=FALSE), -J1402, IF(AND($P1402=FALSE, $A1402=TRUE), 0, IF($P1402=TRUE, (J1402 / $R1402) * 100 * ($S1402 / 100)-J1402, ))), )</f>
        <v/>
      </c>
      <c r="AD1402" s="32" t="str">
        <f t="shared" si="1406"/>
        <v/>
      </c>
      <c r="AE1402" s="32" t="str">
        <f t="shared" si="1406"/>
        <v/>
      </c>
      <c r="AF1402" s="32" t="str">
        <f t="shared" si="1406"/>
        <v/>
      </c>
      <c r="AG1402" s="32" t="str">
        <f t="shared" si="1406"/>
        <v/>
      </c>
      <c r="AH1402" s="33"/>
    </row>
    <row r="1403" hidden="1" outlineLevel="3">
      <c r="A1403" s="16" t="b">
        <v>0</v>
      </c>
      <c r="B1403" s="17"/>
      <c r="C1403" s="18"/>
      <c r="D1403" s="19"/>
      <c r="E1403" s="20"/>
      <c r="F1403" s="21"/>
      <c r="G1403" s="22"/>
      <c r="H1403" s="22"/>
      <c r="I1403" s="23"/>
      <c r="J1403" s="22"/>
      <c r="K1403" s="23"/>
      <c r="L1403" s="22"/>
      <c r="M1403" s="23"/>
      <c r="N1403" s="23"/>
      <c r="O1403" s="24"/>
      <c r="P1403" s="16" t="b">
        <v>0</v>
      </c>
      <c r="Q1403" s="24"/>
      <c r="R1403" s="25"/>
      <c r="S1403" s="26"/>
      <c r="T1403" s="27"/>
      <c r="U1403" s="24"/>
      <c r="V1403" s="38" t="s">
        <v>29</v>
      </c>
      <c r="W1403" s="29" t="s">
        <v>22</v>
      </c>
      <c r="X1403" s="37" t="s">
        <v>930</v>
      </c>
      <c r="Y1403" s="31"/>
      <c r="Z1403" s="26" t="str">
        <f t="shared" si="5"/>
        <v/>
      </c>
      <c r="AA1403" s="26" t="str">
        <f t="shared" si="6"/>
        <v/>
      </c>
      <c r="AB1403" s="32" t="str">
        <f t="shared" si="7"/>
        <v/>
      </c>
      <c r="AC1403" s="32" t="str">
        <f t="shared" ref="AC1403:AG1403" si="1407">IF(J1403&lt;&gt;"", IF(AND($P1403=FALSE, $A1403=FALSE), -J1403, IF(AND($P1403=FALSE, $A1403=TRUE), 0, IF($P1403=TRUE, (J1403 / $R1403) * 100 * ($S1403 / 100)-J1403, ))), )</f>
        <v/>
      </c>
      <c r="AD1403" s="32" t="str">
        <f t="shared" si="1407"/>
        <v/>
      </c>
      <c r="AE1403" s="32" t="str">
        <f t="shared" si="1407"/>
        <v/>
      </c>
      <c r="AF1403" s="32" t="str">
        <f t="shared" si="1407"/>
        <v/>
      </c>
      <c r="AG1403" s="32" t="str">
        <f t="shared" si="1407"/>
        <v/>
      </c>
      <c r="AH1403" s="33"/>
    </row>
    <row r="1404" hidden="1" outlineLevel="3">
      <c r="A1404" s="16" t="b">
        <v>0</v>
      </c>
      <c r="B1404" s="17"/>
      <c r="C1404" s="18"/>
      <c r="D1404" s="19"/>
      <c r="E1404" s="20"/>
      <c r="F1404" s="21"/>
      <c r="G1404" s="22"/>
      <c r="H1404" s="22"/>
      <c r="I1404" s="23"/>
      <c r="J1404" s="22"/>
      <c r="K1404" s="23"/>
      <c r="L1404" s="22"/>
      <c r="M1404" s="23"/>
      <c r="N1404" s="23"/>
      <c r="O1404" s="24"/>
      <c r="P1404" s="16" t="b">
        <v>0</v>
      </c>
      <c r="Q1404" s="24"/>
      <c r="R1404" s="25"/>
      <c r="S1404" s="26"/>
      <c r="T1404" s="27"/>
      <c r="U1404" s="24"/>
      <c r="V1404" s="28" t="s">
        <v>32</v>
      </c>
      <c r="W1404" s="29" t="s">
        <v>22</v>
      </c>
      <c r="X1404" s="37" t="s">
        <v>931</v>
      </c>
      <c r="Y1404" s="31"/>
      <c r="Z1404" s="26" t="str">
        <f t="shared" si="5"/>
        <v/>
      </c>
      <c r="AA1404" s="26" t="str">
        <f t="shared" si="6"/>
        <v/>
      </c>
      <c r="AB1404" s="32" t="str">
        <f t="shared" si="7"/>
        <v/>
      </c>
      <c r="AC1404" s="32" t="str">
        <f t="shared" ref="AC1404:AG1404" si="1408">IF(J1404&lt;&gt;"", IF(AND($P1404=FALSE, $A1404=FALSE), -J1404, IF(AND($P1404=FALSE, $A1404=TRUE), 0, IF($P1404=TRUE, (J1404 / $R1404) * 100 * ($S1404 / 100)-J1404, ))), )</f>
        <v/>
      </c>
      <c r="AD1404" s="32" t="str">
        <f t="shared" si="1408"/>
        <v/>
      </c>
      <c r="AE1404" s="32" t="str">
        <f t="shared" si="1408"/>
        <v/>
      </c>
      <c r="AF1404" s="32" t="str">
        <f t="shared" si="1408"/>
        <v/>
      </c>
      <c r="AG1404" s="32" t="str">
        <f t="shared" si="1408"/>
        <v/>
      </c>
      <c r="AH1404" s="33"/>
    </row>
    <row r="1405" hidden="1" outlineLevel="3">
      <c r="A1405" s="16" t="b">
        <v>0</v>
      </c>
      <c r="B1405" s="17"/>
      <c r="C1405" s="18"/>
      <c r="D1405" s="19"/>
      <c r="E1405" s="20"/>
      <c r="F1405" s="21"/>
      <c r="G1405" s="22"/>
      <c r="H1405" s="22"/>
      <c r="I1405" s="23"/>
      <c r="J1405" s="22"/>
      <c r="K1405" s="23"/>
      <c r="L1405" s="22"/>
      <c r="M1405" s="23"/>
      <c r="N1405" s="23"/>
      <c r="O1405" s="24"/>
      <c r="P1405" s="16" t="b">
        <v>0</v>
      </c>
      <c r="Q1405" s="24"/>
      <c r="R1405" s="25"/>
      <c r="S1405" s="26"/>
      <c r="T1405" s="27"/>
      <c r="U1405" s="24"/>
      <c r="V1405" s="38" t="s">
        <v>29</v>
      </c>
      <c r="W1405" s="29" t="s">
        <v>22</v>
      </c>
      <c r="X1405" s="37" t="s">
        <v>932</v>
      </c>
      <c r="Y1405" s="31"/>
      <c r="Z1405" s="26" t="str">
        <f t="shared" si="5"/>
        <v/>
      </c>
      <c r="AA1405" s="26" t="str">
        <f t="shared" si="6"/>
        <v/>
      </c>
      <c r="AB1405" s="32" t="str">
        <f t="shared" si="7"/>
        <v/>
      </c>
      <c r="AC1405" s="32" t="str">
        <f t="shared" ref="AC1405:AG1405" si="1409">IF(J1405&lt;&gt;"", IF(AND($P1405=FALSE, $A1405=FALSE), -J1405, IF(AND($P1405=FALSE, $A1405=TRUE), 0, IF($P1405=TRUE, (J1405 / $R1405) * 100 * ($S1405 / 100)-J1405, ))), )</f>
        <v/>
      </c>
      <c r="AD1405" s="32" t="str">
        <f t="shared" si="1409"/>
        <v/>
      </c>
      <c r="AE1405" s="32" t="str">
        <f t="shared" si="1409"/>
        <v/>
      </c>
      <c r="AF1405" s="32" t="str">
        <f t="shared" si="1409"/>
        <v/>
      </c>
      <c r="AG1405" s="32" t="str">
        <f t="shared" si="1409"/>
        <v/>
      </c>
      <c r="AH1405" s="33"/>
    </row>
    <row r="1406" hidden="1" outlineLevel="2" collapsed="1">
      <c r="A1406" s="16" t="b">
        <v>0</v>
      </c>
      <c r="B1406" s="17"/>
      <c r="C1406" s="18"/>
      <c r="D1406" s="42">
        <v>45280.0</v>
      </c>
      <c r="E1406" s="80" t="s">
        <v>60</v>
      </c>
      <c r="F1406" s="53" t="s">
        <v>630</v>
      </c>
      <c r="G1406" s="45">
        <v>2.0</v>
      </c>
      <c r="H1406" s="45">
        <v>1.0</v>
      </c>
      <c r="I1406" s="45">
        <v>2.0</v>
      </c>
      <c r="J1406" s="45"/>
      <c r="K1406" s="79"/>
      <c r="L1406" s="45"/>
      <c r="M1406" s="46"/>
      <c r="N1406" s="46"/>
      <c r="O1406" s="47"/>
      <c r="P1406" s="16" t="b">
        <v>1</v>
      </c>
      <c r="Q1406" s="24"/>
      <c r="R1406" s="48">
        <v>5.0</v>
      </c>
      <c r="S1406" s="45">
        <v>9.88</v>
      </c>
      <c r="T1406" s="49">
        <v>-102.0</v>
      </c>
      <c r="U1406" s="47"/>
      <c r="V1406" s="28"/>
      <c r="W1406" s="29"/>
      <c r="X1406" s="30"/>
      <c r="Y1406" s="31"/>
      <c r="Z1406" s="26">
        <f t="shared" si="5"/>
        <v>1.952</v>
      </c>
      <c r="AA1406" s="26">
        <f t="shared" si="6"/>
        <v>1.952</v>
      </c>
      <c r="AB1406" s="32">
        <f t="shared" si="7"/>
        <v>0.976</v>
      </c>
      <c r="AC1406" s="32" t="str">
        <f t="shared" ref="AC1406:AG1406" si="1410">IF(J1406&lt;&gt;"", IF(AND($P1406=FALSE, $A1406=FALSE), -J1406, IF(AND($P1406=FALSE, $A1406=TRUE), 0, IF($P1406=TRUE, (J1406 / $R1406) * 100 * ($S1406 / 100)-J1406, ))), )</f>
        <v/>
      </c>
      <c r="AD1406" s="32" t="str">
        <f t="shared" si="1410"/>
        <v/>
      </c>
      <c r="AE1406" s="32" t="str">
        <f t="shared" si="1410"/>
        <v/>
      </c>
      <c r="AF1406" s="32" t="str">
        <f t="shared" si="1410"/>
        <v/>
      </c>
      <c r="AG1406" s="32" t="str">
        <f t="shared" si="1410"/>
        <v/>
      </c>
      <c r="AH1406" s="33"/>
    </row>
    <row r="1407" hidden="1" outlineLevel="3">
      <c r="A1407" s="16" t="b">
        <v>0</v>
      </c>
      <c r="B1407" s="17"/>
      <c r="C1407" s="18"/>
      <c r="D1407" s="19"/>
      <c r="E1407" s="20"/>
      <c r="F1407" s="21"/>
      <c r="G1407" s="22"/>
      <c r="H1407" s="22"/>
      <c r="I1407" s="23"/>
      <c r="J1407" s="22"/>
      <c r="K1407" s="23"/>
      <c r="L1407" s="22"/>
      <c r="M1407" s="23"/>
      <c r="N1407" s="23"/>
      <c r="O1407" s="24"/>
      <c r="P1407" s="16" t="b">
        <v>0</v>
      </c>
      <c r="Q1407" s="24"/>
      <c r="R1407" s="25"/>
      <c r="S1407" s="26"/>
      <c r="T1407" s="27"/>
      <c r="U1407" s="24"/>
      <c r="V1407" s="28" t="s">
        <v>29</v>
      </c>
      <c r="W1407" s="29" t="s">
        <v>22</v>
      </c>
      <c r="X1407" s="37" t="s">
        <v>366</v>
      </c>
      <c r="Y1407" s="31"/>
      <c r="Z1407" s="26" t="str">
        <f t="shared" si="5"/>
        <v/>
      </c>
      <c r="AA1407" s="26" t="str">
        <f t="shared" si="6"/>
        <v/>
      </c>
      <c r="AB1407" s="32" t="str">
        <f t="shared" si="7"/>
        <v/>
      </c>
      <c r="AC1407" s="32" t="str">
        <f t="shared" ref="AC1407:AG1407" si="1411">IF(J1407&lt;&gt;"", IF(AND($P1407=FALSE, $A1407=FALSE), -J1407, IF(AND($P1407=FALSE, $A1407=TRUE), 0, IF($P1407=TRUE, (J1407 / $R1407) * 100 * ($S1407 / 100)-J1407, ))), )</f>
        <v/>
      </c>
      <c r="AD1407" s="32" t="str">
        <f t="shared" si="1411"/>
        <v/>
      </c>
      <c r="AE1407" s="32" t="str">
        <f t="shared" si="1411"/>
        <v/>
      </c>
      <c r="AF1407" s="32" t="str">
        <f t="shared" si="1411"/>
        <v/>
      </c>
      <c r="AG1407" s="32" t="str">
        <f t="shared" si="1411"/>
        <v/>
      </c>
      <c r="AH1407" s="33"/>
    </row>
    <row r="1408" hidden="1" outlineLevel="3">
      <c r="A1408" s="16" t="b">
        <v>0</v>
      </c>
      <c r="B1408" s="17"/>
      <c r="C1408" s="18"/>
      <c r="D1408" s="19"/>
      <c r="E1408" s="20"/>
      <c r="F1408" s="21"/>
      <c r="G1408" s="22"/>
      <c r="H1408" s="22"/>
      <c r="I1408" s="23"/>
      <c r="J1408" s="22"/>
      <c r="K1408" s="23"/>
      <c r="L1408" s="22"/>
      <c r="M1408" s="23"/>
      <c r="N1408" s="23"/>
      <c r="O1408" s="24"/>
      <c r="P1408" s="16" t="b">
        <v>0</v>
      </c>
      <c r="Q1408" s="24"/>
      <c r="R1408" s="25"/>
      <c r="S1408" s="26"/>
      <c r="T1408" s="27"/>
      <c r="U1408" s="24"/>
      <c r="V1408" s="28" t="s">
        <v>29</v>
      </c>
      <c r="W1408" s="29" t="s">
        <v>22</v>
      </c>
      <c r="X1408" s="37" t="s">
        <v>431</v>
      </c>
      <c r="Y1408" s="31"/>
      <c r="Z1408" s="26" t="str">
        <f t="shared" si="5"/>
        <v/>
      </c>
      <c r="AA1408" s="26" t="str">
        <f t="shared" si="6"/>
        <v/>
      </c>
      <c r="AB1408" s="32" t="str">
        <f t="shared" si="7"/>
        <v/>
      </c>
      <c r="AC1408" s="32" t="str">
        <f t="shared" ref="AC1408:AG1408" si="1412">IF(J1408&lt;&gt;"", IF(AND($P1408=FALSE, $A1408=FALSE), -J1408, IF(AND($P1408=FALSE, $A1408=TRUE), 0, IF($P1408=TRUE, (J1408 / $R1408) * 100 * ($S1408 / 100)-J1408, ))), )</f>
        <v/>
      </c>
      <c r="AD1408" s="32" t="str">
        <f t="shared" si="1412"/>
        <v/>
      </c>
      <c r="AE1408" s="32" t="str">
        <f t="shared" si="1412"/>
        <v/>
      </c>
      <c r="AF1408" s="32" t="str">
        <f t="shared" si="1412"/>
        <v/>
      </c>
      <c r="AG1408" s="32" t="str">
        <f t="shared" si="1412"/>
        <v/>
      </c>
      <c r="AH1408" s="33"/>
    </row>
    <row r="1409" hidden="1" outlineLevel="3">
      <c r="A1409" s="16" t="b">
        <v>0</v>
      </c>
      <c r="B1409" s="17"/>
      <c r="C1409" s="18"/>
      <c r="D1409" s="19"/>
      <c r="E1409" s="20"/>
      <c r="F1409" s="21"/>
      <c r="G1409" s="22"/>
      <c r="H1409" s="22"/>
      <c r="I1409" s="23"/>
      <c r="J1409" s="22"/>
      <c r="K1409" s="23"/>
      <c r="L1409" s="22"/>
      <c r="M1409" s="23"/>
      <c r="N1409" s="23"/>
      <c r="O1409" s="24"/>
      <c r="P1409" s="16" t="b">
        <v>0</v>
      </c>
      <c r="Q1409" s="24"/>
      <c r="R1409" s="25"/>
      <c r="S1409" s="26"/>
      <c r="T1409" s="27"/>
      <c r="U1409" s="24"/>
      <c r="V1409" s="38" t="s">
        <v>29</v>
      </c>
      <c r="W1409" s="29" t="s">
        <v>22</v>
      </c>
      <c r="X1409" s="37" t="s">
        <v>430</v>
      </c>
      <c r="Y1409" s="31"/>
      <c r="Z1409" s="26" t="str">
        <f t="shared" si="5"/>
        <v/>
      </c>
      <c r="AA1409" s="26" t="str">
        <f t="shared" si="6"/>
        <v/>
      </c>
      <c r="AB1409" s="32" t="str">
        <f t="shared" si="7"/>
        <v/>
      </c>
      <c r="AC1409" s="32" t="str">
        <f t="shared" ref="AC1409:AG1409" si="1413">IF(J1409&lt;&gt;"", IF(AND($P1409=FALSE, $A1409=FALSE), -J1409, IF(AND($P1409=FALSE, $A1409=TRUE), 0, IF($P1409=TRUE, (J1409 / $R1409) * 100 * ($S1409 / 100)-J1409, ))), )</f>
        <v/>
      </c>
      <c r="AD1409" s="32" t="str">
        <f t="shared" si="1413"/>
        <v/>
      </c>
      <c r="AE1409" s="32" t="str">
        <f t="shared" si="1413"/>
        <v/>
      </c>
      <c r="AF1409" s="32" t="str">
        <f t="shared" si="1413"/>
        <v/>
      </c>
      <c r="AG1409" s="32" t="str">
        <f t="shared" si="1413"/>
        <v/>
      </c>
      <c r="AH1409" s="33"/>
    </row>
    <row r="1410" hidden="1" outlineLevel="3">
      <c r="A1410" s="16" t="b">
        <v>0</v>
      </c>
      <c r="B1410" s="17"/>
      <c r="C1410" s="18"/>
      <c r="D1410" s="19"/>
      <c r="E1410" s="20"/>
      <c r="F1410" s="21"/>
      <c r="G1410" s="22"/>
      <c r="H1410" s="22"/>
      <c r="I1410" s="23"/>
      <c r="J1410" s="22"/>
      <c r="K1410" s="23"/>
      <c r="L1410" s="22"/>
      <c r="M1410" s="23"/>
      <c r="N1410" s="23"/>
      <c r="O1410" s="24"/>
      <c r="P1410" s="16" t="b">
        <v>0</v>
      </c>
      <c r="Q1410" s="24"/>
      <c r="R1410" s="25"/>
      <c r="S1410" s="26"/>
      <c r="T1410" s="27"/>
      <c r="U1410" s="24"/>
      <c r="V1410" s="38" t="s">
        <v>29</v>
      </c>
      <c r="W1410" s="29" t="s">
        <v>22</v>
      </c>
      <c r="X1410" s="37" t="s">
        <v>635</v>
      </c>
      <c r="Y1410" s="31"/>
      <c r="Z1410" s="26" t="str">
        <f t="shared" si="5"/>
        <v/>
      </c>
      <c r="AA1410" s="26" t="str">
        <f t="shared" si="6"/>
        <v/>
      </c>
      <c r="AB1410" s="32" t="str">
        <f t="shared" si="7"/>
        <v/>
      </c>
      <c r="AC1410" s="32" t="str">
        <f t="shared" ref="AC1410:AG1410" si="1414">IF(J1410&lt;&gt;"", IF(AND($P1410=FALSE, $A1410=FALSE), -J1410, IF(AND($P1410=FALSE, $A1410=TRUE), 0, IF($P1410=TRUE, (J1410 / $R1410) * 100 * ($S1410 / 100)-J1410, ))), )</f>
        <v/>
      </c>
      <c r="AD1410" s="32" t="str">
        <f t="shared" si="1414"/>
        <v/>
      </c>
      <c r="AE1410" s="32" t="str">
        <f t="shared" si="1414"/>
        <v/>
      </c>
      <c r="AF1410" s="32" t="str">
        <f t="shared" si="1414"/>
        <v/>
      </c>
      <c r="AG1410" s="32" t="str">
        <f t="shared" si="1414"/>
        <v/>
      </c>
      <c r="AH1410" s="33"/>
    </row>
    <row r="1411" hidden="1" outlineLevel="2">
      <c r="A1411" s="16" t="b">
        <v>0</v>
      </c>
      <c r="B1411" s="17"/>
      <c r="C1411" s="18"/>
      <c r="D1411" s="42">
        <v>45280.0</v>
      </c>
      <c r="E1411" s="80" t="s">
        <v>60</v>
      </c>
      <c r="F1411" s="53" t="s">
        <v>630</v>
      </c>
      <c r="G1411" s="45">
        <v>2.0</v>
      </c>
      <c r="H1411" s="45">
        <v>1.0</v>
      </c>
      <c r="I1411" s="45">
        <v>2.0</v>
      </c>
      <c r="J1411" s="45"/>
      <c r="K1411" s="79"/>
      <c r="L1411" s="45"/>
      <c r="M1411" s="46"/>
      <c r="N1411" s="46"/>
      <c r="O1411" s="47"/>
      <c r="P1411" s="16" t="b">
        <v>1</v>
      </c>
      <c r="Q1411" s="24"/>
      <c r="R1411" s="48">
        <v>5.0</v>
      </c>
      <c r="S1411" s="45">
        <v>5.71</v>
      </c>
      <c r="T1411" s="49">
        <v>-704.0</v>
      </c>
      <c r="U1411" s="47"/>
      <c r="V1411" s="28"/>
      <c r="W1411" s="29"/>
      <c r="X1411" s="30"/>
      <c r="Y1411" s="31"/>
      <c r="Z1411" s="26">
        <f t="shared" si="5"/>
        <v>0.284</v>
      </c>
      <c r="AA1411" s="26">
        <f t="shared" si="6"/>
        <v>0.284</v>
      </c>
      <c r="AB1411" s="32">
        <f t="shared" si="7"/>
        <v>0.142</v>
      </c>
      <c r="AC1411" s="32" t="str">
        <f t="shared" ref="AC1411:AG1411" si="1415">IF(J1411&lt;&gt;"", IF(AND($P1411=FALSE, $A1411=FALSE), -J1411, IF(AND($P1411=FALSE, $A1411=TRUE), 0, IF($P1411=TRUE, (J1411 / $R1411) * 100 * ($S1411 / 100)-J1411, ))), )</f>
        <v/>
      </c>
      <c r="AD1411" s="32" t="str">
        <f t="shared" si="1415"/>
        <v/>
      </c>
      <c r="AE1411" s="32" t="str">
        <f t="shared" si="1415"/>
        <v/>
      </c>
      <c r="AF1411" s="32" t="str">
        <f t="shared" si="1415"/>
        <v/>
      </c>
      <c r="AG1411" s="32" t="str">
        <f t="shared" si="1415"/>
        <v/>
      </c>
      <c r="AH1411" s="33"/>
    </row>
    <row r="1412" hidden="1" outlineLevel="3">
      <c r="A1412" s="16" t="b">
        <v>0</v>
      </c>
      <c r="B1412" s="17"/>
      <c r="C1412" s="18"/>
      <c r="D1412" s="19"/>
      <c r="E1412" s="20"/>
      <c r="F1412" s="21"/>
      <c r="G1412" s="22"/>
      <c r="H1412" s="22"/>
      <c r="I1412" s="23"/>
      <c r="J1412" s="22"/>
      <c r="K1412" s="23"/>
      <c r="L1412" s="22"/>
      <c r="M1412" s="23"/>
      <c r="N1412" s="23"/>
      <c r="O1412" s="24"/>
      <c r="P1412" s="16" t="b">
        <v>0</v>
      </c>
      <c r="Q1412" s="24"/>
      <c r="R1412" s="25"/>
      <c r="S1412" s="26"/>
      <c r="T1412" s="27"/>
      <c r="U1412" s="24"/>
      <c r="V1412" s="66" t="s">
        <v>358</v>
      </c>
      <c r="W1412" s="29" t="s">
        <v>22</v>
      </c>
      <c r="X1412" s="37" t="s">
        <v>933</v>
      </c>
      <c r="Y1412" s="31"/>
      <c r="Z1412" s="26" t="str">
        <f t="shared" si="5"/>
        <v/>
      </c>
      <c r="AA1412" s="26" t="str">
        <f t="shared" si="6"/>
        <v/>
      </c>
      <c r="AB1412" s="32" t="str">
        <f t="shared" si="7"/>
        <v/>
      </c>
      <c r="AC1412" s="32" t="str">
        <f t="shared" ref="AC1412:AG1412" si="1416">IF(J1412&lt;&gt;"", IF(AND($P1412=FALSE, $A1412=FALSE), -J1412, IF(AND($P1412=FALSE, $A1412=TRUE), 0, IF($P1412=TRUE, (J1412 / $R1412) * 100 * ($S1412 / 100)-J1412, ))), )</f>
        <v/>
      </c>
      <c r="AD1412" s="32" t="str">
        <f t="shared" si="1416"/>
        <v/>
      </c>
      <c r="AE1412" s="32" t="str">
        <f t="shared" si="1416"/>
        <v/>
      </c>
      <c r="AF1412" s="32" t="str">
        <f t="shared" si="1416"/>
        <v/>
      </c>
      <c r="AG1412" s="32" t="str">
        <f t="shared" si="1416"/>
        <v/>
      </c>
      <c r="AH1412" s="33"/>
    </row>
    <row r="1413" hidden="1" outlineLevel="3">
      <c r="A1413" s="16" t="b">
        <v>0</v>
      </c>
      <c r="B1413" s="17"/>
      <c r="C1413" s="18"/>
      <c r="D1413" s="19"/>
      <c r="E1413" s="20"/>
      <c r="F1413" s="21"/>
      <c r="G1413" s="22"/>
      <c r="H1413" s="22"/>
      <c r="I1413" s="23"/>
      <c r="J1413" s="22"/>
      <c r="K1413" s="23"/>
      <c r="L1413" s="22"/>
      <c r="M1413" s="23"/>
      <c r="N1413" s="23"/>
      <c r="O1413" s="24"/>
      <c r="P1413" s="16" t="b">
        <v>0</v>
      </c>
      <c r="Q1413" s="24"/>
      <c r="R1413" s="25"/>
      <c r="S1413" s="26"/>
      <c r="T1413" s="27"/>
      <c r="U1413" s="24"/>
      <c r="V1413" s="38" t="s">
        <v>29</v>
      </c>
      <c r="W1413" s="29" t="s">
        <v>22</v>
      </c>
      <c r="X1413" s="37" t="s">
        <v>421</v>
      </c>
      <c r="Y1413" s="31"/>
      <c r="Z1413" s="26" t="str">
        <f t="shared" si="5"/>
        <v/>
      </c>
      <c r="AA1413" s="26" t="str">
        <f t="shared" si="6"/>
        <v/>
      </c>
      <c r="AB1413" s="32" t="str">
        <f t="shared" si="7"/>
        <v/>
      </c>
      <c r="AC1413" s="32" t="str">
        <f t="shared" ref="AC1413:AG1413" si="1417">IF(J1413&lt;&gt;"", IF(AND($P1413=FALSE, $A1413=FALSE), -J1413, IF(AND($P1413=FALSE, $A1413=TRUE), 0, IF($P1413=TRUE, (J1413 / $R1413) * 100 * ($S1413 / 100)-J1413, ))), )</f>
        <v/>
      </c>
      <c r="AD1413" s="32" t="str">
        <f t="shared" si="1417"/>
        <v/>
      </c>
      <c r="AE1413" s="32" t="str">
        <f t="shared" si="1417"/>
        <v/>
      </c>
      <c r="AF1413" s="32" t="str">
        <f t="shared" si="1417"/>
        <v/>
      </c>
      <c r="AG1413" s="32" t="str">
        <f t="shared" si="1417"/>
        <v/>
      </c>
      <c r="AH1413" s="33"/>
    </row>
    <row r="1414" hidden="1" outlineLevel="1" collapsed="1">
      <c r="A1414" s="16" t="b">
        <v>0</v>
      </c>
      <c r="B1414" s="17"/>
      <c r="C1414" s="18"/>
      <c r="D1414" s="42">
        <v>45281.0</v>
      </c>
      <c r="E1414" s="43" t="s">
        <v>24</v>
      </c>
      <c r="F1414" s="53" t="s">
        <v>934</v>
      </c>
      <c r="G1414" s="45">
        <v>2.5</v>
      </c>
      <c r="H1414" s="45">
        <v>1.5</v>
      </c>
      <c r="I1414" s="45">
        <v>10.0</v>
      </c>
      <c r="J1414" s="46"/>
      <c r="K1414" s="46"/>
      <c r="L1414" s="45"/>
      <c r="M1414" s="46"/>
      <c r="N1414" s="46"/>
      <c r="O1414" s="47"/>
      <c r="P1414" s="16" t="b">
        <v>1</v>
      </c>
      <c r="Q1414" s="24"/>
      <c r="R1414" s="48">
        <v>14.0</v>
      </c>
      <c r="S1414" s="45">
        <v>32.27</v>
      </c>
      <c r="T1414" s="49" t="s">
        <v>525</v>
      </c>
      <c r="U1414" s="47"/>
      <c r="V1414" s="28"/>
      <c r="W1414" s="29"/>
      <c r="X1414" s="30"/>
      <c r="Y1414" s="31"/>
      <c r="Z1414" s="26">
        <f t="shared" si="5"/>
        <v>3.2625</v>
      </c>
      <c r="AA1414" s="26">
        <f t="shared" si="6"/>
        <v>13.05</v>
      </c>
      <c r="AB1414" s="32">
        <f t="shared" si="7"/>
        <v>1.9575</v>
      </c>
      <c r="AC1414" s="32" t="str">
        <f t="shared" ref="AC1414:AG1414" si="1418">IF(J1414&lt;&gt;"", IF(AND($P1414=FALSE, $A1414=FALSE), -J1414, IF(AND($P1414=FALSE, $A1414=TRUE), 0, IF($P1414=TRUE, (J1414 / $R1414) * 100 * ($S1414 / 100)-J1414, ))), )</f>
        <v/>
      </c>
      <c r="AD1414" s="32" t="str">
        <f t="shared" si="1418"/>
        <v/>
      </c>
      <c r="AE1414" s="32" t="str">
        <f t="shared" si="1418"/>
        <v/>
      </c>
      <c r="AF1414" s="32" t="str">
        <f t="shared" si="1418"/>
        <v/>
      </c>
      <c r="AG1414" s="32" t="str">
        <f t="shared" si="1418"/>
        <v/>
      </c>
      <c r="AH1414" s="33"/>
    </row>
    <row r="1415" hidden="1" outlineLevel="3">
      <c r="A1415" s="16" t="b">
        <v>0</v>
      </c>
      <c r="B1415" s="17"/>
      <c r="C1415" s="18"/>
      <c r="D1415" s="19"/>
      <c r="E1415" s="20"/>
      <c r="F1415" s="21"/>
      <c r="G1415" s="22"/>
      <c r="H1415" s="22"/>
      <c r="I1415" s="23"/>
      <c r="J1415" s="22"/>
      <c r="K1415" s="23"/>
      <c r="L1415" s="22"/>
      <c r="M1415" s="23"/>
      <c r="N1415" s="23"/>
      <c r="O1415" s="24"/>
      <c r="P1415" s="16" t="b">
        <v>0</v>
      </c>
      <c r="Q1415" s="24"/>
      <c r="R1415" s="25"/>
      <c r="S1415" s="26"/>
      <c r="T1415" s="27"/>
      <c r="U1415" s="24"/>
      <c r="V1415" s="38" t="s">
        <v>29</v>
      </c>
      <c r="W1415" s="29" t="s">
        <v>22</v>
      </c>
      <c r="X1415" s="37" t="s">
        <v>765</v>
      </c>
      <c r="Y1415" s="31"/>
      <c r="Z1415" s="26" t="str">
        <f t="shared" si="5"/>
        <v/>
      </c>
      <c r="AA1415" s="26" t="str">
        <f t="shared" si="6"/>
        <v/>
      </c>
      <c r="AB1415" s="32" t="str">
        <f t="shared" si="7"/>
        <v/>
      </c>
      <c r="AC1415" s="32" t="str">
        <f t="shared" ref="AC1415:AG1415" si="1419">IF(J1415&lt;&gt;"", IF(AND($P1415=FALSE, $A1415=FALSE), -J1415, IF(AND($P1415=FALSE, $A1415=TRUE), 0, IF($P1415=TRUE, (J1415 / $R1415) * 100 * ($S1415 / 100)-J1415, ))), )</f>
        <v/>
      </c>
      <c r="AD1415" s="32" t="str">
        <f t="shared" si="1419"/>
        <v/>
      </c>
      <c r="AE1415" s="32" t="str">
        <f t="shared" si="1419"/>
        <v/>
      </c>
      <c r="AF1415" s="32" t="str">
        <f t="shared" si="1419"/>
        <v/>
      </c>
      <c r="AG1415" s="32" t="str">
        <f t="shared" si="1419"/>
        <v/>
      </c>
      <c r="AH1415" s="33"/>
    </row>
    <row r="1416" hidden="1" outlineLevel="3">
      <c r="A1416" s="16" t="b">
        <v>0</v>
      </c>
      <c r="B1416" s="17"/>
      <c r="C1416" s="18"/>
      <c r="D1416" s="19"/>
      <c r="E1416" s="20"/>
      <c r="F1416" s="21"/>
      <c r="G1416" s="22"/>
      <c r="H1416" s="22"/>
      <c r="I1416" s="23"/>
      <c r="J1416" s="22"/>
      <c r="K1416" s="23"/>
      <c r="L1416" s="22"/>
      <c r="M1416" s="23"/>
      <c r="N1416" s="23"/>
      <c r="O1416" s="24"/>
      <c r="P1416" s="16" t="b">
        <v>0</v>
      </c>
      <c r="Q1416" s="24"/>
      <c r="R1416" s="25"/>
      <c r="S1416" s="26"/>
      <c r="T1416" s="27"/>
      <c r="U1416" s="24"/>
      <c r="V1416" s="38" t="s">
        <v>29</v>
      </c>
      <c r="W1416" s="29" t="s">
        <v>22</v>
      </c>
      <c r="X1416" s="37" t="s">
        <v>935</v>
      </c>
      <c r="Y1416" s="31"/>
      <c r="Z1416" s="26" t="str">
        <f t="shared" si="5"/>
        <v/>
      </c>
      <c r="AA1416" s="26" t="str">
        <f t="shared" si="6"/>
        <v/>
      </c>
      <c r="AB1416" s="32" t="str">
        <f t="shared" si="7"/>
        <v/>
      </c>
      <c r="AC1416" s="32" t="str">
        <f t="shared" ref="AC1416:AG1416" si="1420">IF(J1416&lt;&gt;"", IF(AND($P1416=FALSE, $A1416=FALSE), -J1416, IF(AND($P1416=FALSE, $A1416=TRUE), 0, IF($P1416=TRUE, (J1416 / $R1416) * 100 * ($S1416 / 100)-J1416, ))), )</f>
        <v/>
      </c>
      <c r="AD1416" s="32" t="str">
        <f t="shared" si="1420"/>
        <v/>
      </c>
      <c r="AE1416" s="32" t="str">
        <f t="shared" si="1420"/>
        <v/>
      </c>
      <c r="AF1416" s="32" t="str">
        <f t="shared" si="1420"/>
        <v/>
      </c>
      <c r="AG1416" s="32" t="str">
        <f t="shared" si="1420"/>
        <v/>
      </c>
      <c r="AH1416" s="33"/>
    </row>
    <row r="1417" hidden="1" outlineLevel="3">
      <c r="A1417" s="16" t="b">
        <v>0</v>
      </c>
      <c r="B1417" s="17"/>
      <c r="C1417" s="18"/>
      <c r="D1417" s="19"/>
      <c r="E1417" s="20"/>
      <c r="F1417" s="21"/>
      <c r="G1417" s="22"/>
      <c r="H1417" s="22"/>
      <c r="I1417" s="23"/>
      <c r="J1417" s="22"/>
      <c r="K1417" s="23"/>
      <c r="L1417" s="22"/>
      <c r="M1417" s="23"/>
      <c r="N1417" s="23"/>
      <c r="O1417" s="24"/>
      <c r="P1417" s="16" t="b">
        <v>0</v>
      </c>
      <c r="Q1417" s="24"/>
      <c r="R1417" s="25"/>
      <c r="S1417" s="26"/>
      <c r="T1417" s="27"/>
      <c r="U1417" s="24"/>
      <c r="V1417" s="38" t="s">
        <v>29</v>
      </c>
      <c r="W1417" s="29" t="s">
        <v>22</v>
      </c>
      <c r="X1417" s="37" t="s">
        <v>936</v>
      </c>
      <c r="Y1417" s="31"/>
      <c r="Z1417" s="26" t="str">
        <f t="shared" si="5"/>
        <v/>
      </c>
      <c r="AA1417" s="26" t="str">
        <f t="shared" si="6"/>
        <v/>
      </c>
      <c r="AB1417" s="32" t="str">
        <f t="shared" si="7"/>
        <v/>
      </c>
      <c r="AC1417" s="32" t="str">
        <f t="shared" ref="AC1417:AG1417" si="1421">IF(J1417&lt;&gt;"", IF(AND($P1417=FALSE, $A1417=FALSE), -J1417, IF(AND($P1417=FALSE, $A1417=TRUE), 0, IF($P1417=TRUE, (J1417 / $R1417) * 100 * ($S1417 / 100)-J1417, ))), )</f>
        <v/>
      </c>
      <c r="AD1417" s="32" t="str">
        <f t="shared" si="1421"/>
        <v/>
      </c>
      <c r="AE1417" s="32" t="str">
        <f t="shared" si="1421"/>
        <v/>
      </c>
      <c r="AF1417" s="32" t="str">
        <f t="shared" si="1421"/>
        <v/>
      </c>
      <c r="AG1417" s="32" t="str">
        <f t="shared" si="1421"/>
        <v/>
      </c>
      <c r="AH1417" s="33"/>
    </row>
    <row r="1418" hidden="1" outlineLevel="3">
      <c r="A1418" s="16" t="b">
        <v>0</v>
      </c>
      <c r="B1418" s="17"/>
      <c r="C1418" s="18"/>
      <c r="D1418" s="19"/>
      <c r="E1418" s="20"/>
      <c r="F1418" s="21"/>
      <c r="G1418" s="22"/>
      <c r="H1418" s="22"/>
      <c r="I1418" s="23"/>
      <c r="J1418" s="22"/>
      <c r="K1418" s="23"/>
      <c r="L1418" s="22"/>
      <c r="M1418" s="23"/>
      <c r="N1418" s="23"/>
      <c r="O1418" s="24"/>
      <c r="P1418" s="16" t="b">
        <v>0</v>
      </c>
      <c r="Q1418" s="24"/>
      <c r="R1418" s="25"/>
      <c r="S1418" s="26"/>
      <c r="T1418" s="27"/>
      <c r="U1418" s="24"/>
      <c r="V1418" s="38" t="s">
        <v>29</v>
      </c>
      <c r="W1418" s="29" t="s">
        <v>22</v>
      </c>
      <c r="X1418" s="37" t="s">
        <v>937</v>
      </c>
      <c r="Y1418" s="31"/>
      <c r="Z1418" s="26" t="str">
        <f t="shared" si="5"/>
        <v/>
      </c>
      <c r="AA1418" s="26" t="str">
        <f t="shared" si="6"/>
        <v/>
      </c>
      <c r="AB1418" s="32" t="str">
        <f t="shared" si="7"/>
        <v/>
      </c>
      <c r="AC1418" s="32" t="str">
        <f t="shared" ref="AC1418:AG1418" si="1422">IF(J1418&lt;&gt;"", IF(AND($P1418=FALSE, $A1418=FALSE), -J1418, IF(AND($P1418=FALSE, $A1418=TRUE), 0, IF($P1418=TRUE, (J1418 / $R1418) * 100 * ($S1418 / 100)-J1418, ))), )</f>
        <v/>
      </c>
      <c r="AD1418" s="32" t="str">
        <f t="shared" si="1422"/>
        <v/>
      </c>
      <c r="AE1418" s="32" t="str">
        <f t="shared" si="1422"/>
        <v/>
      </c>
      <c r="AF1418" s="32" t="str">
        <f t="shared" si="1422"/>
        <v/>
      </c>
      <c r="AG1418" s="32" t="str">
        <f t="shared" si="1422"/>
        <v/>
      </c>
      <c r="AH1418" s="33"/>
    </row>
    <row r="1419" hidden="1" outlineLevel="3">
      <c r="A1419" s="16" t="b">
        <v>0</v>
      </c>
      <c r="B1419" s="17"/>
      <c r="C1419" s="18"/>
      <c r="D1419" s="19"/>
      <c r="E1419" s="20"/>
      <c r="F1419" s="21"/>
      <c r="G1419" s="22"/>
      <c r="H1419" s="22"/>
      <c r="I1419" s="23"/>
      <c r="J1419" s="22"/>
      <c r="K1419" s="23"/>
      <c r="L1419" s="22"/>
      <c r="M1419" s="23"/>
      <c r="N1419" s="23"/>
      <c r="O1419" s="24"/>
      <c r="P1419" s="16" t="b">
        <v>0</v>
      </c>
      <c r="Q1419" s="24"/>
      <c r="R1419" s="25"/>
      <c r="S1419" s="26"/>
      <c r="T1419" s="27"/>
      <c r="U1419" s="24"/>
      <c r="V1419" s="38" t="s">
        <v>29</v>
      </c>
      <c r="W1419" s="29" t="s">
        <v>22</v>
      </c>
      <c r="X1419" s="37" t="s">
        <v>938</v>
      </c>
      <c r="Y1419" s="31"/>
      <c r="Z1419" s="26" t="str">
        <f t="shared" si="5"/>
        <v/>
      </c>
      <c r="AA1419" s="26" t="str">
        <f t="shared" si="6"/>
        <v/>
      </c>
      <c r="AB1419" s="32" t="str">
        <f t="shared" si="7"/>
        <v/>
      </c>
      <c r="AC1419" s="32" t="str">
        <f t="shared" ref="AC1419:AG1419" si="1423">IF(J1419&lt;&gt;"", IF(AND($P1419=FALSE, $A1419=FALSE), -J1419, IF(AND($P1419=FALSE, $A1419=TRUE), 0, IF($P1419=TRUE, (J1419 / $R1419) * 100 * ($S1419 / 100)-J1419, ))), )</f>
        <v/>
      </c>
      <c r="AD1419" s="32" t="str">
        <f t="shared" si="1423"/>
        <v/>
      </c>
      <c r="AE1419" s="32" t="str">
        <f t="shared" si="1423"/>
        <v/>
      </c>
      <c r="AF1419" s="32" t="str">
        <f t="shared" si="1423"/>
        <v/>
      </c>
      <c r="AG1419" s="32" t="str">
        <f t="shared" si="1423"/>
        <v/>
      </c>
      <c r="AH1419" s="33"/>
    </row>
    <row r="1420" hidden="1" outlineLevel="2" collapsed="1">
      <c r="A1420" s="16" t="b">
        <v>0</v>
      </c>
      <c r="B1420" s="17"/>
      <c r="C1420" s="18"/>
      <c r="D1420" s="42">
        <v>45281.0</v>
      </c>
      <c r="E1420" s="80" t="s">
        <v>60</v>
      </c>
      <c r="F1420" s="53" t="s">
        <v>630</v>
      </c>
      <c r="G1420" s="45">
        <v>3.0</v>
      </c>
      <c r="H1420" s="45">
        <v>1.5</v>
      </c>
      <c r="I1420" s="45"/>
      <c r="J1420" s="45"/>
      <c r="K1420" s="79"/>
      <c r="L1420" s="45"/>
      <c r="M1420" s="46"/>
      <c r="N1420" s="46"/>
      <c r="O1420" s="47"/>
      <c r="P1420" s="16" t="b">
        <v>0</v>
      </c>
      <c r="Q1420" s="24"/>
      <c r="R1420" s="48">
        <v>4.5</v>
      </c>
      <c r="S1420" s="45">
        <v>10.64</v>
      </c>
      <c r="T1420" s="49" t="s">
        <v>243</v>
      </c>
      <c r="U1420" s="47"/>
      <c r="V1420" s="28"/>
      <c r="W1420" s="29"/>
      <c r="X1420" s="30"/>
      <c r="Y1420" s="31"/>
      <c r="Z1420" s="26">
        <f t="shared" si="5"/>
        <v>-3</v>
      </c>
      <c r="AA1420" s="26" t="str">
        <f t="shared" si="6"/>
        <v/>
      </c>
      <c r="AB1420" s="32">
        <f t="shared" si="7"/>
        <v>-1.5</v>
      </c>
      <c r="AC1420" s="32" t="str">
        <f t="shared" ref="AC1420:AG1420" si="1424">IF(J1420&lt;&gt;"", IF(AND($P1420=FALSE, $A1420=FALSE), -J1420, IF(AND($P1420=FALSE, $A1420=TRUE), 0, IF($P1420=TRUE, (J1420 / $R1420) * 100 * ($S1420 / 100)-J1420, ))), )</f>
        <v/>
      </c>
      <c r="AD1420" s="32" t="str">
        <f t="shared" si="1424"/>
        <v/>
      </c>
      <c r="AE1420" s="32" t="str">
        <f t="shared" si="1424"/>
        <v/>
      </c>
      <c r="AF1420" s="32" t="str">
        <f t="shared" si="1424"/>
        <v/>
      </c>
      <c r="AG1420" s="32" t="str">
        <f t="shared" si="1424"/>
        <v/>
      </c>
      <c r="AH1420" s="33"/>
    </row>
    <row r="1421" hidden="1" outlineLevel="3">
      <c r="A1421" s="16" t="b">
        <v>0</v>
      </c>
      <c r="B1421" s="17"/>
      <c r="C1421" s="18"/>
      <c r="D1421" s="19"/>
      <c r="E1421" s="20"/>
      <c r="F1421" s="21"/>
      <c r="G1421" s="22"/>
      <c r="H1421" s="22"/>
      <c r="I1421" s="23"/>
      <c r="J1421" s="22"/>
      <c r="K1421" s="23"/>
      <c r="L1421" s="22"/>
      <c r="M1421" s="23"/>
      <c r="N1421" s="23"/>
      <c r="O1421" s="24"/>
      <c r="P1421" s="16" t="b">
        <v>0</v>
      </c>
      <c r="Q1421" s="24"/>
      <c r="R1421" s="25"/>
      <c r="S1421" s="26"/>
      <c r="T1421" s="27"/>
      <c r="U1421" s="24"/>
      <c r="V1421" s="38" t="s">
        <v>29</v>
      </c>
      <c r="W1421" s="29" t="s">
        <v>22</v>
      </c>
      <c r="X1421" s="37" t="s">
        <v>939</v>
      </c>
      <c r="Y1421" s="31"/>
      <c r="Z1421" s="26" t="str">
        <f t="shared" si="5"/>
        <v/>
      </c>
      <c r="AA1421" s="26" t="str">
        <f t="shared" si="6"/>
        <v/>
      </c>
      <c r="AB1421" s="32" t="str">
        <f t="shared" si="7"/>
        <v/>
      </c>
      <c r="AC1421" s="32" t="str">
        <f t="shared" ref="AC1421:AG1421" si="1425">IF(J1421&lt;&gt;"", IF(AND($P1421=FALSE, $A1421=FALSE), -J1421, IF(AND($P1421=FALSE, $A1421=TRUE), 0, IF($P1421=TRUE, (J1421 / $R1421) * 100 * ($S1421 / 100)-J1421, ))), )</f>
        <v/>
      </c>
      <c r="AD1421" s="32" t="str">
        <f t="shared" si="1425"/>
        <v/>
      </c>
      <c r="AE1421" s="32" t="str">
        <f t="shared" si="1425"/>
        <v/>
      </c>
      <c r="AF1421" s="32" t="str">
        <f t="shared" si="1425"/>
        <v/>
      </c>
      <c r="AG1421" s="32" t="str">
        <f t="shared" si="1425"/>
        <v/>
      </c>
      <c r="AH1421" s="33"/>
    </row>
    <row r="1422" hidden="1" outlineLevel="3">
      <c r="A1422" s="16" t="b">
        <v>0</v>
      </c>
      <c r="B1422" s="17"/>
      <c r="C1422" s="18"/>
      <c r="D1422" s="19"/>
      <c r="E1422" s="20"/>
      <c r="F1422" s="21"/>
      <c r="G1422" s="22"/>
      <c r="H1422" s="22"/>
      <c r="I1422" s="23"/>
      <c r="J1422" s="22"/>
      <c r="K1422" s="23"/>
      <c r="L1422" s="22"/>
      <c r="M1422" s="23"/>
      <c r="N1422" s="23"/>
      <c r="O1422" s="24"/>
      <c r="P1422" s="16" t="b">
        <v>0</v>
      </c>
      <c r="Q1422" s="24"/>
      <c r="R1422" s="25"/>
      <c r="S1422" s="26"/>
      <c r="T1422" s="27"/>
      <c r="U1422" s="24"/>
      <c r="V1422" s="28" t="s">
        <v>32</v>
      </c>
      <c r="W1422" s="29" t="s">
        <v>22</v>
      </c>
      <c r="X1422" s="37" t="s">
        <v>940</v>
      </c>
      <c r="Y1422" s="31"/>
      <c r="Z1422" s="26" t="str">
        <f t="shared" si="5"/>
        <v/>
      </c>
      <c r="AA1422" s="26" t="str">
        <f t="shared" si="6"/>
        <v/>
      </c>
      <c r="AB1422" s="32" t="str">
        <f t="shared" si="7"/>
        <v/>
      </c>
      <c r="AC1422" s="32" t="str">
        <f t="shared" ref="AC1422:AG1422" si="1426">IF(J1422&lt;&gt;"", IF(AND($P1422=FALSE, $A1422=FALSE), -J1422, IF(AND($P1422=FALSE, $A1422=TRUE), 0, IF($P1422=TRUE, (J1422 / $R1422) * 100 * ($S1422 / 100)-J1422, ))), )</f>
        <v/>
      </c>
      <c r="AD1422" s="32" t="str">
        <f t="shared" si="1426"/>
        <v/>
      </c>
      <c r="AE1422" s="32" t="str">
        <f t="shared" si="1426"/>
        <v/>
      </c>
      <c r="AF1422" s="32" t="str">
        <f t="shared" si="1426"/>
        <v/>
      </c>
      <c r="AG1422" s="32" t="str">
        <f t="shared" si="1426"/>
        <v/>
      </c>
      <c r="AH1422" s="33"/>
    </row>
    <row r="1423" hidden="1" outlineLevel="3">
      <c r="A1423" s="16" t="b">
        <v>0</v>
      </c>
      <c r="B1423" s="17"/>
      <c r="C1423" s="18"/>
      <c r="D1423" s="19"/>
      <c r="E1423" s="20"/>
      <c r="F1423" s="21"/>
      <c r="G1423" s="22"/>
      <c r="H1423" s="22"/>
      <c r="I1423" s="23"/>
      <c r="J1423" s="22"/>
      <c r="K1423" s="23"/>
      <c r="L1423" s="22"/>
      <c r="M1423" s="23"/>
      <c r="N1423" s="23"/>
      <c r="O1423" s="24"/>
      <c r="P1423" s="16" t="b">
        <v>0</v>
      </c>
      <c r="Q1423" s="24"/>
      <c r="R1423" s="25"/>
      <c r="S1423" s="26"/>
      <c r="T1423" s="27"/>
      <c r="U1423" s="24"/>
      <c r="V1423" s="38" t="s">
        <v>29</v>
      </c>
      <c r="W1423" s="29" t="s">
        <v>22</v>
      </c>
      <c r="X1423" s="37" t="s">
        <v>941</v>
      </c>
      <c r="Y1423" s="31"/>
      <c r="Z1423" s="26" t="str">
        <f t="shared" si="5"/>
        <v/>
      </c>
      <c r="AA1423" s="26" t="str">
        <f t="shared" si="6"/>
        <v/>
      </c>
      <c r="AB1423" s="32" t="str">
        <f t="shared" si="7"/>
        <v/>
      </c>
      <c r="AC1423" s="32" t="str">
        <f t="shared" ref="AC1423:AG1423" si="1427">IF(J1423&lt;&gt;"", IF(AND($P1423=FALSE, $A1423=FALSE), -J1423, IF(AND($P1423=FALSE, $A1423=TRUE), 0, IF($P1423=TRUE, (J1423 / $R1423) * 100 * ($S1423 / 100)-J1423, ))), )</f>
        <v/>
      </c>
      <c r="AD1423" s="32" t="str">
        <f t="shared" si="1427"/>
        <v/>
      </c>
      <c r="AE1423" s="32" t="str">
        <f t="shared" si="1427"/>
        <v/>
      </c>
      <c r="AF1423" s="32" t="str">
        <f t="shared" si="1427"/>
        <v/>
      </c>
      <c r="AG1423" s="32" t="str">
        <f t="shared" si="1427"/>
        <v/>
      </c>
      <c r="AH1423" s="33"/>
    </row>
    <row r="1424" hidden="1" outlineLevel="3">
      <c r="A1424" s="16" t="b">
        <v>0</v>
      </c>
      <c r="B1424" s="17"/>
      <c r="C1424" s="18"/>
      <c r="D1424" s="19"/>
      <c r="E1424" s="20"/>
      <c r="F1424" s="21"/>
      <c r="G1424" s="22"/>
      <c r="H1424" s="22"/>
      <c r="I1424" s="23"/>
      <c r="J1424" s="22"/>
      <c r="K1424" s="23"/>
      <c r="L1424" s="22"/>
      <c r="M1424" s="23"/>
      <c r="N1424" s="23"/>
      <c r="O1424" s="24"/>
      <c r="P1424" s="16" t="b">
        <v>0</v>
      </c>
      <c r="Q1424" s="24"/>
      <c r="R1424" s="25"/>
      <c r="S1424" s="26"/>
      <c r="T1424" s="27"/>
      <c r="U1424" s="24"/>
      <c r="V1424" s="38" t="s">
        <v>29</v>
      </c>
      <c r="W1424" s="29" t="s">
        <v>22</v>
      </c>
      <c r="X1424" s="37" t="s">
        <v>942</v>
      </c>
      <c r="Y1424" s="31"/>
      <c r="Z1424" s="26" t="str">
        <f t="shared" si="5"/>
        <v/>
      </c>
      <c r="AA1424" s="26" t="str">
        <f t="shared" si="6"/>
        <v/>
      </c>
      <c r="AB1424" s="32" t="str">
        <f t="shared" si="7"/>
        <v/>
      </c>
      <c r="AC1424" s="32" t="str">
        <f t="shared" ref="AC1424:AG1424" si="1428">IF(J1424&lt;&gt;"", IF(AND($P1424=FALSE, $A1424=FALSE), -J1424, IF(AND($P1424=FALSE, $A1424=TRUE), 0, IF($P1424=TRUE, (J1424 / $R1424) * 100 * ($S1424 / 100)-J1424, ))), )</f>
        <v/>
      </c>
      <c r="AD1424" s="32" t="str">
        <f t="shared" si="1428"/>
        <v/>
      </c>
      <c r="AE1424" s="32" t="str">
        <f t="shared" si="1428"/>
        <v/>
      </c>
      <c r="AF1424" s="32" t="str">
        <f t="shared" si="1428"/>
        <v/>
      </c>
      <c r="AG1424" s="32" t="str">
        <f t="shared" si="1428"/>
        <v/>
      </c>
      <c r="AH1424" s="33"/>
    </row>
    <row r="1425" hidden="1" outlineLevel="2" collapsed="1">
      <c r="A1425" s="16" t="b">
        <v>0</v>
      </c>
      <c r="B1425" s="17"/>
      <c r="C1425" s="18"/>
      <c r="D1425" s="42">
        <v>45281.0</v>
      </c>
      <c r="E1425" s="80" t="s">
        <v>60</v>
      </c>
      <c r="F1425" s="53" t="s">
        <v>630</v>
      </c>
      <c r="G1425" s="45">
        <v>2.0</v>
      </c>
      <c r="H1425" s="45">
        <v>2.0</v>
      </c>
      <c r="I1425" s="45">
        <v>2.0</v>
      </c>
      <c r="J1425" s="45"/>
      <c r="K1425" s="79"/>
      <c r="L1425" s="45"/>
      <c r="M1425" s="46"/>
      <c r="N1425" s="46"/>
      <c r="O1425" s="47"/>
      <c r="P1425" s="16" t="b">
        <v>0</v>
      </c>
      <c r="Q1425" s="24"/>
      <c r="R1425" s="48">
        <v>6.0</v>
      </c>
      <c r="S1425" s="45">
        <v>13.99</v>
      </c>
      <c r="T1425" s="49" t="s">
        <v>129</v>
      </c>
      <c r="U1425" s="47"/>
      <c r="V1425" s="28"/>
      <c r="W1425" s="29"/>
      <c r="X1425" s="30"/>
      <c r="Y1425" s="31"/>
      <c r="Z1425" s="26">
        <f t="shared" si="5"/>
        <v>-2</v>
      </c>
      <c r="AA1425" s="26">
        <f t="shared" si="6"/>
        <v>-2</v>
      </c>
      <c r="AB1425" s="32">
        <f t="shared" si="7"/>
        <v>-2</v>
      </c>
      <c r="AC1425" s="32" t="str">
        <f t="shared" ref="AC1425:AG1425" si="1429">IF(J1425&lt;&gt;"", IF(AND($P1425=FALSE, $A1425=FALSE), -J1425, IF(AND($P1425=FALSE, $A1425=TRUE), 0, IF($P1425=TRUE, (J1425 / $R1425) * 100 * ($S1425 / 100)-J1425, ))), )</f>
        <v/>
      </c>
      <c r="AD1425" s="32" t="str">
        <f t="shared" si="1429"/>
        <v/>
      </c>
      <c r="AE1425" s="32" t="str">
        <f t="shared" si="1429"/>
        <v/>
      </c>
      <c r="AF1425" s="32" t="str">
        <f t="shared" si="1429"/>
        <v/>
      </c>
      <c r="AG1425" s="32" t="str">
        <f t="shared" si="1429"/>
        <v/>
      </c>
      <c r="AH1425" s="33"/>
    </row>
    <row r="1426" hidden="1" outlineLevel="3">
      <c r="A1426" s="16" t="b">
        <v>0</v>
      </c>
      <c r="B1426" s="17"/>
      <c r="C1426" s="18"/>
      <c r="D1426" s="19"/>
      <c r="E1426" s="20"/>
      <c r="F1426" s="21"/>
      <c r="G1426" s="22"/>
      <c r="H1426" s="22"/>
      <c r="I1426" s="23"/>
      <c r="J1426" s="22"/>
      <c r="K1426" s="23"/>
      <c r="L1426" s="22"/>
      <c r="M1426" s="23"/>
      <c r="N1426" s="23"/>
      <c r="O1426" s="24"/>
      <c r="P1426" s="16" t="b">
        <v>0</v>
      </c>
      <c r="Q1426" s="24"/>
      <c r="R1426" s="25"/>
      <c r="S1426" s="26"/>
      <c r="T1426" s="27"/>
      <c r="U1426" s="24"/>
      <c r="V1426" s="38" t="s">
        <v>29</v>
      </c>
      <c r="W1426" s="29" t="s">
        <v>22</v>
      </c>
      <c r="X1426" s="37" t="s">
        <v>943</v>
      </c>
      <c r="Y1426" s="31"/>
      <c r="Z1426" s="26" t="str">
        <f t="shared" si="5"/>
        <v/>
      </c>
      <c r="AA1426" s="26" t="str">
        <f t="shared" si="6"/>
        <v/>
      </c>
      <c r="AB1426" s="32" t="str">
        <f t="shared" si="7"/>
        <v/>
      </c>
      <c r="AC1426" s="32" t="str">
        <f t="shared" ref="AC1426:AG1426" si="1430">IF(J1426&lt;&gt;"", IF(AND($P1426=FALSE, $A1426=FALSE), -J1426, IF(AND($P1426=FALSE, $A1426=TRUE), 0, IF($P1426=TRUE, (J1426 / $R1426) * 100 * ($S1426 / 100)-J1426, ))), )</f>
        <v/>
      </c>
      <c r="AD1426" s="32" t="str">
        <f t="shared" si="1430"/>
        <v/>
      </c>
      <c r="AE1426" s="32" t="str">
        <f t="shared" si="1430"/>
        <v/>
      </c>
      <c r="AF1426" s="32" t="str">
        <f t="shared" si="1430"/>
        <v/>
      </c>
      <c r="AG1426" s="32" t="str">
        <f t="shared" si="1430"/>
        <v/>
      </c>
      <c r="AH1426" s="33"/>
    </row>
    <row r="1427" hidden="1" outlineLevel="3">
      <c r="A1427" s="16" t="b">
        <v>0</v>
      </c>
      <c r="B1427" s="17"/>
      <c r="C1427" s="18"/>
      <c r="D1427" s="19"/>
      <c r="E1427" s="20"/>
      <c r="F1427" s="21"/>
      <c r="G1427" s="22"/>
      <c r="H1427" s="22"/>
      <c r="I1427" s="23"/>
      <c r="J1427" s="22"/>
      <c r="K1427" s="23"/>
      <c r="L1427" s="22"/>
      <c r="M1427" s="23"/>
      <c r="N1427" s="23"/>
      <c r="O1427" s="24"/>
      <c r="P1427" s="16" t="b">
        <v>0</v>
      </c>
      <c r="Q1427" s="24"/>
      <c r="R1427" s="25"/>
      <c r="S1427" s="26"/>
      <c r="T1427" s="27"/>
      <c r="U1427" s="24"/>
      <c r="V1427" s="66" t="s">
        <v>358</v>
      </c>
      <c r="W1427" s="29" t="s">
        <v>22</v>
      </c>
      <c r="X1427" s="37" t="s">
        <v>944</v>
      </c>
      <c r="Y1427" s="31"/>
      <c r="Z1427" s="26" t="str">
        <f t="shared" si="5"/>
        <v/>
      </c>
      <c r="AA1427" s="26" t="str">
        <f t="shared" si="6"/>
        <v/>
      </c>
      <c r="AB1427" s="32" t="str">
        <f t="shared" si="7"/>
        <v/>
      </c>
      <c r="AC1427" s="32" t="str">
        <f t="shared" ref="AC1427:AG1427" si="1431">IF(J1427&lt;&gt;"", IF(AND($P1427=FALSE, $A1427=FALSE), -J1427, IF(AND($P1427=FALSE, $A1427=TRUE), 0, IF($P1427=TRUE, (J1427 / $R1427) * 100 * ($S1427 / 100)-J1427, ))), )</f>
        <v/>
      </c>
      <c r="AD1427" s="32" t="str">
        <f t="shared" si="1431"/>
        <v/>
      </c>
      <c r="AE1427" s="32" t="str">
        <f t="shared" si="1431"/>
        <v/>
      </c>
      <c r="AF1427" s="32" t="str">
        <f t="shared" si="1431"/>
        <v/>
      </c>
      <c r="AG1427" s="32" t="str">
        <f t="shared" si="1431"/>
        <v/>
      </c>
      <c r="AH1427" s="33"/>
    </row>
    <row r="1428" hidden="1" outlineLevel="3">
      <c r="A1428" s="16" t="b">
        <v>0</v>
      </c>
      <c r="B1428" s="17"/>
      <c r="C1428" s="18"/>
      <c r="D1428" s="19"/>
      <c r="E1428" s="20"/>
      <c r="F1428" s="21"/>
      <c r="G1428" s="22"/>
      <c r="H1428" s="22"/>
      <c r="I1428" s="23"/>
      <c r="J1428" s="22"/>
      <c r="K1428" s="23"/>
      <c r="L1428" s="22"/>
      <c r="M1428" s="23"/>
      <c r="N1428" s="23"/>
      <c r="O1428" s="24"/>
      <c r="P1428" s="16" t="b">
        <v>0</v>
      </c>
      <c r="Q1428" s="24"/>
      <c r="R1428" s="25"/>
      <c r="S1428" s="26"/>
      <c r="T1428" s="27"/>
      <c r="U1428" s="24"/>
      <c r="V1428" s="28" t="s">
        <v>32</v>
      </c>
      <c r="W1428" s="29" t="s">
        <v>22</v>
      </c>
      <c r="X1428" s="37" t="s">
        <v>945</v>
      </c>
      <c r="Y1428" s="31"/>
      <c r="Z1428" s="26" t="str">
        <f t="shared" si="5"/>
        <v/>
      </c>
      <c r="AA1428" s="26" t="str">
        <f t="shared" si="6"/>
        <v/>
      </c>
      <c r="AB1428" s="32" t="str">
        <f t="shared" si="7"/>
        <v/>
      </c>
      <c r="AC1428" s="32" t="str">
        <f t="shared" ref="AC1428:AG1428" si="1432">IF(J1428&lt;&gt;"", IF(AND($P1428=FALSE, $A1428=FALSE), -J1428, IF(AND($P1428=FALSE, $A1428=TRUE), 0, IF($P1428=TRUE, (J1428 / $R1428) * 100 * ($S1428 / 100)-J1428, ))), )</f>
        <v/>
      </c>
      <c r="AD1428" s="32" t="str">
        <f t="shared" si="1432"/>
        <v/>
      </c>
      <c r="AE1428" s="32" t="str">
        <f t="shared" si="1432"/>
        <v/>
      </c>
      <c r="AF1428" s="32" t="str">
        <f t="shared" si="1432"/>
        <v/>
      </c>
      <c r="AG1428" s="32" t="str">
        <f t="shared" si="1432"/>
        <v/>
      </c>
      <c r="AH1428" s="33"/>
    </row>
    <row r="1429" hidden="1" outlineLevel="3">
      <c r="A1429" s="16" t="b">
        <v>0</v>
      </c>
      <c r="B1429" s="17"/>
      <c r="C1429" s="18"/>
      <c r="D1429" s="19"/>
      <c r="E1429" s="20"/>
      <c r="F1429" s="21"/>
      <c r="G1429" s="22"/>
      <c r="H1429" s="22"/>
      <c r="I1429" s="23"/>
      <c r="J1429" s="22"/>
      <c r="K1429" s="23"/>
      <c r="L1429" s="22"/>
      <c r="M1429" s="23"/>
      <c r="N1429" s="23"/>
      <c r="O1429" s="24"/>
      <c r="P1429" s="16" t="b">
        <v>0</v>
      </c>
      <c r="Q1429" s="24"/>
      <c r="R1429" s="25"/>
      <c r="S1429" s="26"/>
      <c r="T1429" s="27"/>
      <c r="U1429" s="24"/>
      <c r="V1429" s="38" t="s">
        <v>29</v>
      </c>
      <c r="W1429" s="29" t="s">
        <v>22</v>
      </c>
      <c r="X1429" s="37" t="s">
        <v>946</v>
      </c>
      <c r="Y1429" s="31"/>
      <c r="Z1429" s="26" t="str">
        <f t="shared" si="5"/>
        <v/>
      </c>
      <c r="AA1429" s="26" t="str">
        <f t="shared" si="6"/>
        <v/>
      </c>
      <c r="AB1429" s="32" t="str">
        <f t="shared" si="7"/>
        <v/>
      </c>
      <c r="AC1429" s="32" t="str">
        <f t="shared" ref="AC1429:AG1429" si="1433">IF(J1429&lt;&gt;"", IF(AND($P1429=FALSE, $A1429=FALSE), -J1429, IF(AND($P1429=FALSE, $A1429=TRUE), 0, IF($P1429=TRUE, (J1429 / $R1429) * 100 * ($S1429 / 100)-J1429, ))), )</f>
        <v/>
      </c>
      <c r="AD1429" s="32" t="str">
        <f t="shared" si="1433"/>
        <v/>
      </c>
      <c r="AE1429" s="32" t="str">
        <f t="shared" si="1433"/>
        <v/>
      </c>
      <c r="AF1429" s="32" t="str">
        <f t="shared" si="1433"/>
        <v/>
      </c>
      <c r="AG1429" s="32" t="str">
        <f t="shared" si="1433"/>
        <v/>
      </c>
      <c r="AH1429" s="33"/>
    </row>
    <row r="1430" hidden="1" outlineLevel="2" collapsed="1">
      <c r="A1430" s="16" t="b">
        <v>0</v>
      </c>
      <c r="B1430" s="17"/>
      <c r="C1430" s="18"/>
      <c r="D1430" s="42">
        <v>45281.0</v>
      </c>
      <c r="E1430" s="80" t="s">
        <v>60</v>
      </c>
      <c r="F1430" s="53" t="s">
        <v>630</v>
      </c>
      <c r="G1430" s="45">
        <v>4.0</v>
      </c>
      <c r="H1430" s="45">
        <v>2.0</v>
      </c>
      <c r="I1430" s="45">
        <v>4.0</v>
      </c>
      <c r="J1430" s="45"/>
      <c r="K1430" s="79"/>
      <c r="L1430" s="45"/>
      <c r="M1430" s="46"/>
      <c r="N1430" s="46"/>
      <c r="O1430" s="47"/>
      <c r="P1430" s="16" t="b">
        <v>0</v>
      </c>
      <c r="Q1430" s="24"/>
      <c r="R1430" s="48">
        <v>10.0</v>
      </c>
      <c r="S1430" s="45">
        <v>22.81</v>
      </c>
      <c r="T1430" s="49" t="s">
        <v>367</v>
      </c>
      <c r="U1430" s="47"/>
      <c r="V1430" s="28"/>
      <c r="W1430" s="29"/>
      <c r="X1430" s="30"/>
      <c r="Y1430" s="31"/>
      <c r="Z1430" s="26">
        <f t="shared" si="5"/>
        <v>-4</v>
      </c>
      <c r="AA1430" s="26">
        <f t="shared" si="6"/>
        <v>-4</v>
      </c>
      <c r="AB1430" s="32">
        <f t="shared" si="7"/>
        <v>-2</v>
      </c>
      <c r="AC1430" s="32" t="str">
        <f t="shared" ref="AC1430:AG1430" si="1434">IF(J1430&lt;&gt;"", IF(AND($P1430=FALSE, $A1430=FALSE), -J1430, IF(AND($P1430=FALSE, $A1430=TRUE), 0, IF($P1430=TRUE, (J1430 / $R1430) * 100 * ($S1430 / 100)-J1430, ))), )</f>
        <v/>
      </c>
      <c r="AD1430" s="32" t="str">
        <f t="shared" si="1434"/>
        <v/>
      </c>
      <c r="AE1430" s="32" t="str">
        <f t="shared" si="1434"/>
        <v/>
      </c>
      <c r="AF1430" s="32" t="str">
        <f t="shared" si="1434"/>
        <v/>
      </c>
      <c r="AG1430" s="32" t="str">
        <f t="shared" si="1434"/>
        <v/>
      </c>
      <c r="AH1430" s="33"/>
    </row>
    <row r="1431" hidden="1" outlineLevel="3">
      <c r="A1431" s="16" t="b">
        <v>0</v>
      </c>
      <c r="B1431" s="17"/>
      <c r="C1431" s="18"/>
      <c r="D1431" s="19"/>
      <c r="E1431" s="20"/>
      <c r="F1431" s="21"/>
      <c r="G1431" s="22"/>
      <c r="H1431" s="22"/>
      <c r="I1431" s="23"/>
      <c r="J1431" s="22"/>
      <c r="K1431" s="23"/>
      <c r="L1431" s="22"/>
      <c r="M1431" s="23"/>
      <c r="N1431" s="23"/>
      <c r="O1431" s="24"/>
      <c r="P1431" s="16" t="b">
        <v>0</v>
      </c>
      <c r="Q1431" s="24"/>
      <c r="R1431" s="25"/>
      <c r="S1431" s="26"/>
      <c r="T1431" s="27"/>
      <c r="U1431" s="24"/>
      <c r="V1431" s="28" t="s">
        <v>32</v>
      </c>
      <c r="W1431" s="29" t="s">
        <v>22</v>
      </c>
      <c r="X1431" s="37" t="s">
        <v>947</v>
      </c>
      <c r="Y1431" s="31"/>
      <c r="Z1431" s="26" t="str">
        <f t="shared" si="5"/>
        <v/>
      </c>
      <c r="AA1431" s="26" t="str">
        <f t="shared" si="6"/>
        <v/>
      </c>
      <c r="AB1431" s="32" t="str">
        <f t="shared" si="7"/>
        <v/>
      </c>
      <c r="AC1431" s="32" t="str">
        <f t="shared" ref="AC1431:AG1431" si="1435">IF(J1431&lt;&gt;"", IF(AND($P1431=FALSE, $A1431=FALSE), -J1431, IF(AND($P1431=FALSE, $A1431=TRUE), 0, IF($P1431=TRUE, (J1431 / $R1431) * 100 * ($S1431 / 100)-J1431, ))), )</f>
        <v/>
      </c>
      <c r="AD1431" s="32" t="str">
        <f t="shared" si="1435"/>
        <v/>
      </c>
      <c r="AE1431" s="32" t="str">
        <f t="shared" si="1435"/>
        <v/>
      </c>
      <c r="AF1431" s="32" t="str">
        <f t="shared" si="1435"/>
        <v/>
      </c>
      <c r="AG1431" s="32" t="str">
        <f t="shared" si="1435"/>
        <v/>
      </c>
      <c r="AH1431" s="33"/>
    </row>
    <row r="1432" hidden="1" outlineLevel="3">
      <c r="A1432" s="16" t="b">
        <v>0</v>
      </c>
      <c r="B1432" s="17"/>
      <c r="C1432" s="18"/>
      <c r="D1432" s="19"/>
      <c r="E1432" s="20"/>
      <c r="F1432" s="21"/>
      <c r="G1432" s="22"/>
      <c r="H1432" s="22"/>
      <c r="I1432" s="23"/>
      <c r="J1432" s="22"/>
      <c r="K1432" s="23"/>
      <c r="L1432" s="22"/>
      <c r="M1432" s="23"/>
      <c r="N1432" s="23"/>
      <c r="O1432" s="24"/>
      <c r="P1432" s="16" t="b">
        <v>0</v>
      </c>
      <c r="Q1432" s="24"/>
      <c r="R1432" s="25"/>
      <c r="S1432" s="26"/>
      <c r="T1432" s="27"/>
      <c r="U1432" s="24"/>
      <c r="V1432" s="38" t="s">
        <v>29</v>
      </c>
      <c r="W1432" s="29" t="s">
        <v>22</v>
      </c>
      <c r="X1432" s="37" t="s">
        <v>927</v>
      </c>
      <c r="Y1432" s="31"/>
      <c r="Z1432" s="26" t="str">
        <f t="shared" si="5"/>
        <v/>
      </c>
      <c r="AA1432" s="26" t="str">
        <f t="shared" si="6"/>
        <v/>
      </c>
      <c r="AB1432" s="32" t="str">
        <f t="shared" si="7"/>
        <v/>
      </c>
      <c r="AC1432" s="32" t="str">
        <f t="shared" ref="AC1432:AG1432" si="1436">IF(J1432&lt;&gt;"", IF(AND($P1432=FALSE, $A1432=FALSE), -J1432, IF(AND($P1432=FALSE, $A1432=TRUE), 0, IF($P1432=TRUE, (J1432 / $R1432) * 100 * ($S1432 / 100)-J1432, ))), )</f>
        <v/>
      </c>
      <c r="AD1432" s="32" t="str">
        <f t="shared" si="1436"/>
        <v/>
      </c>
      <c r="AE1432" s="32" t="str">
        <f t="shared" si="1436"/>
        <v/>
      </c>
      <c r="AF1432" s="32" t="str">
        <f t="shared" si="1436"/>
        <v/>
      </c>
      <c r="AG1432" s="32" t="str">
        <f t="shared" si="1436"/>
        <v/>
      </c>
      <c r="AH1432" s="33"/>
    </row>
    <row r="1433" hidden="1" outlineLevel="3">
      <c r="A1433" s="16" t="b">
        <v>0</v>
      </c>
      <c r="B1433" s="17"/>
      <c r="C1433" s="18"/>
      <c r="D1433" s="19"/>
      <c r="E1433" s="20"/>
      <c r="F1433" s="21"/>
      <c r="G1433" s="22"/>
      <c r="H1433" s="22"/>
      <c r="I1433" s="23"/>
      <c r="J1433" s="22"/>
      <c r="K1433" s="23"/>
      <c r="L1433" s="22"/>
      <c r="M1433" s="23"/>
      <c r="N1433" s="23"/>
      <c r="O1433" s="24"/>
      <c r="P1433" s="16" t="b">
        <v>0</v>
      </c>
      <c r="Q1433" s="24"/>
      <c r="R1433" s="25"/>
      <c r="S1433" s="26"/>
      <c r="T1433" s="27"/>
      <c r="U1433" s="24"/>
      <c r="V1433" s="38" t="s">
        <v>29</v>
      </c>
      <c r="W1433" s="29" t="s">
        <v>22</v>
      </c>
      <c r="X1433" s="37" t="s">
        <v>948</v>
      </c>
      <c r="Y1433" s="31"/>
      <c r="Z1433" s="26" t="str">
        <f t="shared" si="5"/>
        <v/>
      </c>
      <c r="AA1433" s="26" t="str">
        <f t="shared" si="6"/>
        <v/>
      </c>
      <c r="AB1433" s="32" t="str">
        <f t="shared" si="7"/>
        <v/>
      </c>
      <c r="AC1433" s="32" t="str">
        <f t="shared" ref="AC1433:AG1433" si="1437">IF(J1433&lt;&gt;"", IF(AND($P1433=FALSE, $A1433=FALSE), -J1433, IF(AND($P1433=FALSE, $A1433=TRUE), 0, IF($P1433=TRUE, (J1433 / $R1433) * 100 * ($S1433 / 100)-J1433, ))), )</f>
        <v/>
      </c>
      <c r="AD1433" s="32" t="str">
        <f t="shared" si="1437"/>
        <v/>
      </c>
      <c r="AE1433" s="32" t="str">
        <f t="shared" si="1437"/>
        <v/>
      </c>
      <c r="AF1433" s="32" t="str">
        <f t="shared" si="1437"/>
        <v/>
      </c>
      <c r="AG1433" s="32" t="str">
        <f t="shared" si="1437"/>
        <v/>
      </c>
      <c r="AH1433" s="33"/>
    </row>
    <row r="1434" hidden="1" outlineLevel="2">
      <c r="A1434" s="16" t="b">
        <v>0</v>
      </c>
      <c r="B1434" s="17"/>
      <c r="C1434" s="18"/>
      <c r="D1434" s="42">
        <v>45281.0</v>
      </c>
      <c r="E1434" s="43" t="s">
        <v>24</v>
      </c>
      <c r="F1434" s="53" t="s">
        <v>934</v>
      </c>
      <c r="G1434" s="45">
        <v>2.5</v>
      </c>
      <c r="H1434" s="45">
        <v>1.5</v>
      </c>
      <c r="I1434" s="45">
        <v>6.0</v>
      </c>
      <c r="J1434" s="46"/>
      <c r="K1434" s="46"/>
      <c r="L1434" s="45"/>
      <c r="M1434" s="46"/>
      <c r="N1434" s="46"/>
      <c r="O1434" s="47"/>
      <c r="P1434" s="16" t="b">
        <v>1</v>
      </c>
      <c r="Q1434" s="24"/>
      <c r="R1434" s="48">
        <v>10.0</v>
      </c>
      <c r="S1434" s="45">
        <v>20.0</v>
      </c>
      <c r="T1434" s="49">
        <v>-100.0</v>
      </c>
      <c r="U1434" s="47"/>
      <c r="V1434" s="28"/>
      <c r="W1434" s="29"/>
      <c r="X1434" s="30"/>
      <c r="Y1434" s="31"/>
      <c r="Z1434" s="26">
        <f t="shared" si="5"/>
        <v>2.5</v>
      </c>
      <c r="AA1434" s="26">
        <f t="shared" si="6"/>
        <v>6</v>
      </c>
      <c r="AB1434" s="32">
        <f t="shared" si="7"/>
        <v>1.5</v>
      </c>
      <c r="AC1434" s="32" t="str">
        <f t="shared" ref="AC1434:AG1434" si="1438">IF(J1434&lt;&gt;"", IF(AND($P1434=FALSE, $A1434=FALSE), -J1434, IF(AND($P1434=FALSE, $A1434=TRUE), 0, IF($P1434=TRUE, (J1434 / $R1434) * 100 * ($S1434 / 100)-J1434, ))), )</f>
        <v/>
      </c>
      <c r="AD1434" s="32" t="str">
        <f t="shared" si="1438"/>
        <v/>
      </c>
      <c r="AE1434" s="32" t="str">
        <f t="shared" si="1438"/>
        <v/>
      </c>
      <c r="AF1434" s="32" t="str">
        <f t="shared" si="1438"/>
        <v/>
      </c>
      <c r="AG1434" s="32" t="str">
        <f t="shared" si="1438"/>
        <v/>
      </c>
      <c r="AH1434" s="33"/>
    </row>
    <row r="1435" hidden="1" outlineLevel="3">
      <c r="A1435" s="16" t="b">
        <v>0</v>
      </c>
      <c r="B1435" s="17"/>
      <c r="C1435" s="18"/>
      <c r="D1435" s="19"/>
      <c r="E1435" s="20"/>
      <c r="F1435" s="21"/>
      <c r="G1435" s="22"/>
      <c r="H1435" s="22"/>
      <c r="I1435" s="23"/>
      <c r="J1435" s="22"/>
      <c r="K1435" s="23"/>
      <c r="L1435" s="22"/>
      <c r="M1435" s="23"/>
      <c r="N1435" s="23"/>
      <c r="O1435" s="24"/>
      <c r="P1435" s="16" t="b">
        <v>0</v>
      </c>
      <c r="Q1435" s="24"/>
      <c r="R1435" s="25"/>
      <c r="S1435" s="26"/>
      <c r="T1435" s="27"/>
      <c r="U1435" s="24"/>
      <c r="V1435" s="38" t="s">
        <v>29</v>
      </c>
      <c r="W1435" s="29" t="s">
        <v>22</v>
      </c>
      <c r="X1435" s="37" t="s">
        <v>949</v>
      </c>
      <c r="Y1435" s="31"/>
      <c r="Z1435" s="26" t="str">
        <f t="shared" si="5"/>
        <v/>
      </c>
      <c r="AA1435" s="26" t="str">
        <f t="shared" si="6"/>
        <v/>
      </c>
      <c r="AB1435" s="32" t="str">
        <f t="shared" si="7"/>
        <v/>
      </c>
      <c r="AC1435" s="32" t="str">
        <f t="shared" ref="AC1435:AG1435" si="1439">IF(J1435&lt;&gt;"", IF(AND($P1435=FALSE, $A1435=FALSE), -J1435, IF(AND($P1435=FALSE, $A1435=TRUE), 0, IF($P1435=TRUE, (J1435 / $R1435) * 100 * ($S1435 / 100)-J1435, ))), )</f>
        <v/>
      </c>
      <c r="AD1435" s="32" t="str">
        <f t="shared" si="1439"/>
        <v/>
      </c>
      <c r="AE1435" s="32" t="str">
        <f t="shared" si="1439"/>
        <v/>
      </c>
      <c r="AF1435" s="32" t="str">
        <f t="shared" si="1439"/>
        <v/>
      </c>
      <c r="AG1435" s="32" t="str">
        <f t="shared" si="1439"/>
        <v/>
      </c>
      <c r="AH1435" s="33"/>
    </row>
    <row r="1436" hidden="1" outlineLevel="1" collapsed="1">
      <c r="A1436" s="16" t="b">
        <v>0</v>
      </c>
      <c r="B1436" s="17"/>
      <c r="C1436" s="18"/>
      <c r="D1436" s="42">
        <v>45282.0</v>
      </c>
      <c r="E1436" s="80" t="s">
        <v>60</v>
      </c>
      <c r="F1436" s="53" t="s">
        <v>630</v>
      </c>
      <c r="G1436" s="45">
        <v>2.0</v>
      </c>
      <c r="H1436" s="45">
        <v>1.0</v>
      </c>
      <c r="I1436" s="45">
        <v>2.0</v>
      </c>
      <c r="J1436" s="45"/>
      <c r="K1436" s="79"/>
      <c r="L1436" s="45"/>
      <c r="M1436" s="46"/>
      <c r="N1436" s="46"/>
      <c r="O1436" s="47"/>
      <c r="P1436" s="16" t="b">
        <v>1</v>
      </c>
      <c r="Q1436" s="24"/>
      <c r="R1436" s="48">
        <v>5.0</v>
      </c>
      <c r="S1436" s="45">
        <v>10.78</v>
      </c>
      <c r="T1436" s="49" t="s">
        <v>489</v>
      </c>
      <c r="U1436" s="47"/>
      <c r="V1436" s="28"/>
      <c r="W1436" s="29"/>
      <c r="X1436" s="30"/>
      <c r="Y1436" s="31"/>
      <c r="Z1436" s="26">
        <f t="shared" si="5"/>
        <v>2.312</v>
      </c>
      <c r="AA1436" s="26">
        <f t="shared" si="6"/>
        <v>2.312</v>
      </c>
      <c r="AB1436" s="32">
        <f t="shared" si="7"/>
        <v>1.156</v>
      </c>
      <c r="AC1436" s="32" t="str">
        <f t="shared" ref="AC1436:AG1436" si="1440">IF(J1436&lt;&gt;"", IF(AND($P1436=FALSE, $A1436=FALSE), -J1436, IF(AND($P1436=FALSE, $A1436=TRUE), 0, IF($P1436=TRUE, (J1436 / $R1436) * 100 * ($S1436 / 100)-J1436, ))), )</f>
        <v/>
      </c>
      <c r="AD1436" s="32" t="str">
        <f t="shared" si="1440"/>
        <v/>
      </c>
      <c r="AE1436" s="32" t="str">
        <f t="shared" si="1440"/>
        <v/>
      </c>
      <c r="AF1436" s="32" t="str">
        <f t="shared" si="1440"/>
        <v/>
      </c>
      <c r="AG1436" s="32" t="str">
        <f t="shared" si="1440"/>
        <v/>
      </c>
      <c r="AH1436" s="33"/>
    </row>
    <row r="1437" hidden="1" outlineLevel="3">
      <c r="A1437" s="16" t="b">
        <v>0</v>
      </c>
      <c r="B1437" s="17"/>
      <c r="C1437" s="18"/>
      <c r="D1437" s="19"/>
      <c r="E1437" s="20"/>
      <c r="F1437" s="21"/>
      <c r="G1437" s="22"/>
      <c r="H1437" s="22"/>
      <c r="I1437" s="23"/>
      <c r="J1437" s="22"/>
      <c r="K1437" s="23"/>
      <c r="L1437" s="22"/>
      <c r="M1437" s="23"/>
      <c r="N1437" s="23"/>
      <c r="O1437" s="24"/>
      <c r="P1437" s="16" t="b">
        <v>0</v>
      </c>
      <c r="Q1437" s="24"/>
      <c r="R1437" s="25"/>
      <c r="S1437" s="26"/>
      <c r="T1437" s="27"/>
      <c r="U1437" s="24"/>
      <c r="V1437" s="38" t="s">
        <v>29</v>
      </c>
      <c r="W1437" s="29" t="s">
        <v>22</v>
      </c>
      <c r="X1437" s="37" t="s">
        <v>455</v>
      </c>
      <c r="Y1437" s="31"/>
      <c r="Z1437" s="26" t="str">
        <f t="shared" si="5"/>
        <v/>
      </c>
      <c r="AA1437" s="26" t="str">
        <f t="shared" si="6"/>
        <v/>
      </c>
      <c r="AB1437" s="32" t="str">
        <f t="shared" si="7"/>
        <v/>
      </c>
      <c r="AC1437" s="32" t="str">
        <f t="shared" ref="AC1437:AG1437" si="1441">IF(J1437&lt;&gt;"", IF(AND($P1437=FALSE, $A1437=FALSE), -J1437, IF(AND($P1437=FALSE, $A1437=TRUE), 0, IF($P1437=TRUE, (J1437 / $R1437) * 100 * ($S1437 / 100)-J1437, ))), )</f>
        <v/>
      </c>
      <c r="AD1437" s="32" t="str">
        <f t="shared" si="1441"/>
        <v/>
      </c>
      <c r="AE1437" s="32" t="str">
        <f t="shared" si="1441"/>
        <v/>
      </c>
      <c r="AF1437" s="32" t="str">
        <f t="shared" si="1441"/>
        <v/>
      </c>
      <c r="AG1437" s="32" t="str">
        <f t="shared" si="1441"/>
        <v/>
      </c>
      <c r="AH1437" s="33"/>
    </row>
    <row r="1438" hidden="1" outlineLevel="3">
      <c r="A1438" s="16" t="b">
        <v>0</v>
      </c>
      <c r="B1438" s="17"/>
      <c r="C1438" s="18"/>
      <c r="D1438" s="19"/>
      <c r="E1438" s="20"/>
      <c r="F1438" s="21"/>
      <c r="G1438" s="22"/>
      <c r="H1438" s="22"/>
      <c r="I1438" s="23"/>
      <c r="J1438" s="22"/>
      <c r="K1438" s="23"/>
      <c r="L1438" s="22"/>
      <c r="M1438" s="23"/>
      <c r="N1438" s="23"/>
      <c r="O1438" s="24"/>
      <c r="P1438" s="16" t="b">
        <v>0</v>
      </c>
      <c r="Q1438" s="24"/>
      <c r="R1438" s="25"/>
      <c r="S1438" s="26"/>
      <c r="T1438" s="27"/>
      <c r="U1438" s="24"/>
      <c r="V1438" s="38" t="s">
        <v>29</v>
      </c>
      <c r="W1438" s="29" t="s">
        <v>22</v>
      </c>
      <c r="X1438" s="37" t="s">
        <v>454</v>
      </c>
      <c r="Y1438" s="31"/>
      <c r="Z1438" s="26" t="str">
        <f t="shared" si="5"/>
        <v/>
      </c>
      <c r="AA1438" s="26" t="str">
        <f t="shared" si="6"/>
        <v/>
      </c>
      <c r="AB1438" s="32" t="str">
        <f t="shared" si="7"/>
        <v/>
      </c>
      <c r="AC1438" s="32" t="str">
        <f t="shared" ref="AC1438:AG1438" si="1442">IF(J1438&lt;&gt;"", IF(AND($P1438=FALSE, $A1438=FALSE), -J1438, IF(AND($P1438=FALSE, $A1438=TRUE), 0, IF($P1438=TRUE, (J1438 / $R1438) * 100 * ($S1438 / 100)-J1438, ))), )</f>
        <v/>
      </c>
      <c r="AD1438" s="32" t="str">
        <f t="shared" si="1442"/>
        <v/>
      </c>
      <c r="AE1438" s="32" t="str">
        <f t="shared" si="1442"/>
        <v/>
      </c>
      <c r="AF1438" s="32" t="str">
        <f t="shared" si="1442"/>
        <v/>
      </c>
      <c r="AG1438" s="32" t="str">
        <f t="shared" si="1442"/>
        <v/>
      </c>
      <c r="AH1438" s="33"/>
    </row>
    <row r="1439" hidden="1" outlineLevel="3">
      <c r="A1439" s="16" t="b">
        <v>0</v>
      </c>
      <c r="B1439" s="17"/>
      <c r="C1439" s="18"/>
      <c r="D1439" s="19"/>
      <c r="E1439" s="20"/>
      <c r="F1439" s="21"/>
      <c r="G1439" s="22"/>
      <c r="H1439" s="22"/>
      <c r="I1439" s="23"/>
      <c r="J1439" s="22"/>
      <c r="K1439" s="23"/>
      <c r="L1439" s="22"/>
      <c r="M1439" s="23"/>
      <c r="N1439" s="23"/>
      <c r="O1439" s="24"/>
      <c r="P1439" s="16" t="b">
        <v>0</v>
      </c>
      <c r="Q1439" s="24"/>
      <c r="R1439" s="25"/>
      <c r="S1439" s="26"/>
      <c r="T1439" s="27"/>
      <c r="U1439" s="24"/>
      <c r="V1439" s="38" t="s">
        <v>29</v>
      </c>
      <c r="W1439" s="29" t="s">
        <v>22</v>
      </c>
      <c r="X1439" s="37" t="s">
        <v>815</v>
      </c>
      <c r="Y1439" s="31"/>
      <c r="Z1439" s="26" t="str">
        <f t="shared" si="5"/>
        <v/>
      </c>
      <c r="AA1439" s="26" t="str">
        <f t="shared" si="6"/>
        <v/>
      </c>
      <c r="AB1439" s="32" t="str">
        <f t="shared" si="7"/>
        <v/>
      </c>
      <c r="AC1439" s="32" t="str">
        <f t="shared" ref="AC1439:AG1439" si="1443">IF(J1439&lt;&gt;"", IF(AND($P1439=FALSE, $A1439=FALSE), -J1439, IF(AND($P1439=FALSE, $A1439=TRUE), 0, IF($P1439=TRUE, (J1439 / $R1439) * 100 * ($S1439 / 100)-J1439, ))), )</f>
        <v/>
      </c>
      <c r="AD1439" s="32" t="str">
        <f t="shared" si="1443"/>
        <v/>
      </c>
      <c r="AE1439" s="32" t="str">
        <f t="shared" si="1443"/>
        <v/>
      </c>
      <c r="AF1439" s="32" t="str">
        <f t="shared" si="1443"/>
        <v/>
      </c>
      <c r="AG1439" s="32" t="str">
        <f t="shared" si="1443"/>
        <v/>
      </c>
      <c r="AH1439" s="33"/>
    </row>
    <row r="1440" hidden="1" outlineLevel="2">
      <c r="A1440" s="16" t="b">
        <v>0</v>
      </c>
      <c r="B1440" s="17"/>
      <c r="C1440" s="18"/>
      <c r="D1440" s="42">
        <v>45282.0</v>
      </c>
      <c r="E1440" s="80" t="s">
        <v>60</v>
      </c>
      <c r="F1440" s="53" t="s">
        <v>630</v>
      </c>
      <c r="G1440" s="45">
        <v>2.0</v>
      </c>
      <c r="H1440" s="45">
        <v>1.0</v>
      </c>
      <c r="I1440" s="45">
        <v>2.0</v>
      </c>
      <c r="J1440" s="45"/>
      <c r="K1440" s="79"/>
      <c r="L1440" s="45"/>
      <c r="M1440" s="46"/>
      <c r="N1440" s="46"/>
      <c r="O1440" s="47"/>
      <c r="P1440" s="16" t="b">
        <v>1</v>
      </c>
      <c r="Q1440" s="24"/>
      <c r="R1440" s="48">
        <v>5.0</v>
      </c>
      <c r="S1440" s="45">
        <v>11.34</v>
      </c>
      <c r="T1440" s="49" t="s">
        <v>275</v>
      </c>
      <c r="U1440" s="47"/>
      <c r="V1440" s="28"/>
      <c r="W1440" s="29"/>
      <c r="X1440" s="30"/>
      <c r="Y1440" s="31"/>
      <c r="Z1440" s="26">
        <f t="shared" si="5"/>
        <v>2.536</v>
      </c>
      <c r="AA1440" s="26">
        <f t="shared" si="6"/>
        <v>2.536</v>
      </c>
      <c r="AB1440" s="32">
        <f t="shared" si="7"/>
        <v>1.268</v>
      </c>
      <c r="AC1440" s="32" t="str">
        <f t="shared" ref="AC1440:AG1440" si="1444">IF(J1440&lt;&gt;"", IF(AND($P1440=FALSE, $A1440=FALSE), -J1440, IF(AND($P1440=FALSE, $A1440=TRUE), 0, IF($P1440=TRUE, (J1440 / $R1440) * 100 * ($S1440 / 100)-J1440, ))), )</f>
        <v/>
      </c>
      <c r="AD1440" s="32" t="str">
        <f t="shared" si="1444"/>
        <v/>
      </c>
      <c r="AE1440" s="32" t="str">
        <f t="shared" si="1444"/>
        <v/>
      </c>
      <c r="AF1440" s="32" t="str">
        <f t="shared" si="1444"/>
        <v/>
      </c>
      <c r="AG1440" s="32" t="str">
        <f t="shared" si="1444"/>
        <v/>
      </c>
      <c r="AH1440" s="33"/>
    </row>
    <row r="1441" hidden="1" outlineLevel="3">
      <c r="A1441" s="16" t="b">
        <v>0</v>
      </c>
      <c r="B1441" s="17"/>
      <c r="C1441" s="18"/>
      <c r="D1441" s="19"/>
      <c r="E1441" s="20"/>
      <c r="F1441" s="21"/>
      <c r="G1441" s="22"/>
      <c r="H1441" s="22"/>
      <c r="I1441" s="23"/>
      <c r="J1441" s="22"/>
      <c r="K1441" s="23"/>
      <c r="L1441" s="22"/>
      <c r="M1441" s="23"/>
      <c r="N1441" s="23"/>
      <c r="O1441" s="24"/>
      <c r="P1441" s="16" t="b">
        <v>0</v>
      </c>
      <c r="Q1441" s="24"/>
      <c r="R1441" s="25"/>
      <c r="S1441" s="26"/>
      <c r="T1441" s="27"/>
      <c r="U1441" s="24"/>
      <c r="V1441" s="38" t="s">
        <v>29</v>
      </c>
      <c r="W1441" s="29" t="s">
        <v>22</v>
      </c>
      <c r="X1441" s="37" t="s">
        <v>950</v>
      </c>
      <c r="Y1441" s="31"/>
      <c r="Z1441" s="26" t="str">
        <f t="shared" si="5"/>
        <v/>
      </c>
      <c r="AA1441" s="26" t="str">
        <f t="shared" si="6"/>
        <v/>
      </c>
      <c r="AB1441" s="32" t="str">
        <f t="shared" si="7"/>
        <v/>
      </c>
      <c r="AC1441" s="32" t="str">
        <f t="shared" ref="AC1441:AG1441" si="1445">IF(J1441&lt;&gt;"", IF(AND($P1441=FALSE, $A1441=FALSE), -J1441, IF(AND($P1441=FALSE, $A1441=TRUE), 0, IF($P1441=TRUE, (J1441 / $R1441) * 100 * ($S1441 / 100)-J1441, ))), )</f>
        <v/>
      </c>
      <c r="AD1441" s="32" t="str">
        <f t="shared" si="1445"/>
        <v/>
      </c>
      <c r="AE1441" s="32" t="str">
        <f t="shared" si="1445"/>
        <v/>
      </c>
      <c r="AF1441" s="32" t="str">
        <f t="shared" si="1445"/>
        <v/>
      </c>
      <c r="AG1441" s="32" t="str">
        <f t="shared" si="1445"/>
        <v/>
      </c>
      <c r="AH1441" s="33"/>
    </row>
    <row r="1442" hidden="1" outlineLevel="3">
      <c r="A1442" s="16" t="b">
        <v>0</v>
      </c>
      <c r="B1442" s="17"/>
      <c r="C1442" s="18"/>
      <c r="D1442" s="19"/>
      <c r="E1442" s="20"/>
      <c r="F1442" s="21"/>
      <c r="G1442" s="22"/>
      <c r="H1442" s="22"/>
      <c r="I1442" s="23"/>
      <c r="J1442" s="22"/>
      <c r="K1442" s="23"/>
      <c r="L1442" s="22"/>
      <c r="M1442" s="23"/>
      <c r="N1442" s="23"/>
      <c r="O1442" s="24"/>
      <c r="P1442" s="16" t="b">
        <v>0</v>
      </c>
      <c r="Q1442" s="24"/>
      <c r="R1442" s="25"/>
      <c r="S1442" s="26"/>
      <c r="T1442" s="27"/>
      <c r="U1442" s="24"/>
      <c r="V1442" s="38" t="s">
        <v>29</v>
      </c>
      <c r="W1442" s="29" t="s">
        <v>22</v>
      </c>
      <c r="X1442" s="37" t="s">
        <v>951</v>
      </c>
      <c r="Y1442" s="31"/>
      <c r="Z1442" s="26" t="str">
        <f t="shared" si="5"/>
        <v/>
      </c>
      <c r="AA1442" s="26" t="str">
        <f t="shared" si="6"/>
        <v/>
      </c>
      <c r="AB1442" s="32" t="str">
        <f t="shared" si="7"/>
        <v/>
      </c>
      <c r="AC1442" s="32" t="str">
        <f t="shared" ref="AC1442:AG1442" si="1446">IF(J1442&lt;&gt;"", IF(AND($P1442=FALSE, $A1442=FALSE), -J1442, IF(AND($P1442=FALSE, $A1442=TRUE), 0, IF($P1442=TRUE, (J1442 / $R1442) * 100 * ($S1442 / 100)-J1442, ))), )</f>
        <v/>
      </c>
      <c r="AD1442" s="32" t="str">
        <f t="shared" si="1446"/>
        <v/>
      </c>
      <c r="AE1442" s="32" t="str">
        <f t="shared" si="1446"/>
        <v/>
      </c>
      <c r="AF1442" s="32" t="str">
        <f t="shared" si="1446"/>
        <v/>
      </c>
      <c r="AG1442" s="32" t="str">
        <f t="shared" si="1446"/>
        <v/>
      </c>
      <c r="AH1442" s="33"/>
    </row>
    <row r="1443" hidden="1" outlineLevel="3">
      <c r="A1443" s="16" t="b">
        <v>0</v>
      </c>
      <c r="B1443" s="17"/>
      <c r="C1443" s="18"/>
      <c r="D1443" s="19"/>
      <c r="E1443" s="20"/>
      <c r="F1443" s="21"/>
      <c r="G1443" s="22"/>
      <c r="H1443" s="22"/>
      <c r="I1443" s="23"/>
      <c r="J1443" s="22"/>
      <c r="K1443" s="23"/>
      <c r="L1443" s="22"/>
      <c r="M1443" s="23"/>
      <c r="N1443" s="23"/>
      <c r="O1443" s="24"/>
      <c r="P1443" s="16" t="b">
        <v>0</v>
      </c>
      <c r="Q1443" s="24"/>
      <c r="R1443" s="25"/>
      <c r="S1443" s="26"/>
      <c r="T1443" s="27"/>
      <c r="U1443" s="24"/>
      <c r="V1443" s="38" t="s">
        <v>29</v>
      </c>
      <c r="W1443" s="29" t="s">
        <v>22</v>
      </c>
      <c r="X1443" s="37" t="s">
        <v>952</v>
      </c>
      <c r="Y1443" s="31"/>
      <c r="Z1443" s="26" t="str">
        <f t="shared" si="5"/>
        <v/>
      </c>
      <c r="AA1443" s="26" t="str">
        <f t="shared" si="6"/>
        <v/>
      </c>
      <c r="AB1443" s="32" t="str">
        <f t="shared" si="7"/>
        <v/>
      </c>
      <c r="AC1443" s="32" t="str">
        <f t="shared" ref="AC1443:AG1443" si="1447">IF(J1443&lt;&gt;"", IF(AND($P1443=FALSE, $A1443=FALSE), -J1443, IF(AND($P1443=FALSE, $A1443=TRUE), 0, IF($P1443=TRUE, (J1443 / $R1443) * 100 * ($S1443 / 100)-J1443, ))), )</f>
        <v/>
      </c>
      <c r="AD1443" s="32" t="str">
        <f t="shared" si="1447"/>
        <v/>
      </c>
      <c r="AE1443" s="32" t="str">
        <f t="shared" si="1447"/>
        <v/>
      </c>
      <c r="AF1443" s="32" t="str">
        <f t="shared" si="1447"/>
        <v/>
      </c>
      <c r="AG1443" s="32" t="str">
        <f t="shared" si="1447"/>
        <v/>
      </c>
      <c r="AH1443" s="33"/>
    </row>
    <row r="1444" hidden="1" outlineLevel="3">
      <c r="A1444" s="16" t="b">
        <v>0</v>
      </c>
      <c r="B1444" s="17"/>
      <c r="C1444" s="18"/>
      <c r="D1444" s="19"/>
      <c r="E1444" s="20"/>
      <c r="F1444" s="21"/>
      <c r="G1444" s="22"/>
      <c r="H1444" s="22"/>
      <c r="I1444" s="23"/>
      <c r="J1444" s="22"/>
      <c r="K1444" s="23"/>
      <c r="L1444" s="22"/>
      <c r="M1444" s="23"/>
      <c r="N1444" s="23"/>
      <c r="O1444" s="24"/>
      <c r="P1444" s="16" t="b">
        <v>0</v>
      </c>
      <c r="Q1444" s="24"/>
      <c r="R1444" s="25"/>
      <c r="S1444" s="26"/>
      <c r="T1444" s="27"/>
      <c r="U1444" s="24"/>
      <c r="V1444" s="38" t="s">
        <v>29</v>
      </c>
      <c r="W1444" s="29" t="s">
        <v>22</v>
      </c>
      <c r="X1444" s="37" t="s">
        <v>953</v>
      </c>
      <c r="Y1444" s="31"/>
      <c r="Z1444" s="26" t="str">
        <f t="shared" si="5"/>
        <v/>
      </c>
      <c r="AA1444" s="26" t="str">
        <f t="shared" si="6"/>
        <v/>
      </c>
      <c r="AB1444" s="32" t="str">
        <f t="shared" si="7"/>
        <v/>
      </c>
      <c r="AC1444" s="32" t="str">
        <f t="shared" ref="AC1444:AG1444" si="1448">IF(J1444&lt;&gt;"", IF(AND($P1444=FALSE, $A1444=FALSE), -J1444, IF(AND($P1444=FALSE, $A1444=TRUE), 0, IF($P1444=TRUE, (J1444 / $R1444) * 100 * ($S1444 / 100)-J1444, ))), )</f>
        <v/>
      </c>
      <c r="AD1444" s="32" t="str">
        <f t="shared" si="1448"/>
        <v/>
      </c>
      <c r="AE1444" s="32" t="str">
        <f t="shared" si="1448"/>
        <v/>
      </c>
      <c r="AF1444" s="32" t="str">
        <f t="shared" si="1448"/>
        <v/>
      </c>
      <c r="AG1444" s="32" t="str">
        <f t="shared" si="1448"/>
        <v/>
      </c>
      <c r="AH1444" s="33"/>
    </row>
    <row r="1445" hidden="1" outlineLevel="1" collapsed="1">
      <c r="A1445" s="16" t="b">
        <v>0</v>
      </c>
      <c r="B1445" s="17"/>
      <c r="C1445" s="18"/>
      <c r="D1445" s="42">
        <v>45284.0</v>
      </c>
      <c r="E1445" s="43" t="s">
        <v>24</v>
      </c>
      <c r="F1445" s="53" t="s">
        <v>934</v>
      </c>
      <c r="G1445" s="45">
        <v>1.0</v>
      </c>
      <c r="H1445" s="45">
        <v>0.5</v>
      </c>
      <c r="I1445" s="45">
        <v>10.0</v>
      </c>
      <c r="J1445" s="46"/>
      <c r="K1445" s="46"/>
      <c r="L1445" s="45"/>
      <c r="M1445" s="46"/>
      <c r="N1445" s="46"/>
      <c r="O1445" s="47"/>
      <c r="P1445" s="16" t="b">
        <v>0</v>
      </c>
      <c r="Q1445" s="24"/>
      <c r="R1445" s="48">
        <v>11.5</v>
      </c>
      <c r="S1445" s="45">
        <v>108.26</v>
      </c>
      <c r="T1445" s="49" t="s">
        <v>954</v>
      </c>
      <c r="U1445" s="47"/>
      <c r="V1445" s="28"/>
      <c r="W1445" s="29"/>
      <c r="X1445" s="30"/>
      <c r="Y1445" s="31"/>
      <c r="Z1445" s="26">
        <f t="shared" si="5"/>
        <v>-1</v>
      </c>
      <c r="AA1445" s="26">
        <f t="shared" si="6"/>
        <v>-10</v>
      </c>
      <c r="AB1445" s="32">
        <f t="shared" si="7"/>
        <v>-0.5</v>
      </c>
      <c r="AC1445" s="32" t="str">
        <f t="shared" ref="AC1445:AG1445" si="1449">IF(J1445&lt;&gt;"", IF(AND($P1445=FALSE, $A1445=FALSE), -J1445, IF(AND($P1445=FALSE, $A1445=TRUE), 0, IF($P1445=TRUE, (J1445 / $R1445) * 100 * ($S1445 / 100)-J1445, ))), )</f>
        <v/>
      </c>
      <c r="AD1445" s="32" t="str">
        <f t="shared" si="1449"/>
        <v/>
      </c>
      <c r="AE1445" s="32" t="str">
        <f t="shared" si="1449"/>
        <v/>
      </c>
      <c r="AF1445" s="32" t="str">
        <f t="shared" si="1449"/>
        <v/>
      </c>
      <c r="AG1445" s="32" t="str">
        <f t="shared" si="1449"/>
        <v/>
      </c>
      <c r="AH1445" s="33"/>
    </row>
    <row r="1446" hidden="1" outlineLevel="3">
      <c r="A1446" s="16" t="b">
        <v>0</v>
      </c>
      <c r="B1446" s="17"/>
      <c r="C1446" s="18"/>
      <c r="D1446" s="19"/>
      <c r="E1446" s="20"/>
      <c r="F1446" s="21"/>
      <c r="G1446" s="22"/>
      <c r="H1446" s="22"/>
      <c r="I1446" s="23"/>
      <c r="J1446" s="22"/>
      <c r="K1446" s="23"/>
      <c r="L1446" s="22"/>
      <c r="M1446" s="23"/>
      <c r="N1446" s="23"/>
      <c r="O1446" s="24"/>
      <c r="P1446" s="16" t="b">
        <v>0</v>
      </c>
      <c r="Q1446" s="24"/>
      <c r="R1446" s="25"/>
      <c r="S1446" s="26"/>
      <c r="T1446" s="27"/>
      <c r="U1446" s="24"/>
      <c r="V1446" s="28" t="s">
        <v>32</v>
      </c>
      <c r="W1446" s="29" t="s">
        <v>22</v>
      </c>
      <c r="X1446" s="37" t="s">
        <v>685</v>
      </c>
      <c r="Y1446" s="31"/>
      <c r="Z1446" s="26" t="str">
        <f t="shared" si="5"/>
        <v/>
      </c>
      <c r="AA1446" s="26" t="str">
        <f t="shared" si="6"/>
        <v/>
      </c>
      <c r="AB1446" s="32" t="str">
        <f t="shared" si="7"/>
        <v/>
      </c>
      <c r="AC1446" s="32" t="str">
        <f t="shared" ref="AC1446:AG1446" si="1450">IF(J1446&lt;&gt;"", IF(AND($P1446=FALSE, $A1446=FALSE), -J1446, IF(AND($P1446=FALSE, $A1446=TRUE), 0, IF($P1446=TRUE, (J1446 / $R1446) * 100 * ($S1446 / 100)-J1446, ))), )</f>
        <v/>
      </c>
      <c r="AD1446" s="32" t="str">
        <f t="shared" si="1450"/>
        <v/>
      </c>
      <c r="AE1446" s="32" t="str">
        <f t="shared" si="1450"/>
        <v/>
      </c>
      <c r="AF1446" s="32" t="str">
        <f t="shared" si="1450"/>
        <v/>
      </c>
      <c r="AG1446" s="32" t="str">
        <f t="shared" si="1450"/>
        <v/>
      </c>
      <c r="AH1446" s="33"/>
    </row>
    <row r="1447" hidden="1" outlineLevel="3">
      <c r="A1447" s="16" t="b">
        <v>0</v>
      </c>
      <c r="B1447" s="17"/>
      <c r="C1447" s="18"/>
      <c r="D1447" s="19"/>
      <c r="E1447" s="20"/>
      <c r="F1447" s="21"/>
      <c r="G1447" s="22"/>
      <c r="H1447" s="22"/>
      <c r="I1447" s="23"/>
      <c r="J1447" s="22"/>
      <c r="K1447" s="23"/>
      <c r="L1447" s="22"/>
      <c r="M1447" s="23"/>
      <c r="N1447" s="23"/>
      <c r="O1447" s="24"/>
      <c r="P1447" s="16" t="b">
        <v>0</v>
      </c>
      <c r="Q1447" s="24"/>
      <c r="R1447" s="25"/>
      <c r="S1447" s="26"/>
      <c r="T1447" s="27"/>
      <c r="U1447" s="24"/>
      <c r="V1447" s="28" t="s">
        <v>32</v>
      </c>
      <c r="W1447" s="29" t="s">
        <v>22</v>
      </c>
      <c r="X1447" s="37" t="s">
        <v>698</v>
      </c>
      <c r="Y1447" s="31"/>
      <c r="Z1447" s="26" t="str">
        <f t="shared" si="5"/>
        <v/>
      </c>
      <c r="AA1447" s="26" t="str">
        <f t="shared" si="6"/>
        <v/>
      </c>
      <c r="AB1447" s="32" t="str">
        <f t="shared" si="7"/>
        <v/>
      </c>
      <c r="AC1447" s="32" t="str">
        <f t="shared" ref="AC1447:AG1447" si="1451">IF(J1447&lt;&gt;"", IF(AND($P1447=FALSE, $A1447=FALSE), -J1447, IF(AND($P1447=FALSE, $A1447=TRUE), 0, IF($P1447=TRUE, (J1447 / $R1447) * 100 * ($S1447 / 100)-J1447, ))), )</f>
        <v/>
      </c>
      <c r="AD1447" s="32" t="str">
        <f t="shared" si="1451"/>
        <v/>
      </c>
      <c r="AE1447" s="32" t="str">
        <f t="shared" si="1451"/>
        <v/>
      </c>
      <c r="AF1447" s="32" t="str">
        <f t="shared" si="1451"/>
        <v/>
      </c>
      <c r="AG1447" s="32" t="str">
        <f t="shared" si="1451"/>
        <v/>
      </c>
      <c r="AH1447" s="33"/>
    </row>
    <row r="1448" hidden="1" outlineLevel="3">
      <c r="A1448" s="16" t="b">
        <v>0</v>
      </c>
      <c r="B1448" s="17"/>
      <c r="C1448" s="18"/>
      <c r="D1448" s="19"/>
      <c r="E1448" s="20"/>
      <c r="F1448" s="21"/>
      <c r="G1448" s="22"/>
      <c r="H1448" s="22"/>
      <c r="I1448" s="23"/>
      <c r="J1448" s="22"/>
      <c r="K1448" s="23"/>
      <c r="L1448" s="22"/>
      <c r="M1448" s="23"/>
      <c r="N1448" s="23"/>
      <c r="O1448" s="24"/>
      <c r="P1448" s="16" t="b">
        <v>0</v>
      </c>
      <c r="Q1448" s="24"/>
      <c r="R1448" s="25"/>
      <c r="S1448" s="26"/>
      <c r="T1448" s="27"/>
      <c r="U1448" s="24"/>
      <c r="V1448" s="38" t="s">
        <v>29</v>
      </c>
      <c r="W1448" s="29" t="s">
        <v>22</v>
      </c>
      <c r="X1448" s="37" t="s">
        <v>955</v>
      </c>
      <c r="Y1448" s="31"/>
      <c r="Z1448" s="26" t="str">
        <f t="shared" si="5"/>
        <v/>
      </c>
      <c r="AA1448" s="26" t="str">
        <f t="shared" si="6"/>
        <v/>
      </c>
      <c r="AB1448" s="32" t="str">
        <f t="shared" si="7"/>
        <v/>
      </c>
      <c r="AC1448" s="32" t="str">
        <f t="shared" ref="AC1448:AG1448" si="1452">IF(J1448&lt;&gt;"", IF(AND($P1448=FALSE, $A1448=FALSE), -J1448, IF(AND($P1448=FALSE, $A1448=TRUE), 0, IF($P1448=TRUE, (J1448 / $R1448) * 100 * ($S1448 / 100)-J1448, ))), )</f>
        <v/>
      </c>
      <c r="AD1448" s="32" t="str">
        <f t="shared" si="1452"/>
        <v/>
      </c>
      <c r="AE1448" s="32" t="str">
        <f t="shared" si="1452"/>
        <v/>
      </c>
      <c r="AF1448" s="32" t="str">
        <f t="shared" si="1452"/>
        <v/>
      </c>
      <c r="AG1448" s="32" t="str">
        <f t="shared" si="1452"/>
        <v/>
      </c>
      <c r="AH1448" s="33"/>
    </row>
    <row r="1449" hidden="1" outlineLevel="3">
      <c r="A1449" s="16" t="b">
        <v>0</v>
      </c>
      <c r="B1449" s="17"/>
      <c r="C1449" s="18"/>
      <c r="D1449" s="19"/>
      <c r="E1449" s="20"/>
      <c r="F1449" s="21"/>
      <c r="G1449" s="22"/>
      <c r="H1449" s="22"/>
      <c r="I1449" s="23"/>
      <c r="J1449" s="22"/>
      <c r="K1449" s="23"/>
      <c r="L1449" s="22"/>
      <c r="M1449" s="23"/>
      <c r="N1449" s="23"/>
      <c r="O1449" s="24"/>
      <c r="P1449" s="16" t="b">
        <v>0</v>
      </c>
      <c r="Q1449" s="24"/>
      <c r="R1449" s="25"/>
      <c r="S1449" s="26"/>
      <c r="T1449" s="27"/>
      <c r="U1449" s="24"/>
      <c r="V1449" s="38" t="s">
        <v>29</v>
      </c>
      <c r="W1449" s="29" t="s">
        <v>22</v>
      </c>
      <c r="X1449" s="37" t="s">
        <v>956</v>
      </c>
      <c r="Y1449" s="31"/>
      <c r="Z1449" s="26" t="str">
        <f t="shared" si="5"/>
        <v/>
      </c>
      <c r="AA1449" s="26" t="str">
        <f t="shared" si="6"/>
        <v/>
      </c>
      <c r="AB1449" s="32" t="str">
        <f t="shared" si="7"/>
        <v/>
      </c>
      <c r="AC1449" s="32" t="str">
        <f t="shared" ref="AC1449:AG1449" si="1453">IF(J1449&lt;&gt;"", IF(AND($P1449=FALSE, $A1449=FALSE), -J1449, IF(AND($P1449=FALSE, $A1449=TRUE), 0, IF($P1449=TRUE, (J1449 / $R1449) * 100 * ($S1449 / 100)-J1449, ))), )</f>
        <v/>
      </c>
      <c r="AD1449" s="32" t="str">
        <f t="shared" si="1453"/>
        <v/>
      </c>
      <c r="AE1449" s="32" t="str">
        <f t="shared" si="1453"/>
        <v/>
      </c>
      <c r="AF1449" s="32" t="str">
        <f t="shared" si="1453"/>
        <v/>
      </c>
      <c r="AG1449" s="32" t="str">
        <f t="shared" si="1453"/>
        <v/>
      </c>
      <c r="AH1449" s="33"/>
    </row>
    <row r="1450" hidden="1" outlineLevel="3">
      <c r="A1450" s="16" t="b">
        <v>0</v>
      </c>
      <c r="B1450" s="17"/>
      <c r="C1450" s="18"/>
      <c r="D1450" s="19"/>
      <c r="E1450" s="20"/>
      <c r="F1450" s="21"/>
      <c r="G1450" s="22"/>
      <c r="H1450" s="22"/>
      <c r="I1450" s="23"/>
      <c r="J1450" s="22"/>
      <c r="K1450" s="23"/>
      <c r="L1450" s="22"/>
      <c r="M1450" s="23"/>
      <c r="N1450" s="23"/>
      <c r="O1450" s="24"/>
      <c r="P1450" s="16" t="b">
        <v>0</v>
      </c>
      <c r="Q1450" s="24"/>
      <c r="R1450" s="25"/>
      <c r="S1450" s="26"/>
      <c r="T1450" s="27"/>
      <c r="U1450" s="24"/>
      <c r="V1450" s="38" t="s">
        <v>29</v>
      </c>
      <c r="W1450" s="29" t="s">
        <v>22</v>
      </c>
      <c r="X1450" s="37" t="s">
        <v>957</v>
      </c>
      <c r="Y1450" s="31"/>
      <c r="Z1450" s="26" t="str">
        <f t="shared" si="5"/>
        <v/>
      </c>
      <c r="AA1450" s="26" t="str">
        <f t="shared" si="6"/>
        <v/>
      </c>
      <c r="AB1450" s="32" t="str">
        <f t="shared" si="7"/>
        <v/>
      </c>
      <c r="AC1450" s="32" t="str">
        <f t="shared" ref="AC1450:AG1450" si="1454">IF(J1450&lt;&gt;"", IF(AND($P1450=FALSE, $A1450=FALSE), -J1450, IF(AND($P1450=FALSE, $A1450=TRUE), 0, IF($P1450=TRUE, (J1450 / $R1450) * 100 * ($S1450 / 100)-J1450, ))), )</f>
        <v/>
      </c>
      <c r="AD1450" s="32" t="str">
        <f t="shared" si="1454"/>
        <v/>
      </c>
      <c r="AE1450" s="32" t="str">
        <f t="shared" si="1454"/>
        <v/>
      </c>
      <c r="AF1450" s="32" t="str">
        <f t="shared" si="1454"/>
        <v/>
      </c>
      <c r="AG1450" s="32" t="str">
        <f t="shared" si="1454"/>
        <v/>
      </c>
      <c r="AH1450" s="33"/>
    </row>
    <row r="1451" hidden="1" outlineLevel="3">
      <c r="A1451" s="16" t="b">
        <v>0</v>
      </c>
      <c r="B1451" s="17"/>
      <c r="C1451" s="18"/>
      <c r="D1451" s="19"/>
      <c r="E1451" s="20"/>
      <c r="F1451" s="21"/>
      <c r="G1451" s="22"/>
      <c r="H1451" s="22"/>
      <c r="I1451" s="23"/>
      <c r="J1451" s="22"/>
      <c r="K1451" s="23"/>
      <c r="L1451" s="22"/>
      <c r="M1451" s="23"/>
      <c r="N1451" s="23"/>
      <c r="O1451" s="24"/>
      <c r="P1451" s="16" t="b">
        <v>0</v>
      </c>
      <c r="Q1451" s="24"/>
      <c r="R1451" s="25"/>
      <c r="S1451" s="26"/>
      <c r="T1451" s="27"/>
      <c r="U1451" s="24"/>
      <c r="V1451" s="38" t="s">
        <v>29</v>
      </c>
      <c r="W1451" s="29" t="s">
        <v>22</v>
      </c>
      <c r="X1451" s="37" t="s">
        <v>958</v>
      </c>
      <c r="Y1451" s="31"/>
      <c r="Z1451" s="26" t="str">
        <f t="shared" si="5"/>
        <v/>
      </c>
      <c r="AA1451" s="26" t="str">
        <f t="shared" si="6"/>
        <v/>
      </c>
      <c r="AB1451" s="32" t="str">
        <f t="shared" si="7"/>
        <v/>
      </c>
      <c r="AC1451" s="32" t="str">
        <f t="shared" ref="AC1451:AG1451" si="1455">IF(J1451&lt;&gt;"", IF(AND($P1451=FALSE, $A1451=FALSE), -J1451, IF(AND($P1451=FALSE, $A1451=TRUE), 0, IF($P1451=TRUE, (J1451 / $R1451) * 100 * ($S1451 / 100)-J1451, ))), )</f>
        <v/>
      </c>
      <c r="AD1451" s="32" t="str">
        <f t="shared" si="1455"/>
        <v/>
      </c>
      <c r="AE1451" s="32" t="str">
        <f t="shared" si="1455"/>
        <v/>
      </c>
      <c r="AF1451" s="32" t="str">
        <f t="shared" si="1455"/>
        <v/>
      </c>
      <c r="AG1451" s="32" t="str">
        <f t="shared" si="1455"/>
        <v/>
      </c>
      <c r="AH1451" s="33"/>
    </row>
    <row r="1452" hidden="1" outlineLevel="2">
      <c r="A1452" s="16" t="b">
        <v>0</v>
      </c>
      <c r="B1452" s="17"/>
      <c r="C1452" s="18"/>
      <c r="D1452" s="19"/>
      <c r="E1452" s="20"/>
      <c r="F1452" s="21"/>
      <c r="G1452" s="22"/>
      <c r="H1452" s="22"/>
      <c r="I1452" s="23"/>
      <c r="J1452" s="22"/>
      <c r="K1452" s="23"/>
      <c r="L1452" s="22"/>
      <c r="M1452" s="23"/>
      <c r="N1452" s="23"/>
      <c r="O1452" s="24"/>
      <c r="P1452" s="16" t="b">
        <v>0</v>
      </c>
      <c r="Q1452" s="24"/>
      <c r="R1452" s="25"/>
      <c r="S1452" s="26"/>
      <c r="T1452" s="27"/>
      <c r="U1452" s="24"/>
      <c r="V1452" s="28" t="s">
        <v>32</v>
      </c>
      <c r="W1452" s="29" t="s">
        <v>22</v>
      </c>
      <c r="X1452" s="37" t="s">
        <v>959</v>
      </c>
      <c r="Y1452" s="31"/>
      <c r="Z1452" s="26" t="str">
        <f t="shared" si="5"/>
        <v/>
      </c>
      <c r="AA1452" s="26" t="str">
        <f t="shared" si="6"/>
        <v/>
      </c>
      <c r="AB1452" s="32" t="str">
        <f t="shared" si="7"/>
        <v/>
      </c>
      <c r="AC1452" s="32" t="str">
        <f t="shared" ref="AC1452:AG1452" si="1456">IF(J1452&lt;&gt;"", IF(AND($P1452=FALSE, $A1452=FALSE), -J1452, IF(AND($P1452=FALSE, $A1452=TRUE), 0, IF($P1452=TRUE, (J1452 / $R1452) * 100 * ($S1452 / 100)-J1452, ))), )</f>
        <v/>
      </c>
      <c r="AD1452" s="32" t="str">
        <f t="shared" si="1456"/>
        <v/>
      </c>
      <c r="AE1452" s="32" t="str">
        <f t="shared" si="1456"/>
        <v/>
      </c>
      <c r="AF1452" s="32" t="str">
        <f t="shared" si="1456"/>
        <v/>
      </c>
      <c r="AG1452" s="32" t="str">
        <f t="shared" si="1456"/>
        <v/>
      </c>
      <c r="AH1452" s="33"/>
    </row>
    <row r="1453" hidden="1" outlineLevel="1" collapsed="1">
      <c r="A1453" s="16" t="b">
        <v>0</v>
      </c>
      <c r="B1453" s="17"/>
      <c r="C1453" s="18"/>
      <c r="D1453" s="42">
        <v>45285.0</v>
      </c>
      <c r="E1453" s="43" t="s">
        <v>24</v>
      </c>
      <c r="F1453" s="53" t="s">
        <v>934</v>
      </c>
      <c r="G1453" s="45">
        <v>3.0</v>
      </c>
      <c r="H1453" s="45">
        <v>1.5</v>
      </c>
      <c r="I1453" s="45">
        <v>5.5</v>
      </c>
      <c r="J1453" s="46"/>
      <c r="K1453" s="46"/>
      <c r="L1453" s="45"/>
      <c r="M1453" s="46"/>
      <c r="N1453" s="46"/>
      <c r="O1453" s="47"/>
      <c r="P1453" s="16" t="b">
        <v>0</v>
      </c>
      <c r="Q1453" s="24"/>
      <c r="R1453" s="48">
        <v>10.0</v>
      </c>
      <c r="S1453" s="45">
        <v>22.42</v>
      </c>
      <c r="T1453" s="49" t="s">
        <v>380</v>
      </c>
      <c r="U1453" s="47"/>
      <c r="V1453" s="28"/>
      <c r="W1453" s="29"/>
      <c r="X1453" s="30"/>
      <c r="Y1453" s="31"/>
      <c r="Z1453" s="26">
        <f t="shared" si="5"/>
        <v>-3</v>
      </c>
      <c r="AA1453" s="26">
        <f t="shared" si="6"/>
        <v>-5.5</v>
      </c>
      <c r="AB1453" s="32">
        <f t="shared" si="7"/>
        <v>-1.5</v>
      </c>
      <c r="AC1453" s="32" t="str">
        <f t="shared" ref="AC1453:AG1453" si="1457">IF(J1453&lt;&gt;"", IF(AND($P1453=FALSE, $A1453=FALSE), -J1453, IF(AND($P1453=FALSE, $A1453=TRUE), 0, IF($P1453=TRUE, (J1453 / $R1453) * 100 * ($S1453 / 100)-J1453, ))), )</f>
        <v/>
      </c>
      <c r="AD1453" s="32" t="str">
        <f t="shared" si="1457"/>
        <v/>
      </c>
      <c r="AE1453" s="32" t="str">
        <f t="shared" si="1457"/>
        <v/>
      </c>
      <c r="AF1453" s="32" t="str">
        <f t="shared" si="1457"/>
        <v/>
      </c>
      <c r="AG1453" s="32" t="str">
        <f t="shared" si="1457"/>
        <v/>
      </c>
      <c r="AH1453" s="33"/>
    </row>
    <row r="1454" hidden="1" outlineLevel="3">
      <c r="A1454" s="16" t="b">
        <v>0</v>
      </c>
      <c r="B1454" s="17"/>
      <c r="C1454" s="18"/>
      <c r="D1454" s="19"/>
      <c r="E1454" s="20"/>
      <c r="F1454" s="21"/>
      <c r="G1454" s="22"/>
      <c r="H1454" s="22"/>
      <c r="I1454" s="23"/>
      <c r="J1454" s="22"/>
      <c r="K1454" s="23"/>
      <c r="L1454" s="22"/>
      <c r="M1454" s="23"/>
      <c r="N1454" s="23"/>
      <c r="O1454" s="24"/>
      <c r="P1454" s="16" t="b">
        <v>0</v>
      </c>
      <c r="Q1454" s="24"/>
      <c r="R1454" s="25"/>
      <c r="S1454" s="26"/>
      <c r="T1454" s="27"/>
      <c r="U1454" s="24"/>
      <c r="V1454" s="38" t="s">
        <v>29</v>
      </c>
      <c r="W1454" s="29" t="s">
        <v>22</v>
      </c>
      <c r="X1454" s="37" t="s">
        <v>493</v>
      </c>
      <c r="Y1454" s="31"/>
      <c r="Z1454" s="26" t="str">
        <f t="shared" si="5"/>
        <v/>
      </c>
      <c r="AA1454" s="26" t="str">
        <f t="shared" si="6"/>
        <v/>
      </c>
      <c r="AB1454" s="32" t="str">
        <f t="shared" si="7"/>
        <v/>
      </c>
      <c r="AC1454" s="32" t="str">
        <f t="shared" ref="AC1454:AG1454" si="1458">IF(J1454&lt;&gt;"", IF(AND($P1454=FALSE, $A1454=FALSE), -J1454, IF(AND($P1454=FALSE, $A1454=TRUE), 0, IF($P1454=TRUE, (J1454 / $R1454) * 100 * ($S1454 / 100)-J1454, ))), )</f>
        <v/>
      </c>
      <c r="AD1454" s="32" t="str">
        <f t="shared" si="1458"/>
        <v/>
      </c>
      <c r="AE1454" s="32" t="str">
        <f t="shared" si="1458"/>
        <v/>
      </c>
      <c r="AF1454" s="32" t="str">
        <f t="shared" si="1458"/>
        <v/>
      </c>
      <c r="AG1454" s="32" t="str">
        <f t="shared" si="1458"/>
        <v/>
      </c>
      <c r="AH1454" s="33"/>
    </row>
    <row r="1455" hidden="1" outlineLevel="3">
      <c r="A1455" s="16" t="b">
        <v>0</v>
      </c>
      <c r="B1455" s="17"/>
      <c r="C1455" s="18"/>
      <c r="D1455" s="19"/>
      <c r="E1455" s="20"/>
      <c r="F1455" s="21"/>
      <c r="G1455" s="22"/>
      <c r="H1455" s="22"/>
      <c r="I1455" s="23"/>
      <c r="J1455" s="22"/>
      <c r="K1455" s="23"/>
      <c r="L1455" s="22"/>
      <c r="M1455" s="23"/>
      <c r="N1455" s="23"/>
      <c r="O1455" s="24"/>
      <c r="P1455" s="16" t="b">
        <v>0</v>
      </c>
      <c r="Q1455" s="24"/>
      <c r="R1455" s="25"/>
      <c r="S1455" s="26"/>
      <c r="T1455" s="27"/>
      <c r="U1455" s="24"/>
      <c r="V1455" s="28" t="s">
        <v>32</v>
      </c>
      <c r="W1455" s="29" t="s">
        <v>22</v>
      </c>
      <c r="X1455" s="37" t="s">
        <v>960</v>
      </c>
      <c r="Y1455" s="31"/>
      <c r="Z1455" s="26" t="str">
        <f t="shared" si="5"/>
        <v/>
      </c>
      <c r="AA1455" s="26" t="str">
        <f t="shared" si="6"/>
        <v/>
      </c>
      <c r="AB1455" s="32" t="str">
        <f t="shared" si="7"/>
        <v/>
      </c>
      <c r="AC1455" s="32" t="str">
        <f t="shared" ref="AC1455:AG1455" si="1459">IF(J1455&lt;&gt;"", IF(AND($P1455=FALSE, $A1455=FALSE), -J1455, IF(AND($P1455=FALSE, $A1455=TRUE), 0, IF($P1455=TRUE, (J1455 / $R1455) * 100 * ($S1455 / 100)-J1455, ))), )</f>
        <v/>
      </c>
      <c r="AD1455" s="32" t="str">
        <f t="shared" si="1459"/>
        <v/>
      </c>
      <c r="AE1455" s="32" t="str">
        <f t="shared" si="1459"/>
        <v/>
      </c>
      <c r="AF1455" s="32" t="str">
        <f t="shared" si="1459"/>
        <v/>
      </c>
      <c r="AG1455" s="32" t="str">
        <f t="shared" si="1459"/>
        <v/>
      </c>
      <c r="AH1455" s="33"/>
    </row>
    <row r="1456" hidden="1" outlineLevel="2" collapsed="1">
      <c r="A1456" s="16" t="b">
        <v>0</v>
      </c>
      <c r="B1456" s="17"/>
      <c r="C1456" s="18"/>
      <c r="D1456" s="42">
        <v>45285.0</v>
      </c>
      <c r="E1456" s="43" t="s">
        <v>24</v>
      </c>
      <c r="F1456" s="53" t="s">
        <v>934</v>
      </c>
      <c r="G1456" s="45">
        <v>3.0</v>
      </c>
      <c r="H1456" s="45">
        <v>1.5</v>
      </c>
      <c r="I1456" s="45">
        <v>5.5</v>
      </c>
      <c r="J1456" s="46"/>
      <c r="K1456" s="46"/>
      <c r="L1456" s="45"/>
      <c r="M1456" s="46"/>
      <c r="N1456" s="46"/>
      <c r="O1456" s="47"/>
      <c r="P1456" s="16" t="b">
        <v>1</v>
      </c>
      <c r="Q1456" s="24"/>
      <c r="R1456" s="48">
        <v>10.0</v>
      </c>
      <c r="S1456" s="45">
        <v>26.45</v>
      </c>
      <c r="T1456" s="49" t="s">
        <v>133</v>
      </c>
      <c r="U1456" s="47"/>
      <c r="V1456" s="28"/>
      <c r="W1456" s="29"/>
      <c r="X1456" s="30"/>
      <c r="Y1456" s="31"/>
      <c r="Z1456" s="26">
        <f t="shared" si="5"/>
        <v>4.935</v>
      </c>
      <c r="AA1456" s="26">
        <f t="shared" si="6"/>
        <v>9.0475</v>
      </c>
      <c r="AB1456" s="32">
        <f t="shared" si="7"/>
        <v>2.4675</v>
      </c>
      <c r="AC1456" s="32" t="str">
        <f t="shared" ref="AC1456:AG1456" si="1460">IF(J1456&lt;&gt;"", IF(AND($P1456=FALSE, $A1456=FALSE), -J1456, IF(AND($P1456=FALSE, $A1456=TRUE), 0, IF($P1456=TRUE, (J1456 / $R1456) * 100 * ($S1456 / 100)-J1456, ))), )</f>
        <v/>
      </c>
      <c r="AD1456" s="32" t="str">
        <f t="shared" si="1460"/>
        <v/>
      </c>
      <c r="AE1456" s="32" t="str">
        <f t="shared" si="1460"/>
        <v/>
      </c>
      <c r="AF1456" s="32" t="str">
        <f t="shared" si="1460"/>
        <v/>
      </c>
      <c r="AG1456" s="32" t="str">
        <f t="shared" si="1460"/>
        <v/>
      </c>
      <c r="AH1456" s="33"/>
    </row>
    <row r="1457" hidden="1" outlineLevel="3">
      <c r="A1457" s="16" t="b">
        <v>0</v>
      </c>
      <c r="B1457" s="17"/>
      <c r="C1457" s="18"/>
      <c r="D1457" s="19"/>
      <c r="E1457" s="20"/>
      <c r="F1457" s="21"/>
      <c r="G1457" s="22"/>
      <c r="H1457" s="22"/>
      <c r="I1457" s="23"/>
      <c r="J1457" s="22"/>
      <c r="K1457" s="23"/>
      <c r="L1457" s="22"/>
      <c r="M1457" s="23"/>
      <c r="N1457" s="23"/>
      <c r="O1457" s="24"/>
      <c r="P1457" s="16" t="b">
        <v>0</v>
      </c>
      <c r="Q1457" s="24"/>
      <c r="R1457" s="25"/>
      <c r="S1457" s="26"/>
      <c r="T1457" s="27"/>
      <c r="U1457" s="24"/>
      <c r="V1457" s="38" t="s">
        <v>29</v>
      </c>
      <c r="W1457" s="29" t="s">
        <v>22</v>
      </c>
      <c r="X1457" s="37" t="s">
        <v>312</v>
      </c>
      <c r="Y1457" s="31"/>
      <c r="Z1457" s="26" t="str">
        <f t="shared" si="5"/>
        <v/>
      </c>
      <c r="AA1457" s="26" t="str">
        <f t="shared" si="6"/>
        <v/>
      </c>
      <c r="AB1457" s="32" t="str">
        <f t="shared" si="7"/>
        <v/>
      </c>
      <c r="AC1457" s="32" t="str">
        <f t="shared" ref="AC1457:AG1457" si="1461">IF(J1457&lt;&gt;"", IF(AND($P1457=FALSE, $A1457=FALSE), -J1457, IF(AND($P1457=FALSE, $A1457=TRUE), 0, IF($P1457=TRUE, (J1457 / $R1457) * 100 * ($S1457 / 100)-J1457, ))), )</f>
        <v/>
      </c>
      <c r="AD1457" s="32" t="str">
        <f t="shared" si="1461"/>
        <v/>
      </c>
      <c r="AE1457" s="32" t="str">
        <f t="shared" si="1461"/>
        <v/>
      </c>
      <c r="AF1457" s="32" t="str">
        <f t="shared" si="1461"/>
        <v/>
      </c>
      <c r="AG1457" s="32" t="str">
        <f t="shared" si="1461"/>
        <v/>
      </c>
      <c r="AH1457" s="33"/>
    </row>
    <row r="1458" hidden="1" outlineLevel="3">
      <c r="A1458" s="16" t="b">
        <v>0</v>
      </c>
      <c r="B1458" s="17"/>
      <c r="C1458" s="18"/>
      <c r="D1458" s="19"/>
      <c r="E1458" s="20"/>
      <c r="F1458" s="21"/>
      <c r="G1458" s="22"/>
      <c r="H1458" s="22"/>
      <c r="I1458" s="23"/>
      <c r="J1458" s="22"/>
      <c r="K1458" s="23"/>
      <c r="L1458" s="22"/>
      <c r="M1458" s="23"/>
      <c r="N1458" s="23"/>
      <c r="O1458" s="24"/>
      <c r="P1458" s="16" t="b">
        <v>0</v>
      </c>
      <c r="Q1458" s="24"/>
      <c r="R1458" s="25"/>
      <c r="S1458" s="26"/>
      <c r="T1458" s="27"/>
      <c r="U1458" s="24"/>
      <c r="V1458" s="38" t="s">
        <v>29</v>
      </c>
      <c r="W1458" s="29" t="s">
        <v>22</v>
      </c>
      <c r="X1458" s="37" t="s">
        <v>961</v>
      </c>
      <c r="Y1458" s="31"/>
      <c r="Z1458" s="26" t="str">
        <f t="shared" si="5"/>
        <v/>
      </c>
      <c r="AA1458" s="26" t="str">
        <f t="shared" si="6"/>
        <v/>
      </c>
      <c r="AB1458" s="32" t="str">
        <f t="shared" si="7"/>
        <v/>
      </c>
      <c r="AC1458" s="32" t="str">
        <f t="shared" ref="AC1458:AG1458" si="1462">IF(J1458&lt;&gt;"", IF(AND($P1458=FALSE, $A1458=FALSE), -J1458, IF(AND($P1458=FALSE, $A1458=TRUE), 0, IF($P1458=TRUE, (J1458 / $R1458) * 100 * ($S1458 / 100)-J1458, ))), )</f>
        <v/>
      </c>
      <c r="AD1458" s="32" t="str">
        <f t="shared" si="1462"/>
        <v/>
      </c>
      <c r="AE1458" s="32" t="str">
        <f t="shared" si="1462"/>
        <v/>
      </c>
      <c r="AF1458" s="32" t="str">
        <f t="shared" si="1462"/>
        <v/>
      </c>
      <c r="AG1458" s="32" t="str">
        <f t="shared" si="1462"/>
        <v/>
      </c>
      <c r="AH1458" s="33"/>
    </row>
    <row r="1459" hidden="1" outlineLevel="3">
      <c r="A1459" s="16" t="b">
        <v>0</v>
      </c>
      <c r="B1459" s="17"/>
      <c r="C1459" s="18"/>
      <c r="D1459" s="19"/>
      <c r="E1459" s="20"/>
      <c r="F1459" s="21"/>
      <c r="G1459" s="22"/>
      <c r="H1459" s="22"/>
      <c r="I1459" s="23"/>
      <c r="J1459" s="22"/>
      <c r="K1459" s="23"/>
      <c r="L1459" s="22"/>
      <c r="M1459" s="23"/>
      <c r="N1459" s="23"/>
      <c r="O1459" s="24"/>
      <c r="P1459" s="16" t="b">
        <v>0</v>
      </c>
      <c r="Q1459" s="24"/>
      <c r="R1459" s="25"/>
      <c r="S1459" s="26"/>
      <c r="T1459" s="27"/>
      <c r="U1459" s="24"/>
      <c r="V1459" s="38" t="s">
        <v>29</v>
      </c>
      <c r="W1459" s="29" t="s">
        <v>22</v>
      </c>
      <c r="X1459" s="37" t="s">
        <v>962</v>
      </c>
      <c r="Y1459" s="31"/>
      <c r="Z1459" s="26" t="str">
        <f t="shared" si="5"/>
        <v/>
      </c>
      <c r="AA1459" s="26" t="str">
        <f t="shared" si="6"/>
        <v/>
      </c>
      <c r="AB1459" s="32" t="str">
        <f t="shared" si="7"/>
        <v/>
      </c>
      <c r="AC1459" s="32" t="str">
        <f t="shared" ref="AC1459:AG1459" si="1463">IF(J1459&lt;&gt;"", IF(AND($P1459=FALSE, $A1459=FALSE), -J1459, IF(AND($P1459=FALSE, $A1459=TRUE), 0, IF($P1459=TRUE, (J1459 / $R1459) * 100 * ($S1459 / 100)-J1459, ))), )</f>
        <v/>
      </c>
      <c r="AD1459" s="32" t="str">
        <f t="shared" si="1463"/>
        <v/>
      </c>
      <c r="AE1459" s="32" t="str">
        <f t="shared" si="1463"/>
        <v/>
      </c>
      <c r="AF1459" s="32" t="str">
        <f t="shared" si="1463"/>
        <v/>
      </c>
      <c r="AG1459" s="32" t="str">
        <f t="shared" si="1463"/>
        <v/>
      </c>
      <c r="AH1459" s="33"/>
    </row>
    <row r="1460" hidden="1" outlineLevel="3">
      <c r="A1460" s="16" t="b">
        <v>0</v>
      </c>
      <c r="B1460" s="17"/>
      <c r="C1460" s="18"/>
      <c r="D1460" s="19"/>
      <c r="E1460" s="20"/>
      <c r="F1460" s="21"/>
      <c r="G1460" s="22"/>
      <c r="H1460" s="22"/>
      <c r="I1460" s="23"/>
      <c r="J1460" s="22"/>
      <c r="K1460" s="23"/>
      <c r="L1460" s="22"/>
      <c r="M1460" s="23"/>
      <c r="N1460" s="23"/>
      <c r="O1460" s="24"/>
      <c r="P1460" s="16" t="b">
        <v>0</v>
      </c>
      <c r="Q1460" s="24"/>
      <c r="R1460" s="25"/>
      <c r="S1460" s="26"/>
      <c r="T1460" s="27"/>
      <c r="U1460" s="24"/>
      <c r="V1460" s="38" t="s">
        <v>29</v>
      </c>
      <c r="W1460" s="29" t="s">
        <v>22</v>
      </c>
      <c r="X1460" s="37" t="s">
        <v>497</v>
      </c>
      <c r="Y1460" s="31"/>
      <c r="Z1460" s="26" t="str">
        <f t="shared" si="5"/>
        <v/>
      </c>
      <c r="AA1460" s="26" t="str">
        <f t="shared" si="6"/>
        <v/>
      </c>
      <c r="AB1460" s="32" t="str">
        <f t="shared" si="7"/>
        <v/>
      </c>
      <c r="AC1460" s="32" t="str">
        <f t="shared" ref="AC1460:AG1460" si="1464">IF(J1460&lt;&gt;"", IF(AND($P1460=FALSE, $A1460=FALSE), -J1460, IF(AND($P1460=FALSE, $A1460=TRUE), 0, IF($P1460=TRUE, (J1460 / $R1460) * 100 * ($S1460 / 100)-J1460, ))), )</f>
        <v/>
      </c>
      <c r="AD1460" s="32" t="str">
        <f t="shared" si="1464"/>
        <v/>
      </c>
      <c r="AE1460" s="32" t="str">
        <f t="shared" si="1464"/>
        <v/>
      </c>
      <c r="AF1460" s="32" t="str">
        <f t="shared" si="1464"/>
        <v/>
      </c>
      <c r="AG1460" s="32" t="str">
        <f t="shared" si="1464"/>
        <v/>
      </c>
      <c r="AH1460" s="33"/>
    </row>
    <row r="1461" hidden="1" outlineLevel="2">
      <c r="A1461" s="16" t="b">
        <v>0</v>
      </c>
      <c r="B1461" s="17"/>
      <c r="C1461" s="18"/>
      <c r="D1461" s="42">
        <v>45285.0</v>
      </c>
      <c r="E1461" s="43" t="s">
        <v>24</v>
      </c>
      <c r="F1461" s="53" t="s">
        <v>934</v>
      </c>
      <c r="G1461" s="45">
        <v>1.0</v>
      </c>
      <c r="H1461" s="45">
        <v>0.5</v>
      </c>
      <c r="I1461" s="45">
        <v>3.5</v>
      </c>
      <c r="J1461" s="46"/>
      <c r="K1461" s="46"/>
      <c r="L1461" s="45"/>
      <c r="M1461" s="46"/>
      <c r="N1461" s="46"/>
      <c r="O1461" s="47"/>
      <c r="P1461" s="16" t="b">
        <v>0</v>
      </c>
      <c r="Q1461" s="24"/>
      <c r="R1461" s="48">
        <v>5.0</v>
      </c>
      <c r="S1461" s="45">
        <v>236.62</v>
      </c>
      <c r="T1461" s="49" t="s">
        <v>963</v>
      </c>
      <c r="U1461" s="47"/>
      <c r="V1461" s="28"/>
      <c r="W1461" s="29"/>
      <c r="X1461" s="30"/>
      <c r="Y1461" s="31"/>
      <c r="Z1461" s="26">
        <f t="shared" si="5"/>
        <v>-1</v>
      </c>
      <c r="AA1461" s="26">
        <f t="shared" si="6"/>
        <v>-3.5</v>
      </c>
      <c r="AB1461" s="32">
        <f t="shared" si="7"/>
        <v>-0.5</v>
      </c>
      <c r="AC1461" s="32" t="str">
        <f t="shared" ref="AC1461:AG1461" si="1465">IF(J1461&lt;&gt;"", IF(AND($P1461=FALSE, $A1461=FALSE), -J1461, IF(AND($P1461=FALSE, $A1461=TRUE), 0, IF($P1461=TRUE, (J1461 / $R1461) * 100 * ($S1461 / 100)-J1461, ))), )</f>
        <v/>
      </c>
      <c r="AD1461" s="32" t="str">
        <f t="shared" si="1465"/>
        <v/>
      </c>
      <c r="AE1461" s="32" t="str">
        <f t="shared" si="1465"/>
        <v/>
      </c>
      <c r="AF1461" s="32" t="str">
        <f t="shared" si="1465"/>
        <v/>
      </c>
      <c r="AG1461" s="32" t="str">
        <f t="shared" si="1465"/>
        <v/>
      </c>
      <c r="AH1461" s="33"/>
    </row>
    <row r="1462" hidden="1" outlineLevel="3">
      <c r="A1462" s="16" t="b">
        <v>0</v>
      </c>
      <c r="B1462" s="17"/>
      <c r="C1462" s="18"/>
      <c r="D1462" s="19"/>
      <c r="E1462" s="20"/>
      <c r="F1462" s="21"/>
      <c r="G1462" s="22"/>
      <c r="H1462" s="22"/>
      <c r="I1462" s="23"/>
      <c r="J1462" s="22"/>
      <c r="K1462" s="23"/>
      <c r="L1462" s="22"/>
      <c r="M1462" s="23"/>
      <c r="N1462" s="23"/>
      <c r="O1462" s="24"/>
      <c r="P1462" s="16" t="b">
        <v>0</v>
      </c>
      <c r="Q1462" s="24"/>
      <c r="R1462" s="25"/>
      <c r="S1462" s="26"/>
      <c r="T1462" s="27"/>
      <c r="U1462" s="24"/>
      <c r="V1462" s="38" t="s">
        <v>29</v>
      </c>
      <c r="W1462" s="29" t="s">
        <v>22</v>
      </c>
      <c r="X1462" s="37" t="s">
        <v>493</v>
      </c>
      <c r="Y1462" s="31"/>
      <c r="Z1462" s="26" t="str">
        <f t="shared" si="5"/>
        <v/>
      </c>
      <c r="AA1462" s="26" t="str">
        <f t="shared" si="6"/>
        <v/>
      </c>
      <c r="AB1462" s="32" t="str">
        <f t="shared" si="7"/>
        <v/>
      </c>
      <c r="AC1462" s="32" t="str">
        <f t="shared" ref="AC1462:AG1462" si="1466">IF(J1462&lt;&gt;"", IF(AND($P1462=FALSE, $A1462=FALSE), -J1462, IF(AND($P1462=FALSE, $A1462=TRUE), 0, IF($P1462=TRUE, (J1462 / $R1462) * 100 * ($S1462 / 100)-J1462, ))), )</f>
        <v/>
      </c>
      <c r="AD1462" s="32" t="str">
        <f t="shared" si="1466"/>
        <v/>
      </c>
      <c r="AE1462" s="32" t="str">
        <f t="shared" si="1466"/>
        <v/>
      </c>
      <c r="AF1462" s="32" t="str">
        <f t="shared" si="1466"/>
        <v/>
      </c>
      <c r="AG1462" s="32" t="str">
        <f t="shared" si="1466"/>
        <v/>
      </c>
      <c r="AH1462" s="33"/>
    </row>
    <row r="1463" hidden="1" outlineLevel="3">
      <c r="A1463" s="16" t="b">
        <v>0</v>
      </c>
      <c r="B1463" s="17"/>
      <c r="C1463" s="18"/>
      <c r="D1463" s="19"/>
      <c r="E1463" s="20"/>
      <c r="F1463" s="21"/>
      <c r="G1463" s="22"/>
      <c r="H1463" s="22"/>
      <c r="I1463" s="23"/>
      <c r="J1463" s="22"/>
      <c r="K1463" s="23"/>
      <c r="L1463" s="22"/>
      <c r="M1463" s="23"/>
      <c r="N1463" s="23"/>
      <c r="O1463" s="24"/>
      <c r="P1463" s="16" t="b">
        <v>0</v>
      </c>
      <c r="Q1463" s="24"/>
      <c r="R1463" s="25"/>
      <c r="S1463" s="26"/>
      <c r="T1463" s="27"/>
      <c r="U1463" s="24"/>
      <c r="V1463" s="28" t="s">
        <v>32</v>
      </c>
      <c r="W1463" s="29" t="s">
        <v>22</v>
      </c>
      <c r="X1463" s="37" t="s">
        <v>964</v>
      </c>
      <c r="Y1463" s="31"/>
      <c r="Z1463" s="26" t="str">
        <f t="shared" si="5"/>
        <v/>
      </c>
      <c r="AA1463" s="26" t="str">
        <f t="shared" si="6"/>
        <v/>
      </c>
      <c r="AB1463" s="32" t="str">
        <f t="shared" si="7"/>
        <v/>
      </c>
      <c r="AC1463" s="32" t="str">
        <f t="shared" ref="AC1463:AG1463" si="1467">IF(J1463&lt;&gt;"", IF(AND($P1463=FALSE, $A1463=FALSE), -J1463, IF(AND($P1463=FALSE, $A1463=TRUE), 0, IF($P1463=TRUE, (J1463 / $R1463) * 100 * ($S1463 / 100)-J1463, ))), )</f>
        <v/>
      </c>
      <c r="AD1463" s="32" t="str">
        <f t="shared" si="1467"/>
        <v/>
      </c>
      <c r="AE1463" s="32" t="str">
        <f t="shared" si="1467"/>
        <v/>
      </c>
      <c r="AF1463" s="32" t="str">
        <f t="shared" si="1467"/>
        <v/>
      </c>
      <c r="AG1463" s="32" t="str">
        <f t="shared" si="1467"/>
        <v/>
      </c>
      <c r="AH1463" s="33"/>
    </row>
    <row r="1464" hidden="1" outlineLevel="3">
      <c r="A1464" s="16" t="b">
        <v>0</v>
      </c>
      <c r="B1464" s="17"/>
      <c r="C1464" s="18"/>
      <c r="D1464" s="19"/>
      <c r="E1464" s="20"/>
      <c r="F1464" s="21"/>
      <c r="G1464" s="22"/>
      <c r="H1464" s="22"/>
      <c r="I1464" s="23"/>
      <c r="J1464" s="22"/>
      <c r="K1464" s="23"/>
      <c r="L1464" s="22"/>
      <c r="M1464" s="23"/>
      <c r="N1464" s="23"/>
      <c r="O1464" s="24"/>
      <c r="P1464" s="16" t="b">
        <v>0</v>
      </c>
      <c r="Q1464" s="24"/>
      <c r="R1464" s="25"/>
      <c r="S1464" s="26"/>
      <c r="T1464" s="27"/>
      <c r="U1464" s="24"/>
      <c r="V1464" s="38" t="s">
        <v>29</v>
      </c>
      <c r="W1464" s="29" t="s">
        <v>22</v>
      </c>
      <c r="X1464" s="37" t="s">
        <v>397</v>
      </c>
      <c r="Y1464" s="31"/>
      <c r="Z1464" s="26" t="str">
        <f t="shared" si="5"/>
        <v/>
      </c>
      <c r="AA1464" s="26" t="str">
        <f t="shared" si="6"/>
        <v/>
      </c>
      <c r="AB1464" s="32" t="str">
        <f t="shared" si="7"/>
        <v/>
      </c>
      <c r="AC1464" s="32" t="str">
        <f t="shared" ref="AC1464:AG1464" si="1468">IF(J1464&lt;&gt;"", IF(AND($P1464=FALSE, $A1464=FALSE), -J1464, IF(AND($P1464=FALSE, $A1464=TRUE), 0, IF($P1464=TRUE, (J1464 / $R1464) * 100 * ($S1464 / 100)-J1464, ))), )</f>
        <v/>
      </c>
      <c r="AD1464" s="32" t="str">
        <f t="shared" si="1468"/>
        <v/>
      </c>
      <c r="AE1464" s="32" t="str">
        <f t="shared" si="1468"/>
        <v/>
      </c>
      <c r="AF1464" s="32" t="str">
        <f t="shared" si="1468"/>
        <v/>
      </c>
      <c r="AG1464" s="32" t="str">
        <f t="shared" si="1468"/>
        <v/>
      </c>
      <c r="AH1464" s="33"/>
    </row>
    <row r="1465" hidden="1" outlineLevel="3">
      <c r="A1465" s="16" t="b">
        <v>0</v>
      </c>
      <c r="B1465" s="17"/>
      <c r="C1465" s="18"/>
      <c r="D1465" s="19"/>
      <c r="E1465" s="20"/>
      <c r="F1465" s="21"/>
      <c r="G1465" s="22"/>
      <c r="H1465" s="22"/>
      <c r="I1465" s="23"/>
      <c r="J1465" s="22"/>
      <c r="K1465" s="23"/>
      <c r="L1465" s="22"/>
      <c r="M1465" s="23"/>
      <c r="N1465" s="23"/>
      <c r="O1465" s="24"/>
      <c r="P1465" s="16" t="b">
        <v>0</v>
      </c>
      <c r="Q1465" s="24"/>
      <c r="R1465" s="25"/>
      <c r="S1465" s="26"/>
      <c r="T1465" s="27"/>
      <c r="U1465" s="24"/>
      <c r="V1465" s="38" t="s">
        <v>29</v>
      </c>
      <c r="W1465" s="29" t="s">
        <v>22</v>
      </c>
      <c r="X1465" s="37" t="s">
        <v>894</v>
      </c>
      <c r="Y1465" s="31"/>
      <c r="Z1465" s="26" t="str">
        <f t="shared" si="5"/>
        <v/>
      </c>
      <c r="AA1465" s="26" t="str">
        <f t="shared" si="6"/>
        <v/>
      </c>
      <c r="AB1465" s="32" t="str">
        <f t="shared" si="7"/>
        <v/>
      </c>
      <c r="AC1465" s="32" t="str">
        <f t="shared" ref="AC1465:AG1465" si="1469">IF(J1465&lt;&gt;"", IF(AND($P1465=FALSE, $A1465=FALSE), -J1465, IF(AND($P1465=FALSE, $A1465=TRUE), 0, IF($P1465=TRUE, (J1465 / $R1465) * 100 * ($S1465 / 100)-J1465, ))), )</f>
        <v/>
      </c>
      <c r="AD1465" s="32" t="str">
        <f t="shared" si="1469"/>
        <v/>
      </c>
      <c r="AE1465" s="32" t="str">
        <f t="shared" si="1469"/>
        <v/>
      </c>
      <c r="AF1465" s="32" t="str">
        <f t="shared" si="1469"/>
        <v/>
      </c>
      <c r="AG1465" s="32" t="str">
        <f t="shared" si="1469"/>
        <v/>
      </c>
      <c r="AH1465" s="33"/>
    </row>
    <row r="1466" hidden="1" outlineLevel="3">
      <c r="A1466" s="16" t="b">
        <v>0</v>
      </c>
      <c r="B1466" s="17"/>
      <c r="C1466" s="18"/>
      <c r="D1466" s="19"/>
      <c r="E1466" s="20"/>
      <c r="F1466" s="21"/>
      <c r="G1466" s="22"/>
      <c r="H1466" s="22"/>
      <c r="I1466" s="23"/>
      <c r="J1466" s="22"/>
      <c r="K1466" s="23"/>
      <c r="L1466" s="22"/>
      <c r="M1466" s="23"/>
      <c r="N1466" s="23"/>
      <c r="O1466" s="24"/>
      <c r="P1466" s="16" t="b">
        <v>0</v>
      </c>
      <c r="Q1466" s="24"/>
      <c r="R1466" s="25"/>
      <c r="S1466" s="26"/>
      <c r="T1466" s="27"/>
      <c r="U1466" s="24"/>
      <c r="V1466" s="38" t="s">
        <v>29</v>
      </c>
      <c r="W1466" s="29" t="s">
        <v>22</v>
      </c>
      <c r="X1466" s="37" t="s">
        <v>965</v>
      </c>
      <c r="Y1466" s="31"/>
      <c r="Z1466" s="26" t="str">
        <f t="shared" si="5"/>
        <v/>
      </c>
      <c r="AA1466" s="26" t="str">
        <f t="shared" si="6"/>
        <v/>
      </c>
      <c r="AB1466" s="32" t="str">
        <f t="shared" si="7"/>
        <v/>
      </c>
      <c r="AC1466" s="32" t="str">
        <f t="shared" ref="AC1466:AG1466" si="1470">IF(J1466&lt;&gt;"", IF(AND($P1466=FALSE, $A1466=FALSE), -J1466, IF(AND($P1466=FALSE, $A1466=TRUE), 0, IF($P1466=TRUE, (J1466 / $R1466) * 100 * ($S1466 / 100)-J1466, ))), )</f>
        <v/>
      </c>
      <c r="AD1466" s="32" t="str">
        <f t="shared" si="1470"/>
        <v/>
      </c>
      <c r="AE1466" s="32" t="str">
        <f t="shared" si="1470"/>
        <v/>
      </c>
      <c r="AF1466" s="32" t="str">
        <f t="shared" si="1470"/>
        <v/>
      </c>
      <c r="AG1466" s="32" t="str">
        <f t="shared" si="1470"/>
        <v/>
      </c>
      <c r="AH1466" s="33"/>
    </row>
    <row r="1467" hidden="1" outlineLevel="3">
      <c r="A1467" s="16" t="b">
        <v>0</v>
      </c>
      <c r="B1467" s="17"/>
      <c r="C1467" s="18"/>
      <c r="D1467" s="19"/>
      <c r="E1467" s="20"/>
      <c r="F1467" s="21"/>
      <c r="G1467" s="22"/>
      <c r="H1467" s="22"/>
      <c r="I1467" s="23"/>
      <c r="J1467" s="22"/>
      <c r="K1467" s="23"/>
      <c r="L1467" s="22"/>
      <c r="M1467" s="23"/>
      <c r="N1467" s="23"/>
      <c r="O1467" s="24"/>
      <c r="P1467" s="16" t="b">
        <v>0</v>
      </c>
      <c r="Q1467" s="24"/>
      <c r="R1467" s="25"/>
      <c r="S1467" s="26"/>
      <c r="T1467" s="27"/>
      <c r="U1467" s="24"/>
      <c r="V1467" s="28" t="s">
        <v>32</v>
      </c>
      <c r="W1467" s="29" t="s">
        <v>22</v>
      </c>
      <c r="X1467" s="37" t="s">
        <v>966</v>
      </c>
      <c r="Y1467" s="31"/>
      <c r="Z1467" s="26" t="str">
        <f t="shared" si="5"/>
        <v/>
      </c>
      <c r="AA1467" s="26" t="str">
        <f t="shared" si="6"/>
        <v/>
      </c>
      <c r="AB1467" s="32" t="str">
        <f t="shared" si="7"/>
        <v/>
      </c>
      <c r="AC1467" s="32" t="str">
        <f t="shared" ref="AC1467:AG1467" si="1471">IF(J1467&lt;&gt;"", IF(AND($P1467=FALSE, $A1467=FALSE), -J1467, IF(AND($P1467=FALSE, $A1467=TRUE), 0, IF($P1467=TRUE, (J1467 / $R1467) * 100 * ($S1467 / 100)-J1467, ))), )</f>
        <v/>
      </c>
      <c r="AD1467" s="32" t="str">
        <f t="shared" si="1471"/>
        <v/>
      </c>
      <c r="AE1467" s="32" t="str">
        <f t="shared" si="1471"/>
        <v/>
      </c>
      <c r="AF1467" s="32" t="str">
        <f t="shared" si="1471"/>
        <v/>
      </c>
      <c r="AG1467" s="32" t="str">
        <f t="shared" si="1471"/>
        <v/>
      </c>
      <c r="AH1467" s="33"/>
    </row>
    <row r="1468" hidden="1" outlineLevel="3">
      <c r="A1468" s="16" t="b">
        <v>0</v>
      </c>
      <c r="B1468" s="17"/>
      <c r="C1468" s="18"/>
      <c r="D1468" s="19"/>
      <c r="E1468" s="20"/>
      <c r="F1468" s="21"/>
      <c r="G1468" s="22"/>
      <c r="H1468" s="22"/>
      <c r="I1468" s="23"/>
      <c r="J1468" s="22"/>
      <c r="K1468" s="23"/>
      <c r="L1468" s="22"/>
      <c r="M1468" s="23"/>
      <c r="N1468" s="23"/>
      <c r="O1468" s="24"/>
      <c r="P1468" s="16" t="b">
        <v>0</v>
      </c>
      <c r="Q1468" s="24"/>
      <c r="R1468" s="25"/>
      <c r="S1468" s="26"/>
      <c r="T1468" s="27"/>
      <c r="U1468" s="24"/>
      <c r="V1468" s="38" t="s">
        <v>29</v>
      </c>
      <c r="W1468" s="29" t="s">
        <v>22</v>
      </c>
      <c r="X1468" s="37" t="s">
        <v>967</v>
      </c>
      <c r="Y1468" s="31"/>
      <c r="Z1468" s="26" t="str">
        <f t="shared" si="5"/>
        <v/>
      </c>
      <c r="AA1468" s="26" t="str">
        <f t="shared" si="6"/>
        <v/>
      </c>
      <c r="AB1468" s="32" t="str">
        <f t="shared" si="7"/>
        <v/>
      </c>
      <c r="AC1468" s="32" t="str">
        <f t="shared" ref="AC1468:AG1468" si="1472">IF(J1468&lt;&gt;"", IF(AND($P1468=FALSE, $A1468=FALSE), -J1468, IF(AND($P1468=FALSE, $A1468=TRUE), 0, IF($P1468=TRUE, (J1468 / $R1468) * 100 * ($S1468 / 100)-J1468, ))), )</f>
        <v/>
      </c>
      <c r="AD1468" s="32" t="str">
        <f t="shared" si="1472"/>
        <v/>
      </c>
      <c r="AE1468" s="32" t="str">
        <f t="shared" si="1472"/>
        <v/>
      </c>
      <c r="AF1468" s="32" t="str">
        <f t="shared" si="1472"/>
        <v/>
      </c>
      <c r="AG1468" s="32" t="str">
        <f t="shared" si="1472"/>
        <v/>
      </c>
      <c r="AH1468" s="33"/>
    </row>
    <row r="1469" hidden="1" outlineLevel="3">
      <c r="A1469" s="16" t="b">
        <v>0</v>
      </c>
      <c r="B1469" s="17"/>
      <c r="C1469" s="18"/>
      <c r="D1469" s="19"/>
      <c r="E1469" s="20"/>
      <c r="F1469" s="21"/>
      <c r="G1469" s="22"/>
      <c r="H1469" s="22"/>
      <c r="I1469" s="23"/>
      <c r="J1469" s="22"/>
      <c r="K1469" s="23"/>
      <c r="L1469" s="22"/>
      <c r="M1469" s="23"/>
      <c r="N1469" s="23"/>
      <c r="O1469" s="24"/>
      <c r="P1469" s="16" t="b">
        <v>0</v>
      </c>
      <c r="Q1469" s="24"/>
      <c r="R1469" s="25"/>
      <c r="S1469" s="26"/>
      <c r="T1469" s="27"/>
      <c r="U1469" s="24"/>
      <c r="V1469" s="38" t="s">
        <v>29</v>
      </c>
      <c r="W1469" s="29" t="s">
        <v>22</v>
      </c>
      <c r="X1469" s="37" t="s">
        <v>968</v>
      </c>
      <c r="Y1469" s="31"/>
      <c r="Z1469" s="26" t="str">
        <f t="shared" si="5"/>
        <v/>
      </c>
      <c r="AA1469" s="26" t="str">
        <f t="shared" si="6"/>
        <v/>
      </c>
      <c r="AB1469" s="32" t="str">
        <f t="shared" si="7"/>
        <v/>
      </c>
      <c r="AC1469" s="32" t="str">
        <f t="shared" ref="AC1469:AG1469" si="1473">IF(J1469&lt;&gt;"", IF(AND($P1469=FALSE, $A1469=FALSE), -J1469, IF(AND($P1469=FALSE, $A1469=TRUE), 0, IF($P1469=TRUE, (J1469 / $R1469) * 100 * ($S1469 / 100)-J1469, ))), )</f>
        <v/>
      </c>
      <c r="AD1469" s="32" t="str">
        <f t="shared" si="1473"/>
        <v/>
      </c>
      <c r="AE1469" s="32" t="str">
        <f t="shared" si="1473"/>
        <v/>
      </c>
      <c r="AF1469" s="32" t="str">
        <f t="shared" si="1473"/>
        <v/>
      </c>
      <c r="AG1469" s="32" t="str">
        <f t="shared" si="1473"/>
        <v/>
      </c>
      <c r="AH1469" s="33"/>
    </row>
    <row r="1470" hidden="1" outlineLevel="3">
      <c r="A1470" s="16" t="b">
        <v>0</v>
      </c>
      <c r="B1470" s="17"/>
      <c r="C1470" s="18"/>
      <c r="D1470" s="19"/>
      <c r="E1470" s="20"/>
      <c r="F1470" s="21"/>
      <c r="G1470" s="22"/>
      <c r="H1470" s="22"/>
      <c r="I1470" s="23"/>
      <c r="J1470" s="22"/>
      <c r="K1470" s="23"/>
      <c r="L1470" s="22"/>
      <c r="M1470" s="23"/>
      <c r="N1470" s="23"/>
      <c r="O1470" s="24"/>
      <c r="P1470" s="16" t="b">
        <v>0</v>
      </c>
      <c r="Q1470" s="24"/>
      <c r="R1470" s="25"/>
      <c r="S1470" s="26"/>
      <c r="T1470" s="27"/>
      <c r="U1470" s="24"/>
      <c r="V1470" s="38" t="s">
        <v>29</v>
      </c>
      <c r="W1470" s="29" t="s">
        <v>22</v>
      </c>
      <c r="X1470" s="37" t="s">
        <v>969</v>
      </c>
      <c r="Y1470" s="31"/>
      <c r="Z1470" s="26" t="str">
        <f t="shared" si="5"/>
        <v/>
      </c>
      <c r="AA1470" s="26" t="str">
        <f t="shared" si="6"/>
        <v/>
      </c>
      <c r="AB1470" s="32" t="str">
        <f t="shared" si="7"/>
        <v/>
      </c>
      <c r="AC1470" s="32" t="str">
        <f t="shared" ref="AC1470:AG1470" si="1474">IF(J1470&lt;&gt;"", IF(AND($P1470=FALSE, $A1470=FALSE), -J1470, IF(AND($P1470=FALSE, $A1470=TRUE), 0, IF($P1470=TRUE, (J1470 / $R1470) * 100 * ($S1470 / 100)-J1470, ))), )</f>
        <v/>
      </c>
      <c r="AD1470" s="32" t="str">
        <f t="shared" si="1474"/>
        <v/>
      </c>
      <c r="AE1470" s="32" t="str">
        <f t="shared" si="1474"/>
        <v/>
      </c>
      <c r="AF1470" s="32" t="str">
        <f t="shared" si="1474"/>
        <v/>
      </c>
      <c r="AG1470" s="32" t="str">
        <f t="shared" si="1474"/>
        <v/>
      </c>
      <c r="AH1470" s="33"/>
    </row>
    <row r="1471" hidden="1" outlineLevel="3">
      <c r="A1471" s="16" t="b">
        <v>0</v>
      </c>
      <c r="B1471" s="17"/>
      <c r="C1471" s="18"/>
      <c r="D1471" s="19"/>
      <c r="E1471" s="20"/>
      <c r="F1471" s="21"/>
      <c r="G1471" s="22"/>
      <c r="H1471" s="22"/>
      <c r="I1471" s="23"/>
      <c r="J1471" s="22"/>
      <c r="K1471" s="23"/>
      <c r="L1471" s="22"/>
      <c r="M1471" s="23"/>
      <c r="N1471" s="23"/>
      <c r="O1471" s="24"/>
      <c r="P1471" s="16" t="b">
        <v>0</v>
      </c>
      <c r="Q1471" s="24"/>
      <c r="R1471" s="25"/>
      <c r="S1471" s="26"/>
      <c r="T1471" s="27"/>
      <c r="U1471" s="24"/>
      <c r="V1471" s="38" t="s">
        <v>29</v>
      </c>
      <c r="W1471" s="29" t="s">
        <v>22</v>
      </c>
      <c r="X1471" s="37" t="s">
        <v>970</v>
      </c>
      <c r="Y1471" s="31"/>
      <c r="Z1471" s="26" t="str">
        <f t="shared" si="5"/>
        <v/>
      </c>
      <c r="AA1471" s="26" t="str">
        <f t="shared" si="6"/>
        <v/>
      </c>
      <c r="AB1471" s="32" t="str">
        <f t="shared" si="7"/>
        <v/>
      </c>
      <c r="AC1471" s="32" t="str">
        <f t="shared" ref="AC1471:AG1471" si="1475">IF(J1471&lt;&gt;"", IF(AND($P1471=FALSE, $A1471=FALSE), -J1471, IF(AND($P1471=FALSE, $A1471=TRUE), 0, IF($P1471=TRUE, (J1471 / $R1471) * 100 * ($S1471 / 100)-J1471, ))), )</f>
        <v/>
      </c>
      <c r="AD1471" s="32" t="str">
        <f t="shared" si="1475"/>
        <v/>
      </c>
      <c r="AE1471" s="32" t="str">
        <f t="shared" si="1475"/>
        <v/>
      </c>
      <c r="AF1471" s="32" t="str">
        <f t="shared" si="1475"/>
        <v/>
      </c>
      <c r="AG1471" s="32" t="str">
        <f t="shared" si="1475"/>
        <v/>
      </c>
      <c r="AH1471" s="33"/>
    </row>
    <row r="1472" hidden="1" outlineLevel="3">
      <c r="A1472" s="16" t="b">
        <v>0</v>
      </c>
      <c r="B1472" s="17"/>
      <c r="C1472" s="18"/>
      <c r="D1472" s="19"/>
      <c r="E1472" s="20"/>
      <c r="F1472" s="21"/>
      <c r="G1472" s="22"/>
      <c r="H1472" s="22"/>
      <c r="I1472" s="23"/>
      <c r="J1472" s="22"/>
      <c r="K1472" s="23"/>
      <c r="L1472" s="22"/>
      <c r="M1472" s="23"/>
      <c r="N1472" s="23"/>
      <c r="O1472" s="24"/>
      <c r="P1472" s="16" t="b">
        <v>0</v>
      </c>
      <c r="Q1472" s="24"/>
      <c r="R1472" s="25"/>
      <c r="S1472" s="26"/>
      <c r="T1472" s="27"/>
      <c r="U1472" s="24"/>
      <c r="V1472" s="28" t="s">
        <v>32</v>
      </c>
      <c r="W1472" s="29" t="s">
        <v>22</v>
      </c>
      <c r="X1472" s="37" t="s">
        <v>899</v>
      </c>
      <c r="Y1472" s="31"/>
      <c r="Z1472" s="26" t="str">
        <f t="shared" si="5"/>
        <v/>
      </c>
      <c r="AA1472" s="26" t="str">
        <f t="shared" si="6"/>
        <v/>
      </c>
      <c r="AB1472" s="32" t="str">
        <f t="shared" si="7"/>
        <v/>
      </c>
      <c r="AC1472" s="32" t="str">
        <f t="shared" ref="AC1472:AG1472" si="1476">IF(J1472&lt;&gt;"", IF(AND($P1472=FALSE, $A1472=FALSE), -J1472, IF(AND($P1472=FALSE, $A1472=TRUE), 0, IF($P1472=TRUE, (J1472 / $R1472) * 100 * ($S1472 / 100)-J1472, ))), )</f>
        <v/>
      </c>
      <c r="AD1472" s="32" t="str">
        <f t="shared" si="1476"/>
        <v/>
      </c>
      <c r="AE1472" s="32" t="str">
        <f t="shared" si="1476"/>
        <v/>
      </c>
      <c r="AF1472" s="32" t="str">
        <f t="shared" si="1476"/>
        <v/>
      </c>
      <c r="AG1472" s="32" t="str">
        <f t="shared" si="1476"/>
        <v/>
      </c>
      <c r="AH1472" s="33"/>
    </row>
    <row r="1473" hidden="1" outlineLevel="3">
      <c r="A1473" s="16" t="b">
        <v>0</v>
      </c>
      <c r="B1473" s="17"/>
      <c r="C1473" s="18"/>
      <c r="D1473" s="19"/>
      <c r="E1473" s="20"/>
      <c r="F1473" s="21"/>
      <c r="G1473" s="22"/>
      <c r="H1473" s="22"/>
      <c r="I1473" s="23"/>
      <c r="J1473" s="22"/>
      <c r="K1473" s="23"/>
      <c r="L1473" s="22"/>
      <c r="M1473" s="23"/>
      <c r="N1473" s="23"/>
      <c r="O1473" s="24"/>
      <c r="P1473" s="16" t="b">
        <v>0</v>
      </c>
      <c r="Q1473" s="24"/>
      <c r="R1473" s="25"/>
      <c r="S1473" s="26"/>
      <c r="T1473" s="27"/>
      <c r="U1473" s="24"/>
      <c r="V1473" s="28" t="s">
        <v>32</v>
      </c>
      <c r="W1473" s="29" t="s">
        <v>22</v>
      </c>
      <c r="X1473" s="37" t="s">
        <v>971</v>
      </c>
      <c r="Y1473" s="31"/>
      <c r="Z1473" s="26" t="str">
        <f t="shared" si="5"/>
        <v/>
      </c>
      <c r="AA1473" s="26" t="str">
        <f t="shared" si="6"/>
        <v/>
      </c>
      <c r="AB1473" s="32" t="str">
        <f t="shared" si="7"/>
        <v/>
      </c>
      <c r="AC1473" s="32" t="str">
        <f t="shared" ref="AC1473:AG1473" si="1477">IF(J1473&lt;&gt;"", IF(AND($P1473=FALSE, $A1473=FALSE), -J1473, IF(AND($P1473=FALSE, $A1473=TRUE), 0, IF($P1473=TRUE, (J1473 / $R1473) * 100 * ($S1473 / 100)-J1473, ))), )</f>
        <v/>
      </c>
      <c r="AD1473" s="32" t="str">
        <f t="shared" si="1477"/>
        <v/>
      </c>
      <c r="AE1473" s="32" t="str">
        <f t="shared" si="1477"/>
        <v/>
      </c>
      <c r="AF1473" s="32" t="str">
        <f t="shared" si="1477"/>
        <v/>
      </c>
      <c r="AG1473" s="32" t="str">
        <f t="shared" si="1477"/>
        <v/>
      </c>
      <c r="AH1473" s="33"/>
    </row>
    <row r="1474" hidden="1" outlineLevel="1" collapsed="1">
      <c r="A1474" s="16" t="b">
        <v>0</v>
      </c>
      <c r="B1474" s="17"/>
      <c r="C1474" s="18"/>
      <c r="D1474" s="42">
        <v>45287.0</v>
      </c>
      <c r="E1474" s="80" t="s">
        <v>60</v>
      </c>
      <c r="F1474" s="53" t="s">
        <v>630</v>
      </c>
      <c r="G1474" s="45">
        <v>3.0</v>
      </c>
      <c r="H1474" s="45">
        <v>1.5</v>
      </c>
      <c r="I1474" s="45">
        <v>5.5</v>
      </c>
      <c r="J1474" s="45"/>
      <c r="K1474" s="79"/>
      <c r="L1474" s="45"/>
      <c r="M1474" s="46"/>
      <c r="N1474" s="46"/>
      <c r="O1474" s="47"/>
      <c r="P1474" s="16" t="b">
        <v>0</v>
      </c>
      <c r="Q1474" s="24"/>
      <c r="R1474" s="48">
        <v>10.0</v>
      </c>
      <c r="S1474" s="45">
        <v>20.51</v>
      </c>
      <c r="T1474" s="49" t="s">
        <v>621</v>
      </c>
      <c r="U1474" s="47"/>
      <c r="V1474" s="28"/>
      <c r="W1474" s="29"/>
      <c r="X1474" s="30"/>
      <c r="Y1474" s="31"/>
      <c r="Z1474" s="26">
        <f t="shared" si="5"/>
        <v>-3</v>
      </c>
      <c r="AA1474" s="26">
        <f t="shared" si="6"/>
        <v>-5.5</v>
      </c>
      <c r="AB1474" s="32">
        <f t="shared" si="7"/>
        <v>-1.5</v>
      </c>
      <c r="AC1474" s="32" t="str">
        <f t="shared" ref="AC1474:AG1474" si="1478">IF(J1474&lt;&gt;"", IF(AND($P1474=FALSE, $A1474=FALSE), -J1474, IF(AND($P1474=FALSE, $A1474=TRUE), 0, IF($P1474=TRUE, (J1474 / $R1474) * 100 * ($S1474 / 100)-J1474, ))), )</f>
        <v/>
      </c>
      <c r="AD1474" s="32" t="str">
        <f t="shared" si="1478"/>
        <v/>
      </c>
      <c r="AE1474" s="32" t="str">
        <f t="shared" si="1478"/>
        <v/>
      </c>
      <c r="AF1474" s="32" t="str">
        <f t="shared" si="1478"/>
        <v/>
      </c>
      <c r="AG1474" s="32" t="str">
        <f t="shared" si="1478"/>
        <v/>
      </c>
      <c r="AH1474" s="33"/>
    </row>
    <row r="1475" hidden="1" outlineLevel="3">
      <c r="A1475" s="16" t="b">
        <v>0</v>
      </c>
      <c r="B1475" s="17"/>
      <c r="C1475" s="18"/>
      <c r="D1475" s="19"/>
      <c r="E1475" s="20"/>
      <c r="F1475" s="21"/>
      <c r="G1475" s="22"/>
      <c r="H1475" s="22"/>
      <c r="I1475" s="23"/>
      <c r="J1475" s="22"/>
      <c r="K1475" s="23"/>
      <c r="L1475" s="22"/>
      <c r="M1475" s="23"/>
      <c r="N1475" s="23"/>
      <c r="O1475" s="24"/>
      <c r="P1475" s="16" t="b">
        <v>0</v>
      </c>
      <c r="Q1475" s="24"/>
      <c r="R1475" s="25"/>
      <c r="S1475" s="26"/>
      <c r="T1475" s="27"/>
      <c r="U1475" s="24"/>
      <c r="V1475" s="28" t="s">
        <v>32</v>
      </c>
      <c r="W1475" s="29" t="s">
        <v>22</v>
      </c>
      <c r="X1475" s="37" t="s">
        <v>972</v>
      </c>
      <c r="Y1475" s="31"/>
      <c r="Z1475" s="26" t="str">
        <f t="shared" si="5"/>
        <v/>
      </c>
      <c r="AA1475" s="26" t="str">
        <f t="shared" si="6"/>
        <v/>
      </c>
      <c r="AB1475" s="32" t="str">
        <f t="shared" si="7"/>
        <v/>
      </c>
      <c r="AC1475" s="32" t="str">
        <f t="shared" ref="AC1475:AG1475" si="1479">IF(J1475&lt;&gt;"", IF(AND($P1475=FALSE, $A1475=FALSE), -J1475, IF(AND($P1475=FALSE, $A1475=TRUE), 0, IF($P1475=TRUE, (J1475 / $R1475) * 100 * ($S1475 / 100)-J1475, ))), )</f>
        <v/>
      </c>
      <c r="AD1475" s="32" t="str">
        <f t="shared" si="1479"/>
        <v/>
      </c>
      <c r="AE1475" s="32" t="str">
        <f t="shared" si="1479"/>
        <v/>
      </c>
      <c r="AF1475" s="32" t="str">
        <f t="shared" si="1479"/>
        <v/>
      </c>
      <c r="AG1475" s="32" t="str">
        <f t="shared" si="1479"/>
        <v/>
      </c>
      <c r="AH1475" s="33"/>
    </row>
    <row r="1476" hidden="1" outlineLevel="3">
      <c r="A1476" s="16" t="b">
        <v>0</v>
      </c>
      <c r="B1476" s="17"/>
      <c r="C1476" s="18"/>
      <c r="D1476" s="19"/>
      <c r="E1476" s="20"/>
      <c r="F1476" s="21"/>
      <c r="G1476" s="22"/>
      <c r="H1476" s="22"/>
      <c r="I1476" s="23"/>
      <c r="J1476" s="22"/>
      <c r="K1476" s="23"/>
      <c r="L1476" s="22"/>
      <c r="M1476" s="23"/>
      <c r="N1476" s="23"/>
      <c r="O1476" s="24"/>
      <c r="P1476" s="16" t="b">
        <v>0</v>
      </c>
      <c r="Q1476" s="24"/>
      <c r="R1476" s="25"/>
      <c r="S1476" s="26"/>
      <c r="T1476" s="27"/>
      <c r="U1476" s="24"/>
      <c r="V1476" s="38" t="s">
        <v>29</v>
      </c>
      <c r="W1476" s="29" t="s">
        <v>22</v>
      </c>
      <c r="X1476" s="37" t="s">
        <v>973</v>
      </c>
      <c r="Y1476" s="31"/>
      <c r="Z1476" s="26" t="str">
        <f t="shared" si="5"/>
        <v/>
      </c>
      <c r="AA1476" s="26" t="str">
        <f t="shared" si="6"/>
        <v/>
      </c>
      <c r="AB1476" s="32" t="str">
        <f t="shared" si="7"/>
        <v/>
      </c>
      <c r="AC1476" s="32" t="str">
        <f t="shared" ref="AC1476:AG1476" si="1480">IF(J1476&lt;&gt;"", IF(AND($P1476=FALSE, $A1476=FALSE), -J1476, IF(AND($P1476=FALSE, $A1476=TRUE), 0, IF($P1476=TRUE, (J1476 / $R1476) * 100 * ($S1476 / 100)-J1476, ))), )</f>
        <v/>
      </c>
      <c r="AD1476" s="32" t="str">
        <f t="shared" si="1480"/>
        <v/>
      </c>
      <c r="AE1476" s="32" t="str">
        <f t="shared" si="1480"/>
        <v/>
      </c>
      <c r="AF1476" s="32" t="str">
        <f t="shared" si="1480"/>
        <v/>
      </c>
      <c r="AG1476" s="32" t="str">
        <f t="shared" si="1480"/>
        <v/>
      </c>
      <c r="AH1476" s="33"/>
    </row>
    <row r="1477" hidden="1" outlineLevel="3">
      <c r="A1477" s="16" t="b">
        <v>0</v>
      </c>
      <c r="B1477" s="17"/>
      <c r="C1477" s="18"/>
      <c r="D1477" s="19"/>
      <c r="E1477" s="20"/>
      <c r="F1477" s="21"/>
      <c r="G1477" s="22"/>
      <c r="H1477" s="22"/>
      <c r="I1477" s="23"/>
      <c r="J1477" s="22"/>
      <c r="K1477" s="23"/>
      <c r="L1477" s="22"/>
      <c r="M1477" s="23"/>
      <c r="N1477" s="23"/>
      <c r="O1477" s="24"/>
      <c r="P1477" s="16" t="b">
        <v>0</v>
      </c>
      <c r="Q1477" s="24"/>
      <c r="R1477" s="25"/>
      <c r="S1477" s="26"/>
      <c r="T1477" s="27"/>
      <c r="U1477" s="24"/>
      <c r="V1477" s="38" t="s">
        <v>29</v>
      </c>
      <c r="W1477" s="29" t="s">
        <v>22</v>
      </c>
      <c r="X1477" s="37" t="s">
        <v>974</v>
      </c>
      <c r="Y1477" s="31"/>
      <c r="Z1477" s="26" t="str">
        <f t="shared" si="5"/>
        <v/>
      </c>
      <c r="AA1477" s="26" t="str">
        <f t="shared" si="6"/>
        <v/>
      </c>
      <c r="AB1477" s="32" t="str">
        <f t="shared" si="7"/>
        <v/>
      </c>
      <c r="AC1477" s="32" t="str">
        <f t="shared" ref="AC1477:AG1477" si="1481">IF(J1477&lt;&gt;"", IF(AND($P1477=FALSE, $A1477=FALSE), -J1477, IF(AND($P1477=FALSE, $A1477=TRUE), 0, IF($P1477=TRUE, (J1477 / $R1477) * 100 * ($S1477 / 100)-J1477, ))), )</f>
        <v/>
      </c>
      <c r="AD1477" s="32" t="str">
        <f t="shared" si="1481"/>
        <v/>
      </c>
      <c r="AE1477" s="32" t="str">
        <f t="shared" si="1481"/>
        <v/>
      </c>
      <c r="AF1477" s="32" t="str">
        <f t="shared" si="1481"/>
        <v/>
      </c>
      <c r="AG1477" s="32" t="str">
        <f t="shared" si="1481"/>
        <v/>
      </c>
      <c r="AH1477" s="33"/>
    </row>
    <row r="1478" hidden="1" outlineLevel="3">
      <c r="A1478" s="16" t="b">
        <v>0</v>
      </c>
      <c r="B1478" s="17"/>
      <c r="C1478" s="18"/>
      <c r="D1478" s="19"/>
      <c r="E1478" s="20"/>
      <c r="F1478" s="21"/>
      <c r="G1478" s="22"/>
      <c r="H1478" s="22"/>
      <c r="I1478" s="23"/>
      <c r="J1478" s="22"/>
      <c r="K1478" s="23"/>
      <c r="L1478" s="22"/>
      <c r="M1478" s="23"/>
      <c r="N1478" s="23"/>
      <c r="O1478" s="24"/>
      <c r="P1478" s="16" t="b">
        <v>0</v>
      </c>
      <c r="Q1478" s="24"/>
      <c r="R1478" s="25"/>
      <c r="S1478" s="26"/>
      <c r="T1478" s="27"/>
      <c r="U1478" s="24"/>
      <c r="V1478" s="38" t="s">
        <v>29</v>
      </c>
      <c r="W1478" s="29" t="s">
        <v>22</v>
      </c>
      <c r="X1478" s="37" t="s">
        <v>814</v>
      </c>
      <c r="Y1478" s="31"/>
      <c r="Z1478" s="26" t="str">
        <f t="shared" si="5"/>
        <v/>
      </c>
      <c r="AA1478" s="26" t="str">
        <f t="shared" si="6"/>
        <v/>
      </c>
      <c r="AB1478" s="32" t="str">
        <f t="shared" si="7"/>
        <v/>
      </c>
      <c r="AC1478" s="32" t="str">
        <f t="shared" ref="AC1478:AG1478" si="1482">IF(J1478&lt;&gt;"", IF(AND($P1478=FALSE, $A1478=FALSE), -J1478, IF(AND($P1478=FALSE, $A1478=TRUE), 0, IF($P1478=TRUE, (J1478 / $R1478) * 100 * ($S1478 / 100)-J1478, ))), )</f>
        <v/>
      </c>
      <c r="AD1478" s="32" t="str">
        <f t="shared" si="1482"/>
        <v/>
      </c>
      <c r="AE1478" s="32" t="str">
        <f t="shared" si="1482"/>
        <v/>
      </c>
      <c r="AF1478" s="32" t="str">
        <f t="shared" si="1482"/>
        <v/>
      </c>
      <c r="AG1478" s="32" t="str">
        <f t="shared" si="1482"/>
        <v/>
      </c>
      <c r="AH1478" s="33"/>
    </row>
    <row r="1479" hidden="1" outlineLevel="3">
      <c r="A1479" s="16" t="b">
        <v>0</v>
      </c>
      <c r="B1479" s="17"/>
      <c r="C1479" s="18"/>
      <c r="D1479" s="19"/>
      <c r="E1479" s="20"/>
      <c r="F1479" s="21"/>
      <c r="G1479" s="22"/>
      <c r="H1479" s="22"/>
      <c r="I1479" s="23"/>
      <c r="J1479" s="22"/>
      <c r="K1479" s="23"/>
      <c r="L1479" s="22"/>
      <c r="M1479" s="23"/>
      <c r="N1479" s="23"/>
      <c r="O1479" s="24"/>
      <c r="P1479" s="16" t="b">
        <v>0</v>
      </c>
      <c r="Q1479" s="24"/>
      <c r="R1479" s="25"/>
      <c r="S1479" s="26"/>
      <c r="T1479" s="27"/>
      <c r="U1479" s="24"/>
      <c r="V1479" s="28" t="s">
        <v>32</v>
      </c>
      <c r="W1479" s="29" t="s">
        <v>22</v>
      </c>
      <c r="X1479" s="37" t="s">
        <v>64</v>
      </c>
      <c r="Y1479" s="31"/>
      <c r="Z1479" s="26" t="str">
        <f t="shared" si="5"/>
        <v/>
      </c>
      <c r="AA1479" s="26" t="str">
        <f t="shared" si="6"/>
        <v/>
      </c>
      <c r="AB1479" s="32" t="str">
        <f t="shared" si="7"/>
        <v/>
      </c>
      <c r="AC1479" s="32" t="str">
        <f t="shared" ref="AC1479:AG1479" si="1483">IF(J1479&lt;&gt;"", IF(AND($P1479=FALSE, $A1479=FALSE), -J1479, IF(AND($P1479=FALSE, $A1479=TRUE), 0, IF($P1479=TRUE, (J1479 / $R1479) * 100 * ($S1479 / 100)-J1479, ))), )</f>
        <v/>
      </c>
      <c r="AD1479" s="32" t="str">
        <f t="shared" si="1483"/>
        <v/>
      </c>
      <c r="AE1479" s="32" t="str">
        <f t="shared" si="1483"/>
        <v/>
      </c>
      <c r="AF1479" s="32" t="str">
        <f t="shared" si="1483"/>
        <v/>
      </c>
      <c r="AG1479" s="32" t="str">
        <f t="shared" si="1483"/>
        <v/>
      </c>
      <c r="AH1479" s="33"/>
    </row>
    <row r="1480" hidden="1" outlineLevel="2" collapsed="1">
      <c r="A1480" s="16" t="b">
        <v>0</v>
      </c>
      <c r="B1480" s="17"/>
      <c r="C1480" s="18"/>
      <c r="D1480" s="42">
        <v>45287.0</v>
      </c>
      <c r="E1480" s="80" t="s">
        <v>60</v>
      </c>
      <c r="F1480" s="53" t="s">
        <v>630</v>
      </c>
      <c r="G1480" s="45">
        <v>2.0</v>
      </c>
      <c r="H1480" s="45">
        <v>1.0</v>
      </c>
      <c r="I1480" s="45">
        <v>2.0</v>
      </c>
      <c r="J1480" s="45"/>
      <c r="K1480" s="79"/>
      <c r="L1480" s="45"/>
      <c r="M1480" s="46"/>
      <c r="N1480" s="46"/>
      <c r="O1480" s="47"/>
      <c r="P1480" s="16" t="b">
        <v>0</v>
      </c>
      <c r="Q1480" s="24"/>
      <c r="R1480" s="48">
        <v>5.0</v>
      </c>
      <c r="S1480" s="45">
        <v>28.0</v>
      </c>
      <c r="T1480" s="49" t="s">
        <v>975</v>
      </c>
      <c r="U1480" s="47"/>
      <c r="V1480" s="28"/>
      <c r="W1480" s="29"/>
      <c r="X1480" s="30"/>
      <c r="Y1480" s="31"/>
      <c r="Z1480" s="26">
        <f t="shared" si="5"/>
        <v>-2</v>
      </c>
      <c r="AA1480" s="26">
        <f t="shared" si="6"/>
        <v>-2</v>
      </c>
      <c r="AB1480" s="32">
        <f t="shared" si="7"/>
        <v>-1</v>
      </c>
      <c r="AC1480" s="32" t="str">
        <f t="shared" ref="AC1480:AG1480" si="1484">IF(J1480&lt;&gt;"", IF(AND($P1480=FALSE, $A1480=FALSE), -J1480, IF(AND($P1480=FALSE, $A1480=TRUE), 0, IF($P1480=TRUE, (J1480 / $R1480) * 100 * ($S1480 / 100)-J1480, ))), )</f>
        <v/>
      </c>
      <c r="AD1480" s="32" t="str">
        <f t="shared" si="1484"/>
        <v/>
      </c>
      <c r="AE1480" s="32" t="str">
        <f t="shared" si="1484"/>
        <v/>
      </c>
      <c r="AF1480" s="32" t="str">
        <f t="shared" si="1484"/>
        <v/>
      </c>
      <c r="AG1480" s="32" t="str">
        <f t="shared" si="1484"/>
        <v/>
      </c>
      <c r="AH1480" s="33"/>
    </row>
    <row r="1481" hidden="1" outlineLevel="3">
      <c r="A1481" s="16" t="b">
        <v>0</v>
      </c>
      <c r="B1481" s="17"/>
      <c r="C1481" s="18"/>
      <c r="D1481" s="19"/>
      <c r="E1481" s="20"/>
      <c r="F1481" s="21"/>
      <c r="G1481" s="22"/>
      <c r="H1481" s="22"/>
      <c r="I1481" s="23"/>
      <c r="J1481" s="22"/>
      <c r="K1481" s="23"/>
      <c r="L1481" s="22"/>
      <c r="M1481" s="23"/>
      <c r="N1481" s="23"/>
      <c r="O1481" s="24"/>
      <c r="P1481" s="16" t="b">
        <v>0</v>
      </c>
      <c r="Q1481" s="24"/>
      <c r="R1481" s="25"/>
      <c r="S1481" s="26"/>
      <c r="T1481" s="27"/>
      <c r="U1481" s="24"/>
      <c r="V1481" s="38" t="s">
        <v>29</v>
      </c>
      <c r="W1481" s="29" t="s">
        <v>22</v>
      </c>
      <c r="X1481" s="37" t="s">
        <v>976</v>
      </c>
      <c r="Y1481" s="31"/>
      <c r="Z1481" s="26" t="str">
        <f t="shared" si="5"/>
        <v/>
      </c>
      <c r="AA1481" s="26" t="str">
        <f t="shared" si="6"/>
        <v/>
      </c>
      <c r="AB1481" s="32" t="str">
        <f t="shared" si="7"/>
        <v/>
      </c>
      <c r="AC1481" s="32" t="str">
        <f t="shared" ref="AC1481:AG1481" si="1485">IF(J1481&lt;&gt;"", IF(AND($P1481=FALSE, $A1481=FALSE), -J1481, IF(AND($P1481=FALSE, $A1481=TRUE), 0, IF($P1481=TRUE, (J1481 / $R1481) * 100 * ($S1481 / 100)-J1481, ))), )</f>
        <v/>
      </c>
      <c r="AD1481" s="32" t="str">
        <f t="shared" si="1485"/>
        <v/>
      </c>
      <c r="AE1481" s="32" t="str">
        <f t="shared" si="1485"/>
        <v/>
      </c>
      <c r="AF1481" s="32" t="str">
        <f t="shared" si="1485"/>
        <v/>
      </c>
      <c r="AG1481" s="32" t="str">
        <f t="shared" si="1485"/>
        <v/>
      </c>
      <c r="AH1481" s="33"/>
    </row>
    <row r="1482" hidden="1" outlineLevel="3">
      <c r="A1482" s="16" t="b">
        <v>0</v>
      </c>
      <c r="B1482" s="17"/>
      <c r="C1482" s="18"/>
      <c r="D1482" s="19"/>
      <c r="E1482" s="20"/>
      <c r="F1482" s="21"/>
      <c r="G1482" s="22"/>
      <c r="H1482" s="22"/>
      <c r="I1482" s="23"/>
      <c r="J1482" s="22"/>
      <c r="K1482" s="23"/>
      <c r="L1482" s="22"/>
      <c r="M1482" s="23"/>
      <c r="N1482" s="23"/>
      <c r="O1482" s="24"/>
      <c r="P1482" s="16" t="b">
        <v>0</v>
      </c>
      <c r="Q1482" s="24"/>
      <c r="R1482" s="25"/>
      <c r="S1482" s="26"/>
      <c r="T1482" s="27"/>
      <c r="U1482" s="24"/>
      <c r="V1482" s="28" t="s">
        <v>32</v>
      </c>
      <c r="W1482" s="29" t="s">
        <v>22</v>
      </c>
      <c r="X1482" s="37" t="s">
        <v>977</v>
      </c>
      <c r="Y1482" s="31"/>
      <c r="Z1482" s="26" t="str">
        <f t="shared" si="5"/>
        <v/>
      </c>
      <c r="AA1482" s="26" t="str">
        <f t="shared" si="6"/>
        <v/>
      </c>
      <c r="AB1482" s="32" t="str">
        <f t="shared" si="7"/>
        <v/>
      </c>
      <c r="AC1482" s="32" t="str">
        <f t="shared" ref="AC1482:AG1482" si="1486">IF(J1482&lt;&gt;"", IF(AND($P1482=FALSE, $A1482=FALSE), -J1482, IF(AND($P1482=FALSE, $A1482=TRUE), 0, IF($P1482=TRUE, (J1482 / $R1482) * 100 * ($S1482 / 100)-J1482, ))), )</f>
        <v/>
      </c>
      <c r="AD1482" s="32" t="str">
        <f t="shared" si="1486"/>
        <v/>
      </c>
      <c r="AE1482" s="32" t="str">
        <f t="shared" si="1486"/>
        <v/>
      </c>
      <c r="AF1482" s="32" t="str">
        <f t="shared" si="1486"/>
        <v/>
      </c>
      <c r="AG1482" s="32" t="str">
        <f t="shared" si="1486"/>
        <v/>
      </c>
      <c r="AH1482" s="33"/>
    </row>
    <row r="1483" hidden="1" outlineLevel="3">
      <c r="A1483" s="16" t="b">
        <v>0</v>
      </c>
      <c r="B1483" s="17"/>
      <c r="C1483" s="18"/>
      <c r="D1483" s="19"/>
      <c r="E1483" s="20"/>
      <c r="F1483" s="21"/>
      <c r="G1483" s="22"/>
      <c r="H1483" s="22"/>
      <c r="I1483" s="23"/>
      <c r="J1483" s="22"/>
      <c r="K1483" s="23"/>
      <c r="L1483" s="22"/>
      <c r="M1483" s="23"/>
      <c r="N1483" s="23"/>
      <c r="O1483" s="24"/>
      <c r="P1483" s="16" t="b">
        <v>0</v>
      </c>
      <c r="Q1483" s="24"/>
      <c r="R1483" s="25"/>
      <c r="S1483" s="26"/>
      <c r="T1483" s="27"/>
      <c r="U1483" s="24"/>
      <c r="V1483" s="28" t="s">
        <v>32</v>
      </c>
      <c r="W1483" s="29" t="s">
        <v>22</v>
      </c>
      <c r="X1483" s="37" t="s">
        <v>978</v>
      </c>
      <c r="Y1483" s="31"/>
      <c r="Z1483" s="26" t="str">
        <f t="shared" si="5"/>
        <v/>
      </c>
      <c r="AA1483" s="26" t="str">
        <f t="shared" si="6"/>
        <v/>
      </c>
      <c r="AB1483" s="32" t="str">
        <f t="shared" si="7"/>
        <v/>
      </c>
      <c r="AC1483" s="32" t="str">
        <f t="shared" ref="AC1483:AG1483" si="1487">IF(J1483&lt;&gt;"", IF(AND($P1483=FALSE, $A1483=FALSE), -J1483, IF(AND($P1483=FALSE, $A1483=TRUE), 0, IF($P1483=TRUE, (J1483 / $R1483) * 100 * ($S1483 / 100)-J1483, ))), )</f>
        <v/>
      </c>
      <c r="AD1483" s="32" t="str">
        <f t="shared" si="1487"/>
        <v/>
      </c>
      <c r="AE1483" s="32" t="str">
        <f t="shared" si="1487"/>
        <v/>
      </c>
      <c r="AF1483" s="32" t="str">
        <f t="shared" si="1487"/>
        <v/>
      </c>
      <c r="AG1483" s="32" t="str">
        <f t="shared" si="1487"/>
        <v/>
      </c>
      <c r="AH1483" s="33"/>
    </row>
    <row r="1484" hidden="1" outlineLevel="2" collapsed="1">
      <c r="A1484" s="16" t="b">
        <v>0</v>
      </c>
      <c r="B1484" s="17"/>
      <c r="C1484" s="18"/>
      <c r="D1484" s="42">
        <v>45287.0</v>
      </c>
      <c r="E1484" s="80" t="s">
        <v>60</v>
      </c>
      <c r="F1484" s="53" t="s">
        <v>630</v>
      </c>
      <c r="G1484" s="45">
        <v>2.0</v>
      </c>
      <c r="H1484" s="45">
        <v>1.0</v>
      </c>
      <c r="I1484" s="45">
        <v>2.0</v>
      </c>
      <c r="J1484" s="45"/>
      <c r="K1484" s="79"/>
      <c r="L1484" s="45"/>
      <c r="M1484" s="46"/>
      <c r="N1484" s="46"/>
      <c r="O1484" s="47"/>
      <c r="P1484" s="16" t="b">
        <v>0</v>
      </c>
      <c r="Q1484" s="24"/>
      <c r="R1484" s="48">
        <v>5.0</v>
      </c>
      <c r="S1484" s="45">
        <v>10.27</v>
      </c>
      <c r="T1484" s="49" t="s">
        <v>621</v>
      </c>
      <c r="U1484" s="47"/>
      <c r="V1484" s="28"/>
      <c r="W1484" s="29"/>
      <c r="X1484" s="30"/>
      <c r="Y1484" s="31"/>
      <c r="Z1484" s="26">
        <f t="shared" si="5"/>
        <v>-2</v>
      </c>
      <c r="AA1484" s="26">
        <f t="shared" si="6"/>
        <v>-2</v>
      </c>
      <c r="AB1484" s="32">
        <f t="shared" si="7"/>
        <v>-1</v>
      </c>
      <c r="AC1484" s="32" t="str">
        <f t="shared" ref="AC1484:AG1484" si="1488">IF(J1484&lt;&gt;"", IF(AND($P1484=FALSE, $A1484=FALSE), -J1484, IF(AND($P1484=FALSE, $A1484=TRUE), 0, IF($P1484=TRUE, (J1484 / $R1484) * 100 * ($S1484 / 100)-J1484, ))), )</f>
        <v/>
      </c>
      <c r="AD1484" s="32" t="str">
        <f t="shared" si="1488"/>
        <v/>
      </c>
      <c r="AE1484" s="32" t="str">
        <f t="shared" si="1488"/>
        <v/>
      </c>
      <c r="AF1484" s="32" t="str">
        <f t="shared" si="1488"/>
        <v/>
      </c>
      <c r="AG1484" s="32" t="str">
        <f t="shared" si="1488"/>
        <v/>
      </c>
      <c r="AH1484" s="33"/>
    </row>
    <row r="1485" hidden="1" outlineLevel="3">
      <c r="A1485" s="16" t="b">
        <v>0</v>
      </c>
      <c r="B1485" s="17"/>
      <c r="C1485" s="18"/>
      <c r="D1485" s="19"/>
      <c r="E1485" s="20"/>
      <c r="F1485" s="21"/>
      <c r="G1485" s="22"/>
      <c r="H1485" s="22"/>
      <c r="I1485" s="23"/>
      <c r="J1485" s="22"/>
      <c r="K1485" s="23"/>
      <c r="L1485" s="22"/>
      <c r="M1485" s="23"/>
      <c r="N1485" s="23"/>
      <c r="O1485" s="24"/>
      <c r="P1485" s="16" t="b">
        <v>0</v>
      </c>
      <c r="Q1485" s="24"/>
      <c r="R1485" s="25"/>
      <c r="S1485" s="26"/>
      <c r="T1485" s="27"/>
      <c r="U1485" s="24"/>
      <c r="V1485" s="38" t="s">
        <v>29</v>
      </c>
      <c r="W1485" s="29" t="s">
        <v>22</v>
      </c>
      <c r="X1485" s="37" t="s">
        <v>219</v>
      </c>
      <c r="Y1485" s="31"/>
      <c r="Z1485" s="26" t="str">
        <f t="shared" si="5"/>
        <v/>
      </c>
      <c r="AA1485" s="26" t="str">
        <f t="shared" si="6"/>
        <v/>
      </c>
      <c r="AB1485" s="32" t="str">
        <f t="shared" si="7"/>
        <v/>
      </c>
      <c r="AC1485" s="32" t="str">
        <f t="shared" ref="AC1485:AG1485" si="1489">IF(J1485&lt;&gt;"", IF(AND($P1485=FALSE, $A1485=FALSE), -J1485, IF(AND($P1485=FALSE, $A1485=TRUE), 0, IF($P1485=TRUE, (J1485 / $R1485) * 100 * ($S1485 / 100)-J1485, ))), )</f>
        <v/>
      </c>
      <c r="AD1485" s="32" t="str">
        <f t="shared" si="1489"/>
        <v/>
      </c>
      <c r="AE1485" s="32" t="str">
        <f t="shared" si="1489"/>
        <v/>
      </c>
      <c r="AF1485" s="32" t="str">
        <f t="shared" si="1489"/>
        <v/>
      </c>
      <c r="AG1485" s="32" t="str">
        <f t="shared" si="1489"/>
        <v/>
      </c>
      <c r="AH1485" s="33"/>
    </row>
    <row r="1486" hidden="1" outlineLevel="3">
      <c r="A1486" s="16" t="b">
        <v>0</v>
      </c>
      <c r="B1486" s="17"/>
      <c r="C1486" s="18"/>
      <c r="D1486" s="19"/>
      <c r="E1486" s="20"/>
      <c r="F1486" s="21"/>
      <c r="G1486" s="22"/>
      <c r="H1486" s="22"/>
      <c r="I1486" s="23"/>
      <c r="J1486" s="22"/>
      <c r="K1486" s="23"/>
      <c r="L1486" s="22"/>
      <c r="M1486" s="23"/>
      <c r="N1486" s="23"/>
      <c r="O1486" s="24"/>
      <c r="P1486" s="16" t="b">
        <v>0</v>
      </c>
      <c r="Q1486" s="24"/>
      <c r="R1486" s="25"/>
      <c r="S1486" s="26"/>
      <c r="T1486" s="27"/>
      <c r="U1486" s="24"/>
      <c r="V1486" s="38" t="s">
        <v>29</v>
      </c>
      <c r="W1486" s="29" t="s">
        <v>22</v>
      </c>
      <c r="X1486" s="37" t="s">
        <v>979</v>
      </c>
      <c r="Y1486" s="31"/>
      <c r="Z1486" s="26" t="str">
        <f t="shared" si="5"/>
        <v/>
      </c>
      <c r="AA1486" s="26" t="str">
        <f t="shared" si="6"/>
        <v/>
      </c>
      <c r="AB1486" s="32" t="str">
        <f t="shared" si="7"/>
        <v/>
      </c>
      <c r="AC1486" s="32" t="str">
        <f t="shared" ref="AC1486:AG1486" si="1490">IF(J1486&lt;&gt;"", IF(AND($P1486=FALSE, $A1486=FALSE), -J1486, IF(AND($P1486=FALSE, $A1486=TRUE), 0, IF($P1486=TRUE, (J1486 / $R1486) * 100 * ($S1486 / 100)-J1486, ))), )</f>
        <v/>
      </c>
      <c r="AD1486" s="32" t="str">
        <f t="shared" si="1490"/>
        <v/>
      </c>
      <c r="AE1486" s="32" t="str">
        <f t="shared" si="1490"/>
        <v/>
      </c>
      <c r="AF1486" s="32" t="str">
        <f t="shared" si="1490"/>
        <v/>
      </c>
      <c r="AG1486" s="32" t="str">
        <f t="shared" si="1490"/>
        <v/>
      </c>
      <c r="AH1486" s="33"/>
    </row>
    <row r="1487" hidden="1" outlineLevel="3">
      <c r="A1487" s="16" t="b">
        <v>0</v>
      </c>
      <c r="B1487" s="17"/>
      <c r="C1487" s="18"/>
      <c r="D1487" s="19"/>
      <c r="E1487" s="20"/>
      <c r="F1487" s="21"/>
      <c r="G1487" s="22"/>
      <c r="H1487" s="22"/>
      <c r="I1487" s="23"/>
      <c r="J1487" s="22"/>
      <c r="K1487" s="23"/>
      <c r="L1487" s="22"/>
      <c r="M1487" s="23"/>
      <c r="N1487" s="23"/>
      <c r="O1487" s="24"/>
      <c r="P1487" s="16" t="b">
        <v>0</v>
      </c>
      <c r="Q1487" s="24"/>
      <c r="R1487" s="25"/>
      <c r="S1487" s="26"/>
      <c r="T1487" s="27"/>
      <c r="U1487" s="24"/>
      <c r="V1487" s="38" t="s">
        <v>29</v>
      </c>
      <c r="W1487" s="29" t="s">
        <v>22</v>
      </c>
      <c r="X1487" s="37" t="s">
        <v>920</v>
      </c>
      <c r="Y1487" s="31"/>
      <c r="Z1487" s="26" t="str">
        <f t="shared" si="5"/>
        <v/>
      </c>
      <c r="AA1487" s="26" t="str">
        <f t="shared" si="6"/>
        <v/>
      </c>
      <c r="AB1487" s="32" t="str">
        <f t="shared" si="7"/>
        <v/>
      </c>
      <c r="AC1487" s="32" t="str">
        <f t="shared" ref="AC1487:AG1487" si="1491">IF(J1487&lt;&gt;"", IF(AND($P1487=FALSE, $A1487=FALSE), -J1487, IF(AND($P1487=FALSE, $A1487=TRUE), 0, IF($P1487=TRUE, (J1487 / $R1487) * 100 * ($S1487 / 100)-J1487, ))), )</f>
        <v/>
      </c>
      <c r="AD1487" s="32" t="str">
        <f t="shared" si="1491"/>
        <v/>
      </c>
      <c r="AE1487" s="32" t="str">
        <f t="shared" si="1491"/>
        <v/>
      </c>
      <c r="AF1487" s="32" t="str">
        <f t="shared" si="1491"/>
        <v/>
      </c>
      <c r="AG1487" s="32" t="str">
        <f t="shared" si="1491"/>
        <v/>
      </c>
      <c r="AH1487" s="33"/>
    </row>
    <row r="1488" hidden="1" outlineLevel="3">
      <c r="A1488" s="16" t="b">
        <v>0</v>
      </c>
      <c r="B1488" s="17"/>
      <c r="C1488" s="18"/>
      <c r="D1488" s="19"/>
      <c r="E1488" s="20"/>
      <c r="F1488" s="21"/>
      <c r="G1488" s="22"/>
      <c r="H1488" s="22"/>
      <c r="I1488" s="23"/>
      <c r="J1488" s="22"/>
      <c r="K1488" s="23"/>
      <c r="L1488" s="22"/>
      <c r="M1488" s="23"/>
      <c r="N1488" s="23"/>
      <c r="O1488" s="24"/>
      <c r="P1488" s="16" t="b">
        <v>0</v>
      </c>
      <c r="Q1488" s="24"/>
      <c r="R1488" s="25"/>
      <c r="S1488" s="26"/>
      <c r="T1488" s="27"/>
      <c r="U1488" s="24"/>
      <c r="V1488" s="28" t="s">
        <v>32</v>
      </c>
      <c r="W1488" s="29" t="s">
        <v>22</v>
      </c>
      <c r="X1488" s="37" t="s">
        <v>980</v>
      </c>
      <c r="Y1488" s="31"/>
      <c r="Z1488" s="26" t="str">
        <f t="shared" si="5"/>
        <v/>
      </c>
      <c r="AA1488" s="26" t="str">
        <f t="shared" si="6"/>
        <v/>
      </c>
      <c r="AB1488" s="32" t="str">
        <f t="shared" si="7"/>
        <v/>
      </c>
      <c r="AC1488" s="32" t="str">
        <f t="shared" ref="AC1488:AG1488" si="1492">IF(J1488&lt;&gt;"", IF(AND($P1488=FALSE, $A1488=FALSE), -J1488, IF(AND($P1488=FALSE, $A1488=TRUE), 0, IF($P1488=TRUE, (J1488 / $R1488) * 100 * ($S1488 / 100)-J1488, ))), )</f>
        <v/>
      </c>
      <c r="AD1488" s="32" t="str">
        <f t="shared" si="1492"/>
        <v/>
      </c>
      <c r="AE1488" s="32" t="str">
        <f t="shared" si="1492"/>
        <v/>
      </c>
      <c r="AF1488" s="32" t="str">
        <f t="shared" si="1492"/>
        <v/>
      </c>
      <c r="AG1488" s="32" t="str">
        <f t="shared" si="1492"/>
        <v/>
      </c>
      <c r="AH1488" s="33"/>
    </row>
    <row r="1489" hidden="1" outlineLevel="2">
      <c r="A1489" s="16" t="b">
        <v>0</v>
      </c>
      <c r="B1489" s="17"/>
      <c r="C1489" s="18"/>
      <c r="D1489" s="42">
        <v>45287.0</v>
      </c>
      <c r="E1489" s="80" t="s">
        <v>60</v>
      </c>
      <c r="F1489" s="53" t="s">
        <v>630</v>
      </c>
      <c r="G1489" s="45">
        <v>2.0</v>
      </c>
      <c r="H1489" s="45">
        <v>1.0</v>
      </c>
      <c r="I1489" s="45">
        <v>3.0</v>
      </c>
      <c r="J1489" s="45"/>
      <c r="K1489" s="79"/>
      <c r="L1489" s="45"/>
      <c r="M1489" s="46"/>
      <c r="N1489" s="46"/>
      <c r="O1489" s="47"/>
      <c r="P1489" s="16" t="b">
        <v>1</v>
      </c>
      <c r="Q1489" s="24"/>
      <c r="R1489" s="48">
        <v>6.0</v>
      </c>
      <c r="S1489" s="45">
        <v>15.21</v>
      </c>
      <c r="T1489" s="49" t="s">
        <v>316</v>
      </c>
      <c r="U1489" s="47"/>
      <c r="V1489" s="28"/>
      <c r="W1489" s="29"/>
      <c r="X1489" s="30"/>
      <c r="Y1489" s="31"/>
      <c r="Z1489" s="26">
        <f t="shared" si="5"/>
        <v>3.07</v>
      </c>
      <c r="AA1489" s="26">
        <f t="shared" si="6"/>
        <v>4.605</v>
      </c>
      <c r="AB1489" s="32">
        <f t="shared" si="7"/>
        <v>1.535</v>
      </c>
      <c r="AC1489" s="32" t="str">
        <f t="shared" ref="AC1489:AG1489" si="1493">IF(J1489&lt;&gt;"", IF(AND($P1489=FALSE, $A1489=FALSE), -J1489, IF(AND($P1489=FALSE, $A1489=TRUE), 0, IF($P1489=TRUE, (J1489 / $R1489) * 100 * ($S1489 / 100)-J1489, ))), )</f>
        <v/>
      </c>
      <c r="AD1489" s="32" t="str">
        <f t="shared" si="1493"/>
        <v/>
      </c>
      <c r="AE1489" s="32" t="str">
        <f t="shared" si="1493"/>
        <v/>
      </c>
      <c r="AF1489" s="32" t="str">
        <f t="shared" si="1493"/>
        <v/>
      </c>
      <c r="AG1489" s="32" t="str">
        <f t="shared" si="1493"/>
        <v/>
      </c>
      <c r="AH1489" s="33"/>
    </row>
    <row r="1490" hidden="1" outlineLevel="3">
      <c r="A1490" s="16" t="b">
        <v>0</v>
      </c>
      <c r="B1490" s="17"/>
      <c r="C1490" s="18"/>
      <c r="D1490" s="19"/>
      <c r="E1490" s="20"/>
      <c r="F1490" s="21"/>
      <c r="G1490" s="22"/>
      <c r="H1490" s="22"/>
      <c r="I1490" s="23"/>
      <c r="J1490" s="22"/>
      <c r="K1490" s="23"/>
      <c r="L1490" s="22"/>
      <c r="M1490" s="23"/>
      <c r="N1490" s="23"/>
      <c r="O1490" s="24"/>
      <c r="P1490" s="16" t="b">
        <v>0</v>
      </c>
      <c r="Q1490" s="24"/>
      <c r="R1490" s="25"/>
      <c r="S1490" s="26"/>
      <c r="T1490" s="27"/>
      <c r="U1490" s="24"/>
      <c r="V1490" s="38" t="s">
        <v>29</v>
      </c>
      <c r="W1490" s="29" t="s">
        <v>22</v>
      </c>
      <c r="X1490" s="37" t="s">
        <v>981</v>
      </c>
      <c r="Y1490" s="31"/>
      <c r="Z1490" s="26" t="str">
        <f t="shared" si="5"/>
        <v/>
      </c>
      <c r="AA1490" s="26" t="str">
        <f t="shared" si="6"/>
        <v/>
      </c>
      <c r="AB1490" s="32" t="str">
        <f t="shared" si="7"/>
        <v/>
      </c>
      <c r="AC1490" s="32" t="str">
        <f t="shared" ref="AC1490:AG1490" si="1494">IF(J1490&lt;&gt;"", IF(AND($P1490=FALSE, $A1490=FALSE), -J1490, IF(AND($P1490=FALSE, $A1490=TRUE), 0, IF($P1490=TRUE, (J1490 / $R1490) * 100 * ($S1490 / 100)-J1490, ))), )</f>
        <v/>
      </c>
      <c r="AD1490" s="32" t="str">
        <f t="shared" si="1494"/>
        <v/>
      </c>
      <c r="AE1490" s="32" t="str">
        <f t="shared" si="1494"/>
        <v/>
      </c>
      <c r="AF1490" s="32" t="str">
        <f t="shared" si="1494"/>
        <v/>
      </c>
      <c r="AG1490" s="32" t="str">
        <f t="shared" si="1494"/>
        <v/>
      </c>
      <c r="AH1490" s="33"/>
    </row>
    <row r="1491" hidden="1" outlineLevel="3">
      <c r="A1491" s="16" t="b">
        <v>0</v>
      </c>
      <c r="B1491" s="17"/>
      <c r="C1491" s="18"/>
      <c r="D1491" s="19"/>
      <c r="E1491" s="20"/>
      <c r="F1491" s="21"/>
      <c r="G1491" s="22"/>
      <c r="H1491" s="22"/>
      <c r="I1491" s="23"/>
      <c r="J1491" s="22"/>
      <c r="K1491" s="23"/>
      <c r="L1491" s="22"/>
      <c r="M1491" s="23"/>
      <c r="N1491" s="23"/>
      <c r="O1491" s="24"/>
      <c r="P1491" s="16" t="b">
        <v>0</v>
      </c>
      <c r="Q1491" s="24"/>
      <c r="R1491" s="25"/>
      <c r="S1491" s="26"/>
      <c r="T1491" s="27"/>
      <c r="U1491" s="24"/>
      <c r="V1491" s="38" t="s">
        <v>29</v>
      </c>
      <c r="W1491" s="29" t="s">
        <v>22</v>
      </c>
      <c r="X1491" s="37" t="s">
        <v>982</v>
      </c>
      <c r="Y1491" s="31"/>
      <c r="Z1491" s="26" t="str">
        <f t="shared" si="5"/>
        <v/>
      </c>
      <c r="AA1491" s="26" t="str">
        <f t="shared" si="6"/>
        <v/>
      </c>
      <c r="AB1491" s="32" t="str">
        <f t="shared" si="7"/>
        <v/>
      </c>
      <c r="AC1491" s="32" t="str">
        <f t="shared" ref="AC1491:AG1491" si="1495">IF(J1491&lt;&gt;"", IF(AND($P1491=FALSE, $A1491=FALSE), -J1491, IF(AND($P1491=FALSE, $A1491=TRUE), 0, IF($P1491=TRUE, (J1491 / $R1491) * 100 * ($S1491 / 100)-J1491, ))), )</f>
        <v/>
      </c>
      <c r="AD1491" s="32" t="str">
        <f t="shared" si="1495"/>
        <v/>
      </c>
      <c r="AE1491" s="32" t="str">
        <f t="shared" si="1495"/>
        <v/>
      </c>
      <c r="AF1491" s="32" t="str">
        <f t="shared" si="1495"/>
        <v/>
      </c>
      <c r="AG1491" s="32" t="str">
        <f t="shared" si="1495"/>
        <v/>
      </c>
      <c r="AH1491" s="33"/>
    </row>
    <row r="1492" hidden="1" outlineLevel="1" collapsed="1">
      <c r="A1492" s="16" t="b">
        <v>0</v>
      </c>
      <c r="B1492" s="17"/>
      <c r="C1492" s="18"/>
      <c r="D1492" s="42">
        <v>45288.0</v>
      </c>
      <c r="E1492" s="80" t="s">
        <v>60</v>
      </c>
      <c r="F1492" s="53" t="s">
        <v>630</v>
      </c>
      <c r="G1492" s="45">
        <v>3.0</v>
      </c>
      <c r="H1492" s="45">
        <v>1.5</v>
      </c>
      <c r="I1492" s="45">
        <v>3.0</v>
      </c>
      <c r="J1492" s="45"/>
      <c r="K1492" s="79"/>
      <c r="L1492" s="45"/>
      <c r="M1492" s="46"/>
      <c r="N1492" s="46"/>
      <c r="O1492" s="47"/>
      <c r="P1492" s="16" t="b">
        <v>0</v>
      </c>
      <c r="Q1492" s="24"/>
      <c r="R1492" s="48">
        <v>7.5</v>
      </c>
      <c r="S1492" s="45">
        <v>15.02</v>
      </c>
      <c r="T1492" s="49" t="s">
        <v>71</v>
      </c>
      <c r="U1492" s="47"/>
      <c r="V1492" s="28"/>
      <c r="W1492" s="29"/>
      <c r="X1492" s="30"/>
      <c r="Y1492" s="31"/>
      <c r="Z1492" s="26">
        <f t="shared" si="5"/>
        <v>-3</v>
      </c>
      <c r="AA1492" s="26">
        <f t="shared" si="6"/>
        <v>-3</v>
      </c>
      <c r="AB1492" s="32">
        <f t="shared" si="7"/>
        <v>-1.5</v>
      </c>
      <c r="AC1492" s="32" t="str">
        <f t="shared" ref="AC1492:AG1492" si="1496">IF(J1492&lt;&gt;"", IF(AND($P1492=FALSE, $A1492=FALSE), -J1492, IF(AND($P1492=FALSE, $A1492=TRUE), 0, IF($P1492=TRUE, (J1492 / $R1492) * 100 * ($S1492 / 100)-J1492, ))), )</f>
        <v/>
      </c>
      <c r="AD1492" s="32" t="str">
        <f t="shared" si="1496"/>
        <v/>
      </c>
      <c r="AE1492" s="32" t="str">
        <f t="shared" si="1496"/>
        <v/>
      </c>
      <c r="AF1492" s="32" t="str">
        <f t="shared" si="1496"/>
        <v/>
      </c>
      <c r="AG1492" s="32" t="str">
        <f t="shared" si="1496"/>
        <v/>
      </c>
      <c r="AH1492" s="33"/>
    </row>
    <row r="1493" hidden="1" outlineLevel="3">
      <c r="A1493" s="16" t="b">
        <v>0</v>
      </c>
      <c r="B1493" s="17"/>
      <c r="C1493" s="18"/>
      <c r="D1493" s="19"/>
      <c r="E1493" s="20"/>
      <c r="F1493" s="21"/>
      <c r="G1493" s="22"/>
      <c r="H1493" s="22"/>
      <c r="I1493" s="23"/>
      <c r="J1493" s="22"/>
      <c r="K1493" s="23"/>
      <c r="L1493" s="22"/>
      <c r="M1493" s="23"/>
      <c r="N1493" s="23"/>
      <c r="O1493" s="24"/>
      <c r="P1493" s="16" t="b">
        <v>0</v>
      </c>
      <c r="Q1493" s="24"/>
      <c r="R1493" s="25"/>
      <c r="S1493" s="26"/>
      <c r="T1493" s="27"/>
      <c r="U1493" s="24"/>
      <c r="V1493" s="28" t="s">
        <v>32</v>
      </c>
      <c r="W1493" s="29" t="s">
        <v>22</v>
      </c>
      <c r="X1493" s="37" t="s">
        <v>983</v>
      </c>
      <c r="Y1493" s="31"/>
      <c r="Z1493" s="26" t="str">
        <f t="shared" si="5"/>
        <v/>
      </c>
      <c r="AA1493" s="26" t="str">
        <f t="shared" si="6"/>
        <v/>
      </c>
      <c r="AB1493" s="32" t="str">
        <f t="shared" si="7"/>
        <v/>
      </c>
      <c r="AC1493" s="32" t="str">
        <f t="shared" ref="AC1493:AG1493" si="1497">IF(J1493&lt;&gt;"", IF(AND($P1493=FALSE, $A1493=FALSE), -J1493, IF(AND($P1493=FALSE, $A1493=TRUE), 0, IF($P1493=TRUE, (J1493 / $R1493) * 100 * ($S1493 / 100)-J1493, ))), )</f>
        <v/>
      </c>
      <c r="AD1493" s="32" t="str">
        <f t="shared" si="1497"/>
        <v/>
      </c>
      <c r="AE1493" s="32" t="str">
        <f t="shared" si="1497"/>
        <v/>
      </c>
      <c r="AF1493" s="32" t="str">
        <f t="shared" si="1497"/>
        <v/>
      </c>
      <c r="AG1493" s="32" t="str">
        <f t="shared" si="1497"/>
        <v/>
      </c>
      <c r="AH1493" s="33"/>
    </row>
    <row r="1494" hidden="1" outlineLevel="3">
      <c r="A1494" s="16" t="b">
        <v>0</v>
      </c>
      <c r="B1494" s="17"/>
      <c r="C1494" s="18"/>
      <c r="D1494" s="19"/>
      <c r="E1494" s="20"/>
      <c r="F1494" s="21"/>
      <c r="G1494" s="22"/>
      <c r="H1494" s="22"/>
      <c r="I1494" s="23"/>
      <c r="J1494" s="22"/>
      <c r="K1494" s="23"/>
      <c r="L1494" s="22"/>
      <c r="M1494" s="23"/>
      <c r="N1494" s="23"/>
      <c r="O1494" s="24"/>
      <c r="P1494" s="16" t="b">
        <v>0</v>
      </c>
      <c r="Q1494" s="24"/>
      <c r="R1494" s="25"/>
      <c r="S1494" s="26"/>
      <c r="T1494" s="27"/>
      <c r="U1494" s="24"/>
      <c r="V1494" s="38" t="s">
        <v>29</v>
      </c>
      <c r="W1494" s="29" t="s">
        <v>22</v>
      </c>
      <c r="X1494" s="37" t="s">
        <v>984</v>
      </c>
      <c r="Y1494" s="31"/>
      <c r="Z1494" s="26" t="str">
        <f t="shared" si="5"/>
        <v/>
      </c>
      <c r="AA1494" s="26" t="str">
        <f t="shared" si="6"/>
        <v/>
      </c>
      <c r="AB1494" s="32" t="str">
        <f t="shared" si="7"/>
        <v/>
      </c>
      <c r="AC1494" s="32" t="str">
        <f t="shared" ref="AC1494:AG1494" si="1498">IF(J1494&lt;&gt;"", IF(AND($P1494=FALSE, $A1494=FALSE), -J1494, IF(AND($P1494=FALSE, $A1494=TRUE), 0, IF($P1494=TRUE, (J1494 / $R1494) * 100 * ($S1494 / 100)-J1494, ))), )</f>
        <v/>
      </c>
      <c r="AD1494" s="32" t="str">
        <f t="shared" si="1498"/>
        <v/>
      </c>
      <c r="AE1494" s="32" t="str">
        <f t="shared" si="1498"/>
        <v/>
      </c>
      <c r="AF1494" s="32" t="str">
        <f t="shared" si="1498"/>
        <v/>
      </c>
      <c r="AG1494" s="32" t="str">
        <f t="shared" si="1498"/>
        <v/>
      </c>
      <c r="AH1494" s="33"/>
    </row>
    <row r="1495" hidden="1" outlineLevel="2" collapsed="1">
      <c r="A1495" s="16" t="b">
        <v>0</v>
      </c>
      <c r="B1495" s="17"/>
      <c r="C1495" s="18"/>
      <c r="D1495" s="42">
        <v>45288.0</v>
      </c>
      <c r="E1495" s="80" t="s">
        <v>60</v>
      </c>
      <c r="F1495" s="53" t="s">
        <v>630</v>
      </c>
      <c r="G1495" s="45">
        <v>2.0</v>
      </c>
      <c r="H1495" s="45">
        <v>1.0</v>
      </c>
      <c r="I1495" s="45">
        <v>2.0</v>
      </c>
      <c r="J1495" s="45"/>
      <c r="K1495" s="79"/>
      <c r="L1495" s="45"/>
      <c r="M1495" s="46"/>
      <c r="N1495" s="46"/>
      <c r="O1495" s="47"/>
      <c r="P1495" s="16" t="b">
        <v>0</v>
      </c>
      <c r="Q1495" s="24"/>
      <c r="R1495" s="48">
        <v>5.0</v>
      </c>
      <c r="S1495" s="45">
        <v>18.77</v>
      </c>
      <c r="T1495" s="49" t="s">
        <v>985</v>
      </c>
      <c r="U1495" s="47"/>
      <c r="V1495" s="28"/>
      <c r="W1495" s="29"/>
      <c r="X1495" s="30"/>
      <c r="Y1495" s="31"/>
      <c r="Z1495" s="26">
        <f t="shared" si="5"/>
        <v>-2</v>
      </c>
      <c r="AA1495" s="26">
        <f t="shared" si="6"/>
        <v>-2</v>
      </c>
      <c r="AB1495" s="32">
        <f t="shared" si="7"/>
        <v>-1</v>
      </c>
      <c r="AC1495" s="32" t="str">
        <f t="shared" ref="AC1495:AG1495" si="1499">IF(J1495&lt;&gt;"", IF(AND($P1495=FALSE, $A1495=FALSE), -J1495, IF(AND($P1495=FALSE, $A1495=TRUE), 0, IF($P1495=TRUE, (J1495 / $R1495) * 100 * ($S1495 / 100)-J1495, ))), )</f>
        <v/>
      </c>
      <c r="AD1495" s="32" t="str">
        <f t="shared" si="1499"/>
        <v/>
      </c>
      <c r="AE1495" s="32" t="str">
        <f t="shared" si="1499"/>
        <v/>
      </c>
      <c r="AF1495" s="32" t="str">
        <f t="shared" si="1499"/>
        <v/>
      </c>
      <c r="AG1495" s="32" t="str">
        <f t="shared" si="1499"/>
        <v/>
      </c>
      <c r="AH1495" s="33"/>
    </row>
    <row r="1496" hidden="1" outlineLevel="3">
      <c r="A1496" s="16" t="b">
        <v>0</v>
      </c>
      <c r="B1496" s="17"/>
      <c r="C1496" s="18"/>
      <c r="D1496" s="19"/>
      <c r="E1496" s="20"/>
      <c r="F1496" s="21"/>
      <c r="G1496" s="22"/>
      <c r="H1496" s="22"/>
      <c r="I1496" s="23"/>
      <c r="J1496" s="22"/>
      <c r="K1496" s="23"/>
      <c r="L1496" s="22"/>
      <c r="M1496" s="23"/>
      <c r="N1496" s="23"/>
      <c r="O1496" s="24"/>
      <c r="P1496" s="16" t="b">
        <v>0</v>
      </c>
      <c r="Q1496" s="24"/>
      <c r="R1496" s="25"/>
      <c r="S1496" s="26"/>
      <c r="T1496" s="27"/>
      <c r="U1496" s="24"/>
      <c r="V1496" s="28" t="s">
        <v>32</v>
      </c>
      <c r="W1496" s="29" t="s">
        <v>22</v>
      </c>
      <c r="X1496" s="37" t="s">
        <v>986</v>
      </c>
      <c r="Y1496" s="31"/>
      <c r="Z1496" s="26" t="str">
        <f t="shared" si="5"/>
        <v/>
      </c>
      <c r="AA1496" s="26" t="str">
        <f t="shared" si="6"/>
        <v/>
      </c>
      <c r="AB1496" s="32" t="str">
        <f t="shared" si="7"/>
        <v/>
      </c>
      <c r="AC1496" s="32" t="str">
        <f t="shared" ref="AC1496:AG1496" si="1500">IF(J1496&lt;&gt;"", IF(AND($P1496=FALSE, $A1496=FALSE), -J1496, IF(AND($P1496=FALSE, $A1496=TRUE), 0, IF($P1496=TRUE, (J1496 / $R1496) * 100 * ($S1496 / 100)-J1496, ))), )</f>
        <v/>
      </c>
      <c r="AD1496" s="32" t="str">
        <f t="shared" si="1500"/>
        <v/>
      </c>
      <c r="AE1496" s="32" t="str">
        <f t="shared" si="1500"/>
        <v/>
      </c>
      <c r="AF1496" s="32" t="str">
        <f t="shared" si="1500"/>
        <v/>
      </c>
      <c r="AG1496" s="32" t="str">
        <f t="shared" si="1500"/>
        <v/>
      </c>
      <c r="AH1496" s="33"/>
    </row>
    <row r="1497" hidden="1" outlineLevel="3">
      <c r="A1497" s="16" t="b">
        <v>0</v>
      </c>
      <c r="B1497" s="17"/>
      <c r="C1497" s="18"/>
      <c r="D1497" s="19"/>
      <c r="E1497" s="20"/>
      <c r="F1497" s="21"/>
      <c r="G1497" s="22"/>
      <c r="H1497" s="22"/>
      <c r="I1497" s="23"/>
      <c r="J1497" s="22"/>
      <c r="K1497" s="23"/>
      <c r="L1497" s="22"/>
      <c r="M1497" s="23"/>
      <c r="N1497" s="23"/>
      <c r="O1497" s="24"/>
      <c r="P1497" s="16" t="b">
        <v>0</v>
      </c>
      <c r="Q1497" s="24"/>
      <c r="R1497" s="25"/>
      <c r="S1497" s="26"/>
      <c r="T1497" s="27"/>
      <c r="U1497" s="24"/>
      <c r="V1497" s="38" t="s">
        <v>29</v>
      </c>
      <c r="W1497" s="29" t="s">
        <v>22</v>
      </c>
      <c r="X1497" s="37" t="s">
        <v>987</v>
      </c>
      <c r="Y1497" s="31"/>
      <c r="Z1497" s="26" t="str">
        <f t="shared" si="5"/>
        <v/>
      </c>
      <c r="AA1497" s="26" t="str">
        <f t="shared" si="6"/>
        <v/>
      </c>
      <c r="AB1497" s="32" t="str">
        <f t="shared" si="7"/>
        <v/>
      </c>
      <c r="AC1497" s="32" t="str">
        <f t="shared" ref="AC1497:AG1497" si="1501">IF(J1497&lt;&gt;"", IF(AND($P1497=FALSE, $A1497=FALSE), -J1497, IF(AND($P1497=FALSE, $A1497=TRUE), 0, IF($P1497=TRUE, (J1497 / $R1497) * 100 * ($S1497 / 100)-J1497, ))), )</f>
        <v/>
      </c>
      <c r="AD1497" s="32" t="str">
        <f t="shared" si="1501"/>
        <v/>
      </c>
      <c r="AE1497" s="32" t="str">
        <f t="shared" si="1501"/>
        <v/>
      </c>
      <c r="AF1497" s="32" t="str">
        <f t="shared" si="1501"/>
        <v/>
      </c>
      <c r="AG1497" s="32" t="str">
        <f t="shared" si="1501"/>
        <v/>
      </c>
      <c r="AH1497" s="33"/>
    </row>
    <row r="1498" hidden="1" outlineLevel="2" collapsed="1">
      <c r="A1498" s="16" t="b">
        <v>0</v>
      </c>
      <c r="B1498" s="17"/>
      <c r="C1498" s="18"/>
      <c r="D1498" s="42">
        <v>45288.0</v>
      </c>
      <c r="E1498" s="43" t="s">
        <v>24</v>
      </c>
      <c r="F1498" s="53" t="s">
        <v>988</v>
      </c>
      <c r="G1498" s="45">
        <v>2.0</v>
      </c>
      <c r="H1498" s="45">
        <v>1.0</v>
      </c>
      <c r="I1498" s="45">
        <v>2.0</v>
      </c>
      <c r="J1498" s="46"/>
      <c r="K1498" s="46"/>
      <c r="L1498" s="45"/>
      <c r="M1498" s="46"/>
      <c r="N1498" s="46"/>
      <c r="O1498" s="47"/>
      <c r="P1498" s="16" t="b">
        <v>0</v>
      </c>
      <c r="Q1498" s="24"/>
      <c r="R1498" s="48">
        <v>5.0</v>
      </c>
      <c r="S1498" s="45">
        <v>10.45</v>
      </c>
      <c r="T1498" s="49" t="s">
        <v>263</v>
      </c>
      <c r="U1498" s="47"/>
      <c r="V1498" s="28"/>
      <c r="W1498" s="29"/>
      <c r="X1498" s="30"/>
      <c r="Y1498" s="31"/>
      <c r="Z1498" s="26">
        <f t="shared" si="5"/>
        <v>-2</v>
      </c>
      <c r="AA1498" s="26">
        <f t="shared" si="6"/>
        <v>-2</v>
      </c>
      <c r="AB1498" s="32">
        <f t="shared" si="7"/>
        <v>-1</v>
      </c>
      <c r="AC1498" s="32" t="str">
        <f t="shared" ref="AC1498:AG1498" si="1502">IF(J1498&lt;&gt;"", IF(AND($P1498=FALSE, $A1498=FALSE), -J1498, IF(AND($P1498=FALSE, $A1498=TRUE), 0, IF($P1498=TRUE, (J1498 / $R1498) * 100 * ($S1498 / 100)-J1498, ))), )</f>
        <v/>
      </c>
      <c r="AD1498" s="32" t="str">
        <f t="shared" si="1502"/>
        <v/>
      </c>
      <c r="AE1498" s="32" t="str">
        <f t="shared" si="1502"/>
        <v/>
      </c>
      <c r="AF1498" s="32" t="str">
        <f t="shared" si="1502"/>
        <v/>
      </c>
      <c r="AG1498" s="32" t="str">
        <f t="shared" si="1502"/>
        <v/>
      </c>
      <c r="AH1498" s="33"/>
    </row>
    <row r="1499" hidden="1" outlineLevel="3">
      <c r="A1499" s="16" t="b">
        <v>0</v>
      </c>
      <c r="B1499" s="17"/>
      <c r="C1499" s="18"/>
      <c r="D1499" s="19"/>
      <c r="E1499" s="20"/>
      <c r="F1499" s="21"/>
      <c r="G1499" s="22"/>
      <c r="H1499" s="22"/>
      <c r="I1499" s="23"/>
      <c r="J1499" s="22"/>
      <c r="K1499" s="23"/>
      <c r="L1499" s="22"/>
      <c r="M1499" s="23"/>
      <c r="N1499" s="23"/>
      <c r="O1499" s="24"/>
      <c r="P1499" s="16" t="b">
        <v>0</v>
      </c>
      <c r="Q1499" s="24"/>
      <c r="R1499" s="25"/>
      <c r="S1499" s="26"/>
      <c r="T1499" s="27"/>
      <c r="U1499" s="24"/>
      <c r="V1499" s="28" t="s">
        <v>32</v>
      </c>
      <c r="W1499" s="29" t="s">
        <v>22</v>
      </c>
      <c r="X1499" s="37" t="s">
        <v>989</v>
      </c>
      <c r="Y1499" s="31"/>
      <c r="Z1499" s="26" t="str">
        <f t="shared" si="5"/>
        <v/>
      </c>
      <c r="AA1499" s="26" t="str">
        <f t="shared" si="6"/>
        <v/>
      </c>
      <c r="AB1499" s="32" t="str">
        <f t="shared" si="7"/>
        <v/>
      </c>
      <c r="AC1499" s="32" t="str">
        <f t="shared" ref="AC1499:AG1499" si="1503">IF(J1499&lt;&gt;"", IF(AND($P1499=FALSE, $A1499=FALSE), -J1499, IF(AND($P1499=FALSE, $A1499=TRUE), 0, IF($P1499=TRUE, (J1499 / $R1499) * 100 * ($S1499 / 100)-J1499, ))), )</f>
        <v/>
      </c>
      <c r="AD1499" s="32" t="str">
        <f t="shared" si="1503"/>
        <v/>
      </c>
      <c r="AE1499" s="32" t="str">
        <f t="shared" si="1503"/>
        <v/>
      </c>
      <c r="AF1499" s="32" t="str">
        <f t="shared" si="1503"/>
        <v/>
      </c>
      <c r="AG1499" s="32" t="str">
        <f t="shared" si="1503"/>
        <v/>
      </c>
      <c r="AH1499" s="33"/>
    </row>
    <row r="1500" hidden="1" outlineLevel="3">
      <c r="A1500" s="16" t="b">
        <v>0</v>
      </c>
      <c r="B1500" s="17"/>
      <c r="C1500" s="18"/>
      <c r="D1500" s="19"/>
      <c r="E1500" s="20"/>
      <c r="F1500" s="21"/>
      <c r="G1500" s="22"/>
      <c r="H1500" s="22"/>
      <c r="I1500" s="23"/>
      <c r="J1500" s="22"/>
      <c r="K1500" s="23"/>
      <c r="L1500" s="22"/>
      <c r="M1500" s="23"/>
      <c r="N1500" s="23"/>
      <c r="O1500" s="24"/>
      <c r="P1500" s="16" t="b">
        <v>0</v>
      </c>
      <c r="Q1500" s="24"/>
      <c r="R1500" s="25"/>
      <c r="S1500" s="26"/>
      <c r="T1500" s="27"/>
      <c r="U1500" s="24"/>
      <c r="V1500" s="28" t="s">
        <v>32</v>
      </c>
      <c r="W1500" s="29" t="s">
        <v>22</v>
      </c>
      <c r="X1500" s="37" t="s">
        <v>990</v>
      </c>
      <c r="Y1500" s="31"/>
      <c r="Z1500" s="26" t="str">
        <f t="shared" si="5"/>
        <v/>
      </c>
      <c r="AA1500" s="26" t="str">
        <f t="shared" si="6"/>
        <v/>
      </c>
      <c r="AB1500" s="32" t="str">
        <f t="shared" si="7"/>
        <v/>
      </c>
      <c r="AC1500" s="32" t="str">
        <f t="shared" ref="AC1500:AG1500" si="1504">IF(J1500&lt;&gt;"", IF(AND($P1500=FALSE, $A1500=FALSE), -J1500, IF(AND($P1500=FALSE, $A1500=TRUE), 0, IF($P1500=TRUE, (J1500 / $R1500) * 100 * ($S1500 / 100)-J1500, ))), )</f>
        <v/>
      </c>
      <c r="AD1500" s="32" t="str">
        <f t="shared" si="1504"/>
        <v/>
      </c>
      <c r="AE1500" s="32" t="str">
        <f t="shared" si="1504"/>
        <v/>
      </c>
      <c r="AF1500" s="32" t="str">
        <f t="shared" si="1504"/>
        <v/>
      </c>
      <c r="AG1500" s="32" t="str">
        <f t="shared" si="1504"/>
        <v/>
      </c>
      <c r="AH1500" s="33"/>
    </row>
    <row r="1501" hidden="1" outlineLevel="2" collapsed="1">
      <c r="A1501" s="16" t="b">
        <v>0</v>
      </c>
      <c r="B1501" s="17"/>
      <c r="C1501" s="18"/>
      <c r="D1501" s="42">
        <v>45288.0</v>
      </c>
      <c r="E1501" s="43" t="s">
        <v>24</v>
      </c>
      <c r="F1501" s="53" t="s">
        <v>988</v>
      </c>
      <c r="G1501" s="45">
        <v>1.5</v>
      </c>
      <c r="H1501" s="45">
        <v>0.75</v>
      </c>
      <c r="I1501" s="45">
        <v>2.75</v>
      </c>
      <c r="J1501" s="46"/>
      <c r="K1501" s="46"/>
      <c r="L1501" s="45"/>
      <c r="M1501" s="46"/>
      <c r="N1501" s="46"/>
      <c r="O1501" s="47"/>
      <c r="P1501" s="16" t="b">
        <v>0</v>
      </c>
      <c r="Q1501" s="24"/>
      <c r="R1501" s="48">
        <v>5.0</v>
      </c>
      <c r="S1501" s="45">
        <v>52.12</v>
      </c>
      <c r="T1501" s="49" t="s">
        <v>991</v>
      </c>
      <c r="U1501" s="47"/>
      <c r="V1501" s="28"/>
      <c r="W1501" s="29"/>
      <c r="X1501" s="30"/>
      <c r="Y1501" s="31"/>
      <c r="Z1501" s="26">
        <f t="shared" si="5"/>
        <v>-1.5</v>
      </c>
      <c r="AA1501" s="26">
        <f t="shared" si="6"/>
        <v>-2.75</v>
      </c>
      <c r="AB1501" s="32">
        <f t="shared" si="7"/>
        <v>-0.75</v>
      </c>
      <c r="AC1501" s="32" t="str">
        <f t="shared" ref="AC1501:AG1501" si="1505">IF(J1501&lt;&gt;"", IF(AND($P1501=FALSE, $A1501=FALSE), -J1501, IF(AND($P1501=FALSE, $A1501=TRUE), 0, IF($P1501=TRUE, (J1501 / $R1501) * 100 * ($S1501 / 100)-J1501, ))), )</f>
        <v/>
      </c>
      <c r="AD1501" s="32" t="str">
        <f t="shared" si="1505"/>
        <v/>
      </c>
      <c r="AE1501" s="32" t="str">
        <f t="shared" si="1505"/>
        <v/>
      </c>
      <c r="AF1501" s="32" t="str">
        <f t="shared" si="1505"/>
        <v/>
      </c>
      <c r="AG1501" s="32" t="str">
        <f t="shared" si="1505"/>
        <v/>
      </c>
      <c r="AH1501" s="33"/>
    </row>
    <row r="1502" hidden="1" outlineLevel="3">
      <c r="A1502" s="16" t="b">
        <v>0</v>
      </c>
      <c r="B1502" s="17"/>
      <c r="C1502" s="18"/>
      <c r="D1502" s="19"/>
      <c r="E1502" s="20"/>
      <c r="F1502" s="21"/>
      <c r="G1502" s="22"/>
      <c r="H1502" s="22"/>
      <c r="I1502" s="23"/>
      <c r="J1502" s="22"/>
      <c r="K1502" s="23"/>
      <c r="L1502" s="22"/>
      <c r="M1502" s="23"/>
      <c r="N1502" s="23"/>
      <c r="O1502" s="24"/>
      <c r="P1502" s="16" t="b">
        <v>0</v>
      </c>
      <c r="Q1502" s="24"/>
      <c r="R1502" s="25"/>
      <c r="S1502" s="26"/>
      <c r="T1502" s="27"/>
      <c r="U1502" s="24"/>
      <c r="V1502" s="28" t="s">
        <v>32</v>
      </c>
      <c r="W1502" s="29" t="s">
        <v>22</v>
      </c>
      <c r="X1502" s="37" t="s">
        <v>992</v>
      </c>
      <c r="Y1502" s="31"/>
      <c r="Z1502" s="26" t="str">
        <f t="shared" si="5"/>
        <v/>
      </c>
      <c r="AA1502" s="26" t="str">
        <f t="shared" si="6"/>
        <v/>
      </c>
      <c r="AB1502" s="32" t="str">
        <f t="shared" si="7"/>
        <v/>
      </c>
      <c r="AC1502" s="32" t="str">
        <f t="shared" ref="AC1502:AG1502" si="1506">IF(J1502&lt;&gt;"", IF(AND($P1502=FALSE, $A1502=FALSE), -J1502, IF(AND($P1502=FALSE, $A1502=TRUE), 0, IF($P1502=TRUE, (J1502 / $R1502) * 100 * ($S1502 / 100)-J1502, ))), )</f>
        <v/>
      </c>
      <c r="AD1502" s="32" t="str">
        <f t="shared" si="1506"/>
        <v/>
      </c>
      <c r="AE1502" s="32" t="str">
        <f t="shared" si="1506"/>
        <v/>
      </c>
      <c r="AF1502" s="32" t="str">
        <f t="shared" si="1506"/>
        <v/>
      </c>
      <c r="AG1502" s="32" t="str">
        <f t="shared" si="1506"/>
        <v/>
      </c>
      <c r="AH1502" s="33"/>
    </row>
    <row r="1503" hidden="1" outlineLevel="3">
      <c r="A1503" s="16" t="b">
        <v>0</v>
      </c>
      <c r="B1503" s="17"/>
      <c r="C1503" s="18"/>
      <c r="D1503" s="19"/>
      <c r="E1503" s="20"/>
      <c r="F1503" s="21"/>
      <c r="G1503" s="22"/>
      <c r="H1503" s="22"/>
      <c r="I1503" s="23"/>
      <c r="J1503" s="22"/>
      <c r="K1503" s="23"/>
      <c r="L1503" s="22"/>
      <c r="M1503" s="23"/>
      <c r="N1503" s="23"/>
      <c r="O1503" s="24"/>
      <c r="P1503" s="16" t="b">
        <v>0</v>
      </c>
      <c r="Q1503" s="24"/>
      <c r="R1503" s="25"/>
      <c r="S1503" s="26"/>
      <c r="T1503" s="27"/>
      <c r="U1503" s="24"/>
      <c r="V1503" s="38" t="s">
        <v>29</v>
      </c>
      <c r="W1503" s="29" t="s">
        <v>22</v>
      </c>
      <c r="X1503" s="37" t="s">
        <v>993</v>
      </c>
      <c r="Y1503" s="31"/>
      <c r="Z1503" s="26" t="str">
        <f t="shared" si="5"/>
        <v/>
      </c>
      <c r="AA1503" s="26" t="str">
        <f t="shared" si="6"/>
        <v/>
      </c>
      <c r="AB1503" s="32" t="str">
        <f t="shared" si="7"/>
        <v/>
      </c>
      <c r="AC1503" s="32" t="str">
        <f t="shared" ref="AC1503:AG1503" si="1507">IF(J1503&lt;&gt;"", IF(AND($P1503=FALSE, $A1503=FALSE), -J1503, IF(AND($P1503=FALSE, $A1503=TRUE), 0, IF($P1503=TRUE, (J1503 / $R1503) * 100 * ($S1503 / 100)-J1503, ))), )</f>
        <v/>
      </c>
      <c r="AD1503" s="32" t="str">
        <f t="shared" si="1507"/>
        <v/>
      </c>
      <c r="AE1503" s="32" t="str">
        <f t="shared" si="1507"/>
        <v/>
      </c>
      <c r="AF1503" s="32" t="str">
        <f t="shared" si="1507"/>
        <v/>
      </c>
      <c r="AG1503" s="32" t="str">
        <f t="shared" si="1507"/>
        <v/>
      </c>
      <c r="AH1503" s="33"/>
    </row>
    <row r="1504" hidden="1" outlineLevel="3">
      <c r="A1504" s="16" t="b">
        <v>0</v>
      </c>
      <c r="B1504" s="17"/>
      <c r="C1504" s="18"/>
      <c r="D1504" s="19"/>
      <c r="E1504" s="20"/>
      <c r="F1504" s="21"/>
      <c r="G1504" s="22"/>
      <c r="H1504" s="22"/>
      <c r="I1504" s="23"/>
      <c r="J1504" s="22"/>
      <c r="K1504" s="23"/>
      <c r="L1504" s="22"/>
      <c r="M1504" s="23"/>
      <c r="N1504" s="23"/>
      <c r="O1504" s="24"/>
      <c r="P1504" s="16" t="b">
        <v>0</v>
      </c>
      <c r="Q1504" s="24"/>
      <c r="R1504" s="25"/>
      <c r="S1504" s="26"/>
      <c r="T1504" s="27"/>
      <c r="U1504" s="24"/>
      <c r="V1504" s="38" t="s">
        <v>29</v>
      </c>
      <c r="W1504" s="29" t="s">
        <v>22</v>
      </c>
      <c r="X1504" s="37" t="s">
        <v>994</v>
      </c>
      <c r="Y1504" s="31"/>
      <c r="Z1504" s="26" t="str">
        <f t="shared" si="5"/>
        <v/>
      </c>
      <c r="AA1504" s="26" t="str">
        <f t="shared" si="6"/>
        <v/>
      </c>
      <c r="AB1504" s="32" t="str">
        <f t="shared" si="7"/>
        <v/>
      </c>
      <c r="AC1504" s="32" t="str">
        <f t="shared" ref="AC1504:AG1504" si="1508">IF(J1504&lt;&gt;"", IF(AND($P1504=FALSE, $A1504=FALSE), -J1504, IF(AND($P1504=FALSE, $A1504=TRUE), 0, IF($P1504=TRUE, (J1504 / $R1504) * 100 * ($S1504 / 100)-J1504, ))), )</f>
        <v/>
      </c>
      <c r="AD1504" s="32" t="str">
        <f t="shared" si="1508"/>
        <v/>
      </c>
      <c r="AE1504" s="32" t="str">
        <f t="shared" si="1508"/>
        <v/>
      </c>
      <c r="AF1504" s="32" t="str">
        <f t="shared" si="1508"/>
        <v/>
      </c>
      <c r="AG1504" s="32" t="str">
        <f t="shared" si="1508"/>
        <v/>
      </c>
      <c r="AH1504" s="33"/>
    </row>
    <row r="1505" hidden="1" outlineLevel="3">
      <c r="A1505" s="16" t="b">
        <v>0</v>
      </c>
      <c r="B1505" s="17"/>
      <c r="C1505" s="18"/>
      <c r="D1505" s="19"/>
      <c r="E1505" s="20"/>
      <c r="F1505" s="21"/>
      <c r="G1505" s="22"/>
      <c r="H1505" s="22"/>
      <c r="I1505" s="23"/>
      <c r="J1505" s="22"/>
      <c r="K1505" s="23"/>
      <c r="L1505" s="22"/>
      <c r="M1505" s="23"/>
      <c r="N1505" s="23"/>
      <c r="O1505" s="24"/>
      <c r="P1505" s="16" t="b">
        <v>0</v>
      </c>
      <c r="Q1505" s="24"/>
      <c r="R1505" s="25"/>
      <c r="S1505" s="26"/>
      <c r="T1505" s="27"/>
      <c r="U1505" s="24"/>
      <c r="V1505" s="66" t="s">
        <v>358</v>
      </c>
      <c r="W1505" s="29" t="s">
        <v>22</v>
      </c>
      <c r="X1505" s="37" t="s">
        <v>995</v>
      </c>
      <c r="Y1505" s="31"/>
      <c r="Z1505" s="26" t="str">
        <f t="shared" si="5"/>
        <v/>
      </c>
      <c r="AA1505" s="26" t="str">
        <f t="shared" si="6"/>
        <v/>
      </c>
      <c r="AB1505" s="32" t="str">
        <f t="shared" si="7"/>
        <v/>
      </c>
      <c r="AC1505" s="32" t="str">
        <f t="shared" ref="AC1505:AG1505" si="1509">IF(J1505&lt;&gt;"", IF(AND($P1505=FALSE, $A1505=FALSE), -J1505, IF(AND($P1505=FALSE, $A1505=TRUE), 0, IF($P1505=TRUE, (J1505 / $R1505) * 100 * ($S1505 / 100)-J1505, ))), )</f>
        <v/>
      </c>
      <c r="AD1505" s="32" t="str">
        <f t="shared" si="1509"/>
        <v/>
      </c>
      <c r="AE1505" s="32" t="str">
        <f t="shared" si="1509"/>
        <v/>
      </c>
      <c r="AF1505" s="32" t="str">
        <f t="shared" si="1509"/>
        <v/>
      </c>
      <c r="AG1505" s="32" t="str">
        <f t="shared" si="1509"/>
        <v/>
      </c>
      <c r="AH1505" s="33"/>
    </row>
    <row r="1506" hidden="1" outlineLevel="3">
      <c r="A1506" s="16" t="b">
        <v>0</v>
      </c>
      <c r="B1506" s="17"/>
      <c r="C1506" s="18"/>
      <c r="D1506" s="19"/>
      <c r="E1506" s="20"/>
      <c r="F1506" s="21"/>
      <c r="G1506" s="22"/>
      <c r="H1506" s="22"/>
      <c r="I1506" s="23"/>
      <c r="J1506" s="22"/>
      <c r="K1506" s="23"/>
      <c r="L1506" s="22"/>
      <c r="M1506" s="23"/>
      <c r="N1506" s="23"/>
      <c r="O1506" s="24"/>
      <c r="P1506" s="16" t="b">
        <v>0</v>
      </c>
      <c r="Q1506" s="24"/>
      <c r="R1506" s="25"/>
      <c r="S1506" s="26"/>
      <c r="T1506" s="27"/>
      <c r="U1506" s="24"/>
      <c r="V1506" s="38" t="s">
        <v>29</v>
      </c>
      <c r="W1506" s="29" t="s">
        <v>22</v>
      </c>
      <c r="X1506" s="37" t="s">
        <v>535</v>
      </c>
      <c r="Y1506" s="31"/>
      <c r="Z1506" s="26" t="str">
        <f t="shared" si="5"/>
        <v/>
      </c>
      <c r="AA1506" s="26" t="str">
        <f t="shared" si="6"/>
        <v/>
      </c>
      <c r="AB1506" s="32" t="str">
        <f t="shared" si="7"/>
        <v/>
      </c>
      <c r="AC1506" s="32" t="str">
        <f t="shared" ref="AC1506:AG1506" si="1510">IF(J1506&lt;&gt;"", IF(AND($P1506=FALSE, $A1506=FALSE), -J1506, IF(AND($P1506=FALSE, $A1506=TRUE), 0, IF($P1506=TRUE, (J1506 / $R1506) * 100 * ($S1506 / 100)-J1506, ))), )</f>
        <v/>
      </c>
      <c r="AD1506" s="32" t="str">
        <f t="shared" si="1510"/>
        <v/>
      </c>
      <c r="AE1506" s="32" t="str">
        <f t="shared" si="1510"/>
        <v/>
      </c>
      <c r="AF1506" s="32" t="str">
        <f t="shared" si="1510"/>
        <v/>
      </c>
      <c r="AG1506" s="32" t="str">
        <f t="shared" si="1510"/>
        <v/>
      </c>
      <c r="AH1506" s="33"/>
    </row>
    <row r="1507" hidden="1" outlineLevel="3">
      <c r="A1507" s="16" t="b">
        <v>0</v>
      </c>
      <c r="B1507" s="17"/>
      <c r="C1507" s="18"/>
      <c r="D1507" s="19"/>
      <c r="E1507" s="20"/>
      <c r="F1507" s="21"/>
      <c r="G1507" s="22"/>
      <c r="H1507" s="22"/>
      <c r="I1507" s="23"/>
      <c r="J1507" s="22"/>
      <c r="K1507" s="23"/>
      <c r="L1507" s="22"/>
      <c r="M1507" s="23"/>
      <c r="N1507" s="23"/>
      <c r="O1507" s="24"/>
      <c r="P1507" s="16" t="b">
        <v>0</v>
      </c>
      <c r="Q1507" s="24"/>
      <c r="R1507" s="25"/>
      <c r="S1507" s="26"/>
      <c r="T1507" s="27"/>
      <c r="U1507" s="24"/>
      <c r="V1507" s="38" t="s">
        <v>29</v>
      </c>
      <c r="W1507" s="29" t="s">
        <v>22</v>
      </c>
      <c r="X1507" s="37" t="s">
        <v>996</v>
      </c>
      <c r="Y1507" s="31"/>
      <c r="Z1507" s="26" t="str">
        <f t="shared" si="5"/>
        <v/>
      </c>
      <c r="AA1507" s="26" t="str">
        <f t="shared" si="6"/>
        <v/>
      </c>
      <c r="AB1507" s="32" t="str">
        <f t="shared" si="7"/>
        <v/>
      </c>
      <c r="AC1507" s="32" t="str">
        <f t="shared" ref="AC1507:AG1507" si="1511">IF(J1507&lt;&gt;"", IF(AND($P1507=FALSE, $A1507=FALSE), -J1507, IF(AND($P1507=FALSE, $A1507=TRUE), 0, IF($P1507=TRUE, (J1507 / $R1507) * 100 * ($S1507 / 100)-J1507, ))), )</f>
        <v/>
      </c>
      <c r="AD1507" s="32" t="str">
        <f t="shared" si="1511"/>
        <v/>
      </c>
      <c r="AE1507" s="32" t="str">
        <f t="shared" si="1511"/>
        <v/>
      </c>
      <c r="AF1507" s="32" t="str">
        <f t="shared" si="1511"/>
        <v/>
      </c>
      <c r="AG1507" s="32" t="str">
        <f t="shared" si="1511"/>
        <v/>
      </c>
      <c r="AH1507" s="33"/>
    </row>
    <row r="1508" hidden="1" outlineLevel="3">
      <c r="A1508" s="16" t="b">
        <v>0</v>
      </c>
      <c r="B1508" s="17"/>
      <c r="C1508" s="18"/>
      <c r="D1508" s="19"/>
      <c r="E1508" s="20"/>
      <c r="F1508" s="21"/>
      <c r="G1508" s="22"/>
      <c r="H1508" s="22"/>
      <c r="I1508" s="23"/>
      <c r="J1508" s="22"/>
      <c r="K1508" s="23"/>
      <c r="L1508" s="22"/>
      <c r="M1508" s="23"/>
      <c r="N1508" s="23"/>
      <c r="O1508" s="24"/>
      <c r="P1508" s="16" t="b">
        <v>0</v>
      </c>
      <c r="Q1508" s="24"/>
      <c r="R1508" s="25"/>
      <c r="S1508" s="26"/>
      <c r="T1508" s="27"/>
      <c r="U1508" s="24"/>
      <c r="V1508" s="66" t="s">
        <v>358</v>
      </c>
      <c r="W1508" s="29" t="s">
        <v>22</v>
      </c>
      <c r="X1508" s="37" t="s">
        <v>326</v>
      </c>
      <c r="Y1508" s="31"/>
      <c r="Z1508" s="26" t="str">
        <f t="shared" si="5"/>
        <v/>
      </c>
      <c r="AA1508" s="26" t="str">
        <f t="shared" si="6"/>
        <v/>
      </c>
      <c r="AB1508" s="32" t="str">
        <f t="shared" si="7"/>
        <v/>
      </c>
      <c r="AC1508" s="32" t="str">
        <f t="shared" ref="AC1508:AG1508" si="1512">IF(J1508&lt;&gt;"", IF(AND($P1508=FALSE, $A1508=FALSE), -J1508, IF(AND($P1508=FALSE, $A1508=TRUE), 0, IF($P1508=TRUE, (J1508 / $R1508) * 100 * ($S1508 / 100)-J1508, ))), )</f>
        <v/>
      </c>
      <c r="AD1508" s="32" t="str">
        <f t="shared" si="1512"/>
        <v/>
      </c>
      <c r="AE1508" s="32" t="str">
        <f t="shared" si="1512"/>
        <v/>
      </c>
      <c r="AF1508" s="32" t="str">
        <f t="shared" si="1512"/>
        <v/>
      </c>
      <c r="AG1508" s="32" t="str">
        <f t="shared" si="1512"/>
        <v/>
      </c>
      <c r="AH1508" s="33"/>
    </row>
    <row r="1509" hidden="1" outlineLevel="2">
      <c r="A1509" s="16" t="b">
        <v>0</v>
      </c>
      <c r="B1509" s="17"/>
      <c r="C1509" s="18"/>
      <c r="D1509" s="42">
        <v>45288.0</v>
      </c>
      <c r="E1509" s="43" t="s">
        <v>24</v>
      </c>
      <c r="F1509" s="53" t="s">
        <v>988</v>
      </c>
      <c r="G1509" s="45">
        <v>1.5</v>
      </c>
      <c r="H1509" s="45">
        <v>0.5</v>
      </c>
      <c r="I1509" s="45">
        <v>3.0</v>
      </c>
      <c r="J1509" s="46"/>
      <c r="K1509" s="46"/>
      <c r="L1509" s="45"/>
      <c r="M1509" s="46"/>
      <c r="N1509" s="46"/>
      <c r="O1509" s="47"/>
      <c r="P1509" s="16" t="b">
        <v>0</v>
      </c>
      <c r="Q1509" s="24"/>
      <c r="R1509" s="48">
        <v>5.0</v>
      </c>
      <c r="S1509" s="45">
        <v>230.0</v>
      </c>
      <c r="T1509" s="49" t="s">
        <v>997</v>
      </c>
      <c r="U1509" s="47"/>
      <c r="V1509" s="28"/>
      <c r="W1509" s="29"/>
      <c r="X1509" s="30"/>
      <c r="Y1509" s="31"/>
      <c r="Z1509" s="26">
        <f t="shared" si="5"/>
        <v>-1.5</v>
      </c>
      <c r="AA1509" s="26">
        <f t="shared" si="6"/>
        <v>-3</v>
      </c>
      <c r="AB1509" s="32">
        <f t="shared" si="7"/>
        <v>-0.5</v>
      </c>
      <c r="AC1509" s="32" t="str">
        <f t="shared" ref="AC1509:AG1509" si="1513">IF(J1509&lt;&gt;"", IF(AND($P1509=FALSE, $A1509=FALSE), -J1509, IF(AND($P1509=FALSE, $A1509=TRUE), 0, IF($P1509=TRUE, (J1509 / $R1509) * 100 * ($S1509 / 100)-J1509, ))), )</f>
        <v/>
      </c>
      <c r="AD1509" s="32" t="str">
        <f t="shared" si="1513"/>
        <v/>
      </c>
      <c r="AE1509" s="32" t="str">
        <f t="shared" si="1513"/>
        <v/>
      </c>
      <c r="AF1509" s="32" t="str">
        <f t="shared" si="1513"/>
        <v/>
      </c>
      <c r="AG1509" s="32" t="str">
        <f t="shared" si="1513"/>
        <v/>
      </c>
      <c r="AH1509" s="33"/>
    </row>
    <row r="1510" hidden="1" outlineLevel="3">
      <c r="A1510" s="16" t="b">
        <v>0</v>
      </c>
      <c r="B1510" s="17"/>
      <c r="C1510" s="18"/>
      <c r="D1510" s="19"/>
      <c r="E1510" s="20"/>
      <c r="F1510" s="21"/>
      <c r="G1510" s="22"/>
      <c r="H1510" s="22"/>
      <c r="I1510" s="23"/>
      <c r="J1510" s="22"/>
      <c r="K1510" s="23"/>
      <c r="L1510" s="22"/>
      <c r="M1510" s="23"/>
      <c r="N1510" s="23"/>
      <c r="O1510" s="24"/>
      <c r="P1510" s="16" t="b">
        <v>0</v>
      </c>
      <c r="Q1510" s="24"/>
      <c r="R1510" s="25"/>
      <c r="S1510" s="26"/>
      <c r="T1510" s="27"/>
      <c r="U1510" s="24"/>
      <c r="V1510" s="28" t="s">
        <v>32</v>
      </c>
      <c r="W1510" s="29" t="s">
        <v>22</v>
      </c>
      <c r="X1510" s="37" t="s">
        <v>992</v>
      </c>
      <c r="Y1510" s="31"/>
      <c r="Z1510" s="26" t="str">
        <f t="shared" si="5"/>
        <v/>
      </c>
      <c r="AA1510" s="26" t="str">
        <f t="shared" si="6"/>
        <v/>
      </c>
      <c r="AB1510" s="32" t="str">
        <f t="shared" si="7"/>
        <v/>
      </c>
      <c r="AC1510" s="32" t="str">
        <f t="shared" ref="AC1510:AG1510" si="1514">IF(J1510&lt;&gt;"", IF(AND($P1510=FALSE, $A1510=FALSE), -J1510, IF(AND($P1510=FALSE, $A1510=TRUE), 0, IF($P1510=TRUE, (J1510 / $R1510) * 100 * ($S1510 / 100)-J1510, ))), )</f>
        <v/>
      </c>
      <c r="AD1510" s="32" t="str">
        <f t="shared" si="1514"/>
        <v/>
      </c>
      <c r="AE1510" s="32" t="str">
        <f t="shared" si="1514"/>
        <v/>
      </c>
      <c r="AF1510" s="32" t="str">
        <f t="shared" si="1514"/>
        <v/>
      </c>
      <c r="AG1510" s="32" t="str">
        <f t="shared" si="1514"/>
        <v/>
      </c>
      <c r="AH1510" s="33"/>
    </row>
    <row r="1511" hidden="1" outlineLevel="3">
      <c r="A1511" s="16" t="b">
        <v>0</v>
      </c>
      <c r="B1511" s="17"/>
      <c r="C1511" s="18"/>
      <c r="D1511" s="19"/>
      <c r="E1511" s="20"/>
      <c r="F1511" s="21"/>
      <c r="G1511" s="22"/>
      <c r="H1511" s="22"/>
      <c r="I1511" s="23"/>
      <c r="J1511" s="22"/>
      <c r="K1511" s="23"/>
      <c r="L1511" s="22"/>
      <c r="M1511" s="23"/>
      <c r="N1511" s="23"/>
      <c r="O1511" s="24"/>
      <c r="P1511" s="16" t="b">
        <v>0</v>
      </c>
      <c r="Q1511" s="24"/>
      <c r="R1511" s="25"/>
      <c r="S1511" s="26"/>
      <c r="T1511" s="27"/>
      <c r="U1511" s="24"/>
      <c r="V1511" s="28" t="s">
        <v>32</v>
      </c>
      <c r="W1511" s="29" t="s">
        <v>22</v>
      </c>
      <c r="X1511" s="37" t="s">
        <v>998</v>
      </c>
      <c r="Y1511" s="31"/>
      <c r="Z1511" s="26" t="str">
        <f t="shared" si="5"/>
        <v/>
      </c>
      <c r="AA1511" s="26" t="str">
        <f t="shared" si="6"/>
        <v/>
      </c>
      <c r="AB1511" s="32" t="str">
        <f t="shared" si="7"/>
        <v/>
      </c>
      <c r="AC1511" s="32" t="str">
        <f t="shared" ref="AC1511:AG1511" si="1515">IF(J1511&lt;&gt;"", IF(AND($P1511=FALSE, $A1511=FALSE), -J1511, IF(AND($P1511=FALSE, $A1511=TRUE), 0, IF($P1511=TRUE, (J1511 / $R1511) * 100 * ($S1511 / 100)-J1511, ))), )</f>
        <v/>
      </c>
      <c r="AD1511" s="32" t="str">
        <f t="shared" si="1515"/>
        <v/>
      </c>
      <c r="AE1511" s="32" t="str">
        <f t="shared" si="1515"/>
        <v/>
      </c>
      <c r="AF1511" s="32" t="str">
        <f t="shared" si="1515"/>
        <v/>
      </c>
      <c r="AG1511" s="32" t="str">
        <f t="shared" si="1515"/>
        <v/>
      </c>
      <c r="AH1511" s="33"/>
    </row>
    <row r="1512" hidden="1" outlineLevel="3">
      <c r="A1512" s="16" t="b">
        <v>0</v>
      </c>
      <c r="B1512" s="17"/>
      <c r="C1512" s="18"/>
      <c r="D1512" s="19"/>
      <c r="E1512" s="20"/>
      <c r="F1512" s="21"/>
      <c r="G1512" s="22"/>
      <c r="H1512" s="22"/>
      <c r="I1512" s="23"/>
      <c r="J1512" s="22"/>
      <c r="K1512" s="23"/>
      <c r="L1512" s="22"/>
      <c r="M1512" s="23"/>
      <c r="N1512" s="23"/>
      <c r="O1512" s="24"/>
      <c r="P1512" s="16" t="b">
        <v>0</v>
      </c>
      <c r="Q1512" s="24"/>
      <c r="R1512" s="25"/>
      <c r="S1512" s="26"/>
      <c r="T1512" s="27"/>
      <c r="U1512" s="24"/>
      <c r="V1512" s="38" t="s">
        <v>29</v>
      </c>
      <c r="W1512" s="29" t="s">
        <v>22</v>
      </c>
      <c r="X1512" s="37" t="s">
        <v>999</v>
      </c>
      <c r="Y1512" s="31"/>
      <c r="Z1512" s="26" t="str">
        <f t="shared" si="5"/>
        <v/>
      </c>
      <c r="AA1512" s="26" t="str">
        <f t="shared" si="6"/>
        <v/>
      </c>
      <c r="AB1512" s="32" t="str">
        <f t="shared" si="7"/>
        <v/>
      </c>
      <c r="AC1512" s="32" t="str">
        <f t="shared" ref="AC1512:AG1512" si="1516">IF(J1512&lt;&gt;"", IF(AND($P1512=FALSE, $A1512=FALSE), -J1512, IF(AND($P1512=FALSE, $A1512=TRUE), 0, IF($P1512=TRUE, (J1512 / $R1512) * 100 * ($S1512 / 100)-J1512, ))), )</f>
        <v/>
      </c>
      <c r="AD1512" s="32" t="str">
        <f t="shared" si="1516"/>
        <v/>
      </c>
      <c r="AE1512" s="32" t="str">
        <f t="shared" si="1516"/>
        <v/>
      </c>
      <c r="AF1512" s="32" t="str">
        <f t="shared" si="1516"/>
        <v/>
      </c>
      <c r="AG1512" s="32" t="str">
        <f t="shared" si="1516"/>
        <v/>
      </c>
      <c r="AH1512" s="33"/>
    </row>
    <row r="1513" hidden="1" outlineLevel="3">
      <c r="A1513" s="16" t="b">
        <v>0</v>
      </c>
      <c r="B1513" s="17"/>
      <c r="C1513" s="18"/>
      <c r="D1513" s="19"/>
      <c r="E1513" s="20"/>
      <c r="F1513" s="21"/>
      <c r="G1513" s="22"/>
      <c r="H1513" s="22"/>
      <c r="I1513" s="23"/>
      <c r="J1513" s="22"/>
      <c r="K1513" s="23"/>
      <c r="L1513" s="22"/>
      <c r="M1513" s="23"/>
      <c r="N1513" s="23"/>
      <c r="O1513" s="24"/>
      <c r="P1513" s="16" t="b">
        <v>0</v>
      </c>
      <c r="Q1513" s="24"/>
      <c r="R1513" s="25"/>
      <c r="S1513" s="26"/>
      <c r="T1513" s="27"/>
      <c r="U1513" s="24"/>
      <c r="V1513" s="28" t="s">
        <v>32</v>
      </c>
      <c r="W1513" s="29" t="s">
        <v>22</v>
      </c>
      <c r="X1513" s="37" t="s">
        <v>1000</v>
      </c>
      <c r="Y1513" s="31"/>
      <c r="Z1513" s="26" t="str">
        <f t="shared" si="5"/>
        <v/>
      </c>
      <c r="AA1513" s="26" t="str">
        <f t="shared" si="6"/>
        <v/>
      </c>
      <c r="AB1513" s="32" t="str">
        <f t="shared" si="7"/>
        <v/>
      </c>
      <c r="AC1513" s="32" t="str">
        <f t="shared" ref="AC1513:AG1513" si="1517">IF(J1513&lt;&gt;"", IF(AND($P1513=FALSE, $A1513=FALSE), -J1513, IF(AND($P1513=FALSE, $A1513=TRUE), 0, IF($P1513=TRUE, (J1513 / $R1513) * 100 * ($S1513 / 100)-J1513, ))), )</f>
        <v/>
      </c>
      <c r="AD1513" s="32" t="str">
        <f t="shared" si="1517"/>
        <v/>
      </c>
      <c r="AE1513" s="32" t="str">
        <f t="shared" si="1517"/>
        <v/>
      </c>
      <c r="AF1513" s="32" t="str">
        <f t="shared" si="1517"/>
        <v/>
      </c>
      <c r="AG1513" s="32" t="str">
        <f t="shared" si="1517"/>
        <v/>
      </c>
      <c r="AH1513" s="33"/>
    </row>
    <row r="1514" hidden="1" outlineLevel="1">
      <c r="A1514" s="16" t="b">
        <v>0</v>
      </c>
      <c r="B1514" s="17"/>
      <c r="C1514" s="18"/>
      <c r="D1514" s="42">
        <v>45291.0</v>
      </c>
      <c r="E1514" s="43" t="s">
        <v>24</v>
      </c>
      <c r="F1514" s="53" t="s">
        <v>988</v>
      </c>
      <c r="G1514" s="45">
        <v>3.5</v>
      </c>
      <c r="H1514" s="45">
        <v>1.5</v>
      </c>
      <c r="I1514" s="45"/>
      <c r="J1514" s="46"/>
      <c r="K1514" s="46"/>
      <c r="L1514" s="45"/>
      <c r="M1514" s="46"/>
      <c r="N1514" s="46"/>
      <c r="O1514" s="47"/>
      <c r="P1514" s="16" t="b">
        <v>0</v>
      </c>
      <c r="Q1514" s="24"/>
      <c r="R1514" s="48">
        <v>5.0</v>
      </c>
      <c r="S1514" s="45">
        <v>10.1</v>
      </c>
      <c r="T1514" s="49" t="s">
        <v>161</v>
      </c>
      <c r="U1514" s="47"/>
      <c r="V1514" s="28"/>
      <c r="W1514" s="29"/>
      <c r="X1514" s="30"/>
      <c r="Y1514" s="31"/>
      <c r="Z1514" s="26">
        <f t="shared" si="5"/>
        <v>-3.5</v>
      </c>
      <c r="AA1514" s="26" t="str">
        <f t="shared" si="6"/>
        <v/>
      </c>
      <c r="AB1514" s="32">
        <f t="shared" si="7"/>
        <v>-1.5</v>
      </c>
      <c r="AC1514" s="32" t="str">
        <f t="shared" ref="AC1514:AG1514" si="1518">IF(J1514&lt;&gt;"", IF(AND($P1514=FALSE, $A1514=FALSE), -J1514, IF(AND($P1514=FALSE, $A1514=TRUE), 0, IF($P1514=TRUE, (J1514 / $R1514) * 100 * ($S1514 / 100)-J1514, ))), )</f>
        <v/>
      </c>
      <c r="AD1514" s="32" t="str">
        <f t="shared" si="1518"/>
        <v/>
      </c>
      <c r="AE1514" s="32" t="str">
        <f t="shared" si="1518"/>
        <v/>
      </c>
      <c r="AF1514" s="32" t="str">
        <f t="shared" si="1518"/>
        <v/>
      </c>
      <c r="AG1514" s="32" t="str">
        <f t="shared" si="1518"/>
        <v/>
      </c>
      <c r="AH1514" s="33"/>
    </row>
    <row r="1515" hidden="1" outlineLevel="3">
      <c r="A1515" s="16" t="b">
        <v>0</v>
      </c>
      <c r="B1515" s="17"/>
      <c r="C1515" s="18"/>
      <c r="D1515" s="19"/>
      <c r="E1515" s="20"/>
      <c r="F1515" s="21"/>
      <c r="G1515" s="22"/>
      <c r="H1515" s="22"/>
      <c r="I1515" s="23"/>
      <c r="J1515" s="22"/>
      <c r="K1515" s="23"/>
      <c r="L1515" s="22"/>
      <c r="M1515" s="23"/>
      <c r="N1515" s="23"/>
      <c r="O1515" s="24"/>
      <c r="P1515" s="16" t="b">
        <v>0</v>
      </c>
      <c r="Q1515" s="24"/>
      <c r="R1515" s="25"/>
      <c r="S1515" s="26"/>
      <c r="T1515" s="27"/>
      <c r="U1515" s="24"/>
      <c r="V1515" s="38" t="s">
        <v>29</v>
      </c>
      <c r="W1515" s="29" t="s">
        <v>22</v>
      </c>
      <c r="X1515" s="37" t="s">
        <v>1001</v>
      </c>
      <c r="Y1515" s="31"/>
      <c r="Z1515" s="26" t="str">
        <f t="shared" si="5"/>
        <v/>
      </c>
      <c r="AA1515" s="26" t="str">
        <f t="shared" si="6"/>
        <v/>
      </c>
      <c r="AB1515" s="32" t="str">
        <f t="shared" si="7"/>
        <v/>
      </c>
      <c r="AC1515" s="32" t="str">
        <f t="shared" ref="AC1515:AG1515" si="1519">IF(J1515&lt;&gt;"", IF(AND($P1515=FALSE, $A1515=FALSE), -J1515, IF(AND($P1515=FALSE, $A1515=TRUE), 0, IF($P1515=TRUE, (J1515 / $R1515) * 100 * ($S1515 / 100)-J1515, ))), )</f>
        <v/>
      </c>
      <c r="AD1515" s="32" t="str">
        <f t="shared" si="1519"/>
        <v/>
      </c>
      <c r="AE1515" s="32" t="str">
        <f t="shared" si="1519"/>
        <v/>
      </c>
      <c r="AF1515" s="32" t="str">
        <f t="shared" si="1519"/>
        <v/>
      </c>
      <c r="AG1515" s="32" t="str">
        <f t="shared" si="1519"/>
        <v/>
      </c>
      <c r="AH1515" s="33"/>
    </row>
    <row r="1516" hidden="1" outlineLevel="3">
      <c r="A1516" s="16" t="b">
        <v>0</v>
      </c>
      <c r="B1516" s="17"/>
      <c r="C1516" s="18"/>
      <c r="D1516" s="19"/>
      <c r="E1516" s="20"/>
      <c r="F1516" s="21"/>
      <c r="G1516" s="22"/>
      <c r="H1516" s="22"/>
      <c r="I1516" s="23"/>
      <c r="J1516" s="22"/>
      <c r="K1516" s="23"/>
      <c r="L1516" s="22"/>
      <c r="M1516" s="23"/>
      <c r="N1516" s="23"/>
      <c r="O1516" s="24"/>
      <c r="P1516" s="16" t="b">
        <v>0</v>
      </c>
      <c r="Q1516" s="24"/>
      <c r="R1516" s="25"/>
      <c r="S1516" s="26"/>
      <c r="T1516" s="27"/>
      <c r="U1516" s="24"/>
      <c r="V1516" s="28" t="s">
        <v>32</v>
      </c>
      <c r="W1516" s="29" t="s">
        <v>22</v>
      </c>
      <c r="X1516" s="37" t="s">
        <v>777</v>
      </c>
      <c r="Y1516" s="31"/>
      <c r="Z1516" s="26" t="str">
        <f t="shared" si="5"/>
        <v/>
      </c>
      <c r="AA1516" s="26" t="str">
        <f t="shared" si="6"/>
        <v/>
      </c>
      <c r="AB1516" s="32" t="str">
        <f t="shared" si="7"/>
        <v/>
      </c>
      <c r="AC1516" s="32" t="str">
        <f t="shared" ref="AC1516:AG1516" si="1520">IF(J1516&lt;&gt;"", IF(AND($P1516=FALSE, $A1516=FALSE), -J1516, IF(AND($P1516=FALSE, $A1516=TRUE), 0, IF($P1516=TRUE, (J1516 / $R1516) * 100 * ($S1516 / 100)-J1516, ))), )</f>
        <v/>
      </c>
      <c r="AD1516" s="32" t="str">
        <f t="shared" si="1520"/>
        <v/>
      </c>
      <c r="AE1516" s="32" t="str">
        <f t="shared" si="1520"/>
        <v/>
      </c>
      <c r="AF1516" s="32" t="str">
        <f t="shared" si="1520"/>
        <v/>
      </c>
      <c r="AG1516" s="32" t="str">
        <f t="shared" si="1520"/>
        <v/>
      </c>
      <c r="AH1516" s="33"/>
    </row>
    <row r="1517" hidden="1" outlineLevel="3">
      <c r="A1517" s="16" t="b">
        <v>0</v>
      </c>
      <c r="B1517" s="17"/>
      <c r="C1517" s="18"/>
      <c r="D1517" s="19"/>
      <c r="E1517" s="20"/>
      <c r="F1517" s="21"/>
      <c r="G1517" s="22"/>
      <c r="H1517" s="22"/>
      <c r="I1517" s="23"/>
      <c r="J1517" s="22"/>
      <c r="K1517" s="23"/>
      <c r="L1517" s="22"/>
      <c r="M1517" s="23"/>
      <c r="N1517" s="23"/>
      <c r="O1517" s="24"/>
      <c r="P1517" s="16" t="b">
        <v>0</v>
      </c>
      <c r="Q1517" s="24"/>
      <c r="R1517" s="25"/>
      <c r="S1517" s="26"/>
      <c r="T1517" s="27"/>
      <c r="U1517" s="24"/>
      <c r="V1517" s="38" t="s">
        <v>29</v>
      </c>
      <c r="W1517" s="29" t="s">
        <v>22</v>
      </c>
      <c r="X1517" s="37" t="s">
        <v>1002</v>
      </c>
      <c r="Y1517" s="31"/>
      <c r="Z1517" s="26" t="str">
        <f t="shared" si="5"/>
        <v/>
      </c>
      <c r="AA1517" s="26" t="str">
        <f t="shared" si="6"/>
        <v/>
      </c>
      <c r="AB1517" s="32" t="str">
        <f t="shared" si="7"/>
        <v/>
      </c>
      <c r="AC1517" s="32" t="str">
        <f t="shared" ref="AC1517:AG1517" si="1521">IF(J1517&lt;&gt;"", IF(AND($P1517=FALSE, $A1517=FALSE), -J1517, IF(AND($P1517=FALSE, $A1517=TRUE), 0, IF($P1517=TRUE, (J1517 / $R1517) * 100 * ($S1517 / 100)-J1517, ))), )</f>
        <v/>
      </c>
      <c r="AD1517" s="32" t="str">
        <f t="shared" si="1521"/>
        <v/>
      </c>
      <c r="AE1517" s="32" t="str">
        <f t="shared" si="1521"/>
        <v/>
      </c>
      <c r="AF1517" s="32" t="str">
        <f t="shared" si="1521"/>
        <v/>
      </c>
      <c r="AG1517" s="32" t="str">
        <f t="shared" si="1521"/>
        <v/>
      </c>
      <c r="AH1517" s="33"/>
    </row>
    <row r="1518" collapsed="1">
      <c r="A1518" s="16" t="b">
        <v>0</v>
      </c>
      <c r="B1518" s="17"/>
      <c r="C1518" s="18"/>
      <c r="D1518" s="42">
        <v>45294.0</v>
      </c>
      <c r="E1518" s="80" t="s">
        <v>60</v>
      </c>
      <c r="F1518" s="53" t="s">
        <v>1003</v>
      </c>
      <c r="G1518" s="45">
        <v>3.0</v>
      </c>
      <c r="H1518" s="45">
        <v>1.5</v>
      </c>
      <c r="I1518" s="45">
        <v>3.0</v>
      </c>
      <c r="J1518" s="45"/>
      <c r="K1518" s="79"/>
      <c r="L1518" s="45"/>
      <c r="M1518" s="46"/>
      <c r="N1518" s="46"/>
      <c r="O1518" s="47"/>
      <c r="P1518" s="16" t="b">
        <v>1</v>
      </c>
      <c r="Q1518" s="24"/>
      <c r="R1518" s="48">
        <v>7.5</v>
      </c>
      <c r="S1518" s="45">
        <v>15.27</v>
      </c>
      <c r="T1518" s="49" t="s">
        <v>132</v>
      </c>
      <c r="U1518" s="47"/>
      <c r="V1518" s="28"/>
      <c r="W1518" s="29"/>
      <c r="X1518" s="30"/>
      <c r="Y1518" s="31"/>
      <c r="Z1518" s="26">
        <f t="shared" si="5"/>
        <v>3.108</v>
      </c>
      <c r="AA1518" s="26">
        <f t="shared" si="6"/>
        <v>3.108</v>
      </c>
      <c r="AB1518" s="32">
        <f t="shared" si="7"/>
        <v>1.554</v>
      </c>
      <c r="AC1518" s="32" t="str">
        <f t="shared" ref="AC1518:AG1518" si="1522">IF(J1518&lt;&gt;"", IF(AND($P1518=FALSE, $A1518=FALSE), -J1518, IF(AND($P1518=FALSE, $A1518=TRUE), 0, IF($P1518=TRUE, (J1518 / $R1518) * 100 * ($S1518 / 100)-J1518, ))), )</f>
        <v/>
      </c>
      <c r="AD1518" s="32" t="str">
        <f t="shared" si="1522"/>
        <v/>
      </c>
      <c r="AE1518" s="32" t="str">
        <f t="shared" si="1522"/>
        <v/>
      </c>
      <c r="AF1518" s="32" t="str">
        <f t="shared" si="1522"/>
        <v/>
      </c>
      <c r="AG1518" s="32" t="str">
        <f t="shared" si="1522"/>
        <v/>
      </c>
      <c r="AH1518" s="33"/>
    </row>
    <row r="1519" hidden="1" outlineLevel="3">
      <c r="A1519" s="16" t="b">
        <v>0</v>
      </c>
      <c r="B1519" s="17"/>
      <c r="C1519" s="18"/>
      <c r="D1519" s="19"/>
      <c r="E1519" s="20"/>
      <c r="F1519" s="21"/>
      <c r="G1519" s="22"/>
      <c r="H1519" s="22"/>
      <c r="I1519" s="23"/>
      <c r="J1519" s="22"/>
      <c r="K1519" s="23"/>
      <c r="L1519" s="22"/>
      <c r="M1519" s="23"/>
      <c r="N1519" s="23"/>
      <c r="O1519" s="24"/>
      <c r="P1519" s="16" t="b">
        <v>0</v>
      </c>
      <c r="Q1519" s="24"/>
      <c r="R1519" s="25"/>
      <c r="S1519" s="26"/>
      <c r="T1519" s="27"/>
      <c r="U1519" s="24"/>
      <c r="V1519" s="38" t="s">
        <v>29</v>
      </c>
      <c r="W1519" s="29" t="s">
        <v>22</v>
      </c>
      <c r="X1519" s="37" t="s">
        <v>1004</v>
      </c>
      <c r="Y1519" s="31"/>
      <c r="Z1519" s="26" t="str">
        <f t="shared" si="5"/>
        <v/>
      </c>
      <c r="AA1519" s="26" t="str">
        <f t="shared" si="6"/>
        <v/>
      </c>
      <c r="AB1519" s="32" t="str">
        <f t="shared" si="7"/>
        <v/>
      </c>
      <c r="AC1519" s="32" t="str">
        <f t="shared" ref="AC1519:AG1519" si="1523">IF(J1519&lt;&gt;"", IF(AND($P1519=FALSE, $A1519=FALSE), -J1519, IF(AND($P1519=FALSE, $A1519=TRUE), 0, IF($P1519=TRUE, (J1519 / $R1519) * 100 * ($S1519 / 100)-J1519, ))), )</f>
        <v/>
      </c>
      <c r="AD1519" s="32" t="str">
        <f t="shared" si="1523"/>
        <v/>
      </c>
      <c r="AE1519" s="32" t="str">
        <f t="shared" si="1523"/>
        <v/>
      </c>
      <c r="AF1519" s="32" t="str">
        <f t="shared" si="1523"/>
        <v/>
      </c>
      <c r="AG1519" s="32" t="str">
        <f t="shared" si="1523"/>
        <v/>
      </c>
      <c r="AH1519" s="33"/>
    </row>
    <row r="1520" hidden="1" outlineLevel="3">
      <c r="A1520" s="16" t="b">
        <v>0</v>
      </c>
      <c r="B1520" s="17"/>
      <c r="C1520" s="18"/>
      <c r="D1520" s="19"/>
      <c r="E1520" s="20"/>
      <c r="F1520" s="21"/>
      <c r="G1520" s="22"/>
      <c r="H1520" s="22"/>
      <c r="I1520" s="23"/>
      <c r="J1520" s="22"/>
      <c r="K1520" s="23"/>
      <c r="L1520" s="22"/>
      <c r="M1520" s="23"/>
      <c r="N1520" s="23"/>
      <c r="O1520" s="24"/>
      <c r="P1520" s="16" t="b">
        <v>0</v>
      </c>
      <c r="Q1520" s="24"/>
      <c r="R1520" s="25"/>
      <c r="S1520" s="26"/>
      <c r="T1520" s="27"/>
      <c r="U1520" s="24"/>
      <c r="V1520" s="38" t="s">
        <v>29</v>
      </c>
      <c r="W1520" s="29" t="s">
        <v>22</v>
      </c>
      <c r="X1520" s="37" t="s">
        <v>1005</v>
      </c>
      <c r="Y1520" s="31"/>
      <c r="Z1520" s="26" t="str">
        <f t="shared" si="5"/>
        <v/>
      </c>
      <c r="AA1520" s="26" t="str">
        <f t="shared" si="6"/>
        <v/>
      </c>
      <c r="AB1520" s="32" t="str">
        <f t="shared" si="7"/>
        <v/>
      </c>
      <c r="AC1520" s="32" t="str">
        <f t="shared" ref="AC1520:AG1520" si="1524">IF(J1520&lt;&gt;"", IF(AND($P1520=FALSE, $A1520=FALSE), -J1520, IF(AND($P1520=FALSE, $A1520=TRUE), 0, IF($P1520=TRUE, (J1520 / $R1520) * 100 * ($S1520 / 100)-J1520, ))), )</f>
        <v/>
      </c>
      <c r="AD1520" s="32" t="str">
        <f t="shared" si="1524"/>
        <v/>
      </c>
      <c r="AE1520" s="32" t="str">
        <f t="shared" si="1524"/>
        <v/>
      </c>
      <c r="AF1520" s="32" t="str">
        <f t="shared" si="1524"/>
        <v/>
      </c>
      <c r="AG1520" s="32" t="str">
        <f t="shared" si="1524"/>
        <v/>
      </c>
      <c r="AH1520" s="33"/>
    </row>
    <row r="1521" hidden="1" outlineLevel="3">
      <c r="A1521" s="16" t="b">
        <v>0</v>
      </c>
      <c r="B1521" s="17"/>
      <c r="C1521" s="18"/>
      <c r="D1521" s="19"/>
      <c r="E1521" s="20"/>
      <c r="F1521" s="21"/>
      <c r="G1521" s="22"/>
      <c r="H1521" s="22"/>
      <c r="I1521" s="23"/>
      <c r="J1521" s="22"/>
      <c r="K1521" s="23"/>
      <c r="L1521" s="22"/>
      <c r="M1521" s="23"/>
      <c r="N1521" s="23"/>
      <c r="O1521" s="24"/>
      <c r="P1521" s="16" t="b">
        <v>0</v>
      </c>
      <c r="Q1521" s="24"/>
      <c r="R1521" s="25"/>
      <c r="S1521" s="26"/>
      <c r="T1521" s="27"/>
      <c r="U1521" s="24"/>
      <c r="V1521" s="38" t="s">
        <v>29</v>
      </c>
      <c r="W1521" s="29" t="s">
        <v>22</v>
      </c>
      <c r="X1521" s="37" t="s">
        <v>1006</v>
      </c>
      <c r="Y1521" s="31"/>
      <c r="Z1521" s="26" t="str">
        <f t="shared" si="5"/>
        <v/>
      </c>
      <c r="AA1521" s="26" t="str">
        <f t="shared" si="6"/>
        <v/>
      </c>
      <c r="AB1521" s="32" t="str">
        <f t="shared" si="7"/>
        <v/>
      </c>
      <c r="AC1521" s="32" t="str">
        <f t="shared" ref="AC1521:AG1521" si="1525">IF(J1521&lt;&gt;"", IF(AND($P1521=FALSE, $A1521=FALSE), -J1521, IF(AND($P1521=FALSE, $A1521=TRUE), 0, IF($P1521=TRUE, (J1521 / $R1521) * 100 * ($S1521 / 100)-J1521, ))), )</f>
        <v/>
      </c>
      <c r="AD1521" s="32" t="str">
        <f t="shared" si="1525"/>
        <v/>
      </c>
      <c r="AE1521" s="32" t="str">
        <f t="shared" si="1525"/>
        <v/>
      </c>
      <c r="AF1521" s="32" t="str">
        <f t="shared" si="1525"/>
        <v/>
      </c>
      <c r="AG1521" s="32" t="str">
        <f t="shared" si="1525"/>
        <v/>
      </c>
      <c r="AH1521" s="33"/>
    </row>
    <row r="1522" hidden="1" outlineLevel="2" collapsed="1">
      <c r="A1522" s="16" t="b">
        <v>0</v>
      </c>
      <c r="B1522" s="17"/>
      <c r="C1522" s="18"/>
      <c r="D1522" s="42">
        <v>45294.0</v>
      </c>
      <c r="E1522" s="80" t="s">
        <v>60</v>
      </c>
      <c r="F1522" s="53" t="s">
        <v>1003</v>
      </c>
      <c r="G1522" s="45">
        <v>2.0</v>
      </c>
      <c r="H1522" s="45">
        <v>1.0</v>
      </c>
      <c r="I1522" s="45">
        <v>2.0</v>
      </c>
      <c r="J1522" s="45"/>
      <c r="K1522" s="79"/>
      <c r="L1522" s="45"/>
      <c r="M1522" s="46"/>
      <c r="N1522" s="46"/>
      <c r="O1522" s="47"/>
      <c r="P1522" s="16" t="b">
        <v>0</v>
      </c>
      <c r="Q1522" s="24"/>
      <c r="R1522" s="48">
        <v>5.0</v>
      </c>
      <c r="S1522" s="45">
        <v>10.89</v>
      </c>
      <c r="T1522" s="49" t="s">
        <v>210</v>
      </c>
      <c r="U1522" s="47"/>
      <c r="V1522" s="28"/>
      <c r="W1522" s="29"/>
      <c r="X1522" s="30"/>
      <c r="Y1522" s="31"/>
      <c r="Z1522" s="26">
        <f t="shared" si="5"/>
        <v>-2</v>
      </c>
      <c r="AA1522" s="26">
        <f t="shared" si="6"/>
        <v>-2</v>
      </c>
      <c r="AB1522" s="32">
        <f t="shared" si="7"/>
        <v>-1</v>
      </c>
      <c r="AC1522" s="32" t="str">
        <f t="shared" ref="AC1522:AG1522" si="1526">IF(J1522&lt;&gt;"", IF(AND($P1522=FALSE, $A1522=FALSE), -J1522, IF(AND($P1522=FALSE, $A1522=TRUE), 0, IF($P1522=TRUE, (J1522 / $R1522) * 100 * ($S1522 / 100)-J1522, ))), )</f>
        <v/>
      </c>
      <c r="AD1522" s="32" t="str">
        <f t="shared" si="1526"/>
        <v/>
      </c>
      <c r="AE1522" s="32" t="str">
        <f t="shared" si="1526"/>
        <v/>
      </c>
      <c r="AF1522" s="32" t="str">
        <f t="shared" si="1526"/>
        <v/>
      </c>
      <c r="AG1522" s="32" t="str">
        <f t="shared" si="1526"/>
        <v/>
      </c>
      <c r="AH1522" s="33"/>
    </row>
    <row r="1523" hidden="1" outlineLevel="3">
      <c r="A1523" s="16" t="b">
        <v>0</v>
      </c>
      <c r="B1523" s="17"/>
      <c r="C1523" s="18"/>
      <c r="D1523" s="19"/>
      <c r="E1523" s="20"/>
      <c r="F1523" s="21"/>
      <c r="G1523" s="22"/>
      <c r="H1523" s="22"/>
      <c r="I1523" s="23"/>
      <c r="J1523" s="22"/>
      <c r="K1523" s="23"/>
      <c r="L1523" s="22"/>
      <c r="M1523" s="23"/>
      <c r="N1523" s="23"/>
      <c r="O1523" s="24"/>
      <c r="P1523" s="16" t="b">
        <v>0</v>
      </c>
      <c r="Q1523" s="24"/>
      <c r="R1523" s="25"/>
      <c r="S1523" s="26"/>
      <c r="T1523" s="27"/>
      <c r="U1523" s="24"/>
      <c r="V1523" s="38" t="s">
        <v>29</v>
      </c>
      <c r="W1523" s="29" t="s">
        <v>22</v>
      </c>
      <c r="X1523" s="37" t="s">
        <v>1007</v>
      </c>
      <c r="Y1523" s="31"/>
      <c r="Z1523" s="26" t="str">
        <f t="shared" si="5"/>
        <v/>
      </c>
      <c r="AA1523" s="26" t="str">
        <f t="shared" si="6"/>
        <v/>
      </c>
      <c r="AB1523" s="32" t="str">
        <f t="shared" si="7"/>
        <v/>
      </c>
      <c r="AC1523" s="32" t="str">
        <f t="shared" ref="AC1523:AG1523" si="1527">IF(J1523&lt;&gt;"", IF(AND($P1523=FALSE, $A1523=FALSE), -J1523, IF(AND($P1523=FALSE, $A1523=TRUE), 0, IF($P1523=TRUE, (J1523 / $R1523) * 100 * ($S1523 / 100)-J1523, ))), )</f>
        <v/>
      </c>
      <c r="AD1523" s="32" t="str">
        <f t="shared" si="1527"/>
        <v/>
      </c>
      <c r="AE1523" s="32" t="str">
        <f t="shared" si="1527"/>
        <v/>
      </c>
      <c r="AF1523" s="32" t="str">
        <f t="shared" si="1527"/>
        <v/>
      </c>
      <c r="AG1523" s="32" t="str">
        <f t="shared" si="1527"/>
        <v/>
      </c>
      <c r="AH1523" s="33"/>
    </row>
    <row r="1524" hidden="1" outlineLevel="3">
      <c r="A1524" s="16" t="b">
        <v>0</v>
      </c>
      <c r="B1524" s="17"/>
      <c r="C1524" s="18"/>
      <c r="D1524" s="19"/>
      <c r="E1524" s="20"/>
      <c r="F1524" s="21"/>
      <c r="G1524" s="22"/>
      <c r="H1524" s="22"/>
      <c r="I1524" s="23"/>
      <c r="J1524" s="22"/>
      <c r="K1524" s="23"/>
      <c r="L1524" s="22"/>
      <c r="M1524" s="23"/>
      <c r="N1524" s="23"/>
      <c r="O1524" s="24"/>
      <c r="P1524" s="16" t="b">
        <v>0</v>
      </c>
      <c r="Q1524" s="24"/>
      <c r="R1524" s="25"/>
      <c r="S1524" s="26"/>
      <c r="T1524" s="27"/>
      <c r="U1524" s="24"/>
      <c r="V1524" s="28" t="s">
        <v>32</v>
      </c>
      <c r="W1524" s="29" t="s">
        <v>22</v>
      </c>
      <c r="X1524" s="37" t="s">
        <v>64</v>
      </c>
      <c r="Y1524" s="31"/>
      <c r="Z1524" s="26" t="str">
        <f t="shared" si="5"/>
        <v/>
      </c>
      <c r="AA1524" s="26" t="str">
        <f t="shared" si="6"/>
        <v/>
      </c>
      <c r="AB1524" s="32" t="str">
        <f t="shared" si="7"/>
        <v/>
      </c>
      <c r="AC1524" s="32" t="str">
        <f t="shared" ref="AC1524:AG1524" si="1528">IF(J1524&lt;&gt;"", IF(AND($P1524=FALSE, $A1524=FALSE), -J1524, IF(AND($P1524=FALSE, $A1524=TRUE), 0, IF($P1524=TRUE, (J1524 / $R1524) * 100 * ($S1524 / 100)-J1524, ))), )</f>
        <v/>
      </c>
      <c r="AD1524" s="32" t="str">
        <f t="shared" si="1528"/>
        <v/>
      </c>
      <c r="AE1524" s="32" t="str">
        <f t="shared" si="1528"/>
        <v/>
      </c>
      <c r="AF1524" s="32" t="str">
        <f t="shared" si="1528"/>
        <v/>
      </c>
      <c r="AG1524" s="32" t="str">
        <f t="shared" si="1528"/>
        <v/>
      </c>
      <c r="AH1524" s="33"/>
    </row>
    <row r="1525" hidden="1" outlineLevel="2">
      <c r="A1525" s="16" t="b">
        <v>0</v>
      </c>
      <c r="B1525" s="17"/>
      <c r="C1525" s="18"/>
      <c r="D1525" s="42">
        <v>45294.0</v>
      </c>
      <c r="E1525" s="80" t="s">
        <v>60</v>
      </c>
      <c r="F1525" s="53" t="s">
        <v>1003</v>
      </c>
      <c r="G1525" s="45">
        <v>2.5</v>
      </c>
      <c r="H1525" s="45">
        <v>1.0</v>
      </c>
      <c r="I1525" s="45">
        <v>2.5</v>
      </c>
      <c r="J1525" s="45"/>
      <c r="K1525" s="79"/>
      <c r="L1525" s="45"/>
      <c r="M1525" s="46"/>
      <c r="N1525" s="46"/>
      <c r="O1525" s="47"/>
      <c r="P1525" s="16" t="b">
        <v>0</v>
      </c>
      <c r="Q1525" s="24"/>
      <c r="R1525" s="48">
        <v>6.0</v>
      </c>
      <c r="S1525" s="45">
        <v>13.08</v>
      </c>
      <c r="T1525" s="49" t="s">
        <v>210</v>
      </c>
      <c r="U1525" s="47"/>
      <c r="V1525" s="28"/>
      <c r="W1525" s="29"/>
      <c r="X1525" s="30"/>
      <c r="Y1525" s="31"/>
      <c r="Z1525" s="26">
        <f t="shared" si="5"/>
        <v>-2.5</v>
      </c>
      <c r="AA1525" s="26">
        <f t="shared" si="6"/>
        <v>-2.5</v>
      </c>
      <c r="AB1525" s="32">
        <f t="shared" si="7"/>
        <v>-1</v>
      </c>
      <c r="AC1525" s="32" t="str">
        <f t="shared" ref="AC1525:AG1525" si="1529">IF(J1525&lt;&gt;"", IF(AND($P1525=FALSE, $A1525=FALSE), -J1525, IF(AND($P1525=FALSE, $A1525=TRUE), 0, IF($P1525=TRUE, (J1525 / $R1525) * 100 * ($S1525 / 100)-J1525, ))), )</f>
        <v/>
      </c>
      <c r="AD1525" s="32" t="str">
        <f t="shared" si="1529"/>
        <v/>
      </c>
      <c r="AE1525" s="32" t="str">
        <f t="shared" si="1529"/>
        <v/>
      </c>
      <c r="AF1525" s="32" t="str">
        <f t="shared" si="1529"/>
        <v/>
      </c>
      <c r="AG1525" s="32" t="str">
        <f t="shared" si="1529"/>
        <v/>
      </c>
      <c r="AH1525" s="33"/>
    </row>
    <row r="1526" hidden="1" outlineLevel="3">
      <c r="A1526" s="16" t="b">
        <v>0</v>
      </c>
      <c r="B1526" s="17"/>
      <c r="C1526" s="18"/>
      <c r="D1526" s="19"/>
      <c r="E1526" s="20"/>
      <c r="F1526" s="21"/>
      <c r="G1526" s="22"/>
      <c r="H1526" s="22"/>
      <c r="I1526" s="23"/>
      <c r="J1526" s="22"/>
      <c r="K1526" s="23"/>
      <c r="L1526" s="22"/>
      <c r="M1526" s="23"/>
      <c r="N1526" s="23"/>
      <c r="O1526" s="24"/>
      <c r="P1526" s="16" t="b">
        <v>0</v>
      </c>
      <c r="Q1526" s="24"/>
      <c r="R1526" s="25"/>
      <c r="S1526" s="26"/>
      <c r="T1526" s="27"/>
      <c r="U1526" s="24"/>
      <c r="V1526" s="38" t="s">
        <v>29</v>
      </c>
      <c r="W1526" s="29" t="s">
        <v>22</v>
      </c>
      <c r="X1526" s="37" t="s">
        <v>63</v>
      </c>
      <c r="Y1526" s="31"/>
      <c r="Z1526" s="26" t="str">
        <f t="shared" si="5"/>
        <v/>
      </c>
      <c r="AA1526" s="26" t="str">
        <f t="shared" si="6"/>
        <v/>
      </c>
      <c r="AB1526" s="32" t="str">
        <f t="shared" si="7"/>
        <v/>
      </c>
      <c r="AC1526" s="32" t="str">
        <f t="shared" ref="AC1526:AG1526" si="1530">IF(J1526&lt;&gt;"", IF(AND($P1526=FALSE, $A1526=FALSE), -J1526, IF(AND($P1526=FALSE, $A1526=TRUE), 0, IF($P1526=TRUE, (J1526 / $R1526) * 100 * ($S1526 / 100)-J1526, ))), )</f>
        <v/>
      </c>
      <c r="AD1526" s="32" t="str">
        <f t="shared" si="1530"/>
        <v/>
      </c>
      <c r="AE1526" s="32" t="str">
        <f t="shared" si="1530"/>
        <v/>
      </c>
      <c r="AF1526" s="32" t="str">
        <f t="shared" si="1530"/>
        <v/>
      </c>
      <c r="AG1526" s="32" t="str">
        <f t="shared" si="1530"/>
        <v/>
      </c>
      <c r="AH1526" s="33"/>
    </row>
    <row r="1527" hidden="1" outlineLevel="3">
      <c r="A1527" s="16" t="b">
        <v>0</v>
      </c>
      <c r="B1527" s="17"/>
      <c r="C1527" s="18"/>
      <c r="D1527" s="19"/>
      <c r="E1527" s="20"/>
      <c r="F1527" s="21"/>
      <c r="G1527" s="22"/>
      <c r="H1527" s="22"/>
      <c r="I1527" s="23"/>
      <c r="J1527" s="22"/>
      <c r="K1527" s="23"/>
      <c r="L1527" s="22"/>
      <c r="M1527" s="23"/>
      <c r="N1527" s="23"/>
      <c r="O1527" s="24"/>
      <c r="P1527" s="16" t="b">
        <v>0</v>
      </c>
      <c r="Q1527" s="24"/>
      <c r="R1527" s="25"/>
      <c r="S1527" s="26"/>
      <c r="T1527" s="27"/>
      <c r="U1527" s="24"/>
      <c r="V1527" s="38" t="s">
        <v>29</v>
      </c>
      <c r="W1527" s="29" t="s">
        <v>22</v>
      </c>
      <c r="X1527" s="37" t="s">
        <v>1008</v>
      </c>
      <c r="Y1527" s="31"/>
      <c r="Z1527" s="26" t="str">
        <f t="shared" si="5"/>
        <v/>
      </c>
      <c r="AA1527" s="26" t="str">
        <f t="shared" si="6"/>
        <v/>
      </c>
      <c r="AB1527" s="32" t="str">
        <f t="shared" si="7"/>
        <v/>
      </c>
      <c r="AC1527" s="32" t="str">
        <f t="shared" ref="AC1527:AG1527" si="1531">IF(J1527&lt;&gt;"", IF(AND($P1527=FALSE, $A1527=FALSE), -J1527, IF(AND($P1527=FALSE, $A1527=TRUE), 0, IF($P1527=TRUE, (J1527 / $R1527) * 100 * ($S1527 / 100)-J1527, ))), )</f>
        <v/>
      </c>
      <c r="AD1527" s="32" t="str">
        <f t="shared" si="1531"/>
        <v/>
      </c>
      <c r="AE1527" s="32" t="str">
        <f t="shared" si="1531"/>
        <v/>
      </c>
      <c r="AF1527" s="32" t="str">
        <f t="shared" si="1531"/>
        <v/>
      </c>
      <c r="AG1527" s="32" t="str">
        <f t="shared" si="1531"/>
        <v/>
      </c>
      <c r="AH1527" s="33"/>
    </row>
    <row r="1528" hidden="1" outlineLevel="3">
      <c r="A1528" s="16" t="b">
        <v>0</v>
      </c>
      <c r="B1528" s="17"/>
      <c r="C1528" s="18"/>
      <c r="D1528" s="19"/>
      <c r="E1528" s="20"/>
      <c r="F1528" s="21"/>
      <c r="G1528" s="22"/>
      <c r="H1528" s="22"/>
      <c r="I1528" s="23"/>
      <c r="J1528" s="22"/>
      <c r="K1528" s="23"/>
      <c r="L1528" s="22"/>
      <c r="M1528" s="23"/>
      <c r="N1528" s="23"/>
      <c r="O1528" s="24"/>
      <c r="P1528" s="16" t="b">
        <v>0</v>
      </c>
      <c r="Q1528" s="24"/>
      <c r="R1528" s="25"/>
      <c r="S1528" s="26"/>
      <c r="T1528" s="27"/>
      <c r="U1528" s="24"/>
      <c r="V1528" s="28" t="s">
        <v>32</v>
      </c>
      <c r="W1528" s="29" t="s">
        <v>22</v>
      </c>
      <c r="X1528" s="37" t="s">
        <v>1009</v>
      </c>
      <c r="Y1528" s="31"/>
      <c r="Z1528" s="26" t="str">
        <f t="shared" si="5"/>
        <v/>
      </c>
      <c r="AA1528" s="26" t="str">
        <f t="shared" si="6"/>
        <v/>
      </c>
      <c r="AB1528" s="32" t="str">
        <f t="shared" si="7"/>
        <v/>
      </c>
      <c r="AC1528" s="32" t="str">
        <f t="shared" ref="AC1528:AG1528" si="1532">IF(J1528&lt;&gt;"", IF(AND($P1528=FALSE, $A1528=FALSE), -J1528, IF(AND($P1528=FALSE, $A1528=TRUE), 0, IF($P1528=TRUE, (J1528 / $R1528) * 100 * ($S1528 / 100)-J1528, ))), )</f>
        <v/>
      </c>
      <c r="AD1528" s="32" t="str">
        <f t="shared" si="1532"/>
        <v/>
      </c>
      <c r="AE1528" s="32" t="str">
        <f t="shared" si="1532"/>
        <v/>
      </c>
      <c r="AF1528" s="32" t="str">
        <f t="shared" si="1532"/>
        <v/>
      </c>
      <c r="AG1528" s="32" t="str">
        <f t="shared" si="1532"/>
        <v/>
      </c>
      <c r="AH1528" s="33"/>
    </row>
    <row r="1529" hidden="1" outlineLevel="3">
      <c r="A1529" s="16" t="b">
        <v>0</v>
      </c>
      <c r="B1529" s="17"/>
      <c r="C1529" s="18"/>
      <c r="D1529" s="19"/>
      <c r="E1529" s="20"/>
      <c r="F1529" s="21"/>
      <c r="G1529" s="22"/>
      <c r="H1529" s="22"/>
      <c r="I1529" s="23"/>
      <c r="J1529" s="22"/>
      <c r="K1529" s="23"/>
      <c r="L1529" s="22"/>
      <c r="M1529" s="23"/>
      <c r="N1529" s="23"/>
      <c r="O1529" s="24"/>
      <c r="P1529" s="16" t="b">
        <v>0</v>
      </c>
      <c r="Q1529" s="24"/>
      <c r="R1529" s="25"/>
      <c r="S1529" s="26"/>
      <c r="T1529" s="27"/>
      <c r="U1529" s="24"/>
      <c r="V1529" s="38" t="s">
        <v>29</v>
      </c>
      <c r="W1529" s="29" t="s">
        <v>22</v>
      </c>
      <c r="X1529" s="37" t="s">
        <v>198</v>
      </c>
      <c r="Y1529" s="31"/>
      <c r="Z1529" s="26" t="str">
        <f t="shared" si="5"/>
        <v/>
      </c>
      <c r="AA1529" s="26" t="str">
        <f t="shared" si="6"/>
        <v/>
      </c>
      <c r="AB1529" s="32" t="str">
        <f t="shared" si="7"/>
        <v/>
      </c>
      <c r="AC1529" s="32" t="str">
        <f t="shared" ref="AC1529:AG1529" si="1533">IF(J1529&lt;&gt;"", IF(AND($P1529=FALSE, $A1529=FALSE), -J1529, IF(AND($P1529=FALSE, $A1529=TRUE), 0, IF($P1529=TRUE, (J1529 / $R1529) * 100 * ($S1529 / 100)-J1529, ))), )</f>
        <v/>
      </c>
      <c r="AD1529" s="32" t="str">
        <f t="shared" si="1533"/>
        <v/>
      </c>
      <c r="AE1529" s="32" t="str">
        <f t="shared" si="1533"/>
        <v/>
      </c>
      <c r="AF1529" s="32" t="str">
        <f t="shared" si="1533"/>
        <v/>
      </c>
      <c r="AG1529" s="32" t="str">
        <f t="shared" si="1533"/>
        <v/>
      </c>
      <c r="AH1529" s="33"/>
    </row>
    <row r="1530" hidden="1" outlineLevel="1" collapsed="1">
      <c r="A1530" s="16" t="b">
        <v>0</v>
      </c>
      <c r="B1530" s="17"/>
      <c r="C1530" s="18"/>
      <c r="D1530" s="42">
        <v>45295.0</v>
      </c>
      <c r="E1530" s="80" t="s">
        <v>60</v>
      </c>
      <c r="F1530" s="53" t="s">
        <v>1003</v>
      </c>
      <c r="G1530" s="45">
        <v>2.0</v>
      </c>
      <c r="H1530" s="45">
        <v>1.0</v>
      </c>
      <c r="I1530" s="45">
        <v>2.0</v>
      </c>
      <c r="J1530" s="45"/>
      <c r="K1530" s="79"/>
      <c r="L1530" s="45"/>
      <c r="M1530" s="46"/>
      <c r="N1530" s="46"/>
      <c r="O1530" s="47"/>
      <c r="P1530" s="16" t="b">
        <v>0</v>
      </c>
      <c r="Q1530" s="24"/>
      <c r="R1530" s="48">
        <v>5.0</v>
      </c>
      <c r="S1530" s="45">
        <v>11.04</v>
      </c>
      <c r="T1530" s="49" t="s">
        <v>792</v>
      </c>
      <c r="U1530" s="47"/>
      <c r="V1530" s="28"/>
      <c r="W1530" s="29"/>
      <c r="X1530" s="30"/>
      <c r="Y1530" s="31"/>
      <c r="Z1530" s="26">
        <f t="shared" si="5"/>
        <v>-2</v>
      </c>
      <c r="AA1530" s="26">
        <f t="shared" si="6"/>
        <v>-2</v>
      </c>
      <c r="AB1530" s="32">
        <f t="shared" si="7"/>
        <v>-1</v>
      </c>
      <c r="AC1530" s="32" t="str">
        <f t="shared" ref="AC1530:AG1530" si="1534">IF(J1530&lt;&gt;"", IF(AND($P1530=FALSE, $A1530=FALSE), -J1530, IF(AND($P1530=FALSE, $A1530=TRUE), 0, IF($P1530=TRUE, (J1530 / $R1530) * 100 * ($S1530 / 100)-J1530, ))), )</f>
        <v/>
      </c>
      <c r="AD1530" s="32" t="str">
        <f t="shared" si="1534"/>
        <v/>
      </c>
      <c r="AE1530" s="32" t="str">
        <f t="shared" si="1534"/>
        <v/>
      </c>
      <c r="AF1530" s="32" t="str">
        <f t="shared" si="1534"/>
        <v/>
      </c>
      <c r="AG1530" s="32" t="str">
        <f t="shared" si="1534"/>
        <v/>
      </c>
      <c r="AH1530" s="33"/>
    </row>
    <row r="1531" hidden="1" outlineLevel="3">
      <c r="A1531" s="16" t="b">
        <v>0</v>
      </c>
      <c r="B1531" s="17"/>
      <c r="C1531" s="18"/>
      <c r="D1531" s="19"/>
      <c r="E1531" s="20"/>
      <c r="F1531" s="21"/>
      <c r="G1531" s="22"/>
      <c r="H1531" s="22"/>
      <c r="I1531" s="23"/>
      <c r="J1531" s="22"/>
      <c r="K1531" s="23"/>
      <c r="L1531" s="22"/>
      <c r="M1531" s="23"/>
      <c r="N1531" s="23"/>
      <c r="O1531" s="24"/>
      <c r="P1531" s="16" t="b">
        <v>0</v>
      </c>
      <c r="Q1531" s="24"/>
      <c r="R1531" s="25"/>
      <c r="S1531" s="26"/>
      <c r="T1531" s="27"/>
      <c r="U1531" s="24"/>
      <c r="V1531" s="38" t="s">
        <v>29</v>
      </c>
      <c r="W1531" s="29" t="s">
        <v>22</v>
      </c>
      <c r="X1531" s="37" t="s">
        <v>1010</v>
      </c>
      <c r="Y1531" s="31"/>
      <c r="Z1531" s="26" t="str">
        <f t="shared" si="5"/>
        <v/>
      </c>
      <c r="AA1531" s="26" t="str">
        <f t="shared" si="6"/>
        <v/>
      </c>
      <c r="AB1531" s="32" t="str">
        <f t="shared" si="7"/>
        <v/>
      </c>
      <c r="AC1531" s="32" t="str">
        <f t="shared" ref="AC1531:AG1531" si="1535">IF(J1531&lt;&gt;"", IF(AND($P1531=FALSE, $A1531=FALSE), -J1531, IF(AND($P1531=FALSE, $A1531=TRUE), 0, IF($P1531=TRUE, (J1531 / $R1531) * 100 * ($S1531 / 100)-J1531, ))), )</f>
        <v/>
      </c>
      <c r="AD1531" s="32" t="str">
        <f t="shared" si="1535"/>
        <v/>
      </c>
      <c r="AE1531" s="32" t="str">
        <f t="shared" si="1535"/>
        <v/>
      </c>
      <c r="AF1531" s="32" t="str">
        <f t="shared" si="1535"/>
        <v/>
      </c>
      <c r="AG1531" s="32" t="str">
        <f t="shared" si="1535"/>
        <v/>
      </c>
      <c r="AH1531" s="33"/>
    </row>
    <row r="1532" hidden="1" outlineLevel="3">
      <c r="A1532" s="16" t="b">
        <v>0</v>
      </c>
      <c r="B1532" s="17"/>
      <c r="C1532" s="18"/>
      <c r="D1532" s="19"/>
      <c r="E1532" s="20"/>
      <c r="F1532" s="21"/>
      <c r="G1532" s="22"/>
      <c r="H1532" s="22"/>
      <c r="I1532" s="23"/>
      <c r="J1532" s="22"/>
      <c r="K1532" s="23"/>
      <c r="L1532" s="22"/>
      <c r="M1532" s="23"/>
      <c r="N1532" s="23"/>
      <c r="O1532" s="24"/>
      <c r="P1532" s="16" t="b">
        <v>0</v>
      </c>
      <c r="Q1532" s="24"/>
      <c r="R1532" s="25"/>
      <c r="S1532" s="26"/>
      <c r="T1532" s="27"/>
      <c r="U1532" s="24"/>
      <c r="V1532" s="28" t="s">
        <v>32</v>
      </c>
      <c r="W1532" s="29" t="s">
        <v>22</v>
      </c>
      <c r="X1532" s="37" t="s">
        <v>1011</v>
      </c>
      <c r="Y1532" s="31"/>
      <c r="Z1532" s="26" t="str">
        <f t="shared" si="5"/>
        <v/>
      </c>
      <c r="AA1532" s="26" t="str">
        <f t="shared" si="6"/>
        <v/>
      </c>
      <c r="AB1532" s="32" t="str">
        <f t="shared" si="7"/>
        <v/>
      </c>
      <c r="AC1532" s="32" t="str">
        <f t="shared" ref="AC1532:AG1532" si="1536">IF(J1532&lt;&gt;"", IF(AND($P1532=FALSE, $A1532=FALSE), -J1532, IF(AND($P1532=FALSE, $A1532=TRUE), 0, IF($P1532=TRUE, (J1532 / $R1532) * 100 * ($S1532 / 100)-J1532, ))), )</f>
        <v/>
      </c>
      <c r="AD1532" s="32" t="str">
        <f t="shared" si="1536"/>
        <v/>
      </c>
      <c r="AE1532" s="32" t="str">
        <f t="shared" si="1536"/>
        <v/>
      </c>
      <c r="AF1532" s="32" t="str">
        <f t="shared" si="1536"/>
        <v/>
      </c>
      <c r="AG1532" s="32" t="str">
        <f t="shared" si="1536"/>
        <v/>
      </c>
      <c r="AH1532" s="33"/>
    </row>
    <row r="1533" hidden="1" outlineLevel="2" collapsed="1">
      <c r="A1533" s="16" t="b">
        <v>0</v>
      </c>
      <c r="B1533" s="17"/>
      <c r="C1533" s="18"/>
      <c r="D1533" s="42">
        <v>45295.0</v>
      </c>
      <c r="E1533" s="80" t="s">
        <v>60</v>
      </c>
      <c r="F1533" s="53" t="s">
        <v>1003</v>
      </c>
      <c r="G1533" s="45">
        <v>2.0</v>
      </c>
      <c r="H1533" s="45">
        <v>1.0</v>
      </c>
      <c r="I1533" s="45">
        <v>2.0</v>
      </c>
      <c r="J1533" s="45"/>
      <c r="K1533" s="79"/>
      <c r="L1533" s="45"/>
      <c r="M1533" s="46"/>
      <c r="N1533" s="46"/>
      <c r="O1533" s="47"/>
      <c r="P1533" s="16" t="b">
        <v>1</v>
      </c>
      <c r="Q1533" s="24"/>
      <c r="R1533" s="48">
        <v>5.0</v>
      </c>
      <c r="S1533" s="45">
        <v>11.87</v>
      </c>
      <c r="T1533" s="49" t="s">
        <v>187</v>
      </c>
      <c r="U1533" s="47"/>
      <c r="V1533" s="28"/>
      <c r="W1533" s="29"/>
      <c r="X1533" s="30"/>
      <c r="Y1533" s="31"/>
      <c r="Z1533" s="26">
        <f t="shared" si="5"/>
        <v>2.748</v>
      </c>
      <c r="AA1533" s="26">
        <f t="shared" si="6"/>
        <v>2.748</v>
      </c>
      <c r="AB1533" s="32">
        <f t="shared" si="7"/>
        <v>1.374</v>
      </c>
      <c r="AC1533" s="32" t="str">
        <f t="shared" ref="AC1533:AG1533" si="1537">IF(J1533&lt;&gt;"", IF(AND($P1533=FALSE, $A1533=FALSE), -J1533, IF(AND($P1533=FALSE, $A1533=TRUE), 0, IF($P1533=TRUE, (J1533 / $R1533) * 100 * ($S1533 / 100)-J1533, ))), )</f>
        <v/>
      </c>
      <c r="AD1533" s="32" t="str">
        <f t="shared" si="1537"/>
        <v/>
      </c>
      <c r="AE1533" s="32" t="str">
        <f t="shared" si="1537"/>
        <v/>
      </c>
      <c r="AF1533" s="32" t="str">
        <f t="shared" si="1537"/>
        <v/>
      </c>
      <c r="AG1533" s="32" t="str">
        <f t="shared" si="1537"/>
        <v/>
      </c>
      <c r="AH1533" s="33"/>
    </row>
    <row r="1534" hidden="1" outlineLevel="3">
      <c r="A1534" s="16" t="b">
        <v>0</v>
      </c>
      <c r="B1534" s="17"/>
      <c r="C1534" s="18"/>
      <c r="D1534" s="19"/>
      <c r="E1534" s="20"/>
      <c r="F1534" s="21"/>
      <c r="G1534" s="22"/>
      <c r="H1534" s="22"/>
      <c r="I1534" s="23"/>
      <c r="J1534" s="22"/>
      <c r="K1534" s="23"/>
      <c r="L1534" s="22"/>
      <c r="M1534" s="23"/>
      <c r="N1534" s="23"/>
      <c r="O1534" s="24"/>
      <c r="P1534" s="16" t="b">
        <v>0</v>
      </c>
      <c r="Q1534" s="24"/>
      <c r="R1534" s="25"/>
      <c r="S1534" s="26"/>
      <c r="T1534" s="27"/>
      <c r="U1534" s="24"/>
      <c r="V1534" s="38" t="s">
        <v>29</v>
      </c>
      <c r="W1534" s="29" t="s">
        <v>22</v>
      </c>
      <c r="X1534" s="37" t="s">
        <v>230</v>
      </c>
      <c r="Y1534" s="31"/>
      <c r="Z1534" s="26" t="str">
        <f t="shared" si="5"/>
        <v/>
      </c>
      <c r="AA1534" s="26" t="str">
        <f t="shared" si="6"/>
        <v/>
      </c>
      <c r="AB1534" s="32" t="str">
        <f t="shared" si="7"/>
        <v/>
      </c>
      <c r="AC1534" s="32" t="str">
        <f t="shared" ref="AC1534:AG1534" si="1538">IF(J1534&lt;&gt;"", IF(AND($P1534=FALSE, $A1534=FALSE), -J1534, IF(AND($P1534=FALSE, $A1534=TRUE), 0, IF($P1534=TRUE, (J1534 / $R1534) * 100 * ($S1534 / 100)-J1534, ))), )</f>
        <v/>
      </c>
      <c r="AD1534" s="32" t="str">
        <f t="shared" si="1538"/>
        <v/>
      </c>
      <c r="AE1534" s="32" t="str">
        <f t="shared" si="1538"/>
        <v/>
      </c>
      <c r="AF1534" s="32" t="str">
        <f t="shared" si="1538"/>
        <v/>
      </c>
      <c r="AG1534" s="32" t="str">
        <f t="shared" si="1538"/>
        <v/>
      </c>
      <c r="AH1534" s="33"/>
    </row>
    <row r="1535" hidden="1" outlineLevel="3">
      <c r="A1535" s="16" t="b">
        <v>0</v>
      </c>
      <c r="B1535" s="17"/>
      <c r="C1535" s="18"/>
      <c r="D1535" s="19"/>
      <c r="E1535" s="20"/>
      <c r="F1535" s="21"/>
      <c r="G1535" s="22"/>
      <c r="H1535" s="22"/>
      <c r="I1535" s="23"/>
      <c r="J1535" s="22"/>
      <c r="K1535" s="23"/>
      <c r="L1535" s="22"/>
      <c r="M1535" s="23"/>
      <c r="N1535" s="23"/>
      <c r="O1535" s="24"/>
      <c r="P1535" s="16" t="b">
        <v>0</v>
      </c>
      <c r="Q1535" s="24"/>
      <c r="R1535" s="25"/>
      <c r="S1535" s="26"/>
      <c r="T1535" s="27"/>
      <c r="U1535" s="24"/>
      <c r="V1535" s="38" t="s">
        <v>29</v>
      </c>
      <c r="W1535" s="29" t="s">
        <v>22</v>
      </c>
      <c r="X1535" s="37" t="s">
        <v>286</v>
      </c>
      <c r="Y1535" s="31"/>
      <c r="Z1535" s="26" t="str">
        <f t="shared" si="5"/>
        <v/>
      </c>
      <c r="AA1535" s="26" t="str">
        <f t="shared" si="6"/>
        <v/>
      </c>
      <c r="AB1535" s="32" t="str">
        <f t="shared" si="7"/>
        <v/>
      </c>
      <c r="AC1535" s="32" t="str">
        <f t="shared" ref="AC1535:AG1535" si="1539">IF(J1535&lt;&gt;"", IF(AND($P1535=FALSE, $A1535=FALSE), -J1535, IF(AND($P1535=FALSE, $A1535=TRUE), 0, IF($P1535=TRUE, (J1535 / $R1535) * 100 * ($S1535 / 100)-J1535, ))), )</f>
        <v/>
      </c>
      <c r="AD1535" s="32" t="str">
        <f t="shared" si="1539"/>
        <v/>
      </c>
      <c r="AE1535" s="32" t="str">
        <f t="shared" si="1539"/>
        <v/>
      </c>
      <c r="AF1535" s="32" t="str">
        <f t="shared" si="1539"/>
        <v/>
      </c>
      <c r="AG1535" s="32" t="str">
        <f t="shared" si="1539"/>
        <v/>
      </c>
      <c r="AH1535" s="33"/>
    </row>
    <row r="1536" hidden="1" outlineLevel="3">
      <c r="A1536" s="16" t="b">
        <v>0</v>
      </c>
      <c r="B1536" s="17"/>
      <c r="C1536" s="18"/>
      <c r="D1536" s="19"/>
      <c r="E1536" s="20"/>
      <c r="F1536" s="21"/>
      <c r="G1536" s="22"/>
      <c r="H1536" s="22"/>
      <c r="I1536" s="23"/>
      <c r="J1536" s="22"/>
      <c r="K1536" s="23"/>
      <c r="L1536" s="22"/>
      <c r="M1536" s="23"/>
      <c r="N1536" s="23"/>
      <c r="O1536" s="24"/>
      <c r="P1536" s="16" t="b">
        <v>0</v>
      </c>
      <c r="Q1536" s="24"/>
      <c r="R1536" s="25"/>
      <c r="S1536" s="26"/>
      <c r="T1536" s="27"/>
      <c r="U1536" s="24"/>
      <c r="V1536" s="38" t="s">
        <v>29</v>
      </c>
      <c r="W1536" s="29" t="s">
        <v>22</v>
      </c>
      <c r="X1536" s="37" t="s">
        <v>717</v>
      </c>
      <c r="Y1536" s="31"/>
      <c r="Z1536" s="26" t="str">
        <f t="shared" si="5"/>
        <v/>
      </c>
      <c r="AA1536" s="26" t="str">
        <f t="shared" si="6"/>
        <v/>
      </c>
      <c r="AB1536" s="32" t="str">
        <f t="shared" si="7"/>
        <v/>
      </c>
      <c r="AC1536" s="32" t="str">
        <f t="shared" ref="AC1536:AG1536" si="1540">IF(J1536&lt;&gt;"", IF(AND($P1536=FALSE, $A1536=FALSE), -J1536, IF(AND($P1536=FALSE, $A1536=TRUE), 0, IF($P1536=TRUE, (J1536 / $R1536) * 100 * ($S1536 / 100)-J1536, ))), )</f>
        <v/>
      </c>
      <c r="AD1536" s="32" t="str">
        <f t="shared" si="1540"/>
        <v/>
      </c>
      <c r="AE1536" s="32" t="str">
        <f t="shared" si="1540"/>
        <v/>
      </c>
      <c r="AF1536" s="32" t="str">
        <f t="shared" si="1540"/>
        <v/>
      </c>
      <c r="AG1536" s="32" t="str">
        <f t="shared" si="1540"/>
        <v/>
      </c>
      <c r="AH1536" s="33"/>
    </row>
    <row r="1537" hidden="1" outlineLevel="3">
      <c r="A1537" s="16" t="b">
        <v>0</v>
      </c>
      <c r="B1537" s="17"/>
      <c r="C1537" s="18"/>
      <c r="D1537" s="19"/>
      <c r="E1537" s="20"/>
      <c r="F1537" s="21"/>
      <c r="G1537" s="22"/>
      <c r="H1537" s="22"/>
      <c r="I1537" s="23"/>
      <c r="J1537" s="22"/>
      <c r="K1537" s="23"/>
      <c r="L1537" s="22"/>
      <c r="M1537" s="23"/>
      <c r="N1537" s="23"/>
      <c r="O1537" s="24"/>
      <c r="P1537" s="16" t="b">
        <v>0</v>
      </c>
      <c r="Q1537" s="24"/>
      <c r="R1537" s="25"/>
      <c r="S1537" s="26"/>
      <c r="T1537" s="27"/>
      <c r="U1537" s="24"/>
      <c r="V1537" s="38" t="s">
        <v>29</v>
      </c>
      <c r="W1537" s="29" t="s">
        <v>22</v>
      </c>
      <c r="X1537" s="37" t="s">
        <v>1012</v>
      </c>
      <c r="Y1537" s="31"/>
      <c r="Z1537" s="26" t="str">
        <f t="shared" si="5"/>
        <v/>
      </c>
      <c r="AA1537" s="26" t="str">
        <f t="shared" si="6"/>
        <v/>
      </c>
      <c r="AB1537" s="32" t="str">
        <f t="shared" si="7"/>
        <v/>
      </c>
      <c r="AC1537" s="32" t="str">
        <f t="shared" ref="AC1537:AG1537" si="1541">IF(J1537&lt;&gt;"", IF(AND($P1537=FALSE, $A1537=FALSE), -J1537, IF(AND($P1537=FALSE, $A1537=TRUE), 0, IF($P1537=TRUE, (J1537 / $R1537) * 100 * ($S1537 / 100)-J1537, ))), )</f>
        <v/>
      </c>
      <c r="AD1537" s="32" t="str">
        <f t="shared" si="1541"/>
        <v/>
      </c>
      <c r="AE1537" s="32" t="str">
        <f t="shared" si="1541"/>
        <v/>
      </c>
      <c r="AF1537" s="32" t="str">
        <f t="shared" si="1541"/>
        <v/>
      </c>
      <c r="AG1537" s="32" t="str">
        <f t="shared" si="1541"/>
        <v/>
      </c>
      <c r="AH1537" s="33"/>
    </row>
    <row r="1538" hidden="1" outlineLevel="3">
      <c r="A1538" s="16" t="b">
        <v>0</v>
      </c>
      <c r="B1538" s="17"/>
      <c r="C1538" s="18"/>
      <c r="D1538" s="19"/>
      <c r="E1538" s="20"/>
      <c r="F1538" s="21"/>
      <c r="G1538" s="22"/>
      <c r="H1538" s="22"/>
      <c r="I1538" s="23"/>
      <c r="J1538" s="22"/>
      <c r="K1538" s="23"/>
      <c r="L1538" s="22"/>
      <c r="M1538" s="23"/>
      <c r="N1538" s="23"/>
      <c r="O1538" s="24"/>
      <c r="P1538" s="16" t="b">
        <v>0</v>
      </c>
      <c r="Q1538" s="24"/>
      <c r="R1538" s="25"/>
      <c r="S1538" s="26"/>
      <c r="T1538" s="27"/>
      <c r="U1538" s="24"/>
      <c r="V1538" s="38" t="s">
        <v>29</v>
      </c>
      <c r="W1538" s="29" t="s">
        <v>22</v>
      </c>
      <c r="X1538" s="37" t="s">
        <v>1013</v>
      </c>
      <c r="Y1538" s="31"/>
      <c r="Z1538" s="26" t="str">
        <f t="shared" si="5"/>
        <v/>
      </c>
      <c r="AA1538" s="26" t="str">
        <f t="shared" si="6"/>
        <v/>
      </c>
      <c r="AB1538" s="32" t="str">
        <f t="shared" si="7"/>
        <v/>
      </c>
      <c r="AC1538" s="32" t="str">
        <f t="shared" ref="AC1538:AG1538" si="1542">IF(J1538&lt;&gt;"", IF(AND($P1538=FALSE, $A1538=FALSE), -J1538, IF(AND($P1538=FALSE, $A1538=TRUE), 0, IF($P1538=TRUE, (J1538 / $R1538) * 100 * ($S1538 / 100)-J1538, ))), )</f>
        <v/>
      </c>
      <c r="AD1538" s="32" t="str">
        <f t="shared" si="1542"/>
        <v/>
      </c>
      <c r="AE1538" s="32" t="str">
        <f t="shared" si="1542"/>
        <v/>
      </c>
      <c r="AF1538" s="32" t="str">
        <f t="shared" si="1542"/>
        <v/>
      </c>
      <c r="AG1538" s="32" t="str">
        <f t="shared" si="1542"/>
        <v/>
      </c>
      <c r="AH1538" s="33"/>
    </row>
    <row r="1539" hidden="1" outlineLevel="2">
      <c r="A1539" s="16" t="b">
        <v>0</v>
      </c>
      <c r="B1539" s="17"/>
      <c r="C1539" s="18"/>
      <c r="D1539" s="42">
        <v>45295.0</v>
      </c>
      <c r="E1539" s="80" t="s">
        <v>60</v>
      </c>
      <c r="F1539" s="53" t="s">
        <v>1003</v>
      </c>
      <c r="G1539" s="45">
        <v>2.0</v>
      </c>
      <c r="H1539" s="45">
        <v>1.0</v>
      </c>
      <c r="I1539" s="45">
        <v>2.0</v>
      </c>
      <c r="J1539" s="45"/>
      <c r="K1539" s="79"/>
      <c r="L1539" s="45"/>
      <c r="M1539" s="46"/>
      <c r="N1539" s="46"/>
      <c r="O1539" s="47"/>
      <c r="P1539" s="16" t="b">
        <v>0</v>
      </c>
      <c r="Q1539" s="24"/>
      <c r="R1539" s="48">
        <v>5.0</v>
      </c>
      <c r="S1539" s="45">
        <v>11.11</v>
      </c>
      <c r="T1539" s="49" t="s">
        <v>231</v>
      </c>
      <c r="U1539" s="47"/>
      <c r="V1539" s="28"/>
      <c r="W1539" s="29"/>
      <c r="X1539" s="30"/>
      <c r="Y1539" s="31"/>
      <c r="Z1539" s="26">
        <f t="shared" si="5"/>
        <v>-2</v>
      </c>
      <c r="AA1539" s="26">
        <f t="shared" si="6"/>
        <v>-2</v>
      </c>
      <c r="AB1539" s="32">
        <f t="shared" si="7"/>
        <v>-1</v>
      </c>
      <c r="AC1539" s="32" t="str">
        <f t="shared" ref="AC1539:AG1539" si="1543">IF(J1539&lt;&gt;"", IF(AND($P1539=FALSE, $A1539=FALSE), -J1539, IF(AND($P1539=FALSE, $A1539=TRUE), 0, IF($P1539=TRUE, (J1539 / $R1539) * 100 * ($S1539 / 100)-J1539, ))), )</f>
        <v/>
      </c>
      <c r="AD1539" s="32" t="str">
        <f t="shared" si="1543"/>
        <v/>
      </c>
      <c r="AE1539" s="32" t="str">
        <f t="shared" si="1543"/>
        <v/>
      </c>
      <c r="AF1539" s="32" t="str">
        <f t="shared" si="1543"/>
        <v/>
      </c>
      <c r="AG1539" s="32" t="str">
        <f t="shared" si="1543"/>
        <v/>
      </c>
      <c r="AH1539" s="33"/>
    </row>
    <row r="1540" hidden="1" outlineLevel="3">
      <c r="A1540" s="16" t="b">
        <v>0</v>
      </c>
      <c r="B1540" s="17"/>
      <c r="C1540" s="18"/>
      <c r="D1540" s="19"/>
      <c r="E1540" s="20"/>
      <c r="F1540" s="21"/>
      <c r="G1540" s="22"/>
      <c r="H1540" s="22"/>
      <c r="I1540" s="23"/>
      <c r="J1540" s="22"/>
      <c r="K1540" s="23"/>
      <c r="L1540" s="22"/>
      <c r="M1540" s="23"/>
      <c r="N1540" s="23"/>
      <c r="O1540" s="24"/>
      <c r="P1540" s="16" t="b">
        <v>0</v>
      </c>
      <c r="Q1540" s="24"/>
      <c r="R1540" s="25"/>
      <c r="S1540" s="26"/>
      <c r="T1540" s="27"/>
      <c r="U1540" s="24"/>
      <c r="V1540" s="28" t="s">
        <v>32</v>
      </c>
      <c r="W1540" s="29" t="s">
        <v>22</v>
      </c>
      <c r="X1540" s="37" t="s">
        <v>216</v>
      </c>
      <c r="Y1540" s="31"/>
      <c r="Z1540" s="26" t="str">
        <f t="shared" si="5"/>
        <v/>
      </c>
      <c r="AA1540" s="26" t="str">
        <f t="shared" si="6"/>
        <v/>
      </c>
      <c r="AB1540" s="32" t="str">
        <f t="shared" si="7"/>
        <v/>
      </c>
      <c r="AC1540" s="32" t="str">
        <f t="shared" ref="AC1540:AG1540" si="1544">IF(J1540&lt;&gt;"", IF(AND($P1540=FALSE, $A1540=FALSE), -J1540, IF(AND($P1540=FALSE, $A1540=TRUE), 0, IF($P1540=TRUE, (J1540 / $R1540) * 100 * ($S1540 / 100)-J1540, ))), )</f>
        <v/>
      </c>
      <c r="AD1540" s="32" t="str">
        <f t="shared" si="1544"/>
        <v/>
      </c>
      <c r="AE1540" s="32" t="str">
        <f t="shared" si="1544"/>
        <v/>
      </c>
      <c r="AF1540" s="32" t="str">
        <f t="shared" si="1544"/>
        <v/>
      </c>
      <c r="AG1540" s="32" t="str">
        <f t="shared" si="1544"/>
        <v/>
      </c>
      <c r="AH1540" s="33"/>
    </row>
    <row r="1541" hidden="1" outlineLevel="3">
      <c r="A1541" s="16" t="b">
        <v>0</v>
      </c>
      <c r="B1541" s="17"/>
      <c r="C1541" s="18"/>
      <c r="D1541" s="19"/>
      <c r="E1541" s="20"/>
      <c r="F1541" s="21"/>
      <c r="G1541" s="22"/>
      <c r="H1541" s="22"/>
      <c r="I1541" s="23"/>
      <c r="J1541" s="22"/>
      <c r="K1541" s="23"/>
      <c r="L1541" s="22"/>
      <c r="M1541" s="23"/>
      <c r="N1541" s="23"/>
      <c r="O1541" s="24"/>
      <c r="P1541" s="16" t="b">
        <v>0</v>
      </c>
      <c r="Q1541" s="24"/>
      <c r="R1541" s="25"/>
      <c r="S1541" s="26"/>
      <c r="T1541" s="27"/>
      <c r="U1541" s="24"/>
      <c r="V1541" s="38" t="s">
        <v>29</v>
      </c>
      <c r="W1541" s="29" t="s">
        <v>22</v>
      </c>
      <c r="X1541" s="37" t="s">
        <v>1014</v>
      </c>
      <c r="Y1541" s="31"/>
      <c r="Z1541" s="26" t="str">
        <f t="shared" si="5"/>
        <v/>
      </c>
      <c r="AA1541" s="26" t="str">
        <f t="shared" si="6"/>
        <v/>
      </c>
      <c r="AB1541" s="32" t="str">
        <f t="shared" si="7"/>
        <v/>
      </c>
      <c r="AC1541" s="32" t="str">
        <f t="shared" ref="AC1541:AG1541" si="1545">IF(J1541&lt;&gt;"", IF(AND($P1541=FALSE, $A1541=FALSE), -J1541, IF(AND($P1541=FALSE, $A1541=TRUE), 0, IF($P1541=TRUE, (J1541 / $R1541) * 100 * ($S1541 / 100)-J1541, ))), )</f>
        <v/>
      </c>
      <c r="AD1541" s="32" t="str">
        <f t="shared" si="1545"/>
        <v/>
      </c>
      <c r="AE1541" s="32" t="str">
        <f t="shared" si="1545"/>
        <v/>
      </c>
      <c r="AF1541" s="32" t="str">
        <f t="shared" si="1545"/>
        <v/>
      </c>
      <c r="AG1541" s="32" t="str">
        <f t="shared" si="1545"/>
        <v/>
      </c>
      <c r="AH1541" s="33"/>
    </row>
    <row r="1542" hidden="1" outlineLevel="3">
      <c r="A1542" s="16" t="b">
        <v>0</v>
      </c>
      <c r="B1542" s="17"/>
      <c r="C1542" s="18"/>
      <c r="D1542" s="19"/>
      <c r="E1542" s="20"/>
      <c r="F1542" s="21"/>
      <c r="G1542" s="22"/>
      <c r="H1542" s="22"/>
      <c r="I1542" s="23"/>
      <c r="J1542" s="22"/>
      <c r="K1542" s="23"/>
      <c r="L1542" s="22"/>
      <c r="M1542" s="23"/>
      <c r="N1542" s="23"/>
      <c r="O1542" s="24"/>
      <c r="P1542" s="16" t="b">
        <v>0</v>
      </c>
      <c r="Q1542" s="24"/>
      <c r="R1542" s="25"/>
      <c r="S1542" s="26"/>
      <c r="T1542" s="27"/>
      <c r="U1542" s="24"/>
      <c r="V1542" s="38" t="s">
        <v>29</v>
      </c>
      <c r="W1542" s="29" t="s">
        <v>22</v>
      </c>
      <c r="X1542" s="37" t="s">
        <v>1015</v>
      </c>
      <c r="Y1542" s="31"/>
      <c r="Z1542" s="26" t="str">
        <f t="shared" si="5"/>
        <v/>
      </c>
      <c r="AA1542" s="26" t="str">
        <f t="shared" si="6"/>
        <v/>
      </c>
      <c r="AB1542" s="32" t="str">
        <f t="shared" si="7"/>
        <v/>
      </c>
      <c r="AC1542" s="32" t="str">
        <f t="shared" ref="AC1542:AG1542" si="1546">IF(J1542&lt;&gt;"", IF(AND($P1542=FALSE, $A1542=FALSE), -J1542, IF(AND($P1542=FALSE, $A1542=TRUE), 0, IF($P1542=TRUE, (J1542 / $R1542) * 100 * ($S1542 / 100)-J1542, ))), )</f>
        <v/>
      </c>
      <c r="AD1542" s="32" t="str">
        <f t="shared" si="1546"/>
        <v/>
      </c>
      <c r="AE1542" s="32" t="str">
        <f t="shared" si="1546"/>
        <v/>
      </c>
      <c r="AF1542" s="32" t="str">
        <f t="shared" si="1546"/>
        <v/>
      </c>
      <c r="AG1542" s="32" t="str">
        <f t="shared" si="1546"/>
        <v/>
      </c>
      <c r="AH1542" s="33"/>
    </row>
    <row r="1543" hidden="1" outlineLevel="3">
      <c r="A1543" s="16" t="b">
        <v>0</v>
      </c>
      <c r="B1543" s="17"/>
      <c r="C1543" s="18"/>
      <c r="D1543" s="19"/>
      <c r="E1543" s="20"/>
      <c r="F1543" s="21"/>
      <c r="G1543" s="22"/>
      <c r="H1543" s="22"/>
      <c r="I1543" s="23"/>
      <c r="J1543" s="22"/>
      <c r="K1543" s="23"/>
      <c r="L1543" s="22"/>
      <c r="M1543" s="23"/>
      <c r="N1543" s="23"/>
      <c r="O1543" s="24"/>
      <c r="P1543" s="16" t="b">
        <v>0</v>
      </c>
      <c r="Q1543" s="24"/>
      <c r="R1543" s="25"/>
      <c r="S1543" s="26"/>
      <c r="T1543" s="27"/>
      <c r="U1543" s="24"/>
      <c r="V1543" s="38" t="s">
        <v>29</v>
      </c>
      <c r="W1543" s="29" t="s">
        <v>22</v>
      </c>
      <c r="X1543" s="37" t="s">
        <v>1016</v>
      </c>
      <c r="Y1543" s="31"/>
      <c r="Z1543" s="26" t="str">
        <f t="shared" si="5"/>
        <v/>
      </c>
      <c r="AA1543" s="26" t="str">
        <f t="shared" si="6"/>
        <v/>
      </c>
      <c r="AB1543" s="32" t="str">
        <f t="shared" si="7"/>
        <v/>
      </c>
      <c r="AC1543" s="32" t="str">
        <f t="shared" ref="AC1543:AG1543" si="1547">IF(J1543&lt;&gt;"", IF(AND($P1543=FALSE, $A1543=FALSE), -J1543, IF(AND($P1543=FALSE, $A1543=TRUE), 0, IF($P1543=TRUE, (J1543 / $R1543) * 100 * ($S1543 / 100)-J1543, ))), )</f>
        <v/>
      </c>
      <c r="AD1543" s="32" t="str">
        <f t="shared" si="1547"/>
        <v/>
      </c>
      <c r="AE1543" s="32" t="str">
        <f t="shared" si="1547"/>
        <v/>
      </c>
      <c r="AF1543" s="32" t="str">
        <f t="shared" si="1547"/>
        <v/>
      </c>
      <c r="AG1543" s="32" t="str">
        <f t="shared" si="1547"/>
        <v/>
      </c>
      <c r="AH1543" s="33"/>
    </row>
    <row r="1544" hidden="1" outlineLevel="1" collapsed="1">
      <c r="A1544" s="16" t="b">
        <v>0</v>
      </c>
      <c r="B1544" s="17"/>
      <c r="C1544" s="18"/>
      <c r="D1544" s="42">
        <v>45296.0</v>
      </c>
      <c r="E1544" s="80" t="s">
        <v>60</v>
      </c>
      <c r="F1544" s="53" t="s">
        <v>1003</v>
      </c>
      <c r="G1544" s="45">
        <v>2.0</v>
      </c>
      <c r="H1544" s="45">
        <v>1.0</v>
      </c>
      <c r="I1544" s="45">
        <v>2.0</v>
      </c>
      <c r="J1544" s="45"/>
      <c r="K1544" s="79"/>
      <c r="L1544" s="45"/>
      <c r="M1544" s="46"/>
      <c r="N1544" s="46"/>
      <c r="O1544" s="47"/>
      <c r="P1544" s="16" t="b">
        <v>1</v>
      </c>
      <c r="Q1544" s="24"/>
      <c r="R1544" s="48">
        <v>5.0</v>
      </c>
      <c r="S1544" s="45">
        <v>12.59</v>
      </c>
      <c r="T1544" s="49" t="s">
        <v>674</v>
      </c>
      <c r="U1544" s="47"/>
      <c r="V1544" s="28"/>
      <c r="W1544" s="29"/>
      <c r="X1544" s="30"/>
      <c r="Y1544" s="31"/>
      <c r="Z1544" s="26">
        <f t="shared" si="5"/>
        <v>3.036</v>
      </c>
      <c r="AA1544" s="26">
        <f t="shared" si="6"/>
        <v>3.036</v>
      </c>
      <c r="AB1544" s="32">
        <f t="shared" si="7"/>
        <v>1.518</v>
      </c>
      <c r="AC1544" s="32" t="str">
        <f t="shared" ref="AC1544:AG1544" si="1548">IF(J1544&lt;&gt;"", IF(AND($P1544=FALSE, $A1544=FALSE), -J1544, IF(AND($P1544=FALSE, $A1544=TRUE), 0, IF($P1544=TRUE, (J1544 / $R1544) * 100 * ($S1544 / 100)-J1544, ))), )</f>
        <v/>
      </c>
      <c r="AD1544" s="32" t="str">
        <f t="shared" si="1548"/>
        <v/>
      </c>
      <c r="AE1544" s="32" t="str">
        <f t="shared" si="1548"/>
        <v/>
      </c>
      <c r="AF1544" s="32" t="str">
        <f t="shared" si="1548"/>
        <v/>
      </c>
      <c r="AG1544" s="32" t="str">
        <f t="shared" si="1548"/>
        <v/>
      </c>
      <c r="AH1544" s="33"/>
    </row>
    <row r="1545" hidden="1" outlineLevel="3">
      <c r="A1545" s="16" t="b">
        <v>0</v>
      </c>
      <c r="B1545" s="17"/>
      <c r="C1545" s="18"/>
      <c r="D1545" s="19"/>
      <c r="E1545" s="20"/>
      <c r="F1545" s="21"/>
      <c r="G1545" s="22"/>
      <c r="H1545" s="22"/>
      <c r="I1545" s="23"/>
      <c r="J1545" s="22"/>
      <c r="K1545" s="23"/>
      <c r="L1545" s="22"/>
      <c r="M1545" s="23"/>
      <c r="N1545" s="23"/>
      <c r="O1545" s="24"/>
      <c r="P1545" s="16" t="b">
        <v>0</v>
      </c>
      <c r="Q1545" s="24"/>
      <c r="R1545" s="25"/>
      <c r="S1545" s="26"/>
      <c r="T1545" s="27"/>
      <c r="U1545" s="24"/>
      <c r="V1545" s="66" t="s">
        <v>29</v>
      </c>
      <c r="W1545" s="29" t="s">
        <v>22</v>
      </c>
      <c r="X1545" s="37" t="s">
        <v>1017</v>
      </c>
      <c r="Y1545" s="31"/>
      <c r="Z1545" s="26" t="str">
        <f t="shared" si="5"/>
        <v/>
      </c>
      <c r="AA1545" s="26" t="str">
        <f t="shared" si="6"/>
        <v/>
      </c>
      <c r="AB1545" s="32" t="str">
        <f t="shared" si="7"/>
        <v/>
      </c>
      <c r="AC1545" s="32" t="str">
        <f t="shared" ref="AC1545:AG1545" si="1549">IF(J1545&lt;&gt;"", IF(AND($P1545=FALSE, $A1545=FALSE), -J1545, IF(AND($P1545=FALSE, $A1545=TRUE), 0, IF($P1545=TRUE, (J1545 / $R1545) * 100 * ($S1545 / 100)-J1545, ))), )</f>
        <v/>
      </c>
      <c r="AD1545" s="32" t="str">
        <f t="shared" si="1549"/>
        <v/>
      </c>
      <c r="AE1545" s="32" t="str">
        <f t="shared" si="1549"/>
        <v/>
      </c>
      <c r="AF1545" s="32" t="str">
        <f t="shared" si="1549"/>
        <v/>
      </c>
      <c r="AG1545" s="32" t="str">
        <f t="shared" si="1549"/>
        <v/>
      </c>
      <c r="AH1545" s="33"/>
    </row>
    <row r="1546" hidden="1" outlineLevel="3">
      <c r="A1546" s="16" t="b">
        <v>0</v>
      </c>
      <c r="B1546" s="17"/>
      <c r="C1546" s="18"/>
      <c r="D1546" s="19"/>
      <c r="E1546" s="20"/>
      <c r="F1546" s="21"/>
      <c r="G1546" s="22"/>
      <c r="H1546" s="22"/>
      <c r="I1546" s="23"/>
      <c r="J1546" s="22"/>
      <c r="K1546" s="23"/>
      <c r="L1546" s="22"/>
      <c r="M1546" s="23"/>
      <c r="N1546" s="23"/>
      <c r="O1546" s="24"/>
      <c r="P1546" s="16" t="b">
        <v>0</v>
      </c>
      <c r="Q1546" s="24"/>
      <c r="R1546" s="25"/>
      <c r="S1546" s="26"/>
      <c r="T1546" s="27"/>
      <c r="U1546" s="24"/>
      <c r="V1546" s="66" t="s">
        <v>29</v>
      </c>
      <c r="W1546" s="29" t="s">
        <v>22</v>
      </c>
      <c r="X1546" s="37" t="s">
        <v>1018</v>
      </c>
      <c r="Y1546" s="31"/>
      <c r="Z1546" s="26" t="str">
        <f t="shared" si="5"/>
        <v/>
      </c>
      <c r="AA1546" s="26" t="str">
        <f t="shared" si="6"/>
        <v/>
      </c>
      <c r="AB1546" s="32" t="str">
        <f t="shared" si="7"/>
        <v/>
      </c>
      <c r="AC1546" s="32" t="str">
        <f t="shared" ref="AC1546:AG1546" si="1550">IF(J1546&lt;&gt;"", IF(AND($P1546=FALSE, $A1546=FALSE), -J1546, IF(AND($P1546=FALSE, $A1546=TRUE), 0, IF($P1546=TRUE, (J1546 / $R1546) * 100 * ($S1546 / 100)-J1546, ))), )</f>
        <v/>
      </c>
      <c r="AD1546" s="32" t="str">
        <f t="shared" si="1550"/>
        <v/>
      </c>
      <c r="AE1546" s="32" t="str">
        <f t="shared" si="1550"/>
        <v/>
      </c>
      <c r="AF1546" s="32" t="str">
        <f t="shared" si="1550"/>
        <v/>
      </c>
      <c r="AG1546" s="32" t="str">
        <f t="shared" si="1550"/>
        <v/>
      </c>
      <c r="AH1546" s="33"/>
    </row>
    <row r="1547" hidden="1" outlineLevel="3">
      <c r="A1547" s="16" t="b">
        <v>0</v>
      </c>
      <c r="B1547" s="17"/>
      <c r="C1547" s="18"/>
      <c r="D1547" s="19"/>
      <c r="E1547" s="20"/>
      <c r="F1547" s="21"/>
      <c r="G1547" s="22"/>
      <c r="H1547" s="22"/>
      <c r="I1547" s="23"/>
      <c r="J1547" s="22"/>
      <c r="K1547" s="23"/>
      <c r="L1547" s="22"/>
      <c r="M1547" s="23"/>
      <c r="N1547" s="23"/>
      <c r="O1547" s="24"/>
      <c r="P1547" s="16" t="b">
        <v>0</v>
      </c>
      <c r="Q1547" s="24"/>
      <c r="R1547" s="25"/>
      <c r="S1547" s="26"/>
      <c r="T1547" s="27"/>
      <c r="U1547" s="24"/>
      <c r="V1547" s="66" t="s">
        <v>29</v>
      </c>
      <c r="W1547" s="29" t="s">
        <v>22</v>
      </c>
      <c r="X1547" s="37" t="s">
        <v>1019</v>
      </c>
      <c r="Y1547" s="31"/>
      <c r="Z1547" s="26" t="str">
        <f t="shared" si="5"/>
        <v/>
      </c>
      <c r="AA1547" s="26" t="str">
        <f t="shared" si="6"/>
        <v/>
      </c>
      <c r="AB1547" s="32" t="str">
        <f t="shared" si="7"/>
        <v/>
      </c>
      <c r="AC1547" s="32" t="str">
        <f t="shared" ref="AC1547:AG1547" si="1551">IF(J1547&lt;&gt;"", IF(AND($P1547=FALSE, $A1547=FALSE), -J1547, IF(AND($P1547=FALSE, $A1547=TRUE), 0, IF($P1547=TRUE, (J1547 / $R1547) * 100 * ($S1547 / 100)-J1547, ))), )</f>
        <v/>
      </c>
      <c r="AD1547" s="32" t="str">
        <f t="shared" si="1551"/>
        <v/>
      </c>
      <c r="AE1547" s="32" t="str">
        <f t="shared" si="1551"/>
        <v/>
      </c>
      <c r="AF1547" s="32" t="str">
        <f t="shared" si="1551"/>
        <v/>
      </c>
      <c r="AG1547" s="32" t="str">
        <f t="shared" si="1551"/>
        <v/>
      </c>
      <c r="AH1547" s="33"/>
    </row>
    <row r="1548" hidden="1" outlineLevel="3">
      <c r="A1548" s="16" t="b">
        <v>0</v>
      </c>
      <c r="B1548" s="17"/>
      <c r="C1548" s="18"/>
      <c r="D1548" s="19"/>
      <c r="E1548" s="20"/>
      <c r="F1548" s="21"/>
      <c r="G1548" s="22"/>
      <c r="H1548" s="22"/>
      <c r="I1548" s="23"/>
      <c r="J1548" s="22"/>
      <c r="K1548" s="23"/>
      <c r="L1548" s="22"/>
      <c r="M1548" s="23"/>
      <c r="N1548" s="23"/>
      <c r="O1548" s="24"/>
      <c r="P1548" s="16" t="b">
        <v>0</v>
      </c>
      <c r="Q1548" s="24"/>
      <c r="R1548" s="25"/>
      <c r="S1548" s="26"/>
      <c r="T1548" s="27"/>
      <c r="U1548" s="24"/>
      <c r="V1548" s="66" t="s">
        <v>29</v>
      </c>
      <c r="W1548" s="29" t="s">
        <v>22</v>
      </c>
      <c r="X1548" s="37" t="s">
        <v>1020</v>
      </c>
      <c r="Y1548" s="31"/>
      <c r="Z1548" s="26" t="str">
        <f t="shared" si="5"/>
        <v/>
      </c>
      <c r="AA1548" s="26" t="str">
        <f t="shared" si="6"/>
        <v/>
      </c>
      <c r="AB1548" s="32" t="str">
        <f t="shared" si="7"/>
        <v/>
      </c>
      <c r="AC1548" s="32" t="str">
        <f t="shared" ref="AC1548:AG1548" si="1552">IF(J1548&lt;&gt;"", IF(AND($P1548=FALSE, $A1548=FALSE), -J1548, IF(AND($P1548=FALSE, $A1548=TRUE), 0, IF($P1548=TRUE, (J1548 / $R1548) * 100 * ($S1548 / 100)-J1548, ))), )</f>
        <v/>
      </c>
      <c r="AD1548" s="32" t="str">
        <f t="shared" si="1552"/>
        <v/>
      </c>
      <c r="AE1548" s="32" t="str">
        <f t="shared" si="1552"/>
        <v/>
      </c>
      <c r="AF1548" s="32" t="str">
        <f t="shared" si="1552"/>
        <v/>
      </c>
      <c r="AG1548" s="32" t="str">
        <f t="shared" si="1552"/>
        <v/>
      </c>
      <c r="AH1548" s="33"/>
    </row>
    <row r="1549" hidden="1" outlineLevel="2" collapsed="1">
      <c r="A1549" s="16" t="b">
        <v>0</v>
      </c>
      <c r="B1549" s="17"/>
      <c r="C1549" s="18"/>
      <c r="D1549" s="42">
        <v>45296.0</v>
      </c>
      <c r="E1549" s="80" t="s">
        <v>60</v>
      </c>
      <c r="F1549" s="53" t="s">
        <v>1003</v>
      </c>
      <c r="G1549" s="45">
        <v>2.0</v>
      </c>
      <c r="H1549" s="45">
        <v>1.0</v>
      </c>
      <c r="I1549" s="45">
        <v>2.0</v>
      </c>
      <c r="J1549" s="45"/>
      <c r="K1549" s="79"/>
      <c r="L1549" s="45"/>
      <c r="M1549" s="46"/>
      <c r="N1549" s="46"/>
      <c r="O1549" s="47"/>
      <c r="P1549" s="16" t="b">
        <v>0</v>
      </c>
      <c r="Q1549" s="24"/>
      <c r="R1549" s="48">
        <v>5.0</v>
      </c>
      <c r="S1549" s="45">
        <v>12.3</v>
      </c>
      <c r="T1549" s="49" t="s">
        <v>214</v>
      </c>
      <c r="U1549" s="47"/>
      <c r="V1549" s="28"/>
      <c r="W1549" s="29"/>
      <c r="X1549" s="30"/>
      <c r="Y1549" s="31"/>
      <c r="Z1549" s="26">
        <f t="shared" si="5"/>
        <v>-2</v>
      </c>
      <c r="AA1549" s="26">
        <f t="shared" si="6"/>
        <v>-2</v>
      </c>
      <c r="AB1549" s="32">
        <f t="shared" si="7"/>
        <v>-1</v>
      </c>
      <c r="AC1549" s="32" t="str">
        <f t="shared" ref="AC1549:AG1549" si="1553">IF(J1549&lt;&gt;"", IF(AND($P1549=FALSE, $A1549=FALSE), -J1549, IF(AND($P1549=FALSE, $A1549=TRUE), 0, IF($P1549=TRUE, (J1549 / $R1549) * 100 * ($S1549 / 100)-J1549, ))), )</f>
        <v/>
      </c>
      <c r="AD1549" s="32" t="str">
        <f t="shared" si="1553"/>
        <v/>
      </c>
      <c r="AE1549" s="32" t="str">
        <f t="shared" si="1553"/>
        <v/>
      </c>
      <c r="AF1549" s="32" t="str">
        <f t="shared" si="1553"/>
        <v/>
      </c>
      <c r="AG1549" s="32" t="str">
        <f t="shared" si="1553"/>
        <v/>
      </c>
      <c r="AH1549" s="33"/>
    </row>
    <row r="1550" hidden="1" outlineLevel="3">
      <c r="A1550" s="16" t="b">
        <v>0</v>
      </c>
      <c r="B1550" s="17"/>
      <c r="C1550" s="18"/>
      <c r="D1550" s="19"/>
      <c r="E1550" s="20"/>
      <c r="F1550" s="21"/>
      <c r="G1550" s="22"/>
      <c r="H1550" s="22"/>
      <c r="I1550" s="23"/>
      <c r="J1550" s="22"/>
      <c r="K1550" s="23"/>
      <c r="L1550" s="22"/>
      <c r="M1550" s="23"/>
      <c r="N1550" s="23"/>
      <c r="O1550" s="24"/>
      <c r="P1550" s="16" t="b">
        <v>0</v>
      </c>
      <c r="Q1550" s="24"/>
      <c r="R1550" s="25"/>
      <c r="S1550" s="26"/>
      <c r="T1550" s="27"/>
      <c r="U1550" s="24"/>
      <c r="V1550" s="66" t="s">
        <v>358</v>
      </c>
      <c r="W1550" s="29" t="s">
        <v>22</v>
      </c>
      <c r="X1550" s="37" t="s">
        <v>1021</v>
      </c>
      <c r="Y1550" s="31"/>
      <c r="Z1550" s="26" t="str">
        <f t="shared" si="5"/>
        <v/>
      </c>
      <c r="AA1550" s="26" t="str">
        <f t="shared" si="6"/>
        <v/>
      </c>
      <c r="AB1550" s="32" t="str">
        <f t="shared" si="7"/>
        <v/>
      </c>
      <c r="AC1550" s="32" t="str">
        <f t="shared" ref="AC1550:AG1550" si="1554">IF(J1550&lt;&gt;"", IF(AND($P1550=FALSE, $A1550=FALSE), -J1550, IF(AND($P1550=FALSE, $A1550=TRUE), 0, IF($P1550=TRUE, (J1550 / $R1550) * 100 * ($S1550 / 100)-J1550, ))), )</f>
        <v/>
      </c>
      <c r="AD1550" s="32" t="str">
        <f t="shared" si="1554"/>
        <v/>
      </c>
      <c r="AE1550" s="32" t="str">
        <f t="shared" si="1554"/>
        <v/>
      </c>
      <c r="AF1550" s="32" t="str">
        <f t="shared" si="1554"/>
        <v/>
      </c>
      <c r="AG1550" s="32" t="str">
        <f t="shared" si="1554"/>
        <v/>
      </c>
      <c r="AH1550" s="33"/>
    </row>
    <row r="1551" hidden="1" outlineLevel="3">
      <c r="A1551" s="16" t="b">
        <v>0</v>
      </c>
      <c r="B1551" s="17"/>
      <c r="C1551" s="18"/>
      <c r="D1551" s="19"/>
      <c r="E1551" s="20"/>
      <c r="F1551" s="21"/>
      <c r="G1551" s="22"/>
      <c r="H1551" s="22"/>
      <c r="I1551" s="23"/>
      <c r="J1551" s="22"/>
      <c r="K1551" s="23"/>
      <c r="L1551" s="22"/>
      <c r="M1551" s="23"/>
      <c r="N1551" s="23"/>
      <c r="O1551" s="24"/>
      <c r="P1551" s="16" t="b">
        <v>0</v>
      </c>
      <c r="Q1551" s="24"/>
      <c r="R1551" s="25"/>
      <c r="S1551" s="26"/>
      <c r="T1551" s="27"/>
      <c r="U1551" s="24"/>
      <c r="V1551" s="66" t="s">
        <v>29</v>
      </c>
      <c r="W1551" s="29" t="s">
        <v>22</v>
      </c>
      <c r="X1551" s="37" t="s">
        <v>455</v>
      </c>
      <c r="Y1551" s="31"/>
      <c r="Z1551" s="26" t="str">
        <f t="shared" si="5"/>
        <v/>
      </c>
      <c r="AA1551" s="26" t="str">
        <f t="shared" si="6"/>
        <v/>
      </c>
      <c r="AB1551" s="32" t="str">
        <f t="shared" si="7"/>
        <v/>
      </c>
      <c r="AC1551" s="32" t="str">
        <f t="shared" ref="AC1551:AG1551" si="1555">IF(J1551&lt;&gt;"", IF(AND($P1551=FALSE, $A1551=FALSE), -J1551, IF(AND($P1551=FALSE, $A1551=TRUE), 0, IF($P1551=TRUE, (J1551 / $R1551) * 100 * ($S1551 / 100)-J1551, ))), )</f>
        <v/>
      </c>
      <c r="AD1551" s="32" t="str">
        <f t="shared" si="1555"/>
        <v/>
      </c>
      <c r="AE1551" s="32" t="str">
        <f t="shared" si="1555"/>
        <v/>
      </c>
      <c r="AF1551" s="32" t="str">
        <f t="shared" si="1555"/>
        <v/>
      </c>
      <c r="AG1551" s="32" t="str">
        <f t="shared" si="1555"/>
        <v/>
      </c>
      <c r="AH1551" s="33"/>
    </row>
    <row r="1552" hidden="1" outlineLevel="3">
      <c r="A1552" s="16" t="b">
        <v>0</v>
      </c>
      <c r="B1552" s="17"/>
      <c r="C1552" s="18"/>
      <c r="D1552" s="19"/>
      <c r="E1552" s="20"/>
      <c r="F1552" s="21"/>
      <c r="G1552" s="22"/>
      <c r="H1552" s="22"/>
      <c r="I1552" s="23"/>
      <c r="J1552" s="22"/>
      <c r="K1552" s="23"/>
      <c r="L1552" s="22"/>
      <c r="M1552" s="23"/>
      <c r="N1552" s="23"/>
      <c r="O1552" s="24"/>
      <c r="P1552" s="16" t="b">
        <v>0</v>
      </c>
      <c r="Q1552" s="24"/>
      <c r="R1552" s="25"/>
      <c r="S1552" s="26"/>
      <c r="T1552" s="27"/>
      <c r="U1552" s="24"/>
      <c r="V1552" s="66">
        <v>13.0</v>
      </c>
      <c r="W1552" s="29" t="s">
        <v>22</v>
      </c>
      <c r="X1552" s="37" t="s">
        <v>1022</v>
      </c>
      <c r="Y1552" s="31"/>
      <c r="Z1552" s="26" t="str">
        <f t="shared" si="5"/>
        <v/>
      </c>
      <c r="AA1552" s="26" t="str">
        <f t="shared" si="6"/>
        <v/>
      </c>
      <c r="AB1552" s="32" t="str">
        <f t="shared" si="7"/>
        <v/>
      </c>
      <c r="AC1552" s="32" t="str">
        <f t="shared" ref="AC1552:AG1552" si="1556">IF(J1552&lt;&gt;"", IF(AND($P1552=FALSE, $A1552=FALSE), -J1552, IF(AND($P1552=FALSE, $A1552=TRUE), 0, IF($P1552=TRUE, (J1552 / $R1552) * 100 * ($S1552 / 100)-J1552, ))), )</f>
        <v/>
      </c>
      <c r="AD1552" s="32" t="str">
        <f t="shared" si="1556"/>
        <v/>
      </c>
      <c r="AE1552" s="32" t="str">
        <f t="shared" si="1556"/>
        <v/>
      </c>
      <c r="AF1552" s="32" t="str">
        <f t="shared" si="1556"/>
        <v/>
      </c>
      <c r="AG1552" s="32" t="str">
        <f t="shared" si="1556"/>
        <v/>
      </c>
      <c r="AH1552" s="33"/>
    </row>
    <row r="1553" hidden="1" outlineLevel="2" collapsed="1">
      <c r="A1553" s="16" t="b">
        <v>0</v>
      </c>
      <c r="B1553" s="17"/>
      <c r="C1553" s="18"/>
      <c r="D1553" s="42">
        <v>45296.0</v>
      </c>
      <c r="E1553" s="80" t="s">
        <v>60</v>
      </c>
      <c r="F1553" s="53" t="s">
        <v>1003</v>
      </c>
      <c r="G1553" s="45">
        <v>2.0</v>
      </c>
      <c r="H1553" s="45">
        <v>1.0</v>
      </c>
      <c r="I1553" s="45">
        <v>2.0</v>
      </c>
      <c r="J1553" s="45"/>
      <c r="K1553" s="79"/>
      <c r="L1553" s="45"/>
      <c r="M1553" s="46"/>
      <c r="N1553" s="46"/>
      <c r="O1553" s="47"/>
      <c r="P1553" s="16" t="b">
        <v>0</v>
      </c>
      <c r="Q1553" s="24"/>
      <c r="R1553" s="48">
        <v>5.0</v>
      </c>
      <c r="S1553" s="45">
        <v>10.73</v>
      </c>
      <c r="T1553" s="49" t="s">
        <v>599</v>
      </c>
      <c r="U1553" s="47"/>
      <c r="V1553" s="28"/>
      <c r="W1553" s="29"/>
      <c r="X1553" s="30"/>
      <c r="Y1553" s="31"/>
      <c r="Z1553" s="26">
        <f t="shared" si="5"/>
        <v>-2</v>
      </c>
      <c r="AA1553" s="26">
        <f t="shared" si="6"/>
        <v>-2</v>
      </c>
      <c r="AB1553" s="32">
        <f t="shared" si="7"/>
        <v>-1</v>
      </c>
      <c r="AC1553" s="32" t="str">
        <f t="shared" ref="AC1553:AG1553" si="1557">IF(J1553&lt;&gt;"", IF(AND($P1553=FALSE, $A1553=FALSE), -J1553, IF(AND($P1553=FALSE, $A1553=TRUE), 0, IF($P1553=TRUE, (J1553 / $R1553) * 100 * ($S1553 / 100)-J1553, ))), )</f>
        <v/>
      </c>
      <c r="AD1553" s="32" t="str">
        <f t="shared" si="1557"/>
        <v/>
      </c>
      <c r="AE1553" s="32" t="str">
        <f t="shared" si="1557"/>
        <v/>
      </c>
      <c r="AF1553" s="32" t="str">
        <f t="shared" si="1557"/>
        <v/>
      </c>
      <c r="AG1553" s="32" t="str">
        <f t="shared" si="1557"/>
        <v/>
      </c>
      <c r="AH1553" s="33"/>
    </row>
    <row r="1554" hidden="1" outlineLevel="3">
      <c r="A1554" s="16" t="b">
        <v>0</v>
      </c>
      <c r="B1554" s="17"/>
      <c r="C1554" s="18"/>
      <c r="D1554" s="19"/>
      <c r="E1554" s="20"/>
      <c r="F1554" s="21"/>
      <c r="G1554" s="22"/>
      <c r="H1554" s="22"/>
      <c r="I1554" s="23"/>
      <c r="J1554" s="22"/>
      <c r="K1554" s="23"/>
      <c r="L1554" s="22"/>
      <c r="M1554" s="23"/>
      <c r="N1554" s="23"/>
      <c r="O1554" s="24"/>
      <c r="P1554" s="16" t="b">
        <v>0</v>
      </c>
      <c r="Q1554" s="24"/>
      <c r="R1554" s="25"/>
      <c r="S1554" s="26"/>
      <c r="T1554" s="27"/>
      <c r="U1554" s="24"/>
      <c r="V1554" s="66" t="s">
        <v>29</v>
      </c>
      <c r="W1554" s="29" t="s">
        <v>22</v>
      </c>
      <c r="X1554" s="37" t="s">
        <v>1023</v>
      </c>
      <c r="Y1554" s="31"/>
      <c r="Z1554" s="26" t="str">
        <f t="shared" si="5"/>
        <v/>
      </c>
      <c r="AA1554" s="26" t="str">
        <f t="shared" si="6"/>
        <v/>
      </c>
      <c r="AB1554" s="32" t="str">
        <f t="shared" si="7"/>
        <v/>
      </c>
      <c r="AC1554" s="32" t="str">
        <f t="shared" ref="AC1554:AG1554" si="1558">IF(J1554&lt;&gt;"", IF(AND($P1554=FALSE, $A1554=FALSE), -J1554, IF(AND($P1554=FALSE, $A1554=TRUE), 0, IF($P1554=TRUE, (J1554 / $R1554) * 100 * ($S1554 / 100)-J1554, ))), )</f>
        <v/>
      </c>
      <c r="AD1554" s="32" t="str">
        <f t="shared" si="1558"/>
        <v/>
      </c>
      <c r="AE1554" s="32" t="str">
        <f t="shared" si="1558"/>
        <v/>
      </c>
      <c r="AF1554" s="32" t="str">
        <f t="shared" si="1558"/>
        <v/>
      </c>
      <c r="AG1554" s="32" t="str">
        <f t="shared" si="1558"/>
        <v/>
      </c>
      <c r="AH1554" s="33"/>
    </row>
    <row r="1555" hidden="1" outlineLevel="3">
      <c r="A1555" s="16" t="b">
        <v>0</v>
      </c>
      <c r="B1555" s="17"/>
      <c r="C1555" s="18"/>
      <c r="D1555" s="19"/>
      <c r="E1555" s="20"/>
      <c r="F1555" s="21"/>
      <c r="G1555" s="22"/>
      <c r="H1555" s="22"/>
      <c r="I1555" s="23"/>
      <c r="J1555" s="22"/>
      <c r="K1555" s="23"/>
      <c r="L1555" s="22"/>
      <c r="M1555" s="23"/>
      <c r="N1555" s="23"/>
      <c r="O1555" s="24"/>
      <c r="P1555" s="16" t="b">
        <v>0</v>
      </c>
      <c r="Q1555" s="24"/>
      <c r="R1555" s="25"/>
      <c r="S1555" s="26"/>
      <c r="T1555" s="27"/>
      <c r="U1555" s="24"/>
      <c r="V1555" s="66" t="s">
        <v>29</v>
      </c>
      <c r="W1555" s="29" t="s">
        <v>22</v>
      </c>
      <c r="X1555" s="37" t="s">
        <v>1024</v>
      </c>
      <c r="Y1555" s="31"/>
      <c r="Z1555" s="26" t="str">
        <f t="shared" si="5"/>
        <v/>
      </c>
      <c r="AA1555" s="26" t="str">
        <f t="shared" si="6"/>
        <v/>
      </c>
      <c r="AB1555" s="32" t="str">
        <f t="shared" si="7"/>
        <v/>
      </c>
      <c r="AC1555" s="32" t="str">
        <f t="shared" ref="AC1555:AG1555" si="1559">IF(J1555&lt;&gt;"", IF(AND($P1555=FALSE, $A1555=FALSE), -J1555, IF(AND($P1555=FALSE, $A1555=TRUE), 0, IF($P1555=TRUE, (J1555 / $R1555) * 100 * ($S1555 / 100)-J1555, ))), )</f>
        <v/>
      </c>
      <c r="AD1555" s="32" t="str">
        <f t="shared" si="1559"/>
        <v/>
      </c>
      <c r="AE1555" s="32" t="str">
        <f t="shared" si="1559"/>
        <v/>
      </c>
      <c r="AF1555" s="32" t="str">
        <f t="shared" si="1559"/>
        <v/>
      </c>
      <c r="AG1555" s="32" t="str">
        <f t="shared" si="1559"/>
        <v/>
      </c>
      <c r="AH1555" s="33"/>
    </row>
    <row r="1556" hidden="1" outlineLevel="3">
      <c r="A1556" s="16" t="b">
        <v>0</v>
      </c>
      <c r="B1556" s="17"/>
      <c r="C1556" s="18"/>
      <c r="D1556" s="19"/>
      <c r="E1556" s="20"/>
      <c r="F1556" s="21"/>
      <c r="G1556" s="22"/>
      <c r="H1556" s="22"/>
      <c r="I1556" s="23"/>
      <c r="J1556" s="22"/>
      <c r="K1556" s="23"/>
      <c r="L1556" s="22"/>
      <c r="M1556" s="23"/>
      <c r="N1556" s="23"/>
      <c r="O1556" s="24"/>
      <c r="P1556" s="16" t="b">
        <v>0</v>
      </c>
      <c r="Q1556" s="24"/>
      <c r="R1556" s="25"/>
      <c r="S1556" s="26"/>
      <c r="T1556" s="27"/>
      <c r="U1556" s="24"/>
      <c r="V1556" s="66">
        <v>6.0</v>
      </c>
      <c r="W1556" s="29" t="s">
        <v>22</v>
      </c>
      <c r="X1556" s="37" t="s">
        <v>1025</v>
      </c>
      <c r="Y1556" s="31"/>
      <c r="Z1556" s="26" t="str">
        <f t="shared" si="5"/>
        <v/>
      </c>
      <c r="AA1556" s="26" t="str">
        <f t="shared" si="6"/>
        <v/>
      </c>
      <c r="AB1556" s="32" t="str">
        <f t="shared" si="7"/>
        <v/>
      </c>
      <c r="AC1556" s="32" t="str">
        <f t="shared" ref="AC1556:AG1556" si="1560">IF(J1556&lt;&gt;"", IF(AND($P1556=FALSE, $A1556=FALSE), -J1556, IF(AND($P1556=FALSE, $A1556=TRUE), 0, IF($P1556=TRUE, (J1556 / $R1556) * 100 * ($S1556 / 100)-J1556, ))), )</f>
        <v/>
      </c>
      <c r="AD1556" s="32" t="str">
        <f t="shared" si="1560"/>
        <v/>
      </c>
      <c r="AE1556" s="32" t="str">
        <f t="shared" si="1560"/>
        <v/>
      </c>
      <c r="AF1556" s="32" t="str">
        <f t="shared" si="1560"/>
        <v/>
      </c>
      <c r="AG1556" s="32" t="str">
        <f t="shared" si="1560"/>
        <v/>
      </c>
      <c r="AH1556" s="33"/>
    </row>
    <row r="1557" hidden="1" outlineLevel="3">
      <c r="A1557" s="16" t="b">
        <v>0</v>
      </c>
      <c r="B1557" s="17"/>
      <c r="C1557" s="18"/>
      <c r="D1557" s="19"/>
      <c r="E1557" s="20"/>
      <c r="F1557" s="21"/>
      <c r="G1557" s="22"/>
      <c r="H1557" s="22"/>
      <c r="I1557" s="23"/>
      <c r="J1557" s="22"/>
      <c r="K1557" s="23"/>
      <c r="L1557" s="22"/>
      <c r="M1557" s="23"/>
      <c r="N1557" s="23"/>
      <c r="O1557" s="24"/>
      <c r="P1557" s="16" t="b">
        <v>0</v>
      </c>
      <c r="Q1557" s="24"/>
      <c r="R1557" s="25"/>
      <c r="S1557" s="26"/>
      <c r="T1557" s="27"/>
      <c r="U1557" s="24"/>
      <c r="V1557" s="66" t="s">
        <v>29</v>
      </c>
      <c r="W1557" s="29" t="s">
        <v>22</v>
      </c>
      <c r="X1557" s="37" t="s">
        <v>1008</v>
      </c>
      <c r="Y1557" s="31"/>
      <c r="Z1557" s="26" t="str">
        <f t="shared" si="5"/>
        <v/>
      </c>
      <c r="AA1557" s="26" t="str">
        <f t="shared" si="6"/>
        <v/>
      </c>
      <c r="AB1557" s="32" t="str">
        <f t="shared" si="7"/>
        <v/>
      </c>
      <c r="AC1557" s="32" t="str">
        <f t="shared" ref="AC1557:AG1557" si="1561">IF(J1557&lt;&gt;"", IF(AND($P1557=FALSE, $A1557=FALSE), -J1557, IF(AND($P1557=FALSE, $A1557=TRUE), 0, IF($P1557=TRUE, (J1557 / $R1557) * 100 * ($S1557 / 100)-J1557, ))), )</f>
        <v/>
      </c>
      <c r="AD1557" s="32" t="str">
        <f t="shared" si="1561"/>
        <v/>
      </c>
      <c r="AE1557" s="32" t="str">
        <f t="shared" si="1561"/>
        <v/>
      </c>
      <c r="AF1557" s="32" t="str">
        <f t="shared" si="1561"/>
        <v/>
      </c>
      <c r="AG1557" s="32" t="str">
        <f t="shared" si="1561"/>
        <v/>
      </c>
      <c r="AH1557" s="33"/>
    </row>
    <row r="1558" hidden="1" outlineLevel="2" collapsed="1">
      <c r="A1558" s="16" t="b">
        <v>0</v>
      </c>
      <c r="B1558" s="17"/>
      <c r="C1558" s="18"/>
      <c r="D1558" s="42">
        <v>45296.0</v>
      </c>
      <c r="E1558" s="80" t="s">
        <v>60</v>
      </c>
      <c r="F1558" s="53" t="s">
        <v>1003</v>
      </c>
      <c r="G1558" s="45">
        <v>2.0</v>
      </c>
      <c r="H1558" s="45">
        <v>1.0</v>
      </c>
      <c r="I1558" s="45">
        <v>2.0</v>
      </c>
      <c r="J1558" s="45"/>
      <c r="K1558" s="79"/>
      <c r="L1558" s="45"/>
      <c r="M1558" s="46"/>
      <c r="N1558" s="46"/>
      <c r="O1558" s="47"/>
      <c r="P1558" s="16" t="b">
        <v>0</v>
      </c>
      <c r="Q1558" s="24"/>
      <c r="R1558" s="48">
        <v>5.0</v>
      </c>
      <c r="S1558" s="45">
        <v>12.51</v>
      </c>
      <c r="T1558" s="49" t="s">
        <v>44</v>
      </c>
      <c r="U1558" s="47"/>
      <c r="V1558" s="28"/>
      <c r="W1558" s="29"/>
      <c r="X1558" s="30"/>
      <c r="Y1558" s="31"/>
      <c r="Z1558" s="26">
        <f t="shared" si="5"/>
        <v>-2</v>
      </c>
      <c r="AA1558" s="26">
        <f t="shared" si="6"/>
        <v>-2</v>
      </c>
      <c r="AB1558" s="32">
        <f t="shared" si="7"/>
        <v>-1</v>
      </c>
      <c r="AC1558" s="32" t="str">
        <f t="shared" ref="AC1558:AG1558" si="1562">IF(J1558&lt;&gt;"", IF(AND($P1558=FALSE, $A1558=FALSE), -J1558, IF(AND($P1558=FALSE, $A1558=TRUE), 0, IF($P1558=TRUE, (J1558 / $R1558) * 100 * ($S1558 / 100)-J1558, ))), )</f>
        <v/>
      </c>
      <c r="AD1558" s="32" t="str">
        <f t="shared" si="1562"/>
        <v/>
      </c>
      <c r="AE1558" s="32" t="str">
        <f t="shared" si="1562"/>
        <v/>
      </c>
      <c r="AF1558" s="32" t="str">
        <f t="shared" si="1562"/>
        <v/>
      </c>
      <c r="AG1558" s="32" t="str">
        <f t="shared" si="1562"/>
        <v/>
      </c>
      <c r="AH1558" s="33"/>
    </row>
    <row r="1559" hidden="1" outlineLevel="3">
      <c r="A1559" s="16" t="b">
        <v>0</v>
      </c>
      <c r="B1559" s="17"/>
      <c r="C1559" s="18"/>
      <c r="D1559" s="19"/>
      <c r="E1559" s="20"/>
      <c r="F1559" s="21"/>
      <c r="G1559" s="22"/>
      <c r="H1559" s="22"/>
      <c r="I1559" s="23"/>
      <c r="J1559" s="22"/>
      <c r="K1559" s="23"/>
      <c r="L1559" s="22"/>
      <c r="M1559" s="23"/>
      <c r="N1559" s="23"/>
      <c r="O1559" s="24"/>
      <c r="P1559" s="16" t="b">
        <v>0</v>
      </c>
      <c r="Q1559" s="24"/>
      <c r="R1559" s="25"/>
      <c r="S1559" s="26"/>
      <c r="T1559" s="27"/>
      <c r="U1559" s="24"/>
      <c r="V1559" s="66">
        <v>8.0</v>
      </c>
      <c r="W1559" s="29" t="s">
        <v>22</v>
      </c>
      <c r="X1559" s="37" t="s">
        <v>1026</v>
      </c>
      <c r="Y1559" s="31"/>
      <c r="Z1559" s="26" t="str">
        <f t="shared" si="5"/>
        <v/>
      </c>
      <c r="AA1559" s="26" t="str">
        <f t="shared" si="6"/>
        <v/>
      </c>
      <c r="AB1559" s="32" t="str">
        <f t="shared" si="7"/>
        <v/>
      </c>
      <c r="AC1559" s="32" t="str">
        <f t="shared" ref="AC1559:AG1559" si="1563">IF(J1559&lt;&gt;"", IF(AND($P1559=FALSE, $A1559=FALSE), -J1559, IF(AND($P1559=FALSE, $A1559=TRUE), 0, IF($P1559=TRUE, (J1559 / $R1559) * 100 * ($S1559 / 100)-J1559, ))), )</f>
        <v/>
      </c>
      <c r="AD1559" s="32" t="str">
        <f t="shared" si="1563"/>
        <v/>
      </c>
      <c r="AE1559" s="32" t="str">
        <f t="shared" si="1563"/>
        <v/>
      </c>
      <c r="AF1559" s="32" t="str">
        <f t="shared" si="1563"/>
        <v/>
      </c>
      <c r="AG1559" s="32" t="str">
        <f t="shared" si="1563"/>
        <v/>
      </c>
      <c r="AH1559" s="33"/>
    </row>
    <row r="1560" hidden="1" outlineLevel="3">
      <c r="A1560" s="16" t="b">
        <v>0</v>
      </c>
      <c r="B1560" s="17"/>
      <c r="C1560" s="18"/>
      <c r="D1560" s="19"/>
      <c r="E1560" s="20"/>
      <c r="F1560" s="21"/>
      <c r="G1560" s="22"/>
      <c r="H1560" s="22"/>
      <c r="I1560" s="23"/>
      <c r="J1560" s="22"/>
      <c r="K1560" s="23"/>
      <c r="L1560" s="22"/>
      <c r="M1560" s="23"/>
      <c r="N1560" s="23"/>
      <c r="O1560" s="24"/>
      <c r="P1560" s="16" t="b">
        <v>0</v>
      </c>
      <c r="Q1560" s="24"/>
      <c r="R1560" s="25"/>
      <c r="S1560" s="26"/>
      <c r="T1560" s="27"/>
      <c r="U1560" s="24"/>
      <c r="V1560" s="66" t="s">
        <v>29</v>
      </c>
      <c r="W1560" s="29" t="s">
        <v>22</v>
      </c>
      <c r="X1560" s="37" t="s">
        <v>1027</v>
      </c>
      <c r="Y1560" s="31"/>
      <c r="Z1560" s="26" t="str">
        <f t="shared" si="5"/>
        <v/>
      </c>
      <c r="AA1560" s="26" t="str">
        <f t="shared" si="6"/>
        <v/>
      </c>
      <c r="AB1560" s="32" t="str">
        <f t="shared" si="7"/>
        <v/>
      </c>
      <c r="AC1560" s="32" t="str">
        <f t="shared" ref="AC1560:AG1560" si="1564">IF(J1560&lt;&gt;"", IF(AND($P1560=FALSE, $A1560=FALSE), -J1560, IF(AND($P1560=FALSE, $A1560=TRUE), 0, IF($P1560=TRUE, (J1560 / $R1560) * 100 * ($S1560 / 100)-J1560, ))), )</f>
        <v/>
      </c>
      <c r="AD1560" s="32" t="str">
        <f t="shared" si="1564"/>
        <v/>
      </c>
      <c r="AE1560" s="32" t="str">
        <f t="shared" si="1564"/>
        <v/>
      </c>
      <c r="AF1560" s="32" t="str">
        <f t="shared" si="1564"/>
        <v/>
      </c>
      <c r="AG1560" s="32" t="str">
        <f t="shared" si="1564"/>
        <v/>
      </c>
      <c r="AH1560" s="33"/>
    </row>
    <row r="1561" hidden="1" outlineLevel="3">
      <c r="A1561" s="16" t="b">
        <v>0</v>
      </c>
      <c r="B1561" s="17"/>
      <c r="C1561" s="18"/>
      <c r="D1561" s="19"/>
      <c r="E1561" s="20"/>
      <c r="F1561" s="21"/>
      <c r="G1561" s="22"/>
      <c r="H1561" s="22"/>
      <c r="I1561" s="23"/>
      <c r="J1561" s="22"/>
      <c r="K1561" s="23"/>
      <c r="L1561" s="22"/>
      <c r="M1561" s="23"/>
      <c r="N1561" s="23"/>
      <c r="O1561" s="24"/>
      <c r="P1561" s="16" t="b">
        <v>0</v>
      </c>
      <c r="Q1561" s="24"/>
      <c r="R1561" s="25"/>
      <c r="S1561" s="26"/>
      <c r="T1561" s="27"/>
      <c r="U1561" s="24"/>
      <c r="V1561" s="66" t="s">
        <v>29</v>
      </c>
      <c r="W1561" s="29" t="s">
        <v>22</v>
      </c>
      <c r="X1561" s="37" t="s">
        <v>805</v>
      </c>
      <c r="Y1561" s="31"/>
      <c r="Z1561" s="26" t="str">
        <f t="shared" si="5"/>
        <v/>
      </c>
      <c r="AA1561" s="26" t="str">
        <f t="shared" si="6"/>
        <v/>
      </c>
      <c r="AB1561" s="32" t="str">
        <f t="shared" si="7"/>
        <v/>
      </c>
      <c r="AC1561" s="32" t="str">
        <f t="shared" ref="AC1561:AG1561" si="1565">IF(J1561&lt;&gt;"", IF(AND($P1561=FALSE, $A1561=FALSE), -J1561, IF(AND($P1561=FALSE, $A1561=TRUE), 0, IF($P1561=TRUE, (J1561 / $R1561) * 100 * ($S1561 / 100)-J1561, ))), )</f>
        <v/>
      </c>
      <c r="AD1561" s="32" t="str">
        <f t="shared" si="1565"/>
        <v/>
      </c>
      <c r="AE1561" s="32" t="str">
        <f t="shared" si="1565"/>
        <v/>
      </c>
      <c r="AF1561" s="32" t="str">
        <f t="shared" si="1565"/>
        <v/>
      </c>
      <c r="AG1561" s="32" t="str">
        <f t="shared" si="1565"/>
        <v/>
      </c>
      <c r="AH1561" s="33"/>
    </row>
    <row r="1562" hidden="1" outlineLevel="3">
      <c r="A1562" s="16" t="b">
        <v>0</v>
      </c>
      <c r="B1562" s="17"/>
      <c r="C1562" s="18"/>
      <c r="D1562" s="19"/>
      <c r="E1562" s="20"/>
      <c r="F1562" s="21"/>
      <c r="G1562" s="22"/>
      <c r="H1562" s="22"/>
      <c r="I1562" s="23"/>
      <c r="J1562" s="22"/>
      <c r="K1562" s="23"/>
      <c r="L1562" s="22"/>
      <c r="M1562" s="23"/>
      <c r="N1562" s="23"/>
      <c r="O1562" s="24"/>
      <c r="P1562" s="16" t="b">
        <v>0</v>
      </c>
      <c r="Q1562" s="24"/>
      <c r="R1562" s="25"/>
      <c r="S1562" s="26"/>
      <c r="T1562" s="27"/>
      <c r="U1562" s="24"/>
      <c r="V1562" s="66" t="s">
        <v>29</v>
      </c>
      <c r="W1562" s="29" t="s">
        <v>22</v>
      </c>
      <c r="X1562" s="37" t="s">
        <v>181</v>
      </c>
      <c r="Y1562" s="31"/>
      <c r="Z1562" s="26" t="str">
        <f t="shared" si="5"/>
        <v/>
      </c>
      <c r="AA1562" s="26" t="str">
        <f t="shared" si="6"/>
        <v/>
      </c>
      <c r="AB1562" s="32" t="str">
        <f t="shared" si="7"/>
        <v/>
      </c>
      <c r="AC1562" s="32" t="str">
        <f t="shared" ref="AC1562:AG1562" si="1566">IF(J1562&lt;&gt;"", IF(AND($P1562=FALSE, $A1562=FALSE), -J1562, IF(AND($P1562=FALSE, $A1562=TRUE), 0, IF($P1562=TRUE, (J1562 / $R1562) * 100 * ($S1562 / 100)-J1562, ))), )</f>
        <v/>
      </c>
      <c r="AD1562" s="32" t="str">
        <f t="shared" si="1566"/>
        <v/>
      </c>
      <c r="AE1562" s="32" t="str">
        <f t="shared" si="1566"/>
        <v/>
      </c>
      <c r="AF1562" s="32" t="str">
        <f t="shared" si="1566"/>
        <v/>
      </c>
      <c r="AG1562" s="32" t="str">
        <f t="shared" si="1566"/>
        <v/>
      </c>
      <c r="AH1562" s="33"/>
    </row>
    <row r="1563" hidden="1" outlineLevel="2">
      <c r="A1563" s="16" t="b">
        <v>0</v>
      </c>
      <c r="B1563" s="17"/>
      <c r="C1563" s="18"/>
      <c r="D1563" s="42">
        <v>45296.0</v>
      </c>
      <c r="E1563" s="80" t="s">
        <v>60</v>
      </c>
      <c r="F1563" s="53" t="s">
        <v>1003</v>
      </c>
      <c r="G1563" s="45">
        <v>2.0</v>
      </c>
      <c r="H1563" s="45">
        <v>1.0</v>
      </c>
      <c r="I1563" s="45">
        <v>2.0</v>
      </c>
      <c r="J1563" s="45"/>
      <c r="K1563" s="79"/>
      <c r="L1563" s="45"/>
      <c r="M1563" s="46"/>
      <c r="N1563" s="46"/>
      <c r="O1563" s="47"/>
      <c r="P1563" s="16" t="b">
        <v>0</v>
      </c>
      <c r="Q1563" s="24"/>
      <c r="R1563" s="48">
        <v>5.0</v>
      </c>
      <c r="S1563" s="45">
        <v>13.36</v>
      </c>
      <c r="T1563" s="49" t="s">
        <v>458</v>
      </c>
      <c r="U1563" s="47"/>
      <c r="V1563" s="28"/>
      <c r="W1563" s="29"/>
      <c r="X1563" s="30"/>
      <c r="Y1563" s="31"/>
      <c r="Z1563" s="26">
        <f t="shared" si="5"/>
        <v>-2</v>
      </c>
      <c r="AA1563" s="26">
        <f t="shared" si="6"/>
        <v>-2</v>
      </c>
      <c r="AB1563" s="32">
        <f t="shared" si="7"/>
        <v>-1</v>
      </c>
      <c r="AC1563" s="32" t="str">
        <f t="shared" ref="AC1563:AG1563" si="1567">IF(J1563&lt;&gt;"", IF(AND($P1563=FALSE, $A1563=FALSE), -J1563, IF(AND($P1563=FALSE, $A1563=TRUE), 0, IF($P1563=TRUE, (J1563 / $R1563) * 100 * ($S1563 / 100)-J1563, ))), )</f>
        <v/>
      </c>
      <c r="AD1563" s="32" t="str">
        <f t="shared" si="1567"/>
        <v/>
      </c>
      <c r="AE1563" s="32" t="str">
        <f t="shared" si="1567"/>
        <v/>
      </c>
      <c r="AF1563" s="32" t="str">
        <f t="shared" si="1567"/>
        <v/>
      </c>
      <c r="AG1563" s="32" t="str">
        <f t="shared" si="1567"/>
        <v/>
      </c>
      <c r="AH1563" s="33"/>
    </row>
    <row r="1564" hidden="1" outlineLevel="3">
      <c r="A1564" s="16" t="b">
        <v>0</v>
      </c>
      <c r="B1564" s="17"/>
      <c r="C1564" s="18"/>
      <c r="D1564" s="19"/>
      <c r="E1564" s="20"/>
      <c r="F1564" s="21"/>
      <c r="G1564" s="22"/>
      <c r="H1564" s="22"/>
      <c r="I1564" s="23"/>
      <c r="J1564" s="22"/>
      <c r="K1564" s="23"/>
      <c r="L1564" s="22"/>
      <c r="M1564" s="23"/>
      <c r="N1564" s="23"/>
      <c r="O1564" s="24"/>
      <c r="P1564" s="16" t="b">
        <v>0</v>
      </c>
      <c r="Q1564" s="24"/>
      <c r="R1564" s="25"/>
      <c r="S1564" s="26"/>
      <c r="T1564" s="27"/>
      <c r="U1564" s="24"/>
      <c r="V1564" s="66" t="s">
        <v>29</v>
      </c>
      <c r="W1564" s="29" t="s">
        <v>22</v>
      </c>
      <c r="X1564" s="37" t="s">
        <v>1028</v>
      </c>
      <c r="Y1564" s="31"/>
      <c r="Z1564" s="26" t="str">
        <f t="shared" si="5"/>
        <v/>
      </c>
      <c r="AA1564" s="26" t="str">
        <f t="shared" si="6"/>
        <v/>
      </c>
      <c r="AB1564" s="32" t="str">
        <f t="shared" si="7"/>
        <v/>
      </c>
      <c r="AC1564" s="32" t="str">
        <f t="shared" ref="AC1564:AG1564" si="1568">IF(J1564&lt;&gt;"", IF(AND($P1564=FALSE, $A1564=FALSE), -J1564, IF(AND($P1564=FALSE, $A1564=TRUE), 0, IF($P1564=TRUE, (J1564 / $R1564) * 100 * ($S1564 / 100)-J1564, ))), )</f>
        <v/>
      </c>
      <c r="AD1564" s="32" t="str">
        <f t="shared" si="1568"/>
        <v/>
      </c>
      <c r="AE1564" s="32" t="str">
        <f t="shared" si="1568"/>
        <v/>
      </c>
      <c r="AF1564" s="32" t="str">
        <f t="shared" si="1568"/>
        <v/>
      </c>
      <c r="AG1564" s="32" t="str">
        <f t="shared" si="1568"/>
        <v/>
      </c>
      <c r="AH1564" s="33"/>
    </row>
    <row r="1565" hidden="1" outlineLevel="3">
      <c r="A1565" s="16" t="b">
        <v>0</v>
      </c>
      <c r="B1565" s="17"/>
      <c r="C1565" s="18"/>
      <c r="D1565" s="19"/>
      <c r="E1565" s="20"/>
      <c r="F1565" s="21"/>
      <c r="G1565" s="22"/>
      <c r="H1565" s="22"/>
      <c r="I1565" s="23"/>
      <c r="J1565" s="22"/>
      <c r="K1565" s="23"/>
      <c r="L1565" s="22"/>
      <c r="M1565" s="23"/>
      <c r="N1565" s="23"/>
      <c r="O1565" s="24"/>
      <c r="P1565" s="16" t="b">
        <v>0</v>
      </c>
      <c r="Q1565" s="24"/>
      <c r="R1565" s="25"/>
      <c r="S1565" s="26"/>
      <c r="T1565" s="27"/>
      <c r="U1565" s="24"/>
      <c r="V1565" s="28">
        <v>2.0</v>
      </c>
      <c r="W1565" s="29" t="s">
        <v>22</v>
      </c>
      <c r="X1565" s="37" t="s">
        <v>1029</v>
      </c>
      <c r="Y1565" s="31"/>
      <c r="Z1565" s="26" t="str">
        <f t="shared" si="5"/>
        <v/>
      </c>
      <c r="AA1565" s="26" t="str">
        <f t="shared" si="6"/>
        <v/>
      </c>
      <c r="AB1565" s="32" t="str">
        <f t="shared" si="7"/>
        <v/>
      </c>
      <c r="AC1565" s="32" t="str">
        <f t="shared" ref="AC1565:AG1565" si="1569">IF(J1565&lt;&gt;"", IF(AND($P1565=FALSE, $A1565=FALSE), -J1565, IF(AND($P1565=FALSE, $A1565=TRUE), 0, IF($P1565=TRUE, (J1565 / $R1565) * 100 * ($S1565 / 100)-J1565, ))), )</f>
        <v/>
      </c>
      <c r="AD1565" s="32" t="str">
        <f t="shared" si="1569"/>
        <v/>
      </c>
      <c r="AE1565" s="32" t="str">
        <f t="shared" si="1569"/>
        <v/>
      </c>
      <c r="AF1565" s="32" t="str">
        <f t="shared" si="1569"/>
        <v/>
      </c>
      <c r="AG1565" s="32" t="str">
        <f t="shared" si="1569"/>
        <v/>
      </c>
      <c r="AH1565" s="33"/>
    </row>
    <row r="1566" hidden="1" outlineLevel="3">
      <c r="A1566" s="16" t="b">
        <v>0</v>
      </c>
      <c r="B1566" s="17"/>
      <c r="C1566" s="18"/>
      <c r="D1566" s="19"/>
      <c r="E1566" s="20"/>
      <c r="F1566" s="21"/>
      <c r="G1566" s="22"/>
      <c r="H1566" s="22"/>
      <c r="I1566" s="23"/>
      <c r="J1566" s="22"/>
      <c r="K1566" s="23"/>
      <c r="L1566" s="22"/>
      <c r="M1566" s="23"/>
      <c r="N1566" s="23"/>
      <c r="O1566" s="24"/>
      <c r="P1566" s="16" t="b">
        <v>0</v>
      </c>
      <c r="Q1566" s="24"/>
      <c r="R1566" s="25"/>
      <c r="S1566" s="26"/>
      <c r="T1566" s="27"/>
      <c r="U1566" s="24"/>
      <c r="V1566" s="66">
        <v>21.0</v>
      </c>
      <c r="W1566" s="29" t="s">
        <v>22</v>
      </c>
      <c r="X1566" s="37" t="s">
        <v>1030</v>
      </c>
      <c r="Y1566" s="31"/>
      <c r="Z1566" s="26" t="str">
        <f t="shared" si="5"/>
        <v/>
      </c>
      <c r="AA1566" s="26" t="str">
        <f t="shared" si="6"/>
        <v/>
      </c>
      <c r="AB1566" s="32" t="str">
        <f t="shared" si="7"/>
        <v/>
      </c>
      <c r="AC1566" s="32" t="str">
        <f t="shared" ref="AC1566:AG1566" si="1570">IF(J1566&lt;&gt;"", IF(AND($P1566=FALSE, $A1566=FALSE), -J1566, IF(AND($P1566=FALSE, $A1566=TRUE), 0, IF($P1566=TRUE, (J1566 / $R1566) * 100 * ($S1566 / 100)-J1566, ))), )</f>
        <v/>
      </c>
      <c r="AD1566" s="32" t="str">
        <f t="shared" si="1570"/>
        <v/>
      </c>
      <c r="AE1566" s="32" t="str">
        <f t="shared" si="1570"/>
        <v/>
      </c>
      <c r="AF1566" s="32" t="str">
        <f t="shared" si="1570"/>
        <v/>
      </c>
      <c r="AG1566" s="32" t="str">
        <f t="shared" si="1570"/>
        <v/>
      </c>
      <c r="AH1566" s="33"/>
    </row>
    <row r="1567" hidden="1" outlineLevel="3">
      <c r="A1567" s="16" t="b">
        <v>0</v>
      </c>
      <c r="B1567" s="17"/>
      <c r="C1567" s="18"/>
      <c r="D1567" s="19"/>
      <c r="E1567" s="20"/>
      <c r="F1567" s="21"/>
      <c r="G1567" s="22"/>
      <c r="H1567" s="22"/>
      <c r="I1567" s="23"/>
      <c r="J1567" s="22"/>
      <c r="K1567" s="23"/>
      <c r="L1567" s="22"/>
      <c r="M1567" s="23"/>
      <c r="N1567" s="23"/>
      <c r="O1567" s="24"/>
      <c r="P1567" s="16" t="b">
        <v>0</v>
      </c>
      <c r="Q1567" s="24"/>
      <c r="R1567" s="25"/>
      <c r="S1567" s="26"/>
      <c r="T1567" s="27"/>
      <c r="U1567" s="24"/>
      <c r="V1567" s="66">
        <v>6.0</v>
      </c>
      <c r="W1567" s="29" t="s">
        <v>22</v>
      </c>
      <c r="X1567" s="37" t="s">
        <v>735</v>
      </c>
      <c r="Y1567" s="31"/>
      <c r="Z1567" s="26" t="str">
        <f t="shared" si="5"/>
        <v/>
      </c>
      <c r="AA1567" s="26" t="str">
        <f t="shared" si="6"/>
        <v/>
      </c>
      <c r="AB1567" s="32" t="str">
        <f t="shared" si="7"/>
        <v/>
      </c>
      <c r="AC1567" s="32" t="str">
        <f t="shared" ref="AC1567:AG1567" si="1571">IF(J1567&lt;&gt;"", IF(AND($P1567=FALSE, $A1567=FALSE), -J1567, IF(AND($P1567=FALSE, $A1567=TRUE), 0, IF($P1567=TRUE, (J1567 / $R1567) * 100 * ($S1567 / 100)-J1567, ))), )</f>
        <v/>
      </c>
      <c r="AD1567" s="32" t="str">
        <f t="shared" si="1571"/>
        <v/>
      </c>
      <c r="AE1567" s="32" t="str">
        <f t="shared" si="1571"/>
        <v/>
      </c>
      <c r="AF1567" s="32" t="str">
        <f t="shared" si="1571"/>
        <v/>
      </c>
      <c r="AG1567" s="32" t="str">
        <f t="shared" si="1571"/>
        <v/>
      </c>
      <c r="AH1567" s="33"/>
    </row>
    <row r="1568" hidden="1" outlineLevel="1" collapsed="1">
      <c r="A1568" s="16" t="b">
        <v>0</v>
      </c>
      <c r="B1568" s="17"/>
      <c r="C1568" s="18"/>
      <c r="D1568" s="42">
        <v>45297.0</v>
      </c>
      <c r="E1568" s="43" t="s">
        <v>24</v>
      </c>
      <c r="F1568" s="53" t="s">
        <v>1031</v>
      </c>
      <c r="G1568" s="45">
        <v>1.0</v>
      </c>
      <c r="H1568" s="45">
        <v>0.5</v>
      </c>
      <c r="I1568" s="45">
        <v>3.0</v>
      </c>
      <c r="J1568" s="46"/>
      <c r="K1568" s="46"/>
      <c r="L1568" s="45"/>
      <c r="M1568" s="46"/>
      <c r="N1568" s="46"/>
      <c r="O1568" s="47"/>
      <c r="P1568" s="16" t="b">
        <v>1</v>
      </c>
      <c r="Q1568" s="24"/>
      <c r="R1568" s="48">
        <v>4.5</v>
      </c>
      <c r="S1568" s="45">
        <v>9.28</v>
      </c>
      <c r="T1568" s="49" t="s">
        <v>631</v>
      </c>
      <c r="U1568" s="47"/>
      <c r="V1568" s="28"/>
      <c r="W1568" s="29"/>
      <c r="X1568" s="30"/>
      <c r="Y1568" s="31"/>
      <c r="Z1568" s="26">
        <f t="shared" si="5"/>
        <v>1.062222222</v>
      </c>
      <c r="AA1568" s="26">
        <f t="shared" si="6"/>
        <v>3.186666667</v>
      </c>
      <c r="AB1568" s="32">
        <f t="shared" si="7"/>
        <v>0.5311111111</v>
      </c>
      <c r="AC1568" s="32" t="str">
        <f t="shared" ref="AC1568:AG1568" si="1572">IF(J1568&lt;&gt;"", IF(AND($P1568=FALSE, $A1568=FALSE), -J1568, IF(AND($P1568=FALSE, $A1568=TRUE), 0, IF($P1568=TRUE, (J1568 / $R1568) * 100 * ($S1568 / 100)-J1568, ))), )</f>
        <v/>
      </c>
      <c r="AD1568" s="32" t="str">
        <f t="shared" si="1572"/>
        <v/>
      </c>
      <c r="AE1568" s="32" t="str">
        <f t="shared" si="1572"/>
        <v/>
      </c>
      <c r="AF1568" s="32" t="str">
        <f t="shared" si="1572"/>
        <v/>
      </c>
      <c r="AG1568" s="32" t="str">
        <f t="shared" si="1572"/>
        <v/>
      </c>
      <c r="AH1568" s="33"/>
    </row>
    <row r="1569" hidden="1" outlineLevel="3">
      <c r="A1569" s="16" t="b">
        <v>0</v>
      </c>
      <c r="B1569" s="17"/>
      <c r="C1569" s="18"/>
      <c r="D1569" s="19"/>
      <c r="E1569" s="20"/>
      <c r="F1569" s="21"/>
      <c r="G1569" s="22"/>
      <c r="H1569" s="22"/>
      <c r="I1569" s="23"/>
      <c r="J1569" s="22"/>
      <c r="K1569" s="23"/>
      <c r="L1569" s="22"/>
      <c r="M1569" s="23"/>
      <c r="N1569" s="23"/>
      <c r="O1569" s="24"/>
      <c r="P1569" s="16" t="b">
        <v>0</v>
      </c>
      <c r="Q1569" s="24"/>
      <c r="R1569" s="25"/>
      <c r="S1569" s="26"/>
      <c r="T1569" s="27"/>
      <c r="U1569" s="24"/>
      <c r="V1569" s="38" t="s">
        <v>29</v>
      </c>
      <c r="W1569" s="29" t="s">
        <v>22</v>
      </c>
      <c r="X1569" s="37" t="s">
        <v>1032</v>
      </c>
      <c r="Y1569" s="31"/>
      <c r="Z1569" s="26" t="str">
        <f t="shared" si="5"/>
        <v/>
      </c>
      <c r="AA1569" s="26" t="str">
        <f t="shared" si="6"/>
        <v/>
      </c>
      <c r="AB1569" s="32" t="str">
        <f t="shared" si="7"/>
        <v/>
      </c>
      <c r="AC1569" s="32" t="str">
        <f t="shared" ref="AC1569:AG1569" si="1573">IF(J1569&lt;&gt;"", IF(AND($P1569=FALSE, $A1569=FALSE), -J1569, IF(AND($P1569=FALSE, $A1569=TRUE), 0, IF($P1569=TRUE, (J1569 / $R1569) * 100 * ($S1569 / 100)-J1569, ))), )</f>
        <v/>
      </c>
      <c r="AD1569" s="32" t="str">
        <f t="shared" si="1573"/>
        <v/>
      </c>
      <c r="AE1569" s="32" t="str">
        <f t="shared" si="1573"/>
        <v/>
      </c>
      <c r="AF1569" s="32" t="str">
        <f t="shared" si="1573"/>
        <v/>
      </c>
      <c r="AG1569" s="32" t="str">
        <f t="shared" si="1573"/>
        <v/>
      </c>
      <c r="AH1569" s="33"/>
    </row>
    <row r="1570" hidden="1" outlineLevel="3">
      <c r="A1570" s="16" t="b">
        <v>0</v>
      </c>
      <c r="B1570" s="17"/>
      <c r="C1570" s="18"/>
      <c r="D1570" s="19"/>
      <c r="E1570" s="20"/>
      <c r="F1570" s="21"/>
      <c r="G1570" s="22"/>
      <c r="H1570" s="22"/>
      <c r="I1570" s="23"/>
      <c r="J1570" s="22"/>
      <c r="K1570" s="23"/>
      <c r="L1570" s="22"/>
      <c r="M1570" s="23"/>
      <c r="N1570" s="23"/>
      <c r="O1570" s="24"/>
      <c r="P1570" s="16" t="b">
        <v>0</v>
      </c>
      <c r="Q1570" s="24"/>
      <c r="R1570" s="25"/>
      <c r="S1570" s="26"/>
      <c r="T1570" s="27"/>
      <c r="U1570" s="24"/>
      <c r="V1570" s="38" t="s">
        <v>29</v>
      </c>
      <c r="W1570" s="29" t="s">
        <v>22</v>
      </c>
      <c r="X1570" s="37" t="s">
        <v>1033</v>
      </c>
      <c r="Y1570" s="31"/>
      <c r="Z1570" s="26" t="str">
        <f t="shared" si="5"/>
        <v/>
      </c>
      <c r="AA1570" s="26" t="str">
        <f t="shared" si="6"/>
        <v/>
      </c>
      <c r="AB1570" s="32" t="str">
        <f t="shared" si="7"/>
        <v/>
      </c>
      <c r="AC1570" s="32" t="str">
        <f t="shared" ref="AC1570:AG1570" si="1574">IF(J1570&lt;&gt;"", IF(AND($P1570=FALSE, $A1570=FALSE), -J1570, IF(AND($P1570=FALSE, $A1570=TRUE), 0, IF($P1570=TRUE, (J1570 / $R1570) * 100 * ($S1570 / 100)-J1570, ))), )</f>
        <v/>
      </c>
      <c r="AD1570" s="32" t="str">
        <f t="shared" si="1574"/>
        <v/>
      </c>
      <c r="AE1570" s="32" t="str">
        <f t="shared" si="1574"/>
        <v/>
      </c>
      <c r="AF1570" s="32" t="str">
        <f t="shared" si="1574"/>
        <v/>
      </c>
      <c r="AG1570" s="32" t="str">
        <f t="shared" si="1574"/>
        <v/>
      </c>
      <c r="AH1570" s="33"/>
    </row>
    <row r="1571" hidden="1" outlineLevel="2" collapsed="1">
      <c r="A1571" s="16" t="b">
        <v>0</v>
      </c>
      <c r="B1571" s="17"/>
      <c r="C1571" s="18"/>
      <c r="D1571" s="42">
        <v>45297.0</v>
      </c>
      <c r="E1571" s="43" t="s">
        <v>24</v>
      </c>
      <c r="F1571" s="53" t="s">
        <v>1031</v>
      </c>
      <c r="G1571" s="45">
        <v>2.0</v>
      </c>
      <c r="H1571" s="45">
        <v>1.0</v>
      </c>
      <c r="I1571" s="45">
        <v>5.0</v>
      </c>
      <c r="J1571" s="46"/>
      <c r="K1571" s="46"/>
      <c r="L1571" s="45"/>
      <c r="M1571" s="46"/>
      <c r="N1571" s="46"/>
      <c r="O1571" s="47"/>
      <c r="P1571" s="16" t="b">
        <v>1</v>
      </c>
      <c r="Q1571" s="24"/>
      <c r="R1571" s="48">
        <v>8.0</v>
      </c>
      <c r="S1571" s="45">
        <v>16.59</v>
      </c>
      <c r="T1571" s="49" t="s">
        <v>638</v>
      </c>
      <c r="U1571" s="47"/>
      <c r="V1571" s="28"/>
      <c r="W1571" s="29"/>
      <c r="X1571" s="30"/>
      <c r="Y1571" s="31"/>
      <c r="Z1571" s="26">
        <f t="shared" si="5"/>
        <v>2.1475</v>
      </c>
      <c r="AA1571" s="26">
        <f t="shared" si="6"/>
        <v>5.36875</v>
      </c>
      <c r="AB1571" s="32">
        <f t="shared" si="7"/>
        <v>1.07375</v>
      </c>
      <c r="AC1571" s="32" t="str">
        <f t="shared" ref="AC1571:AG1571" si="1575">IF(J1571&lt;&gt;"", IF(AND($P1571=FALSE, $A1571=FALSE), -J1571, IF(AND($P1571=FALSE, $A1571=TRUE), 0, IF($P1571=TRUE, (J1571 / $R1571) * 100 * ($S1571 / 100)-J1571, ))), )</f>
        <v/>
      </c>
      <c r="AD1571" s="32" t="str">
        <f t="shared" si="1575"/>
        <v/>
      </c>
      <c r="AE1571" s="32" t="str">
        <f t="shared" si="1575"/>
        <v/>
      </c>
      <c r="AF1571" s="32" t="str">
        <f t="shared" si="1575"/>
        <v/>
      </c>
      <c r="AG1571" s="32" t="str">
        <f t="shared" si="1575"/>
        <v/>
      </c>
      <c r="AH1571" s="33"/>
    </row>
    <row r="1572" hidden="1" outlineLevel="3">
      <c r="A1572" s="16" t="b">
        <v>0</v>
      </c>
      <c r="B1572" s="17"/>
      <c r="C1572" s="18"/>
      <c r="D1572" s="19"/>
      <c r="E1572" s="20"/>
      <c r="F1572" s="21"/>
      <c r="G1572" s="22"/>
      <c r="H1572" s="22"/>
      <c r="I1572" s="23"/>
      <c r="J1572" s="22"/>
      <c r="K1572" s="23"/>
      <c r="L1572" s="22"/>
      <c r="M1572" s="23"/>
      <c r="N1572" s="23"/>
      <c r="O1572" s="24"/>
      <c r="P1572" s="16" t="b">
        <v>0</v>
      </c>
      <c r="Q1572" s="24"/>
      <c r="R1572" s="25"/>
      <c r="S1572" s="26"/>
      <c r="T1572" s="27"/>
      <c r="U1572" s="24"/>
      <c r="V1572" s="38" t="s">
        <v>29</v>
      </c>
      <c r="W1572" s="29" t="s">
        <v>22</v>
      </c>
      <c r="X1572" s="37" t="s">
        <v>649</v>
      </c>
      <c r="Y1572" s="31"/>
      <c r="Z1572" s="26" t="str">
        <f t="shared" si="5"/>
        <v/>
      </c>
      <c r="AA1572" s="26" t="str">
        <f t="shared" si="6"/>
        <v/>
      </c>
      <c r="AB1572" s="32" t="str">
        <f t="shared" si="7"/>
        <v/>
      </c>
      <c r="AC1572" s="32" t="str">
        <f t="shared" ref="AC1572:AG1572" si="1576">IF(J1572&lt;&gt;"", IF(AND($P1572=FALSE, $A1572=FALSE), -J1572, IF(AND($P1572=FALSE, $A1572=TRUE), 0, IF($P1572=TRUE, (J1572 / $R1572) * 100 * ($S1572 / 100)-J1572, ))), )</f>
        <v/>
      </c>
      <c r="AD1572" s="32" t="str">
        <f t="shared" si="1576"/>
        <v/>
      </c>
      <c r="AE1572" s="32" t="str">
        <f t="shared" si="1576"/>
        <v/>
      </c>
      <c r="AF1572" s="32" t="str">
        <f t="shared" si="1576"/>
        <v/>
      </c>
      <c r="AG1572" s="32" t="str">
        <f t="shared" si="1576"/>
        <v/>
      </c>
      <c r="AH1572" s="33"/>
    </row>
    <row r="1573" hidden="1" outlineLevel="3">
      <c r="A1573" s="16" t="b">
        <v>0</v>
      </c>
      <c r="B1573" s="17"/>
      <c r="C1573" s="18"/>
      <c r="D1573" s="19"/>
      <c r="E1573" s="20"/>
      <c r="F1573" s="21"/>
      <c r="G1573" s="22"/>
      <c r="H1573" s="22"/>
      <c r="I1573" s="23"/>
      <c r="J1573" s="22"/>
      <c r="K1573" s="23"/>
      <c r="L1573" s="22"/>
      <c r="M1573" s="23"/>
      <c r="N1573" s="23"/>
      <c r="O1573" s="24"/>
      <c r="P1573" s="16" t="b">
        <v>0</v>
      </c>
      <c r="Q1573" s="24"/>
      <c r="R1573" s="25"/>
      <c r="S1573" s="26"/>
      <c r="T1573" s="27"/>
      <c r="U1573" s="24"/>
      <c r="V1573" s="38" t="s">
        <v>29</v>
      </c>
      <c r="W1573" s="29" t="s">
        <v>22</v>
      </c>
      <c r="X1573" s="37" t="s">
        <v>1034</v>
      </c>
      <c r="Y1573" s="31"/>
      <c r="Z1573" s="26" t="str">
        <f t="shared" si="5"/>
        <v/>
      </c>
      <c r="AA1573" s="26" t="str">
        <f t="shared" si="6"/>
        <v/>
      </c>
      <c r="AB1573" s="32" t="str">
        <f t="shared" si="7"/>
        <v/>
      </c>
      <c r="AC1573" s="32" t="str">
        <f t="shared" ref="AC1573:AG1573" si="1577">IF(J1573&lt;&gt;"", IF(AND($P1573=FALSE, $A1573=FALSE), -J1573, IF(AND($P1573=FALSE, $A1573=TRUE), 0, IF($P1573=TRUE, (J1573 / $R1573) * 100 * ($S1573 / 100)-J1573, ))), )</f>
        <v/>
      </c>
      <c r="AD1573" s="32" t="str">
        <f t="shared" si="1577"/>
        <v/>
      </c>
      <c r="AE1573" s="32" t="str">
        <f t="shared" si="1577"/>
        <v/>
      </c>
      <c r="AF1573" s="32" t="str">
        <f t="shared" si="1577"/>
        <v/>
      </c>
      <c r="AG1573" s="32" t="str">
        <f t="shared" si="1577"/>
        <v/>
      </c>
      <c r="AH1573" s="33"/>
    </row>
    <row r="1574" hidden="1" outlineLevel="3">
      <c r="A1574" s="16" t="b">
        <v>0</v>
      </c>
      <c r="B1574" s="17"/>
      <c r="C1574" s="18"/>
      <c r="D1574" s="19"/>
      <c r="E1574" s="20"/>
      <c r="F1574" s="21"/>
      <c r="G1574" s="22"/>
      <c r="H1574" s="22"/>
      <c r="I1574" s="23"/>
      <c r="J1574" s="22"/>
      <c r="K1574" s="23"/>
      <c r="L1574" s="22"/>
      <c r="M1574" s="23"/>
      <c r="N1574" s="23"/>
      <c r="O1574" s="24"/>
      <c r="P1574" s="16" t="b">
        <v>0</v>
      </c>
      <c r="Q1574" s="24"/>
      <c r="R1574" s="25"/>
      <c r="S1574" s="26"/>
      <c r="T1574" s="27"/>
      <c r="U1574" s="24"/>
      <c r="V1574" s="38" t="s">
        <v>29</v>
      </c>
      <c r="W1574" s="29" t="s">
        <v>22</v>
      </c>
      <c r="X1574" s="37" t="s">
        <v>1035</v>
      </c>
      <c r="Y1574" s="31"/>
      <c r="Z1574" s="26" t="str">
        <f t="shared" si="5"/>
        <v/>
      </c>
      <c r="AA1574" s="26" t="str">
        <f t="shared" si="6"/>
        <v/>
      </c>
      <c r="AB1574" s="32" t="str">
        <f t="shared" si="7"/>
        <v/>
      </c>
      <c r="AC1574" s="32" t="str">
        <f t="shared" ref="AC1574:AG1574" si="1578">IF(J1574&lt;&gt;"", IF(AND($P1574=FALSE, $A1574=FALSE), -J1574, IF(AND($P1574=FALSE, $A1574=TRUE), 0, IF($P1574=TRUE, (J1574 / $R1574) * 100 * ($S1574 / 100)-J1574, ))), )</f>
        <v/>
      </c>
      <c r="AD1574" s="32" t="str">
        <f t="shared" si="1578"/>
        <v/>
      </c>
      <c r="AE1574" s="32" t="str">
        <f t="shared" si="1578"/>
        <v/>
      </c>
      <c r="AF1574" s="32" t="str">
        <f t="shared" si="1578"/>
        <v/>
      </c>
      <c r="AG1574" s="32" t="str">
        <f t="shared" si="1578"/>
        <v/>
      </c>
      <c r="AH1574" s="33"/>
    </row>
    <row r="1575" hidden="1" outlineLevel="3">
      <c r="A1575" s="16" t="b">
        <v>0</v>
      </c>
      <c r="B1575" s="17"/>
      <c r="C1575" s="18"/>
      <c r="D1575" s="19"/>
      <c r="E1575" s="20"/>
      <c r="F1575" s="21"/>
      <c r="G1575" s="22"/>
      <c r="H1575" s="22"/>
      <c r="I1575" s="23"/>
      <c r="J1575" s="22"/>
      <c r="K1575" s="23"/>
      <c r="L1575" s="22"/>
      <c r="M1575" s="23"/>
      <c r="N1575" s="23"/>
      <c r="O1575" s="24"/>
      <c r="P1575" s="16" t="b">
        <v>0</v>
      </c>
      <c r="Q1575" s="24"/>
      <c r="R1575" s="25"/>
      <c r="S1575" s="26"/>
      <c r="T1575" s="27"/>
      <c r="U1575" s="24"/>
      <c r="V1575" s="38" t="s">
        <v>29</v>
      </c>
      <c r="W1575" s="29" t="s">
        <v>22</v>
      </c>
      <c r="X1575" s="37" t="s">
        <v>1036</v>
      </c>
      <c r="Y1575" s="31"/>
      <c r="Z1575" s="26" t="str">
        <f t="shared" si="5"/>
        <v/>
      </c>
      <c r="AA1575" s="26" t="str">
        <f t="shared" si="6"/>
        <v/>
      </c>
      <c r="AB1575" s="32" t="str">
        <f t="shared" si="7"/>
        <v/>
      </c>
      <c r="AC1575" s="32" t="str">
        <f t="shared" ref="AC1575:AG1575" si="1579">IF(J1575&lt;&gt;"", IF(AND($P1575=FALSE, $A1575=FALSE), -J1575, IF(AND($P1575=FALSE, $A1575=TRUE), 0, IF($P1575=TRUE, (J1575 / $R1575) * 100 * ($S1575 / 100)-J1575, ))), )</f>
        <v/>
      </c>
      <c r="AD1575" s="32" t="str">
        <f t="shared" si="1579"/>
        <v/>
      </c>
      <c r="AE1575" s="32" t="str">
        <f t="shared" si="1579"/>
        <v/>
      </c>
      <c r="AF1575" s="32" t="str">
        <f t="shared" si="1579"/>
        <v/>
      </c>
      <c r="AG1575" s="32" t="str">
        <f t="shared" si="1579"/>
        <v/>
      </c>
      <c r="AH1575" s="33"/>
    </row>
    <row r="1576" hidden="1" outlineLevel="2" collapsed="1">
      <c r="A1576" s="16" t="b">
        <v>0</v>
      </c>
      <c r="B1576" s="17"/>
      <c r="C1576" s="18"/>
      <c r="D1576" s="42">
        <v>45297.0</v>
      </c>
      <c r="E1576" s="43" t="s">
        <v>24</v>
      </c>
      <c r="F1576" s="53" t="s">
        <v>1031</v>
      </c>
      <c r="G1576" s="45">
        <v>2.0</v>
      </c>
      <c r="H1576" s="45">
        <v>1.0</v>
      </c>
      <c r="I1576" s="45">
        <v>5.0</v>
      </c>
      <c r="J1576" s="46"/>
      <c r="K1576" s="46"/>
      <c r="L1576" s="45"/>
      <c r="M1576" s="46"/>
      <c r="N1576" s="46"/>
      <c r="O1576" s="47"/>
      <c r="P1576" s="16" t="b">
        <v>0</v>
      </c>
      <c r="Q1576" s="24"/>
      <c r="R1576" s="48">
        <v>8.0</v>
      </c>
      <c r="S1576" s="45">
        <v>28.72</v>
      </c>
      <c r="T1576" s="49" t="s">
        <v>1037</v>
      </c>
      <c r="U1576" s="47"/>
      <c r="V1576" s="28"/>
      <c r="W1576" s="29"/>
      <c r="X1576" s="30"/>
      <c r="Y1576" s="31"/>
      <c r="Z1576" s="26">
        <f t="shared" si="5"/>
        <v>-2</v>
      </c>
      <c r="AA1576" s="26">
        <f t="shared" si="6"/>
        <v>-5</v>
      </c>
      <c r="AB1576" s="32">
        <f t="shared" si="7"/>
        <v>-1</v>
      </c>
      <c r="AC1576" s="32" t="str">
        <f t="shared" ref="AC1576:AG1576" si="1580">IF(J1576&lt;&gt;"", IF(AND($P1576=FALSE, $A1576=FALSE), -J1576, IF(AND($P1576=FALSE, $A1576=TRUE), 0, IF($P1576=TRUE, (J1576 / $R1576) * 100 * ($S1576 / 100)-J1576, ))), )</f>
        <v/>
      </c>
      <c r="AD1576" s="32" t="str">
        <f t="shared" si="1580"/>
        <v/>
      </c>
      <c r="AE1576" s="32" t="str">
        <f t="shared" si="1580"/>
        <v/>
      </c>
      <c r="AF1576" s="32" t="str">
        <f t="shared" si="1580"/>
        <v/>
      </c>
      <c r="AG1576" s="32" t="str">
        <f t="shared" si="1580"/>
        <v/>
      </c>
      <c r="AH1576" s="33"/>
    </row>
    <row r="1577" hidden="1" outlineLevel="3">
      <c r="A1577" s="16" t="b">
        <v>0</v>
      </c>
      <c r="B1577" s="17"/>
      <c r="C1577" s="18"/>
      <c r="D1577" s="19"/>
      <c r="E1577" s="20"/>
      <c r="F1577" s="21"/>
      <c r="G1577" s="22"/>
      <c r="H1577" s="22"/>
      <c r="I1577" s="23"/>
      <c r="J1577" s="22"/>
      <c r="K1577" s="23"/>
      <c r="L1577" s="22"/>
      <c r="M1577" s="23"/>
      <c r="N1577" s="23"/>
      <c r="O1577" s="24"/>
      <c r="P1577" s="16" t="b">
        <v>0</v>
      </c>
      <c r="Q1577" s="24"/>
      <c r="R1577" s="25"/>
      <c r="S1577" s="26"/>
      <c r="T1577" s="27"/>
      <c r="U1577" s="24"/>
      <c r="V1577" s="66">
        <v>141.0</v>
      </c>
      <c r="W1577" s="29" t="s">
        <v>22</v>
      </c>
      <c r="X1577" s="37" t="s">
        <v>1038</v>
      </c>
      <c r="Y1577" s="31"/>
      <c r="Z1577" s="26" t="str">
        <f t="shared" si="5"/>
        <v/>
      </c>
      <c r="AA1577" s="26" t="str">
        <f t="shared" si="6"/>
        <v/>
      </c>
      <c r="AB1577" s="32" t="str">
        <f t="shared" si="7"/>
        <v/>
      </c>
      <c r="AC1577" s="32" t="str">
        <f t="shared" ref="AC1577:AG1577" si="1581">IF(J1577&lt;&gt;"", IF(AND($P1577=FALSE, $A1577=FALSE), -J1577, IF(AND($P1577=FALSE, $A1577=TRUE), 0, IF($P1577=TRUE, (J1577 / $R1577) * 100 * ($S1577 / 100)-J1577, ))), )</f>
        <v/>
      </c>
      <c r="AD1577" s="32" t="str">
        <f t="shared" si="1581"/>
        <v/>
      </c>
      <c r="AE1577" s="32" t="str">
        <f t="shared" si="1581"/>
        <v/>
      </c>
      <c r="AF1577" s="32" t="str">
        <f t="shared" si="1581"/>
        <v/>
      </c>
      <c r="AG1577" s="32" t="str">
        <f t="shared" si="1581"/>
        <v/>
      </c>
      <c r="AH1577" s="33"/>
    </row>
    <row r="1578" hidden="1" outlineLevel="3">
      <c r="A1578" s="16" t="b">
        <v>0</v>
      </c>
      <c r="B1578" s="17"/>
      <c r="C1578" s="18"/>
      <c r="D1578" s="19"/>
      <c r="E1578" s="20"/>
      <c r="F1578" s="21"/>
      <c r="G1578" s="22"/>
      <c r="H1578" s="22"/>
      <c r="I1578" s="23"/>
      <c r="J1578" s="22"/>
      <c r="K1578" s="23"/>
      <c r="L1578" s="22"/>
      <c r="M1578" s="23"/>
      <c r="N1578" s="23"/>
      <c r="O1578" s="24"/>
      <c r="P1578" s="16" t="b">
        <v>0</v>
      </c>
      <c r="Q1578" s="24"/>
      <c r="R1578" s="25"/>
      <c r="S1578" s="26"/>
      <c r="T1578" s="27"/>
      <c r="U1578" s="24"/>
      <c r="V1578" s="38" t="s">
        <v>29</v>
      </c>
      <c r="W1578" s="29" t="s">
        <v>22</v>
      </c>
      <c r="X1578" s="37" t="s">
        <v>522</v>
      </c>
      <c r="Y1578" s="31"/>
      <c r="Z1578" s="26" t="str">
        <f t="shared" si="5"/>
        <v/>
      </c>
      <c r="AA1578" s="26" t="str">
        <f t="shared" si="6"/>
        <v/>
      </c>
      <c r="AB1578" s="32" t="str">
        <f t="shared" si="7"/>
        <v/>
      </c>
      <c r="AC1578" s="32" t="str">
        <f t="shared" ref="AC1578:AG1578" si="1582">IF(J1578&lt;&gt;"", IF(AND($P1578=FALSE, $A1578=FALSE), -J1578, IF(AND($P1578=FALSE, $A1578=TRUE), 0, IF($P1578=TRUE, (J1578 / $R1578) * 100 * ($S1578 / 100)-J1578, ))), )</f>
        <v/>
      </c>
      <c r="AD1578" s="32" t="str">
        <f t="shared" si="1582"/>
        <v/>
      </c>
      <c r="AE1578" s="32" t="str">
        <f t="shared" si="1582"/>
        <v/>
      </c>
      <c r="AF1578" s="32" t="str">
        <f t="shared" si="1582"/>
        <v/>
      </c>
      <c r="AG1578" s="32" t="str">
        <f t="shared" si="1582"/>
        <v/>
      </c>
      <c r="AH1578" s="33"/>
    </row>
    <row r="1579" hidden="1" outlineLevel="3">
      <c r="A1579" s="16" t="b">
        <v>0</v>
      </c>
      <c r="B1579" s="17"/>
      <c r="C1579" s="18"/>
      <c r="D1579" s="19"/>
      <c r="E1579" s="20"/>
      <c r="F1579" s="21"/>
      <c r="G1579" s="22"/>
      <c r="H1579" s="22"/>
      <c r="I1579" s="23"/>
      <c r="J1579" s="22"/>
      <c r="K1579" s="23"/>
      <c r="L1579" s="22"/>
      <c r="M1579" s="23"/>
      <c r="N1579" s="23"/>
      <c r="O1579" s="24"/>
      <c r="P1579" s="16" t="b">
        <v>0</v>
      </c>
      <c r="Q1579" s="24"/>
      <c r="R1579" s="25"/>
      <c r="S1579" s="26"/>
      <c r="T1579" s="27"/>
      <c r="U1579" s="24"/>
      <c r="V1579" s="38" t="s">
        <v>29</v>
      </c>
      <c r="W1579" s="29" t="s">
        <v>22</v>
      </c>
      <c r="X1579" s="37" t="s">
        <v>1039</v>
      </c>
      <c r="Y1579" s="31"/>
      <c r="Z1579" s="26" t="str">
        <f t="shared" si="5"/>
        <v/>
      </c>
      <c r="AA1579" s="26" t="str">
        <f t="shared" si="6"/>
        <v/>
      </c>
      <c r="AB1579" s="32" t="str">
        <f t="shared" si="7"/>
        <v/>
      </c>
      <c r="AC1579" s="32" t="str">
        <f t="shared" ref="AC1579:AG1579" si="1583">IF(J1579&lt;&gt;"", IF(AND($P1579=FALSE, $A1579=FALSE), -J1579, IF(AND($P1579=FALSE, $A1579=TRUE), 0, IF($P1579=TRUE, (J1579 / $R1579) * 100 * ($S1579 / 100)-J1579, ))), )</f>
        <v/>
      </c>
      <c r="AD1579" s="32" t="str">
        <f t="shared" si="1583"/>
        <v/>
      </c>
      <c r="AE1579" s="32" t="str">
        <f t="shared" si="1583"/>
        <v/>
      </c>
      <c r="AF1579" s="32" t="str">
        <f t="shared" si="1583"/>
        <v/>
      </c>
      <c r="AG1579" s="32" t="str">
        <f t="shared" si="1583"/>
        <v/>
      </c>
      <c r="AH1579" s="33"/>
    </row>
    <row r="1580" hidden="1" outlineLevel="3">
      <c r="A1580" s="16" t="b">
        <v>0</v>
      </c>
      <c r="B1580" s="17"/>
      <c r="C1580" s="18"/>
      <c r="D1580" s="19"/>
      <c r="E1580" s="20"/>
      <c r="F1580" s="21"/>
      <c r="G1580" s="22"/>
      <c r="H1580" s="22"/>
      <c r="I1580" s="23"/>
      <c r="J1580" s="22"/>
      <c r="K1580" s="23"/>
      <c r="L1580" s="22"/>
      <c r="M1580" s="23"/>
      <c r="N1580" s="23"/>
      <c r="O1580" s="24"/>
      <c r="P1580" s="16" t="b">
        <v>0</v>
      </c>
      <c r="Q1580" s="24"/>
      <c r="R1580" s="25"/>
      <c r="S1580" s="26"/>
      <c r="T1580" s="27"/>
      <c r="U1580" s="24"/>
      <c r="V1580" s="38" t="s">
        <v>29</v>
      </c>
      <c r="W1580" s="29" t="s">
        <v>22</v>
      </c>
      <c r="X1580" s="37" t="s">
        <v>1040</v>
      </c>
      <c r="Y1580" s="31"/>
      <c r="Z1580" s="26" t="str">
        <f t="shared" si="5"/>
        <v/>
      </c>
      <c r="AA1580" s="26" t="str">
        <f t="shared" si="6"/>
        <v/>
      </c>
      <c r="AB1580" s="32" t="str">
        <f t="shared" si="7"/>
        <v/>
      </c>
      <c r="AC1580" s="32" t="str">
        <f t="shared" ref="AC1580:AG1580" si="1584">IF(J1580&lt;&gt;"", IF(AND($P1580=FALSE, $A1580=FALSE), -J1580, IF(AND($P1580=FALSE, $A1580=TRUE), 0, IF($P1580=TRUE, (J1580 / $R1580) * 100 * ($S1580 / 100)-J1580, ))), )</f>
        <v/>
      </c>
      <c r="AD1580" s="32" t="str">
        <f t="shared" si="1584"/>
        <v/>
      </c>
      <c r="AE1580" s="32" t="str">
        <f t="shared" si="1584"/>
        <v/>
      </c>
      <c r="AF1580" s="32" t="str">
        <f t="shared" si="1584"/>
        <v/>
      </c>
      <c r="AG1580" s="32" t="str">
        <f t="shared" si="1584"/>
        <v/>
      </c>
      <c r="AH1580" s="33"/>
    </row>
    <row r="1581" hidden="1" outlineLevel="2" collapsed="1">
      <c r="A1581" s="16" t="b">
        <v>0</v>
      </c>
      <c r="B1581" s="17"/>
      <c r="C1581" s="18"/>
      <c r="D1581" s="42">
        <v>45296.0</v>
      </c>
      <c r="E1581" s="80" t="s">
        <v>60</v>
      </c>
      <c r="F1581" s="53" t="s">
        <v>1003</v>
      </c>
      <c r="G1581" s="45">
        <v>2.0</v>
      </c>
      <c r="H1581" s="45">
        <v>1.0</v>
      </c>
      <c r="I1581" s="45"/>
      <c r="J1581" s="45"/>
      <c r="K1581" s="79"/>
      <c r="L1581" s="45"/>
      <c r="M1581" s="46"/>
      <c r="N1581" s="46"/>
      <c r="O1581" s="47"/>
      <c r="P1581" s="16" t="b">
        <v>0</v>
      </c>
      <c r="Q1581" s="24"/>
      <c r="R1581" s="48">
        <v>3.0</v>
      </c>
      <c r="S1581" s="45">
        <v>7.04</v>
      </c>
      <c r="T1581" s="49" t="s">
        <v>355</v>
      </c>
      <c r="U1581" s="47"/>
      <c r="V1581" s="28"/>
      <c r="W1581" s="29"/>
      <c r="X1581" s="30"/>
      <c r="Y1581" s="31"/>
      <c r="Z1581" s="26">
        <f t="shared" si="5"/>
        <v>-2</v>
      </c>
      <c r="AA1581" s="26" t="str">
        <f t="shared" si="6"/>
        <v/>
      </c>
      <c r="AB1581" s="32">
        <f t="shared" si="7"/>
        <v>-1</v>
      </c>
      <c r="AC1581" s="32" t="str">
        <f t="shared" ref="AC1581:AG1581" si="1585">IF(J1581&lt;&gt;"", IF(AND($P1581=FALSE, $A1581=FALSE), -J1581, IF(AND($P1581=FALSE, $A1581=TRUE), 0, IF($P1581=TRUE, (J1581 / $R1581) * 100 * ($S1581 / 100)-J1581, ))), )</f>
        <v/>
      </c>
      <c r="AD1581" s="32" t="str">
        <f t="shared" si="1585"/>
        <v/>
      </c>
      <c r="AE1581" s="32" t="str">
        <f t="shared" si="1585"/>
        <v/>
      </c>
      <c r="AF1581" s="32" t="str">
        <f t="shared" si="1585"/>
        <v/>
      </c>
      <c r="AG1581" s="32" t="str">
        <f t="shared" si="1585"/>
        <v/>
      </c>
      <c r="AH1581" s="33"/>
    </row>
    <row r="1582" hidden="1" outlineLevel="3">
      <c r="A1582" s="16" t="b">
        <v>0</v>
      </c>
      <c r="B1582" s="17"/>
      <c r="C1582" s="18"/>
      <c r="D1582" s="19"/>
      <c r="E1582" s="20"/>
      <c r="F1582" s="21"/>
      <c r="G1582" s="22"/>
      <c r="H1582" s="22"/>
      <c r="I1582" s="23"/>
      <c r="J1582" s="22"/>
      <c r="K1582" s="23"/>
      <c r="L1582" s="22"/>
      <c r="M1582" s="23"/>
      <c r="N1582" s="23"/>
      <c r="O1582" s="24"/>
      <c r="P1582" s="16" t="b">
        <v>0</v>
      </c>
      <c r="Q1582" s="24"/>
      <c r="R1582" s="25"/>
      <c r="S1582" s="26"/>
      <c r="T1582" s="27"/>
      <c r="U1582" s="24"/>
      <c r="V1582" s="38" t="s">
        <v>29</v>
      </c>
      <c r="W1582" s="29" t="s">
        <v>22</v>
      </c>
      <c r="X1582" s="37" t="s">
        <v>1041</v>
      </c>
      <c r="Y1582" s="31"/>
      <c r="Z1582" s="26" t="str">
        <f t="shared" si="5"/>
        <v/>
      </c>
      <c r="AA1582" s="26" t="str">
        <f t="shared" si="6"/>
        <v/>
      </c>
      <c r="AB1582" s="32" t="str">
        <f t="shared" si="7"/>
        <v/>
      </c>
      <c r="AC1582" s="32" t="str">
        <f t="shared" ref="AC1582:AG1582" si="1586">IF(J1582&lt;&gt;"", IF(AND($P1582=FALSE, $A1582=FALSE), -J1582, IF(AND($P1582=FALSE, $A1582=TRUE), 0, IF($P1582=TRUE, (J1582 / $R1582) * 100 * ($S1582 / 100)-J1582, ))), )</f>
        <v/>
      </c>
      <c r="AD1582" s="32" t="str">
        <f t="shared" si="1586"/>
        <v/>
      </c>
      <c r="AE1582" s="32" t="str">
        <f t="shared" si="1586"/>
        <v/>
      </c>
      <c r="AF1582" s="32" t="str">
        <f t="shared" si="1586"/>
        <v/>
      </c>
      <c r="AG1582" s="32" t="str">
        <f t="shared" si="1586"/>
        <v/>
      </c>
      <c r="AH1582" s="33"/>
    </row>
    <row r="1583" hidden="1" outlineLevel="3">
      <c r="A1583" s="16" t="b">
        <v>0</v>
      </c>
      <c r="B1583" s="17"/>
      <c r="C1583" s="18"/>
      <c r="D1583" s="19"/>
      <c r="E1583" s="20"/>
      <c r="F1583" s="21"/>
      <c r="G1583" s="22"/>
      <c r="H1583" s="22"/>
      <c r="I1583" s="23"/>
      <c r="J1583" s="22"/>
      <c r="K1583" s="23"/>
      <c r="L1583" s="22"/>
      <c r="M1583" s="23"/>
      <c r="N1583" s="23"/>
      <c r="O1583" s="24"/>
      <c r="P1583" s="16" t="b">
        <v>0</v>
      </c>
      <c r="Q1583" s="24"/>
      <c r="R1583" s="25"/>
      <c r="S1583" s="26"/>
      <c r="T1583" s="27"/>
      <c r="U1583" s="24"/>
      <c r="V1583" s="86" t="s">
        <v>1042</v>
      </c>
      <c r="W1583" s="29" t="s">
        <v>22</v>
      </c>
      <c r="X1583" s="37" t="s">
        <v>1043</v>
      </c>
      <c r="Y1583" s="31"/>
      <c r="Z1583" s="26" t="str">
        <f t="shared" si="5"/>
        <v/>
      </c>
      <c r="AA1583" s="26" t="str">
        <f t="shared" si="6"/>
        <v/>
      </c>
      <c r="AB1583" s="32" t="str">
        <f t="shared" si="7"/>
        <v/>
      </c>
      <c r="AC1583" s="32" t="str">
        <f t="shared" ref="AC1583:AG1583" si="1587">IF(J1583&lt;&gt;"", IF(AND($P1583=FALSE, $A1583=FALSE), -J1583, IF(AND($P1583=FALSE, $A1583=TRUE), 0, IF($P1583=TRUE, (J1583 / $R1583) * 100 * ($S1583 / 100)-J1583, ))), )</f>
        <v/>
      </c>
      <c r="AD1583" s="32" t="str">
        <f t="shared" si="1587"/>
        <v/>
      </c>
      <c r="AE1583" s="32" t="str">
        <f t="shared" si="1587"/>
        <v/>
      </c>
      <c r="AF1583" s="32" t="str">
        <f t="shared" si="1587"/>
        <v/>
      </c>
      <c r="AG1583" s="32" t="str">
        <f t="shared" si="1587"/>
        <v/>
      </c>
      <c r="AH1583" s="33"/>
    </row>
    <row r="1584" hidden="1" outlineLevel="3">
      <c r="A1584" s="16" t="b">
        <v>0</v>
      </c>
      <c r="B1584" s="17"/>
      <c r="C1584" s="18"/>
      <c r="D1584" s="19"/>
      <c r="E1584" s="20"/>
      <c r="F1584" s="21"/>
      <c r="G1584" s="22"/>
      <c r="H1584" s="22"/>
      <c r="I1584" s="23"/>
      <c r="J1584" s="22"/>
      <c r="K1584" s="23"/>
      <c r="L1584" s="22"/>
      <c r="M1584" s="23"/>
      <c r="N1584" s="23"/>
      <c r="O1584" s="24"/>
      <c r="P1584" s="16" t="b">
        <v>0</v>
      </c>
      <c r="Q1584" s="24"/>
      <c r="R1584" s="25"/>
      <c r="S1584" s="26"/>
      <c r="T1584" s="27"/>
      <c r="U1584" s="24"/>
      <c r="V1584" s="86" t="s">
        <v>1044</v>
      </c>
      <c r="W1584" s="29" t="s">
        <v>22</v>
      </c>
      <c r="X1584" s="37" t="s">
        <v>1045</v>
      </c>
      <c r="Y1584" s="31"/>
      <c r="Z1584" s="26" t="str">
        <f t="shared" si="5"/>
        <v/>
      </c>
      <c r="AA1584" s="26" t="str">
        <f t="shared" si="6"/>
        <v/>
      </c>
      <c r="AB1584" s="32" t="str">
        <f t="shared" si="7"/>
        <v/>
      </c>
      <c r="AC1584" s="32" t="str">
        <f t="shared" ref="AC1584:AG1584" si="1588">IF(J1584&lt;&gt;"", IF(AND($P1584=FALSE, $A1584=FALSE), -J1584, IF(AND($P1584=FALSE, $A1584=TRUE), 0, IF($P1584=TRUE, (J1584 / $R1584) * 100 * ($S1584 / 100)-J1584, ))), )</f>
        <v/>
      </c>
      <c r="AD1584" s="32" t="str">
        <f t="shared" si="1588"/>
        <v/>
      </c>
      <c r="AE1584" s="32" t="str">
        <f t="shared" si="1588"/>
        <v/>
      </c>
      <c r="AF1584" s="32" t="str">
        <f t="shared" si="1588"/>
        <v/>
      </c>
      <c r="AG1584" s="32" t="str">
        <f t="shared" si="1588"/>
        <v/>
      </c>
      <c r="AH1584" s="33"/>
    </row>
    <row r="1585" hidden="1" outlineLevel="2" collapsed="1">
      <c r="A1585" s="16" t="b">
        <v>0</v>
      </c>
      <c r="B1585" s="17"/>
      <c r="C1585" s="18"/>
      <c r="D1585" s="42">
        <v>45296.0</v>
      </c>
      <c r="E1585" s="80" t="s">
        <v>60</v>
      </c>
      <c r="F1585" s="53" t="s">
        <v>1003</v>
      </c>
      <c r="G1585" s="45">
        <v>2.0</v>
      </c>
      <c r="H1585" s="45">
        <v>1.0</v>
      </c>
      <c r="I1585" s="45"/>
      <c r="J1585" s="45"/>
      <c r="K1585" s="79"/>
      <c r="L1585" s="45"/>
      <c r="M1585" s="46"/>
      <c r="N1585" s="46"/>
      <c r="O1585" s="47"/>
      <c r="P1585" s="16" t="b">
        <v>1</v>
      </c>
      <c r="Q1585" s="24"/>
      <c r="R1585" s="48">
        <v>3.0</v>
      </c>
      <c r="S1585" s="45">
        <v>7.37</v>
      </c>
      <c r="T1585" s="49" t="s">
        <v>214</v>
      </c>
      <c r="U1585" s="47"/>
      <c r="V1585" s="28"/>
      <c r="W1585" s="29"/>
      <c r="X1585" s="30"/>
      <c r="Y1585" s="31"/>
      <c r="Z1585" s="26">
        <f t="shared" si="5"/>
        <v>2.913333333</v>
      </c>
      <c r="AA1585" s="26" t="str">
        <f t="shared" si="6"/>
        <v/>
      </c>
      <c r="AB1585" s="32">
        <f t="shared" si="7"/>
        <v>1.456666667</v>
      </c>
      <c r="AC1585" s="32" t="str">
        <f t="shared" ref="AC1585:AG1585" si="1589">IF(J1585&lt;&gt;"", IF(AND($P1585=FALSE, $A1585=FALSE), -J1585, IF(AND($P1585=FALSE, $A1585=TRUE), 0, IF($P1585=TRUE, (J1585 / $R1585) * 100 * ($S1585 / 100)-J1585, ))), )</f>
        <v/>
      </c>
      <c r="AD1585" s="32" t="str">
        <f t="shared" si="1589"/>
        <v/>
      </c>
      <c r="AE1585" s="32" t="str">
        <f t="shared" si="1589"/>
        <v/>
      </c>
      <c r="AF1585" s="32" t="str">
        <f t="shared" si="1589"/>
        <v/>
      </c>
      <c r="AG1585" s="32" t="str">
        <f t="shared" si="1589"/>
        <v/>
      </c>
      <c r="AH1585" s="33"/>
    </row>
    <row r="1586" hidden="1" outlineLevel="3">
      <c r="A1586" s="16" t="b">
        <v>0</v>
      </c>
      <c r="B1586" s="17"/>
      <c r="C1586" s="18"/>
      <c r="D1586" s="19"/>
      <c r="E1586" s="20"/>
      <c r="F1586" s="21"/>
      <c r="G1586" s="22"/>
      <c r="H1586" s="22"/>
      <c r="I1586" s="23"/>
      <c r="J1586" s="22"/>
      <c r="K1586" s="23"/>
      <c r="L1586" s="22"/>
      <c r="M1586" s="23"/>
      <c r="N1586" s="23"/>
      <c r="O1586" s="24"/>
      <c r="P1586" s="16" t="b">
        <v>0</v>
      </c>
      <c r="Q1586" s="24"/>
      <c r="R1586" s="25"/>
      <c r="S1586" s="26"/>
      <c r="T1586" s="27"/>
      <c r="U1586" s="24"/>
      <c r="V1586" s="38" t="s">
        <v>29</v>
      </c>
      <c r="W1586" s="29" t="s">
        <v>22</v>
      </c>
      <c r="X1586" s="37" t="s">
        <v>425</v>
      </c>
      <c r="Y1586" s="31"/>
      <c r="Z1586" s="26" t="str">
        <f t="shared" si="5"/>
        <v/>
      </c>
      <c r="AA1586" s="26" t="str">
        <f t="shared" si="6"/>
        <v/>
      </c>
      <c r="AB1586" s="32" t="str">
        <f t="shared" si="7"/>
        <v/>
      </c>
      <c r="AC1586" s="32" t="str">
        <f t="shared" ref="AC1586:AG1586" si="1590">IF(J1586&lt;&gt;"", IF(AND($P1586=FALSE, $A1586=FALSE), -J1586, IF(AND($P1586=FALSE, $A1586=TRUE), 0, IF($P1586=TRUE, (J1586 / $R1586) * 100 * ($S1586 / 100)-J1586, ))), )</f>
        <v/>
      </c>
      <c r="AD1586" s="32" t="str">
        <f t="shared" si="1590"/>
        <v/>
      </c>
      <c r="AE1586" s="32" t="str">
        <f t="shared" si="1590"/>
        <v/>
      </c>
      <c r="AF1586" s="32" t="str">
        <f t="shared" si="1590"/>
        <v/>
      </c>
      <c r="AG1586" s="32" t="str">
        <f t="shared" si="1590"/>
        <v/>
      </c>
      <c r="AH1586" s="33"/>
    </row>
    <row r="1587" hidden="1" outlineLevel="3">
      <c r="A1587" s="16" t="b">
        <v>0</v>
      </c>
      <c r="B1587" s="17"/>
      <c r="C1587" s="18"/>
      <c r="D1587" s="19"/>
      <c r="E1587" s="20"/>
      <c r="F1587" s="21"/>
      <c r="G1587" s="22"/>
      <c r="H1587" s="22"/>
      <c r="I1587" s="23"/>
      <c r="J1587" s="22"/>
      <c r="K1587" s="23"/>
      <c r="L1587" s="22"/>
      <c r="M1587" s="23"/>
      <c r="N1587" s="23"/>
      <c r="O1587" s="24"/>
      <c r="P1587" s="16" t="b">
        <v>0</v>
      </c>
      <c r="Q1587" s="24"/>
      <c r="R1587" s="25"/>
      <c r="S1587" s="26"/>
      <c r="T1587" s="27"/>
      <c r="U1587" s="24"/>
      <c r="V1587" s="38" t="s">
        <v>29</v>
      </c>
      <c r="W1587" s="29" t="s">
        <v>22</v>
      </c>
      <c r="X1587" s="37" t="s">
        <v>1046</v>
      </c>
      <c r="Y1587" s="31"/>
      <c r="Z1587" s="26" t="str">
        <f t="shared" si="5"/>
        <v/>
      </c>
      <c r="AA1587" s="26" t="str">
        <f t="shared" si="6"/>
        <v/>
      </c>
      <c r="AB1587" s="32" t="str">
        <f t="shared" si="7"/>
        <v/>
      </c>
      <c r="AC1587" s="32" t="str">
        <f t="shared" ref="AC1587:AG1587" si="1591">IF(J1587&lt;&gt;"", IF(AND($P1587=FALSE, $A1587=FALSE), -J1587, IF(AND($P1587=FALSE, $A1587=TRUE), 0, IF($P1587=TRUE, (J1587 / $R1587) * 100 * ($S1587 / 100)-J1587, ))), )</f>
        <v/>
      </c>
      <c r="AD1587" s="32" t="str">
        <f t="shared" si="1591"/>
        <v/>
      </c>
      <c r="AE1587" s="32" t="str">
        <f t="shared" si="1591"/>
        <v/>
      </c>
      <c r="AF1587" s="32" t="str">
        <f t="shared" si="1591"/>
        <v/>
      </c>
      <c r="AG1587" s="32" t="str">
        <f t="shared" si="1591"/>
        <v/>
      </c>
      <c r="AH1587" s="33"/>
    </row>
    <row r="1588" hidden="1" outlineLevel="3">
      <c r="A1588" s="16" t="b">
        <v>0</v>
      </c>
      <c r="B1588" s="17"/>
      <c r="C1588" s="18"/>
      <c r="D1588" s="19"/>
      <c r="E1588" s="20"/>
      <c r="F1588" s="21"/>
      <c r="G1588" s="22"/>
      <c r="H1588" s="22"/>
      <c r="I1588" s="23"/>
      <c r="J1588" s="22"/>
      <c r="K1588" s="23"/>
      <c r="L1588" s="22"/>
      <c r="M1588" s="23"/>
      <c r="N1588" s="23"/>
      <c r="O1588" s="24"/>
      <c r="P1588" s="16" t="b">
        <v>0</v>
      </c>
      <c r="Q1588" s="24"/>
      <c r="R1588" s="25"/>
      <c r="S1588" s="26"/>
      <c r="T1588" s="27"/>
      <c r="U1588" s="24"/>
      <c r="V1588" s="38" t="s">
        <v>29</v>
      </c>
      <c r="W1588" s="29" t="s">
        <v>22</v>
      </c>
      <c r="X1588" s="37" t="s">
        <v>230</v>
      </c>
      <c r="Y1588" s="31"/>
      <c r="Z1588" s="26" t="str">
        <f t="shared" si="5"/>
        <v/>
      </c>
      <c r="AA1588" s="26" t="str">
        <f t="shared" si="6"/>
        <v/>
      </c>
      <c r="AB1588" s="32" t="str">
        <f t="shared" si="7"/>
        <v/>
      </c>
      <c r="AC1588" s="32" t="str">
        <f t="shared" ref="AC1588:AG1588" si="1592">IF(J1588&lt;&gt;"", IF(AND($P1588=FALSE, $A1588=FALSE), -J1588, IF(AND($P1588=FALSE, $A1588=TRUE), 0, IF($P1588=TRUE, (J1588 / $R1588) * 100 * ($S1588 / 100)-J1588, ))), )</f>
        <v/>
      </c>
      <c r="AD1588" s="32" t="str">
        <f t="shared" si="1592"/>
        <v/>
      </c>
      <c r="AE1588" s="32" t="str">
        <f t="shared" si="1592"/>
        <v/>
      </c>
      <c r="AF1588" s="32" t="str">
        <f t="shared" si="1592"/>
        <v/>
      </c>
      <c r="AG1588" s="32" t="str">
        <f t="shared" si="1592"/>
        <v/>
      </c>
      <c r="AH1588" s="33"/>
    </row>
    <row r="1589" hidden="1" outlineLevel="3">
      <c r="A1589" s="16" t="b">
        <v>0</v>
      </c>
      <c r="B1589" s="17"/>
      <c r="C1589" s="18"/>
      <c r="D1589" s="19"/>
      <c r="E1589" s="20"/>
      <c r="F1589" s="21"/>
      <c r="G1589" s="22"/>
      <c r="H1589" s="22"/>
      <c r="I1589" s="23"/>
      <c r="J1589" s="22"/>
      <c r="K1589" s="23"/>
      <c r="L1589" s="22"/>
      <c r="M1589" s="23"/>
      <c r="N1589" s="23"/>
      <c r="O1589" s="24"/>
      <c r="P1589" s="16" t="b">
        <v>0</v>
      </c>
      <c r="Q1589" s="24"/>
      <c r="R1589" s="25"/>
      <c r="S1589" s="26"/>
      <c r="T1589" s="27"/>
      <c r="U1589" s="24"/>
      <c r="V1589" s="38" t="s">
        <v>29</v>
      </c>
      <c r="W1589" s="29" t="s">
        <v>22</v>
      </c>
      <c r="X1589" s="37" t="s">
        <v>286</v>
      </c>
      <c r="Y1589" s="31"/>
      <c r="Z1589" s="26" t="str">
        <f t="shared" si="5"/>
        <v/>
      </c>
      <c r="AA1589" s="26" t="str">
        <f t="shared" si="6"/>
        <v/>
      </c>
      <c r="AB1589" s="32" t="str">
        <f t="shared" si="7"/>
        <v/>
      </c>
      <c r="AC1589" s="32" t="str">
        <f t="shared" ref="AC1589:AG1589" si="1593">IF(J1589&lt;&gt;"", IF(AND($P1589=FALSE, $A1589=FALSE), -J1589, IF(AND($P1589=FALSE, $A1589=TRUE), 0, IF($P1589=TRUE, (J1589 / $R1589) * 100 * ($S1589 / 100)-J1589, ))), )</f>
        <v/>
      </c>
      <c r="AD1589" s="32" t="str">
        <f t="shared" si="1593"/>
        <v/>
      </c>
      <c r="AE1589" s="32" t="str">
        <f t="shared" si="1593"/>
        <v/>
      </c>
      <c r="AF1589" s="32" t="str">
        <f t="shared" si="1593"/>
        <v/>
      </c>
      <c r="AG1589" s="32" t="str">
        <f t="shared" si="1593"/>
        <v/>
      </c>
      <c r="AH1589" s="33"/>
    </row>
    <row r="1590" hidden="1" outlineLevel="3">
      <c r="A1590" s="16" t="b">
        <v>0</v>
      </c>
      <c r="B1590" s="17"/>
      <c r="C1590" s="18"/>
      <c r="D1590" s="19"/>
      <c r="E1590" s="20"/>
      <c r="F1590" s="21"/>
      <c r="G1590" s="22"/>
      <c r="H1590" s="22"/>
      <c r="I1590" s="23"/>
      <c r="J1590" s="22"/>
      <c r="K1590" s="23"/>
      <c r="L1590" s="22"/>
      <c r="M1590" s="23"/>
      <c r="N1590" s="23"/>
      <c r="O1590" s="24"/>
      <c r="P1590" s="16" t="b">
        <v>0</v>
      </c>
      <c r="Q1590" s="24"/>
      <c r="R1590" s="25"/>
      <c r="S1590" s="26"/>
      <c r="T1590" s="27"/>
      <c r="U1590" s="24"/>
      <c r="V1590" s="38" t="s">
        <v>29</v>
      </c>
      <c r="W1590" s="29" t="s">
        <v>22</v>
      </c>
      <c r="X1590" s="37" t="s">
        <v>1047</v>
      </c>
      <c r="Y1590" s="31"/>
      <c r="Z1590" s="26" t="str">
        <f t="shared" si="5"/>
        <v/>
      </c>
      <c r="AA1590" s="26" t="str">
        <f t="shared" si="6"/>
        <v/>
      </c>
      <c r="AB1590" s="32" t="str">
        <f t="shared" si="7"/>
        <v/>
      </c>
      <c r="AC1590" s="32" t="str">
        <f t="shared" ref="AC1590:AG1590" si="1594">IF(J1590&lt;&gt;"", IF(AND($P1590=FALSE, $A1590=FALSE), -J1590, IF(AND($P1590=FALSE, $A1590=TRUE), 0, IF($P1590=TRUE, (J1590 / $R1590) * 100 * ($S1590 / 100)-J1590, ))), )</f>
        <v/>
      </c>
      <c r="AD1590" s="32" t="str">
        <f t="shared" si="1594"/>
        <v/>
      </c>
      <c r="AE1590" s="32" t="str">
        <f t="shared" si="1594"/>
        <v/>
      </c>
      <c r="AF1590" s="32" t="str">
        <f t="shared" si="1594"/>
        <v/>
      </c>
      <c r="AG1590" s="32" t="str">
        <f t="shared" si="1594"/>
        <v/>
      </c>
      <c r="AH1590" s="33"/>
    </row>
    <row r="1591" hidden="1" outlineLevel="2">
      <c r="A1591" s="16" t="b">
        <v>0</v>
      </c>
      <c r="B1591" s="17"/>
      <c r="C1591" s="18"/>
      <c r="D1591" s="42">
        <v>45296.0</v>
      </c>
      <c r="E1591" s="80" t="s">
        <v>60</v>
      </c>
      <c r="F1591" s="53" t="s">
        <v>1003</v>
      </c>
      <c r="G1591" s="45">
        <v>2.0</v>
      </c>
      <c r="H1591" s="45">
        <v>1.0</v>
      </c>
      <c r="I1591" s="45"/>
      <c r="J1591" s="45"/>
      <c r="K1591" s="79"/>
      <c r="L1591" s="45"/>
      <c r="M1591" s="46"/>
      <c r="N1591" s="46"/>
      <c r="O1591" s="47"/>
      <c r="P1591" s="16" t="b">
        <v>0</v>
      </c>
      <c r="Q1591" s="24"/>
      <c r="R1591" s="48">
        <v>3.0</v>
      </c>
      <c r="S1591" s="45">
        <v>8.38</v>
      </c>
      <c r="T1591" s="49" t="s">
        <v>1048</v>
      </c>
      <c r="U1591" s="47"/>
      <c r="V1591" s="28"/>
      <c r="W1591" s="29"/>
      <c r="X1591" s="30"/>
      <c r="Y1591" s="31"/>
      <c r="Z1591" s="26">
        <f t="shared" si="5"/>
        <v>-2</v>
      </c>
      <c r="AA1591" s="26" t="str">
        <f t="shared" si="6"/>
        <v/>
      </c>
      <c r="AB1591" s="32">
        <f t="shared" si="7"/>
        <v>-1</v>
      </c>
      <c r="AC1591" s="32" t="str">
        <f t="shared" ref="AC1591:AG1591" si="1595">IF(J1591&lt;&gt;"", IF(AND($P1591=FALSE, $A1591=FALSE), -J1591, IF(AND($P1591=FALSE, $A1591=TRUE), 0, IF($P1591=TRUE, (J1591 / $R1591) * 100 * ($S1591 / 100)-J1591, ))), )</f>
        <v/>
      </c>
      <c r="AD1591" s="32" t="str">
        <f t="shared" si="1595"/>
        <v/>
      </c>
      <c r="AE1591" s="32" t="str">
        <f t="shared" si="1595"/>
        <v/>
      </c>
      <c r="AF1591" s="32" t="str">
        <f t="shared" si="1595"/>
        <v/>
      </c>
      <c r="AG1591" s="32" t="str">
        <f t="shared" si="1595"/>
        <v/>
      </c>
      <c r="AH1591" s="33"/>
    </row>
    <row r="1592" hidden="1" outlineLevel="3">
      <c r="A1592" s="16" t="b">
        <v>0</v>
      </c>
      <c r="B1592" s="17"/>
      <c r="C1592" s="18"/>
      <c r="D1592" s="19"/>
      <c r="E1592" s="20"/>
      <c r="F1592" s="21"/>
      <c r="G1592" s="22"/>
      <c r="H1592" s="22"/>
      <c r="I1592" s="23"/>
      <c r="J1592" s="22"/>
      <c r="K1592" s="23"/>
      <c r="L1592" s="22"/>
      <c r="M1592" s="23"/>
      <c r="N1592" s="23"/>
      <c r="O1592" s="24"/>
      <c r="P1592" s="16" t="b">
        <v>0</v>
      </c>
      <c r="Q1592" s="24"/>
      <c r="R1592" s="25"/>
      <c r="S1592" s="26"/>
      <c r="T1592" s="27"/>
      <c r="U1592" s="24"/>
      <c r="V1592" s="38" t="s">
        <v>29</v>
      </c>
      <c r="W1592" s="29" t="s">
        <v>22</v>
      </c>
      <c r="X1592" s="37" t="s">
        <v>204</v>
      </c>
      <c r="Y1592" s="31"/>
      <c r="Z1592" s="26" t="str">
        <f t="shared" si="5"/>
        <v/>
      </c>
      <c r="AA1592" s="26" t="str">
        <f t="shared" si="6"/>
        <v/>
      </c>
      <c r="AB1592" s="32" t="str">
        <f t="shared" si="7"/>
        <v/>
      </c>
      <c r="AC1592" s="32" t="str">
        <f t="shared" ref="AC1592:AG1592" si="1596">IF(J1592&lt;&gt;"", IF(AND($P1592=FALSE, $A1592=FALSE), -J1592, IF(AND($P1592=FALSE, $A1592=TRUE), 0, IF($P1592=TRUE, (J1592 / $R1592) * 100 * ($S1592 / 100)-J1592, ))), )</f>
        <v/>
      </c>
      <c r="AD1592" s="32" t="str">
        <f t="shared" si="1596"/>
        <v/>
      </c>
      <c r="AE1592" s="32" t="str">
        <f t="shared" si="1596"/>
        <v/>
      </c>
      <c r="AF1592" s="32" t="str">
        <f t="shared" si="1596"/>
        <v/>
      </c>
      <c r="AG1592" s="32" t="str">
        <f t="shared" si="1596"/>
        <v/>
      </c>
      <c r="AH1592" s="33"/>
    </row>
    <row r="1593" hidden="1" outlineLevel="3">
      <c r="A1593" s="16" t="b">
        <v>0</v>
      </c>
      <c r="B1593" s="17"/>
      <c r="C1593" s="18"/>
      <c r="D1593" s="19"/>
      <c r="E1593" s="20"/>
      <c r="F1593" s="21"/>
      <c r="G1593" s="22"/>
      <c r="H1593" s="22"/>
      <c r="I1593" s="23"/>
      <c r="J1593" s="22"/>
      <c r="K1593" s="23"/>
      <c r="L1593" s="22"/>
      <c r="M1593" s="23"/>
      <c r="N1593" s="23"/>
      <c r="O1593" s="24"/>
      <c r="P1593" s="16" t="b">
        <v>0</v>
      </c>
      <c r="Q1593" s="24"/>
      <c r="R1593" s="25"/>
      <c r="S1593" s="26"/>
      <c r="T1593" s="27"/>
      <c r="U1593" s="24"/>
      <c r="V1593" s="38" t="s">
        <v>29</v>
      </c>
      <c r="W1593" s="29" t="s">
        <v>22</v>
      </c>
      <c r="X1593" s="37" t="s">
        <v>744</v>
      </c>
      <c r="Y1593" s="31"/>
      <c r="Z1593" s="26" t="str">
        <f t="shared" si="5"/>
        <v/>
      </c>
      <c r="AA1593" s="26" t="str">
        <f t="shared" si="6"/>
        <v/>
      </c>
      <c r="AB1593" s="32" t="str">
        <f t="shared" si="7"/>
        <v/>
      </c>
      <c r="AC1593" s="32" t="str">
        <f t="shared" ref="AC1593:AG1593" si="1597">IF(J1593&lt;&gt;"", IF(AND($P1593=FALSE, $A1593=FALSE), -J1593, IF(AND($P1593=FALSE, $A1593=TRUE), 0, IF($P1593=TRUE, (J1593 / $R1593) * 100 * ($S1593 / 100)-J1593, ))), )</f>
        <v/>
      </c>
      <c r="AD1593" s="32" t="str">
        <f t="shared" si="1597"/>
        <v/>
      </c>
      <c r="AE1593" s="32" t="str">
        <f t="shared" si="1597"/>
        <v/>
      </c>
      <c r="AF1593" s="32" t="str">
        <f t="shared" si="1597"/>
        <v/>
      </c>
      <c r="AG1593" s="32" t="str">
        <f t="shared" si="1597"/>
        <v/>
      </c>
      <c r="AH1593" s="33"/>
    </row>
    <row r="1594" hidden="1" outlineLevel="3">
      <c r="A1594" s="16" t="b">
        <v>0</v>
      </c>
      <c r="B1594" s="17"/>
      <c r="C1594" s="18"/>
      <c r="D1594" s="19"/>
      <c r="E1594" s="20"/>
      <c r="F1594" s="21"/>
      <c r="G1594" s="22"/>
      <c r="H1594" s="22"/>
      <c r="I1594" s="23"/>
      <c r="J1594" s="22"/>
      <c r="K1594" s="23"/>
      <c r="L1594" s="22"/>
      <c r="M1594" s="23"/>
      <c r="N1594" s="23"/>
      <c r="O1594" s="24"/>
      <c r="P1594" s="16" t="b">
        <v>0</v>
      </c>
      <c r="Q1594" s="24"/>
      <c r="R1594" s="25"/>
      <c r="S1594" s="26"/>
      <c r="T1594" s="27"/>
      <c r="U1594" s="24"/>
      <c r="V1594" s="66">
        <v>7.0</v>
      </c>
      <c r="W1594" s="29" t="s">
        <v>22</v>
      </c>
      <c r="X1594" s="37" t="s">
        <v>185</v>
      </c>
      <c r="Y1594" s="31"/>
      <c r="Z1594" s="26" t="str">
        <f t="shared" si="5"/>
        <v/>
      </c>
      <c r="AA1594" s="26" t="str">
        <f t="shared" si="6"/>
        <v/>
      </c>
      <c r="AB1594" s="32" t="str">
        <f t="shared" si="7"/>
        <v/>
      </c>
      <c r="AC1594" s="32" t="str">
        <f t="shared" ref="AC1594:AG1594" si="1598">IF(J1594&lt;&gt;"", IF(AND($P1594=FALSE, $A1594=FALSE), -J1594, IF(AND($P1594=FALSE, $A1594=TRUE), 0, IF($P1594=TRUE, (J1594 / $R1594) * 100 * ($S1594 / 100)-J1594, ))), )</f>
        <v/>
      </c>
      <c r="AD1594" s="32" t="str">
        <f t="shared" si="1598"/>
        <v/>
      </c>
      <c r="AE1594" s="32" t="str">
        <f t="shared" si="1598"/>
        <v/>
      </c>
      <c r="AF1594" s="32" t="str">
        <f t="shared" si="1598"/>
        <v/>
      </c>
      <c r="AG1594" s="32" t="str">
        <f t="shared" si="1598"/>
        <v/>
      </c>
      <c r="AH1594" s="33"/>
    </row>
    <row r="1595" hidden="1" outlineLevel="3">
      <c r="A1595" s="16" t="b">
        <v>0</v>
      </c>
      <c r="B1595" s="17"/>
      <c r="C1595" s="18"/>
      <c r="D1595" s="19"/>
      <c r="E1595" s="20"/>
      <c r="F1595" s="21"/>
      <c r="G1595" s="22"/>
      <c r="H1595" s="22"/>
      <c r="I1595" s="23"/>
      <c r="J1595" s="22"/>
      <c r="K1595" s="23"/>
      <c r="L1595" s="22"/>
      <c r="M1595" s="23"/>
      <c r="N1595" s="23"/>
      <c r="O1595" s="24"/>
      <c r="P1595" s="16" t="b">
        <v>0</v>
      </c>
      <c r="Q1595" s="24"/>
      <c r="R1595" s="25"/>
      <c r="S1595" s="26"/>
      <c r="T1595" s="27"/>
      <c r="U1595" s="24"/>
      <c r="V1595" s="66" t="s">
        <v>358</v>
      </c>
      <c r="W1595" s="29" t="s">
        <v>22</v>
      </c>
      <c r="X1595" s="37" t="s">
        <v>455</v>
      </c>
      <c r="Y1595" s="31"/>
      <c r="Z1595" s="26" t="str">
        <f t="shared" si="5"/>
        <v/>
      </c>
      <c r="AA1595" s="26" t="str">
        <f t="shared" si="6"/>
        <v/>
      </c>
      <c r="AB1595" s="32" t="str">
        <f t="shared" si="7"/>
        <v/>
      </c>
      <c r="AC1595" s="32" t="str">
        <f t="shared" ref="AC1595:AG1595" si="1599">IF(J1595&lt;&gt;"", IF(AND($P1595=FALSE, $A1595=FALSE), -J1595, IF(AND($P1595=FALSE, $A1595=TRUE), 0, IF($P1595=TRUE, (J1595 / $R1595) * 100 * ($S1595 / 100)-J1595, ))), )</f>
        <v/>
      </c>
      <c r="AD1595" s="32" t="str">
        <f t="shared" si="1599"/>
        <v/>
      </c>
      <c r="AE1595" s="32" t="str">
        <f t="shared" si="1599"/>
        <v/>
      </c>
      <c r="AF1595" s="32" t="str">
        <f t="shared" si="1599"/>
        <v/>
      </c>
      <c r="AG1595" s="32" t="str">
        <f t="shared" si="1599"/>
        <v/>
      </c>
      <c r="AH1595" s="33"/>
    </row>
    <row r="1596" hidden="1" outlineLevel="3">
      <c r="A1596" s="16" t="b">
        <v>0</v>
      </c>
      <c r="B1596" s="17"/>
      <c r="C1596" s="18"/>
      <c r="D1596" s="19"/>
      <c r="E1596" s="20"/>
      <c r="F1596" s="21"/>
      <c r="G1596" s="22"/>
      <c r="H1596" s="22"/>
      <c r="I1596" s="23"/>
      <c r="J1596" s="22"/>
      <c r="K1596" s="23"/>
      <c r="L1596" s="22"/>
      <c r="M1596" s="23"/>
      <c r="N1596" s="23"/>
      <c r="O1596" s="24"/>
      <c r="P1596" s="16" t="b">
        <v>0</v>
      </c>
      <c r="Q1596" s="24"/>
      <c r="R1596" s="25"/>
      <c r="S1596" s="26"/>
      <c r="T1596" s="27"/>
      <c r="U1596" s="24"/>
      <c r="V1596" s="66" t="s">
        <v>358</v>
      </c>
      <c r="W1596" s="29" t="s">
        <v>22</v>
      </c>
      <c r="X1596" s="37" t="s">
        <v>454</v>
      </c>
      <c r="Y1596" s="31"/>
      <c r="Z1596" s="26" t="str">
        <f t="shared" si="5"/>
        <v/>
      </c>
      <c r="AA1596" s="26" t="str">
        <f t="shared" si="6"/>
        <v/>
      </c>
      <c r="AB1596" s="32" t="str">
        <f t="shared" si="7"/>
        <v/>
      </c>
      <c r="AC1596" s="32" t="str">
        <f t="shared" ref="AC1596:AG1596" si="1600">IF(J1596&lt;&gt;"", IF(AND($P1596=FALSE, $A1596=FALSE), -J1596, IF(AND($P1596=FALSE, $A1596=TRUE), 0, IF($P1596=TRUE, (J1596 / $R1596) * 100 * ($S1596 / 100)-J1596, ))), )</f>
        <v/>
      </c>
      <c r="AD1596" s="32" t="str">
        <f t="shared" si="1600"/>
        <v/>
      </c>
      <c r="AE1596" s="32" t="str">
        <f t="shared" si="1600"/>
        <v/>
      </c>
      <c r="AF1596" s="32" t="str">
        <f t="shared" si="1600"/>
        <v/>
      </c>
      <c r="AG1596" s="32" t="str">
        <f t="shared" si="1600"/>
        <v/>
      </c>
      <c r="AH1596" s="33"/>
    </row>
    <row r="1597" hidden="1" outlineLevel="1" collapsed="1">
      <c r="A1597" s="16" t="b">
        <v>0</v>
      </c>
      <c r="B1597" s="17"/>
      <c r="C1597" s="18"/>
      <c r="D1597" s="42">
        <v>45299.0</v>
      </c>
      <c r="E1597" s="80" t="s">
        <v>1049</v>
      </c>
      <c r="F1597" s="53" t="s">
        <v>1050</v>
      </c>
      <c r="G1597" s="45">
        <v>3.0</v>
      </c>
      <c r="H1597" s="45">
        <v>1.5</v>
      </c>
      <c r="I1597" s="45">
        <v>5.5</v>
      </c>
      <c r="J1597" s="46"/>
      <c r="K1597" s="46"/>
      <c r="L1597" s="45"/>
      <c r="M1597" s="46"/>
      <c r="N1597" s="46"/>
      <c r="O1597" s="47"/>
      <c r="P1597" s="16" t="b">
        <v>1</v>
      </c>
      <c r="Q1597" s="24"/>
      <c r="R1597" s="48">
        <v>10.0</v>
      </c>
      <c r="S1597" s="45">
        <v>22.0</v>
      </c>
      <c r="T1597" s="49" t="s">
        <v>221</v>
      </c>
      <c r="U1597" s="47"/>
      <c r="V1597" s="28"/>
      <c r="W1597" s="29"/>
      <c r="X1597" s="30"/>
      <c r="Y1597" s="31"/>
      <c r="Z1597" s="26">
        <f t="shared" si="5"/>
        <v>3.6</v>
      </c>
      <c r="AA1597" s="26">
        <f t="shared" si="6"/>
        <v>6.6</v>
      </c>
      <c r="AB1597" s="32">
        <f t="shared" si="7"/>
        <v>1.8</v>
      </c>
      <c r="AC1597" s="32" t="str">
        <f t="shared" ref="AC1597:AG1597" si="1601">IF(J1597&lt;&gt;"", IF(AND($P1597=FALSE, $A1597=FALSE), -J1597, IF(AND($P1597=FALSE, $A1597=TRUE), 0, IF($P1597=TRUE, (J1597 / $R1597) * 100 * ($S1597 / 100)-J1597, ))), )</f>
        <v/>
      </c>
      <c r="AD1597" s="32" t="str">
        <f t="shared" si="1601"/>
        <v/>
      </c>
      <c r="AE1597" s="32" t="str">
        <f t="shared" si="1601"/>
        <v/>
      </c>
      <c r="AF1597" s="32" t="str">
        <f t="shared" si="1601"/>
        <v/>
      </c>
      <c r="AG1597" s="32" t="str">
        <f t="shared" si="1601"/>
        <v/>
      </c>
      <c r="AH1597" s="33"/>
    </row>
    <row r="1598" hidden="1" outlineLevel="3">
      <c r="A1598" s="16" t="b">
        <v>0</v>
      </c>
      <c r="B1598" s="17"/>
      <c r="C1598" s="18"/>
      <c r="D1598" s="19"/>
      <c r="E1598" s="20"/>
      <c r="F1598" s="21"/>
      <c r="G1598" s="22"/>
      <c r="H1598" s="22"/>
      <c r="I1598" s="23"/>
      <c r="J1598" s="22"/>
      <c r="K1598" s="23"/>
      <c r="L1598" s="22"/>
      <c r="M1598" s="23"/>
      <c r="N1598" s="23"/>
      <c r="O1598" s="24"/>
      <c r="P1598" s="16" t="b">
        <v>0</v>
      </c>
      <c r="Q1598" s="24"/>
      <c r="R1598" s="25"/>
      <c r="S1598" s="26"/>
      <c r="T1598" s="27"/>
      <c r="U1598" s="24"/>
      <c r="V1598" s="38" t="s">
        <v>29</v>
      </c>
      <c r="W1598" s="29" t="s">
        <v>22</v>
      </c>
      <c r="X1598" s="37" t="s">
        <v>1051</v>
      </c>
      <c r="Y1598" s="31"/>
      <c r="Z1598" s="26" t="str">
        <f t="shared" si="5"/>
        <v/>
      </c>
      <c r="AA1598" s="26" t="str">
        <f t="shared" si="6"/>
        <v/>
      </c>
      <c r="AB1598" s="32" t="str">
        <f t="shared" si="7"/>
        <v/>
      </c>
      <c r="AC1598" s="32" t="str">
        <f t="shared" ref="AC1598:AG1598" si="1602">IF(J1598&lt;&gt;"", IF(AND($P1598=FALSE, $A1598=FALSE), -J1598, IF(AND($P1598=FALSE, $A1598=TRUE), 0, IF($P1598=TRUE, (J1598 / $R1598) * 100 * ($S1598 / 100)-J1598, ))), )</f>
        <v/>
      </c>
      <c r="AD1598" s="32" t="str">
        <f t="shared" si="1602"/>
        <v/>
      </c>
      <c r="AE1598" s="32" t="str">
        <f t="shared" si="1602"/>
        <v/>
      </c>
      <c r="AF1598" s="32" t="str">
        <f t="shared" si="1602"/>
        <v/>
      </c>
      <c r="AG1598" s="32" t="str">
        <f t="shared" si="1602"/>
        <v/>
      </c>
      <c r="AH1598" s="33"/>
    </row>
    <row r="1599" hidden="1" outlineLevel="3">
      <c r="A1599" s="16" t="b">
        <v>0</v>
      </c>
      <c r="B1599" s="17"/>
      <c r="C1599" s="18"/>
      <c r="D1599" s="19"/>
      <c r="E1599" s="20"/>
      <c r="F1599" s="21"/>
      <c r="G1599" s="22"/>
      <c r="H1599" s="22"/>
      <c r="I1599" s="23"/>
      <c r="J1599" s="22"/>
      <c r="K1599" s="23"/>
      <c r="L1599" s="22"/>
      <c r="M1599" s="23"/>
      <c r="N1599" s="23"/>
      <c r="O1599" s="24"/>
      <c r="P1599" s="16" t="b">
        <v>0</v>
      </c>
      <c r="Q1599" s="24"/>
      <c r="R1599" s="25"/>
      <c r="S1599" s="26"/>
      <c r="T1599" s="27"/>
      <c r="U1599" s="24"/>
      <c r="V1599" s="38" t="s">
        <v>29</v>
      </c>
      <c r="W1599" s="29" t="s">
        <v>22</v>
      </c>
      <c r="X1599" s="37" t="s">
        <v>1052</v>
      </c>
      <c r="Y1599" s="31"/>
      <c r="Z1599" s="26" t="str">
        <f t="shared" si="5"/>
        <v/>
      </c>
      <c r="AA1599" s="26" t="str">
        <f t="shared" si="6"/>
        <v/>
      </c>
      <c r="AB1599" s="32" t="str">
        <f t="shared" si="7"/>
        <v/>
      </c>
      <c r="AC1599" s="32" t="str">
        <f t="shared" ref="AC1599:AG1599" si="1603">IF(J1599&lt;&gt;"", IF(AND($P1599=FALSE, $A1599=FALSE), -J1599, IF(AND($P1599=FALSE, $A1599=TRUE), 0, IF($P1599=TRUE, (J1599 / $R1599) * 100 * ($S1599 / 100)-J1599, ))), )</f>
        <v/>
      </c>
      <c r="AD1599" s="32" t="str">
        <f t="shared" si="1603"/>
        <v/>
      </c>
      <c r="AE1599" s="32" t="str">
        <f t="shared" si="1603"/>
        <v/>
      </c>
      <c r="AF1599" s="32" t="str">
        <f t="shared" si="1603"/>
        <v/>
      </c>
      <c r="AG1599" s="32" t="str">
        <f t="shared" si="1603"/>
        <v/>
      </c>
      <c r="AH1599" s="33"/>
    </row>
    <row r="1600" hidden="1" outlineLevel="2" collapsed="1">
      <c r="A1600" s="16" t="b">
        <v>0</v>
      </c>
      <c r="B1600" s="17"/>
      <c r="C1600" s="18"/>
      <c r="D1600" s="42">
        <v>45299.0</v>
      </c>
      <c r="E1600" s="80" t="s">
        <v>1049</v>
      </c>
      <c r="F1600" s="53" t="s">
        <v>1050</v>
      </c>
      <c r="G1600" s="45">
        <v>3.0</v>
      </c>
      <c r="H1600" s="45">
        <v>1.5</v>
      </c>
      <c r="I1600" s="45">
        <v>5.5</v>
      </c>
      <c r="J1600" s="46"/>
      <c r="K1600" s="46"/>
      <c r="L1600" s="45"/>
      <c r="M1600" s="46"/>
      <c r="N1600" s="46"/>
      <c r="O1600" s="47"/>
      <c r="P1600" s="16" t="b">
        <v>0</v>
      </c>
      <c r="Q1600" s="24"/>
      <c r="R1600" s="48">
        <v>10.0</v>
      </c>
      <c r="S1600" s="45">
        <v>27.51</v>
      </c>
      <c r="T1600" s="49" t="s">
        <v>110</v>
      </c>
      <c r="U1600" s="47"/>
      <c r="V1600" s="28"/>
      <c r="W1600" s="29"/>
      <c r="X1600" s="30"/>
      <c r="Y1600" s="31"/>
      <c r="Z1600" s="26">
        <f t="shared" si="5"/>
        <v>-3</v>
      </c>
      <c r="AA1600" s="26">
        <f t="shared" si="6"/>
        <v>-5.5</v>
      </c>
      <c r="AB1600" s="32">
        <f t="shared" si="7"/>
        <v>-1.5</v>
      </c>
      <c r="AC1600" s="32" t="str">
        <f t="shared" ref="AC1600:AG1600" si="1604">IF(J1600&lt;&gt;"", IF(AND($P1600=FALSE, $A1600=FALSE), -J1600, IF(AND($P1600=FALSE, $A1600=TRUE), 0, IF($P1600=TRUE, (J1600 / $R1600) * 100 * ($S1600 / 100)-J1600, ))), )</f>
        <v/>
      </c>
      <c r="AD1600" s="32" t="str">
        <f t="shared" si="1604"/>
        <v/>
      </c>
      <c r="AE1600" s="32" t="str">
        <f t="shared" si="1604"/>
        <v/>
      </c>
      <c r="AF1600" s="32" t="str">
        <f t="shared" si="1604"/>
        <v/>
      </c>
      <c r="AG1600" s="32" t="str">
        <f t="shared" si="1604"/>
        <v/>
      </c>
      <c r="AH1600" s="33"/>
    </row>
    <row r="1601" hidden="1" outlineLevel="3">
      <c r="A1601" s="16" t="b">
        <v>0</v>
      </c>
      <c r="B1601" s="17"/>
      <c r="C1601" s="18"/>
      <c r="D1601" s="19"/>
      <c r="E1601" s="20"/>
      <c r="F1601" s="21"/>
      <c r="G1601" s="22"/>
      <c r="H1601" s="22"/>
      <c r="I1601" s="23"/>
      <c r="J1601" s="22"/>
      <c r="K1601" s="23"/>
      <c r="L1601" s="22"/>
      <c r="M1601" s="23"/>
      <c r="N1601" s="23"/>
      <c r="O1601" s="24"/>
      <c r="P1601" s="16" t="b">
        <v>0</v>
      </c>
      <c r="Q1601" s="24"/>
      <c r="R1601" s="25"/>
      <c r="S1601" s="26"/>
      <c r="T1601" s="27"/>
      <c r="U1601" s="24"/>
      <c r="V1601" s="38" t="s">
        <v>29</v>
      </c>
      <c r="W1601" s="29" t="s">
        <v>22</v>
      </c>
      <c r="X1601" s="37" t="s">
        <v>1053</v>
      </c>
      <c r="Y1601" s="31"/>
      <c r="Z1601" s="26" t="str">
        <f t="shared" si="5"/>
        <v/>
      </c>
      <c r="AA1601" s="26" t="str">
        <f t="shared" si="6"/>
        <v/>
      </c>
      <c r="AB1601" s="32" t="str">
        <f t="shared" si="7"/>
        <v/>
      </c>
      <c r="AC1601" s="32" t="str">
        <f t="shared" ref="AC1601:AG1601" si="1605">IF(J1601&lt;&gt;"", IF(AND($P1601=FALSE, $A1601=FALSE), -J1601, IF(AND($P1601=FALSE, $A1601=TRUE), 0, IF($P1601=TRUE, (J1601 / $R1601) * 100 * ($S1601 / 100)-J1601, ))), )</f>
        <v/>
      </c>
      <c r="AD1601" s="32" t="str">
        <f t="shared" si="1605"/>
        <v/>
      </c>
      <c r="AE1601" s="32" t="str">
        <f t="shared" si="1605"/>
        <v/>
      </c>
      <c r="AF1601" s="32" t="str">
        <f t="shared" si="1605"/>
        <v/>
      </c>
      <c r="AG1601" s="32" t="str">
        <f t="shared" si="1605"/>
        <v/>
      </c>
      <c r="AH1601" s="33"/>
    </row>
    <row r="1602" hidden="1" outlineLevel="3">
      <c r="A1602" s="16" t="b">
        <v>0</v>
      </c>
      <c r="B1602" s="17"/>
      <c r="C1602" s="18"/>
      <c r="D1602" s="19"/>
      <c r="E1602" s="20"/>
      <c r="F1602" s="21"/>
      <c r="G1602" s="22"/>
      <c r="H1602" s="22"/>
      <c r="I1602" s="23"/>
      <c r="J1602" s="22"/>
      <c r="K1602" s="23"/>
      <c r="L1602" s="22"/>
      <c r="M1602" s="23"/>
      <c r="N1602" s="23"/>
      <c r="O1602" s="24"/>
      <c r="P1602" s="16" t="b">
        <v>0</v>
      </c>
      <c r="Q1602" s="24"/>
      <c r="R1602" s="25"/>
      <c r="S1602" s="26"/>
      <c r="T1602" s="27"/>
      <c r="U1602" s="24"/>
      <c r="V1602" s="66">
        <v>1.0</v>
      </c>
      <c r="W1602" s="29" t="s">
        <v>22</v>
      </c>
      <c r="X1602" s="37" t="s">
        <v>1054</v>
      </c>
      <c r="Y1602" s="31"/>
      <c r="Z1602" s="26" t="str">
        <f t="shared" si="5"/>
        <v/>
      </c>
      <c r="AA1602" s="26" t="str">
        <f t="shared" si="6"/>
        <v/>
      </c>
      <c r="AB1602" s="32" t="str">
        <f t="shared" si="7"/>
        <v/>
      </c>
      <c r="AC1602" s="32" t="str">
        <f t="shared" ref="AC1602:AG1602" si="1606">IF(J1602&lt;&gt;"", IF(AND($P1602=FALSE, $A1602=FALSE), -J1602, IF(AND($P1602=FALSE, $A1602=TRUE), 0, IF($P1602=TRUE, (J1602 / $R1602) * 100 * ($S1602 / 100)-J1602, ))), )</f>
        <v/>
      </c>
      <c r="AD1602" s="32" t="str">
        <f t="shared" si="1606"/>
        <v/>
      </c>
      <c r="AE1602" s="32" t="str">
        <f t="shared" si="1606"/>
        <v/>
      </c>
      <c r="AF1602" s="32" t="str">
        <f t="shared" si="1606"/>
        <v/>
      </c>
      <c r="AG1602" s="32" t="str">
        <f t="shared" si="1606"/>
        <v/>
      </c>
      <c r="AH1602" s="33"/>
    </row>
    <row r="1603" hidden="1" outlineLevel="2">
      <c r="A1603" s="16" t="b">
        <v>0</v>
      </c>
      <c r="B1603" s="17"/>
      <c r="C1603" s="18"/>
      <c r="D1603" s="42">
        <v>45296.0</v>
      </c>
      <c r="E1603" s="80" t="s">
        <v>60</v>
      </c>
      <c r="F1603" s="53" t="s">
        <v>1003</v>
      </c>
      <c r="G1603" s="45">
        <v>2.0</v>
      </c>
      <c r="H1603" s="45">
        <v>1.0</v>
      </c>
      <c r="I1603" s="45">
        <v>3.0</v>
      </c>
      <c r="J1603" s="45"/>
      <c r="K1603" s="79"/>
      <c r="L1603" s="45"/>
      <c r="M1603" s="46"/>
      <c r="N1603" s="46"/>
      <c r="O1603" s="47"/>
      <c r="P1603" s="16" t="b">
        <v>0</v>
      </c>
      <c r="Q1603" s="24"/>
      <c r="R1603" s="48">
        <v>6.0</v>
      </c>
      <c r="S1603" s="45">
        <v>13.12</v>
      </c>
      <c r="T1603" s="49" t="s">
        <v>1055</v>
      </c>
      <c r="U1603" s="47"/>
      <c r="V1603" s="28"/>
      <c r="W1603" s="29"/>
      <c r="X1603" s="30"/>
      <c r="Y1603" s="31"/>
      <c r="Z1603" s="26">
        <f t="shared" si="5"/>
        <v>-2</v>
      </c>
      <c r="AA1603" s="26">
        <f t="shared" si="6"/>
        <v>-3</v>
      </c>
      <c r="AB1603" s="32">
        <f t="shared" si="7"/>
        <v>-1</v>
      </c>
      <c r="AC1603" s="32" t="str">
        <f t="shared" ref="AC1603:AG1603" si="1607">IF(J1603&lt;&gt;"", IF(AND($P1603=FALSE, $A1603=FALSE), -J1603, IF(AND($P1603=FALSE, $A1603=TRUE), 0, IF($P1603=TRUE, (J1603 / $R1603) * 100 * ($S1603 / 100)-J1603, ))), )</f>
        <v/>
      </c>
      <c r="AD1603" s="32" t="str">
        <f t="shared" si="1607"/>
        <v/>
      </c>
      <c r="AE1603" s="32" t="str">
        <f t="shared" si="1607"/>
        <v/>
      </c>
      <c r="AF1603" s="32" t="str">
        <f t="shared" si="1607"/>
        <v/>
      </c>
      <c r="AG1603" s="32" t="str">
        <f t="shared" si="1607"/>
        <v/>
      </c>
      <c r="AH1603" s="33"/>
    </row>
    <row r="1604" hidden="1" outlineLevel="3">
      <c r="A1604" s="16" t="b">
        <v>0</v>
      </c>
      <c r="B1604" s="17"/>
      <c r="C1604" s="18"/>
      <c r="D1604" s="19"/>
      <c r="E1604" s="20"/>
      <c r="F1604" s="21"/>
      <c r="G1604" s="22"/>
      <c r="H1604" s="22"/>
      <c r="I1604" s="23"/>
      <c r="J1604" s="22"/>
      <c r="K1604" s="23"/>
      <c r="L1604" s="22"/>
      <c r="M1604" s="23"/>
      <c r="N1604" s="23"/>
      <c r="O1604" s="24"/>
      <c r="P1604" s="16" t="b">
        <v>0</v>
      </c>
      <c r="Q1604" s="24"/>
      <c r="R1604" s="25"/>
      <c r="S1604" s="26"/>
      <c r="T1604" s="27"/>
      <c r="U1604" s="24"/>
      <c r="V1604" s="38" t="s">
        <v>29</v>
      </c>
      <c r="W1604" s="29" t="s">
        <v>22</v>
      </c>
      <c r="X1604" s="37" t="s">
        <v>255</v>
      </c>
      <c r="Y1604" s="31"/>
      <c r="Z1604" s="26" t="str">
        <f t="shared" si="5"/>
        <v/>
      </c>
      <c r="AA1604" s="26" t="str">
        <f t="shared" si="6"/>
        <v/>
      </c>
      <c r="AB1604" s="32" t="str">
        <f t="shared" si="7"/>
        <v/>
      </c>
      <c r="AC1604" s="32" t="str">
        <f t="shared" ref="AC1604:AG1604" si="1608">IF(J1604&lt;&gt;"", IF(AND($P1604=FALSE, $A1604=FALSE), -J1604, IF(AND($P1604=FALSE, $A1604=TRUE), 0, IF($P1604=TRUE, (J1604 / $R1604) * 100 * ($S1604 / 100)-J1604, ))), )</f>
        <v/>
      </c>
      <c r="AD1604" s="32" t="str">
        <f t="shared" si="1608"/>
        <v/>
      </c>
      <c r="AE1604" s="32" t="str">
        <f t="shared" si="1608"/>
        <v/>
      </c>
      <c r="AF1604" s="32" t="str">
        <f t="shared" si="1608"/>
        <v/>
      </c>
      <c r="AG1604" s="32" t="str">
        <f t="shared" si="1608"/>
        <v/>
      </c>
      <c r="AH1604" s="33"/>
    </row>
    <row r="1605" hidden="1" outlineLevel="3">
      <c r="A1605" s="16" t="b">
        <v>0</v>
      </c>
      <c r="B1605" s="17"/>
      <c r="C1605" s="18"/>
      <c r="D1605" s="19"/>
      <c r="E1605" s="20"/>
      <c r="F1605" s="21"/>
      <c r="G1605" s="22"/>
      <c r="H1605" s="22"/>
      <c r="I1605" s="23"/>
      <c r="J1605" s="22"/>
      <c r="K1605" s="23"/>
      <c r="L1605" s="22"/>
      <c r="M1605" s="23"/>
      <c r="N1605" s="23"/>
      <c r="O1605" s="24"/>
      <c r="P1605" s="16" t="b">
        <v>0</v>
      </c>
      <c r="Q1605" s="24"/>
      <c r="R1605" s="25"/>
      <c r="S1605" s="26"/>
      <c r="T1605" s="27"/>
      <c r="U1605" s="24"/>
      <c r="V1605" s="38" t="s">
        <v>29</v>
      </c>
      <c r="W1605" s="29" t="s">
        <v>22</v>
      </c>
      <c r="X1605" s="37" t="s">
        <v>1056</v>
      </c>
      <c r="Y1605" s="31"/>
      <c r="Z1605" s="26" t="str">
        <f t="shared" si="5"/>
        <v/>
      </c>
      <c r="AA1605" s="26" t="str">
        <f t="shared" si="6"/>
        <v/>
      </c>
      <c r="AB1605" s="32" t="str">
        <f t="shared" si="7"/>
        <v/>
      </c>
      <c r="AC1605" s="32" t="str">
        <f t="shared" ref="AC1605:AG1605" si="1609">IF(J1605&lt;&gt;"", IF(AND($P1605=FALSE, $A1605=FALSE), -J1605, IF(AND($P1605=FALSE, $A1605=TRUE), 0, IF($P1605=TRUE, (J1605 / $R1605) * 100 * ($S1605 / 100)-J1605, ))), )</f>
        <v/>
      </c>
      <c r="AD1605" s="32" t="str">
        <f t="shared" si="1609"/>
        <v/>
      </c>
      <c r="AE1605" s="32" t="str">
        <f t="shared" si="1609"/>
        <v/>
      </c>
      <c r="AF1605" s="32" t="str">
        <f t="shared" si="1609"/>
        <v/>
      </c>
      <c r="AG1605" s="32" t="str">
        <f t="shared" si="1609"/>
        <v/>
      </c>
      <c r="AH1605" s="33"/>
    </row>
    <row r="1606" hidden="1" outlineLevel="3">
      <c r="A1606" s="16" t="b">
        <v>0</v>
      </c>
      <c r="B1606" s="17"/>
      <c r="C1606" s="18"/>
      <c r="D1606" s="19"/>
      <c r="E1606" s="20"/>
      <c r="F1606" s="21"/>
      <c r="G1606" s="22"/>
      <c r="H1606" s="22"/>
      <c r="I1606" s="23"/>
      <c r="J1606" s="22"/>
      <c r="K1606" s="23"/>
      <c r="L1606" s="22"/>
      <c r="M1606" s="23"/>
      <c r="N1606" s="23"/>
      <c r="O1606" s="24"/>
      <c r="P1606" s="16" t="b">
        <v>0</v>
      </c>
      <c r="Q1606" s="24"/>
      <c r="R1606" s="25"/>
      <c r="S1606" s="26"/>
      <c r="T1606" s="27"/>
      <c r="U1606" s="24"/>
      <c r="V1606" s="86" t="s">
        <v>1057</v>
      </c>
      <c r="W1606" s="29" t="s">
        <v>22</v>
      </c>
      <c r="X1606" s="37" t="s">
        <v>974</v>
      </c>
      <c r="Y1606" s="31"/>
      <c r="Z1606" s="26" t="str">
        <f t="shared" si="5"/>
        <v/>
      </c>
      <c r="AA1606" s="26" t="str">
        <f t="shared" si="6"/>
        <v/>
      </c>
      <c r="AB1606" s="32" t="str">
        <f t="shared" si="7"/>
        <v/>
      </c>
      <c r="AC1606" s="32" t="str">
        <f t="shared" ref="AC1606:AG1606" si="1610">IF(J1606&lt;&gt;"", IF(AND($P1606=FALSE, $A1606=FALSE), -J1606, IF(AND($P1606=FALSE, $A1606=TRUE), 0, IF($P1606=TRUE, (J1606 / $R1606) * 100 * ($S1606 / 100)-J1606, ))), )</f>
        <v/>
      </c>
      <c r="AD1606" s="32" t="str">
        <f t="shared" si="1610"/>
        <v/>
      </c>
      <c r="AE1606" s="32" t="str">
        <f t="shared" si="1610"/>
        <v/>
      </c>
      <c r="AF1606" s="32" t="str">
        <f t="shared" si="1610"/>
        <v/>
      </c>
      <c r="AG1606" s="32" t="str">
        <f t="shared" si="1610"/>
        <v/>
      </c>
      <c r="AH1606" s="33"/>
    </row>
    <row r="1607" hidden="1" outlineLevel="1" collapsed="1">
      <c r="A1607" s="16" t="b">
        <v>0</v>
      </c>
      <c r="B1607" s="17"/>
      <c r="C1607" s="18"/>
      <c r="D1607" s="42">
        <v>45304.0</v>
      </c>
      <c r="E1607" s="43" t="s">
        <v>24</v>
      </c>
      <c r="F1607" s="53" t="s">
        <v>1058</v>
      </c>
      <c r="G1607" s="45">
        <v>2.0</v>
      </c>
      <c r="H1607" s="45">
        <v>1.0</v>
      </c>
      <c r="I1607" s="45">
        <v>10.0</v>
      </c>
      <c r="J1607" s="46"/>
      <c r="K1607" s="46"/>
      <c r="L1607" s="45"/>
      <c r="M1607" s="46"/>
      <c r="N1607" s="46"/>
      <c r="O1607" s="47"/>
      <c r="P1607" s="16" t="b">
        <v>1</v>
      </c>
      <c r="Q1607" s="24"/>
      <c r="R1607" s="48">
        <v>13.0</v>
      </c>
      <c r="S1607" s="45">
        <v>26.07</v>
      </c>
      <c r="T1607" s="49" t="s">
        <v>811</v>
      </c>
      <c r="U1607" s="47"/>
      <c r="V1607" s="28"/>
      <c r="W1607" s="29"/>
      <c r="X1607" s="30"/>
      <c r="Y1607" s="31"/>
      <c r="Z1607" s="26">
        <f t="shared" si="5"/>
        <v>2.010769231</v>
      </c>
      <c r="AA1607" s="26">
        <f t="shared" si="6"/>
        <v>10.05384615</v>
      </c>
      <c r="AB1607" s="32">
        <f t="shared" si="7"/>
        <v>1.005384615</v>
      </c>
      <c r="AC1607" s="32" t="str">
        <f t="shared" ref="AC1607:AG1607" si="1611">IF(J1607&lt;&gt;"", IF(AND($P1607=FALSE, $A1607=FALSE), -J1607, IF(AND($P1607=FALSE, $A1607=TRUE), 0, IF($P1607=TRUE, (J1607 / $R1607) * 100 * ($S1607 / 100)-J1607, ))), )</f>
        <v/>
      </c>
      <c r="AD1607" s="32" t="str">
        <f t="shared" si="1611"/>
        <v/>
      </c>
      <c r="AE1607" s="32" t="str">
        <f t="shared" si="1611"/>
        <v/>
      </c>
      <c r="AF1607" s="32" t="str">
        <f t="shared" si="1611"/>
        <v/>
      </c>
      <c r="AG1607" s="32" t="str">
        <f t="shared" si="1611"/>
        <v/>
      </c>
      <c r="AH1607" s="33"/>
    </row>
    <row r="1608" hidden="1" outlineLevel="3">
      <c r="A1608" s="16" t="b">
        <v>0</v>
      </c>
      <c r="B1608" s="17"/>
      <c r="C1608" s="18"/>
      <c r="D1608" s="19"/>
      <c r="E1608" s="20"/>
      <c r="F1608" s="21"/>
      <c r="G1608" s="22"/>
      <c r="H1608" s="22"/>
      <c r="I1608" s="23"/>
      <c r="J1608" s="22"/>
      <c r="K1608" s="23"/>
      <c r="L1608" s="22"/>
      <c r="M1608" s="23"/>
      <c r="N1608" s="23"/>
      <c r="O1608" s="24"/>
      <c r="P1608" s="16" t="b">
        <v>0</v>
      </c>
      <c r="Q1608" s="24"/>
      <c r="R1608" s="25"/>
      <c r="S1608" s="26"/>
      <c r="T1608" s="27"/>
      <c r="U1608" s="24"/>
      <c r="V1608" s="38" t="s">
        <v>29</v>
      </c>
      <c r="W1608" s="29" t="s">
        <v>22</v>
      </c>
      <c r="X1608" s="37" t="s">
        <v>1059</v>
      </c>
      <c r="Y1608" s="31"/>
      <c r="Z1608" s="26" t="str">
        <f t="shared" si="5"/>
        <v/>
      </c>
      <c r="AA1608" s="26" t="str">
        <f t="shared" si="6"/>
        <v/>
      </c>
      <c r="AB1608" s="32" t="str">
        <f t="shared" si="7"/>
        <v/>
      </c>
      <c r="AC1608" s="32" t="str">
        <f t="shared" ref="AC1608:AG1608" si="1612">IF(J1608&lt;&gt;"", IF(AND($P1608=FALSE, $A1608=FALSE), -J1608, IF(AND($P1608=FALSE, $A1608=TRUE), 0, IF($P1608=TRUE, (J1608 / $R1608) * 100 * ($S1608 / 100)-J1608, ))), )</f>
        <v/>
      </c>
      <c r="AD1608" s="32" t="str">
        <f t="shared" si="1612"/>
        <v/>
      </c>
      <c r="AE1608" s="32" t="str">
        <f t="shared" si="1612"/>
        <v/>
      </c>
      <c r="AF1608" s="32" t="str">
        <f t="shared" si="1612"/>
        <v/>
      </c>
      <c r="AG1608" s="32" t="str">
        <f t="shared" si="1612"/>
        <v/>
      </c>
      <c r="AH1608" s="33"/>
    </row>
    <row r="1609" hidden="1" outlineLevel="3">
      <c r="A1609" s="16" t="b">
        <v>0</v>
      </c>
      <c r="B1609" s="17"/>
      <c r="C1609" s="18"/>
      <c r="D1609" s="19"/>
      <c r="E1609" s="20"/>
      <c r="F1609" s="21"/>
      <c r="G1609" s="22"/>
      <c r="H1609" s="22"/>
      <c r="I1609" s="23"/>
      <c r="J1609" s="22"/>
      <c r="K1609" s="23"/>
      <c r="L1609" s="22"/>
      <c r="M1609" s="23"/>
      <c r="N1609" s="23"/>
      <c r="O1609" s="24"/>
      <c r="P1609" s="16" t="b">
        <v>0</v>
      </c>
      <c r="Q1609" s="24"/>
      <c r="R1609" s="25"/>
      <c r="S1609" s="26"/>
      <c r="T1609" s="27"/>
      <c r="U1609" s="24"/>
      <c r="V1609" s="38" t="s">
        <v>29</v>
      </c>
      <c r="W1609" s="29" t="s">
        <v>22</v>
      </c>
      <c r="X1609" s="37" t="s">
        <v>682</v>
      </c>
      <c r="Y1609" s="31"/>
      <c r="Z1609" s="26" t="str">
        <f t="shared" si="5"/>
        <v/>
      </c>
      <c r="AA1609" s="26" t="str">
        <f t="shared" si="6"/>
        <v/>
      </c>
      <c r="AB1609" s="32" t="str">
        <f t="shared" si="7"/>
        <v/>
      </c>
      <c r="AC1609" s="32" t="str">
        <f t="shared" ref="AC1609:AG1609" si="1613">IF(J1609&lt;&gt;"", IF(AND($P1609=FALSE, $A1609=FALSE), -J1609, IF(AND($P1609=FALSE, $A1609=TRUE), 0, IF($P1609=TRUE, (J1609 / $R1609) * 100 * ($S1609 / 100)-J1609, ))), )</f>
        <v/>
      </c>
      <c r="AD1609" s="32" t="str">
        <f t="shared" si="1613"/>
        <v/>
      </c>
      <c r="AE1609" s="32" t="str">
        <f t="shared" si="1613"/>
        <v/>
      </c>
      <c r="AF1609" s="32" t="str">
        <f t="shared" si="1613"/>
        <v/>
      </c>
      <c r="AG1609" s="32" t="str">
        <f t="shared" si="1613"/>
        <v/>
      </c>
      <c r="AH1609" s="33"/>
    </row>
    <row r="1610" hidden="1" outlineLevel="3">
      <c r="A1610" s="16" t="b">
        <v>0</v>
      </c>
      <c r="B1610" s="17"/>
      <c r="C1610" s="18"/>
      <c r="D1610" s="19"/>
      <c r="E1610" s="20"/>
      <c r="F1610" s="21"/>
      <c r="G1610" s="22"/>
      <c r="H1610" s="22"/>
      <c r="I1610" s="23"/>
      <c r="J1610" s="22"/>
      <c r="K1610" s="23"/>
      <c r="L1610" s="22"/>
      <c r="M1610" s="23"/>
      <c r="N1610" s="23"/>
      <c r="O1610" s="24"/>
      <c r="P1610" s="16" t="b">
        <v>0</v>
      </c>
      <c r="Q1610" s="24"/>
      <c r="R1610" s="25"/>
      <c r="S1610" s="26"/>
      <c r="T1610" s="27"/>
      <c r="U1610" s="24"/>
      <c r="V1610" s="38" t="s">
        <v>29</v>
      </c>
      <c r="W1610" s="29" t="s">
        <v>22</v>
      </c>
      <c r="X1610" s="37" t="s">
        <v>93</v>
      </c>
      <c r="Y1610" s="31"/>
      <c r="Z1610" s="26" t="str">
        <f t="shared" si="5"/>
        <v/>
      </c>
      <c r="AA1610" s="26" t="str">
        <f t="shared" si="6"/>
        <v/>
      </c>
      <c r="AB1610" s="32" t="str">
        <f t="shared" si="7"/>
        <v/>
      </c>
      <c r="AC1610" s="32" t="str">
        <f t="shared" ref="AC1610:AG1610" si="1614">IF(J1610&lt;&gt;"", IF(AND($P1610=FALSE, $A1610=FALSE), -J1610, IF(AND($P1610=FALSE, $A1610=TRUE), 0, IF($P1610=TRUE, (J1610 / $R1610) * 100 * ($S1610 / 100)-J1610, ))), )</f>
        <v/>
      </c>
      <c r="AD1610" s="32" t="str">
        <f t="shared" si="1614"/>
        <v/>
      </c>
      <c r="AE1610" s="32" t="str">
        <f t="shared" si="1614"/>
        <v/>
      </c>
      <c r="AF1610" s="32" t="str">
        <f t="shared" si="1614"/>
        <v/>
      </c>
      <c r="AG1610" s="32" t="str">
        <f t="shared" si="1614"/>
        <v/>
      </c>
      <c r="AH1610" s="33"/>
    </row>
    <row r="1611" hidden="1" outlineLevel="3">
      <c r="A1611" s="16" t="b">
        <v>0</v>
      </c>
      <c r="B1611" s="17"/>
      <c r="C1611" s="18"/>
      <c r="D1611" s="19"/>
      <c r="E1611" s="20"/>
      <c r="F1611" s="21"/>
      <c r="G1611" s="22"/>
      <c r="H1611" s="22"/>
      <c r="I1611" s="23"/>
      <c r="J1611" s="22"/>
      <c r="K1611" s="23"/>
      <c r="L1611" s="22"/>
      <c r="M1611" s="23"/>
      <c r="N1611" s="23"/>
      <c r="O1611" s="24"/>
      <c r="P1611" s="16" t="b">
        <v>0</v>
      </c>
      <c r="Q1611" s="24"/>
      <c r="R1611" s="25"/>
      <c r="S1611" s="26"/>
      <c r="T1611" s="27"/>
      <c r="U1611" s="24"/>
      <c r="V1611" s="38" t="s">
        <v>29</v>
      </c>
      <c r="W1611" s="29" t="s">
        <v>22</v>
      </c>
      <c r="X1611" s="37" t="s">
        <v>1034</v>
      </c>
      <c r="Y1611" s="31"/>
      <c r="Z1611" s="26" t="str">
        <f t="shared" si="5"/>
        <v/>
      </c>
      <c r="AA1611" s="26" t="str">
        <f t="shared" si="6"/>
        <v/>
      </c>
      <c r="AB1611" s="32" t="str">
        <f t="shared" si="7"/>
        <v/>
      </c>
      <c r="AC1611" s="32" t="str">
        <f t="shared" ref="AC1611:AG1611" si="1615">IF(J1611&lt;&gt;"", IF(AND($P1611=FALSE, $A1611=FALSE), -J1611, IF(AND($P1611=FALSE, $A1611=TRUE), 0, IF($P1611=TRUE, (J1611 / $R1611) * 100 * ($S1611 / 100)-J1611, ))), )</f>
        <v/>
      </c>
      <c r="AD1611" s="32" t="str">
        <f t="shared" si="1615"/>
        <v/>
      </c>
      <c r="AE1611" s="32" t="str">
        <f t="shared" si="1615"/>
        <v/>
      </c>
      <c r="AF1611" s="32" t="str">
        <f t="shared" si="1615"/>
        <v/>
      </c>
      <c r="AG1611" s="32" t="str">
        <f t="shared" si="1615"/>
        <v/>
      </c>
      <c r="AH1611" s="33"/>
    </row>
    <row r="1612" hidden="1" outlineLevel="2" collapsed="1">
      <c r="A1612" s="16" t="b">
        <v>0</v>
      </c>
      <c r="B1612" s="17"/>
      <c r="C1612" s="18"/>
      <c r="D1612" s="42">
        <v>45304.0</v>
      </c>
      <c r="E1612" s="43" t="s">
        <v>24</v>
      </c>
      <c r="F1612" s="53" t="s">
        <v>1058</v>
      </c>
      <c r="G1612" s="45">
        <v>1.0</v>
      </c>
      <c r="H1612" s="45">
        <v>0.5</v>
      </c>
      <c r="I1612" s="45">
        <v>5.0</v>
      </c>
      <c r="J1612" s="46"/>
      <c r="K1612" s="46"/>
      <c r="L1612" s="45"/>
      <c r="M1612" s="46"/>
      <c r="N1612" s="46"/>
      <c r="O1612" s="47"/>
      <c r="P1612" s="16" t="b">
        <v>0</v>
      </c>
      <c r="Q1612" s="24"/>
      <c r="R1612" s="48">
        <v>6.5</v>
      </c>
      <c r="S1612" s="45">
        <v>62.87</v>
      </c>
      <c r="T1612" s="49" t="s">
        <v>1060</v>
      </c>
      <c r="U1612" s="47"/>
      <c r="V1612" s="28"/>
      <c r="W1612" s="29"/>
      <c r="X1612" s="30"/>
      <c r="Y1612" s="31"/>
      <c r="Z1612" s="26">
        <f t="shared" si="5"/>
        <v>-1</v>
      </c>
      <c r="AA1612" s="26">
        <f t="shared" si="6"/>
        <v>-5</v>
      </c>
      <c r="AB1612" s="32">
        <f t="shared" si="7"/>
        <v>-0.5</v>
      </c>
      <c r="AC1612" s="32" t="str">
        <f t="shared" ref="AC1612:AG1612" si="1616">IF(J1612&lt;&gt;"", IF(AND($P1612=FALSE, $A1612=FALSE), -J1612, IF(AND($P1612=FALSE, $A1612=TRUE), 0, IF($P1612=TRUE, (J1612 / $R1612) * 100 * ($S1612 / 100)-J1612, ))), )</f>
        <v/>
      </c>
      <c r="AD1612" s="32" t="str">
        <f t="shared" si="1616"/>
        <v/>
      </c>
      <c r="AE1612" s="32" t="str">
        <f t="shared" si="1616"/>
        <v/>
      </c>
      <c r="AF1612" s="32" t="str">
        <f t="shared" si="1616"/>
        <v/>
      </c>
      <c r="AG1612" s="32" t="str">
        <f t="shared" si="1616"/>
        <v/>
      </c>
      <c r="AH1612" s="33"/>
    </row>
    <row r="1613" hidden="1" outlineLevel="3">
      <c r="A1613" s="16" t="b">
        <v>0</v>
      </c>
      <c r="B1613" s="17"/>
      <c r="C1613" s="18"/>
      <c r="D1613" s="19"/>
      <c r="E1613" s="20"/>
      <c r="F1613" s="21"/>
      <c r="G1613" s="22"/>
      <c r="H1613" s="22"/>
      <c r="I1613" s="23"/>
      <c r="J1613" s="22"/>
      <c r="K1613" s="23"/>
      <c r="L1613" s="22"/>
      <c r="M1613" s="23"/>
      <c r="N1613" s="23"/>
      <c r="O1613" s="24"/>
      <c r="P1613" s="16" t="b">
        <v>0</v>
      </c>
      <c r="Q1613" s="24"/>
      <c r="R1613" s="25"/>
      <c r="S1613" s="26"/>
      <c r="T1613" s="27"/>
      <c r="U1613" s="24"/>
      <c r="V1613" s="38" t="s">
        <v>29</v>
      </c>
      <c r="W1613" s="29" t="s">
        <v>22</v>
      </c>
      <c r="X1613" s="37" t="s">
        <v>649</v>
      </c>
      <c r="Y1613" s="31"/>
      <c r="Z1613" s="26" t="str">
        <f t="shared" si="5"/>
        <v/>
      </c>
      <c r="AA1613" s="26" t="str">
        <f t="shared" si="6"/>
        <v/>
      </c>
      <c r="AB1613" s="32" t="str">
        <f t="shared" si="7"/>
        <v/>
      </c>
      <c r="AC1613" s="32" t="str">
        <f t="shared" ref="AC1613:AG1613" si="1617">IF(J1613&lt;&gt;"", IF(AND($P1613=FALSE, $A1613=FALSE), -J1613, IF(AND($P1613=FALSE, $A1613=TRUE), 0, IF($P1613=TRUE, (J1613 / $R1613) * 100 * ($S1613 / 100)-J1613, ))), )</f>
        <v/>
      </c>
      <c r="AD1613" s="32" t="str">
        <f t="shared" si="1617"/>
        <v/>
      </c>
      <c r="AE1613" s="32" t="str">
        <f t="shared" si="1617"/>
        <v/>
      </c>
      <c r="AF1613" s="32" t="str">
        <f t="shared" si="1617"/>
        <v/>
      </c>
      <c r="AG1613" s="32" t="str">
        <f t="shared" si="1617"/>
        <v/>
      </c>
      <c r="AH1613" s="33"/>
    </row>
    <row r="1614" hidden="1" outlineLevel="3">
      <c r="A1614" s="16" t="b">
        <v>0</v>
      </c>
      <c r="B1614" s="17"/>
      <c r="C1614" s="18"/>
      <c r="D1614" s="19"/>
      <c r="E1614" s="20"/>
      <c r="F1614" s="21"/>
      <c r="G1614" s="22"/>
      <c r="H1614" s="22"/>
      <c r="I1614" s="23"/>
      <c r="J1614" s="22"/>
      <c r="K1614" s="23"/>
      <c r="L1614" s="22"/>
      <c r="M1614" s="23"/>
      <c r="N1614" s="23"/>
      <c r="O1614" s="24"/>
      <c r="P1614" s="16" t="b">
        <v>0</v>
      </c>
      <c r="Q1614" s="24"/>
      <c r="R1614" s="25"/>
      <c r="S1614" s="26"/>
      <c r="T1614" s="27"/>
      <c r="U1614" s="24"/>
      <c r="V1614" s="38" t="s">
        <v>29</v>
      </c>
      <c r="W1614" s="29" t="s">
        <v>22</v>
      </c>
      <c r="X1614" s="37" t="s">
        <v>1061</v>
      </c>
      <c r="Y1614" s="31"/>
      <c r="Z1614" s="26" t="str">
        <f t="shared" si="5"/>
        <v/>
      </c>
      <c r="AA1614" s="26" t="str">
        <f t="shared" si="6"/>
        <v/>
      </c>
      <c r="AB1614" s="32" t="str">
        <f t="shared" si="7"/>
        <v/>
      </c>
      <c r="AC1614" s="32" t="str">
        <f t="shared" ref="AC1614:AG1614" si="1618">IF(J1614&lt;&gt;"", IF(AND($P1614=FALSE, $A1614=FALSE), -J1614, IF(AND($P1614=FALSE, $A1614=TRUE), 0, IF($P1614=TRUE, (J1614 / $R1614) * 100 * ($S1614 / 100)-J1614, ))), )</f>
        <v/>
      </c>
      <c r="AD1614" s="32" t="str">
        <f t="shared" si="1618"/>
        <v/>
      </c>
      <c r="AE1614" s="32" t="str">
        <f t="shared" si="1618"/>
        <v/>
      </c>
      <c r="AF1614" s="32" t="str">
        <f t="shared" si="1618"/>
        <v/>
      </c>
      <c r="AG1614" s="32" t="str">
        <f t="shared" si="1618"/>
        <v/>
      </c>
      <c r="AH1614" s="33"/>
    </row>
    <row r="1615" hidden="1" outlineLevel="3">
      <c r="A1615" s="16" t="b">
        <v>0</v>
      </c>
      <c r="B1615" s="17"/>
      <c r="C1615" s="18"/>
      <c r="D1615" s="19"/>
      <c r="E1615" s="20"/>
      <c r="F1615" s="21"/>
      <c r="G1615" s="22"/>
      <c r="H1615" s="22"/>
      <c r="I1615" s="23"/>
      <c r="J1615" s="22"/>
      <c r="K1615" s="23"/>
      <c r="L1615" s="22"/>
      <c r="M1615" s="23"/>
      <c r="N1615" s="23"/>
      <c r="O1615" s="24"/>
      <c r="P1615" s="16" t="b">
        <v>0</v>
      </c>
      <c r="Q1615" s="24"/>
      <c r="R1615" s="25"/>
      <c r="S1615" s="26"/>
      <c r="T1615" s="27"/>
      <c r="U1615" s="24"/>
      <c r="V1615" s="66">
        <v>59.0</v>
      </c>
      <c r="W1615" s="29" t="s">
        <v>22</v>
      </c>
      <c r="X1615" s="37" t="s">
        <v>1062</v>
      </c>
      <c r="Y1615" s="31"/>
      <c r="Z1615" s="26" t="str">
        <f t="shared" si="5"/>
        <v/>
      </c>
      <c r="AA1615" s="26" t="str">
        <f t="shared" si="6"/>
        <v/>
      </c>
      <c r="AB1615" s="32" t="str">
        <f t="shared" si="7"/>
        <v/>
      </c>
      <c r="AC1615" s="32" t="str">
        <f t="shared" ref="AC1615:AG1615" si="1619">IF(J1615&lt;&gt;"", IF(AND($P1615=FALSE, $A1615=FALSE), -J1615, IF(AND($P1615=FALSE, $A1615=TRUE), 0, IF($P1615=TRUE, (J1615 / $R1615) * 100 * ($S1615 / 100)-J1615, ))), )</f>
        <v/>
      </c>
      <c r="AD1615" s="32" t="str">
        <f t="shared" si="1619"/>
        <v/>
      </c>
      <c r="AE1615" s="32" t="str">
        <f t="shared" si="1619"/>
        <v/>
      </c>
      <c r="AF1615" s="32" t="str">
        <f t="shared" si="1619"/>
        <v/>
      </c>
      <c r="AG1615" s="32" t="str">
        <f t="shared" si="1619"/>
        <v/>
      </c>
      <c r="AH1615" s="33"/>
    </row>
    <row r="1616" hidden="1" outlineLevel="3">
      <c r="A1616" s="16" t="b">
        <v>0</v>
      </c>
      <c r="B1616" s="17"/>
      <c r="C1616" s="18"/>
      <c r="D1616" s="19"/>
      <c r="E1616" s="20"/>
      <c r="F1616" s="21"/>
      <c r="G1616" s="22"/>
      <c r="H1616" s="22"/>
      <c r="I1616" s="23"/>
      <c r="J1616" s="22"/>
      <c r="K1616" s="23"/>
      <c r="L1616" s="22"/>
      <c r="M1616" s="23"/>
      <c r="N1616" s="23"/>
      <c r="O1616" s="24"/>
      <c r="P1616" s="16" t="b">
        <v>0</v>
      </c>
      <c r="Q1616" s="24"/>
      <c r="R1616" s="25"/>
      <c r="S1616" s="26"/>
      <c r="T1616" s="27"/>
      <c r="U1616" s="24"/>
      <c r="V1616" s="38" t="s">
        <v>29</v>
      </c>
      <c r="W1616" s="29" t="s">
        <v>22</v>
      </c>
      <c r="X1616" s="37" t="s">
        <v>1063</v>
      </c>
      <c r="Y1616" s="31"/>
      <c r="Z1616" s="26" t="str">
        <f t="shared" si="5"/>
        <v/>
      </c>
      <c r="AA1616" s="26" t="str">
        <f t="shared" si="6"/>
        <v/>
      </c>
      <c r="AB1616" s="32" t="str">
        <f t="shared" si="7"/>
        <v/>
      </c>
      <c r="AC1616" s="32" t="str">
        <f t="shared" ref="AC1616:AG1616" si="1620">IF(J1616&lt;&gt;"", IF(AND($P1616=FALSE, $A1616=FALSE), -J1616, IF(AND($P1616=FALSE, $A1616=TRUE), 0, IF($P1616=TRUE, (J1616 / $R1616) * 100 * ($S1616 / 100)-J1616, ))), )</f>
        <v/>
      </c>
      <c r="AD1616" s="32" t="str">
        <f t="shared" si="1620"/>
        <v/>
      </c>
      <c r="AE1616" s="32" t="str">
        <f t="shared" si="1620"/>
        <v/>
      </c>
      <c r="AF1616" s="32" t="str">
        <f t="shared" si="1620"/>
        <v/>
      </c>
      <c r="AG1616" s="32" t="str">
        <f t="shared" si="1620"/>
        <v/>
      </c>
      <c r="AH1616" s="33"/>
    </row>
    <row r="1617" hidden="1" outlineLevel="3">
      <c r="A1617" s="16" t="b">
        <v>0</v>
      </c>
      <c r="B1617" s="17"/>
      <c r="C1617" s="18"/>
      <c r="D1617" s="19"/>
      <c r="E1617" s="20"/>
      <c r="F1617" s="21"/>
      <c r="G1617" s="22"/>
      <c r="H1617" s="22"/>
      <c r="I1617" s="23"/>
      <c r="J1617" s="22"/>
      <c r="K1617" s="23"/>
      <c r="L1617" s="22"/>
      <c r="M1617" s="23"/>
      <c r="N1617" s="23"/>
      <c r="O1617" s="24"/>
      <c r="P1617" s="16" t="b">
        <v>0</v>
      </c>
      <c r="Q1617" s="24"/>
      <c r="R1617" s="25"/>
      <c r="S1617" s="26"/>
      <c r="T1617" s="27"/>
      <c r="U1617" s="24"/>
      <c r="V1617" s="38" t="s">
        <v>29</v>
      </c>
      <c r="W1617" s="29" t="s">
        <v>22</v>
      </c>
      <c r="X1617" s="37" t="s">
        <v>1064</v>
      </c>
      <c r="Y1617" s="31"/>
      <c r="Z1617" s="26" t="str">
        <f t="shared" si="5"/>
        <v/>
      </c>
      <c r="AA1617" s="26" t="str">
        <f t="shared" si="6"/>
        <v/>
      </c>
      <c r="AB1617" s="32" t="str">
        <f t="shared" si="7"/>
        <v/>
      </c>
      <c r="AC1617" s="32" t="str">
        <f t="shared" ref="AC1617:AG1617" si="1621">IF(J1617&lt;&gt;"", IF(AND($P1617=FALSE, $A1617=FALSE), -J1617, IF(AND($P1617=FALSE, $A1617=TRUE), 0, IF($P1617=TRUE, (J1617 / $R1617) * 100 * ($S1617 / 100)-J1617, ))), )</f>
        <v/>
      </c>
      <c r="AD1617" s="32" t="str">
        <f t="shared" si="1621"/>
        <v/>
      </c>
      <c r="AE1617" s="32" t="str">
        <f t="shared" si="1621"/>
        <v/>
      </c>
      <c r="AF1617" s="32" t="str">
        <f t="shared" si="1621"/>
        <v/>
      </c>
      <c r="AG1617" s="32" t="str">
        <f t="shared" si="1621"/>
        <v/>
      </c>
      <c r="AH1617" s="33"/>
    </row>
    <row r="1618" hidden="1" outlineLevel="3">
      <c r="A1618" s="16" t="b">
        <v>0</v>
      </c>
      <c r="B1618" s="17"/>
      <c r="C1618" s="18"/>
      <c r="D1618" s="19"/>
      <c r="E1618" s="20"/>
      <c r="F1618" s="21"/>
      <c r="G1618" s="22"/>
      <c r="H1618" s="22"/>
      <c r="I1618" s="23"/>
      <c r="J1618" s="22"/>
      <c r="K1618" s="23"/>
      <c r="L1618" s="22"/>
      <c r="M1618" s="23"/>
      <c r="N1618" s="23"/>
      <c r="O1618" s="24"/>
      <c r="P1618" s="16" t="b">
        <v>0</v>
      </c>
      <c r="Q1618" s="24"/>
      <c r="R1618" s="25"/>
      <c r="S1618" s="26"/>
      <c r="T1618" s="27"/>
      <c r="U1618" s="24"/>
      <c r="V1618" s="38" t="s">
        <v>29</v>
      </c>
      <c r="W1618" s="29" t="s">
        <v>22</v>
      </c>
      <c r="X1618" s="37" t="s">
        <v>1065</v>
      </c>
      <c r="Y1618" s="31"/>
      <c r="Z1618" s="26" t="str">
        <f t="shared" si="5"/>
        <v/>
      </c>
      <c r="AA1618" s="26" t="str">
        <f t="shared" si="6"/>
        <v/>
      </c>
      <c r="AB1618" s="32" t="str">
        <f t="shared" si="7"/>
        <v/>
      </c>
      <c r="AC1618" s="32" t="str">
        <f t="shared" ref="AC1618:AG1618" si="1622">IF(J1618&lt;&gt;"", IF(AND($P1618=FALSE, $A1618=FALSE), -J1618, IF(AND($P1618=FALSE, $A1618=TRUE), 0, IF($P1618=TRUE, (J1618 / $R1618) * 100 * ($S1618 / 100)-J1618, ))), )</f>
        <v/>
      </c>
      <c r="AD1618" s="32" t="str">
        <f t="shared" si="1622"/>
        <v/>
      </c>
      <c r="AE1618" s="32" t="str">
        <f t="shared" si="1622"/>
        <v/>
      </c>
      <c r="AF1618" s="32" t="str">
        <f t="shared" si="1622"/>
        <v/>
      </c>
      <c r="AG1618" s="32" t="str">
        <f t="shared" si="1622"/>
        <v/>
      </c>
      <c r="AH1618" s="33"/>
    </row>
    <row r="1619" hidden="1" outlineLevel="3">
      <c r="A1619" s="16" t="b">
        <v>0</v>
      </c>
      <c r="B1619" s="17"/>
      <c r="C1619" s="18"/>
      <c r="D1619" s="19"/>
      <c r="E1619" s="20"/>
      <c r="F1619" s="21"/>
      <c r="G1619" s="22"/>
      <c r="H1619" s="22"/>
      <c r="I1619" s="23"/>
      <c r="J1619" s="22"/>
      <c r="K1619" s="23"/>
      <c r="L1619" s="22"/>
      <c r="M1619" s="23"/>
      <c r="N1619" s="23"/>
      <c r="O1619" s="24"/>
      <c r="P1619" s="16" t="b">
        <v>0</v>
      </c>
      <c r="Q1619" s="24"/>
      <c r="R1619" s="25"/>
      <c r="S1619" s="26"/>
      <c r="T1619" s="27"/>
      <c r="U1619" s="24"/>
      <c r="V1619" s="66">
        <v>4.0</v>
      </c>
      <c r="W1619" s="29" t="s">
        <v>22</v>
      </c>
      <c r="X1619" s="37" t="s">
        <v>1066</v>
      </c>
      <c r="Y1619" s="31"/>
      <c r="Z1619" s="26" t="str">
        <f t="shared" si="5"/>
        <v/>
      </c>
      <c r="AA1619" s="26" t="str">
        <f t="shared" si="6"/>
        <v/>
      </c>
      <c r="AB1619" s="32" t="str">
        <f t="shared" si="7"/>
        <v/>
      </c>
      <c r="AC1619" s="32" t="str">
        <f t="shared" ref="AC1619:AG1619" si="1623">IF(J1619&lt;&gt;"", IF(AND($P1619=FALSE, $A1619=FALSE), -J1619, IF(AND($P1619=FALSE, $A1619=TRUE), 0, IF($P1619=TRUE, (J1619 / $R1619) * 100 * ($S1619 / 100)-J1619, ))), )</f>
        <v/>
      </c>
      <c r="AD1619" s="32" t="str">
        <f t="shared" si="1623"/>
        <v/>
      </c>
      <c r="AE1619" s="32" t="str">
        <f t="shared" si="1623"/>
        <v/>
      </c>
      <c r="AF1619" s="32" t="str">
        <f t="shared" si="1623"/>
        <v/>
      </c>
      <c r="AG1619" s="32" t="str">
        <f t="shared" si="1623"/>
        <v/>
      </c>
      <c r="AH1619" s="33"/>
    </row>
    <row r="1620" hidden="1" outlineLevel="3">
      <c r="A1620" s="16" t="b">
        <v>0</v>
      </c>
      <c r="B1620" s="17"/>
      <c r="C1620" s="18"/>
      <c r="D1620" s="19"/>
      <c r="E1620" s="20"/>
      <c r="F1620" s="21"/>
      <c r="G1620" s="22"/>
      <c r="H1620" s="22"/>
      <c r="I1620" s="23"/>
      <c r="J1620" s="22"/>
      <c r="K1620" s="23"/>
      <c r="L1620" s="22"/>
      <c r="M1620" s="23"/>
      <c r="N1620" s="23"/>
      <c r="O1620" s="24"/>
      <c r="P1620" s="16" t="b">
        <v>0</v>
      </c>
      <c r="Q1620" s="24"/>
      <c r="R1620" s="25"/>
      <c r="S1620" s="26"/>
      <c r="T1620" s="27"/>
      <c r="U1620" s="24"/>
      <c r="V1620" s="66">
        <v>1.0</v>
      </c>
      <c r="W1620" s="29" t="s">
        <v>22</v>
      </c>
      <c r="X1620" s="37" t="s">
        <v>1067</v>
      </c>
      <c r="Y1620" s="31"/>
      <c r="Z1620" s="26" t="str">
        <f t="shared" si="5"/>
        <v/>
      </c>
      <c r="AA1620" s="26" t="str">
        <f t="shared" si="6"/>
        <v/>
      </c>
      <c r="AB1620" s="32" t="str">
        <f t="shared" si="7"/>
        <v/>
      </c>
      <c r="AC1620" s="32" t="str">
        <f t="shared" ref="AC1620:AG1620" si="1624">IF(J1620&lt;&gt;"", IF(AND($P1620=FALSE, $A1620=FALSE), -J1620, IF(AND($P1620=FALSE, $A1620=TRUE), 0, IF($P1620=TRUE, (J1620 / $R1620) * 100 * ($S1620 / 100)-J1620, ))), )</f>
        <v/>
      </c>
      <c r="AD1620" s="32" t="str">
        <f t="shared" si="1624"/>
        <v/>
      </c>
      <c r="AE1620" s="32" t="str">
        <f t="shared" si="1624"/>
        <v/>
      </c>
      <c r="AF1620" s="32" t="str">
        <f t="shared" si="1624"/>
        <v/>
      </c>
      <c r="AG1620" s="32" t="str">
        <f t="shared" si="1624"/>
        <v/>
      </c>
      <c r="AH1620" s="33"/>
    </row>
    <row r="1621" hidden="1" outlineLevel="2" collapsed="1">
      <c r="A1621" s="16" t="b">
        <v>0</v>
      </c>
      <c r="B1621" s="17"/>
      <c r="C1621" s="18"/>
      <c r="D1621" s="42">
        <v>45304.0</v>
      </c>
      <c r="E1621" s="43" t="s">
        <v>24</v>
      </c>
      <c r="F1621" s="53" t="s">
        <v>1058</v>
      </c>
      <c r="G1621" s="45">
        <v>1.0</v>
      </c>
      <c r="H1621" s="45">
        <v>0.5</v>
      </c>
      <c r="I1621" s="45">
        <v>2.5</v>
      </c>
      <c r="J1621" s="46"/>
      <c r="K1621" s="46"/>
      <c r="L1621" s="45"/>
      <c r="M1621" s="46"/>
      <c r="N1621" s="46"/>
      <c r="O1621" s="47"/>
      <c r="P1621" s="16" t="b">
        <v>0</v>
      </c>
      <c r="Q1621" s="24"/>
      <c r="R1621" s="48">
        <v>4.0</v>
      </c>
      <c r="S1621" s="45">
        <v>20.75</v>
      </c>
      <c r="T1621" s="49" t="s">
        <v>1068</v>
      </c>
      <c r="U1621" s="47"/>
      <c r="V1621" s="28"/>
      <c r="W1621" s="29"/>
      <c r="X1621" s="30"/>
      <c r="Y1621" s="31"/>
      <c r="Z1621" s="26">
        <f t="shared" si="5"/>
        <v>-1</v>
      </c>
      <c r="AA1621" s="26">
        <f t="shared" si="6"/>
        <v>-2.5</v>
      </c>
      <c r="AB1621" s="32">
        <f t="shared" si="7"/>
        <v>-0.5</v>
      </c>
      <c r="AC1621" s="32" t="str">
        <f t="shared" ref="AC1621:AG1621" si="1625">IF(J1621&lt;&gt;"", IF(AND($P1621=FALSE, $A1621=FALSE), -J1621, IF(AND($P1621=FALSE, $A1621=TRUE), 0, IF($P1621=TRUE, (J1621 / $R1621) * 100 * ($S1621 / 100)-J1621, ))), )</f>
        <v/>
      </c>
      <c r="AD1621" s="32" t="str">
        <f t="shared" si="1625"/>
        <v/>
      </c>
      <c r="AE1621" s="32" t="str">
        <f t="shared" si="1625"/>
        <v/>
      </c>
      <c r="AF1621" s="32" t="str">
        <f t="shared" si="1625"/>
        <v/>
      </c>
      <c r="AG1621" s="32" t="str">
        <f t="shared" si="1625"/>
        <v/>
      </c>
      <c r="AH1621" s="33"/>
    </row>
    <row r="1622" hidden="1" outlineLevel="3">
      <c r="A1622" s="16" t="b">
        <v>0</v>
      </c>
      <c r="B1622" s="17"/>
      <c r="C1622" s="18"/>
      <c r="D1622" s="19"/>
      <c r="E1622" s="20"/>
      <c r="F1622" s="21"/>
      <c r="G1622" s="22"/>
      <c r="H1622" s="22"/>
      <c r="I1622" s="23"/>
      <c r="J1622" s="22"/>
      <c r="K1622" s="23"/>
      <c r="L1622" s="22"/>
      <c r="M1622" s="23"/>
      <c r="N1622" s="23"/>
      <c r="O1622" s="24"/>
      <c r="P1622" s="16" t="b">
        <v>0</v>
      </c>
      <c r="Q1622" s="24"/>
      <c r="R1622" s="25"/>
      <c r="S1622" s="26"/>
      <c r="T1622" s="27"/>
      <c r="U1622" s="24"/>
      <c r="V1622" s="38" t="s">
        <v>29</v>
      </c>
      <c r="W1622" s="29" t="s">
        <v>22</v>
      </c>
      <c r="X1622" s="37" t="s">
        <v>1069</v>
      </c>
      <c r="Y1622" s="31"/>
      <c r="Z1622" s="26" t="str">
        <f t="shared" si="5"/>
        <v/>
      </c>
      <c r="AA1622" s="26" t="str">
        <f t="shared" si="6"/>
        <v/>
      </c>
      <c r="AB1622" s="32" t="str">
        <f t="shared" si="7"/>
        <v/>
      </c>
      <c r="AC1622" s="32" t="str">
        <f t="shared" ref="AC1622:AG1622" si="1626">IF(J1622&lt;&gt;"", IF(AND($P1622=FALSE, $A1622=FALSE), -J1622, IF(AND($P1622=FALSE, $A1622=TRUE), 0, IF($P1622=TRUE, (J1622 / $R1622) * 100 * ($S1622 / 100)-J1622, ))), )</f>
        <v/>
      </c>
      <c r="AD1622" s="32" t="str">
        <f t="shared" si="1626"/>
        <v/>
      </c>
      <c r="AE1622" s="32" t="str">
        <f t="shared" si="1626"/>
        <v/>
      </c>
      <c r="AF1622" s="32" t="str">
        <f t="shared" si="1626"/>
        <v/>
      </c>
      <c r="AG1622" s="32" t="str">
        <f t="shared" si="1626"/>
        <v/>
      </c>
      <c r="AH1622" s="33"/>
    </row>
    <row r="1623" hidden="1" outlineLevel="3">
      <c r="A1623" s="16" t="b">
        <v>0</v>
      </c>
      <c r="B1623" s="17"/>
      <c r="C1623" s="18"/>
      <c r="D1623" s="19"/>
      <c r="E1623" s="20"/>
      <c r="F1623" s="21"/>
      <c r="G1623" s="22"/>
      <c r="H1623" s="22"/>
      <c r="I1623" s="23"/>
      <c r="J1623" s="22"/>
      <c r="K1623" s="23"/>
      <c r="L1623" s="22"/>
      <c r="M1623" s="23"/>
      <c r="N1623" s="23"/>
      <c r="O1623" s="24"/>
      <c r="P1623" s="16" t="b">
        <v>0</v>
      </c>
      <c r="Q1623" s="24"/>
      <c r="R1623" s="25"/>
      <c r="S1623" s="26"/>
      <c r="T1623" s="27"/>
      <c r="U1623" s="24"/>
      <c r="V1623" s="28" t="s">
        <v>1070</v>
      </c>
      <c r="W1623" s="29" t="s">
        <v>22</v>
      </c>
      <c r="X1623" s="37" t="s">
        <v>1071</v>
      </c>
      <c r="Y1623" s="31"/>
      <c r="Z1623" s="26" t="str">
        <f t="shared" si="5"/>
        <v/>
      </c>
      <c r="AA1623" s="26" t="str">
        <f t="shared" si="6"/>
        <v/>
      </c>
      <c r="AB1623" s="32" t="str">
        <f t="shared" si="7"/>
        <v/>
      </c>
      <c r="AC1623" s="32" t="str">
        <f t="shared" ref="AC1623:AG1623" si="1627">IF(J1623&lt;&gt;"", IF(AND($P1623=FALSE, $A1623=FALSE), -J1623, IF(AND($P1623=FALSE, $A1623=TRUE), 0, IF($P1623=TRUE, (J1623 / $R1623) * 100 * ($S1623 / 100)-J1623, ))), )</f>
        <v/>
      </c>
      <c r="AD1623" s="32" t="str">
        <f t="shared" si="1627"/>
        <v/>
      </c>
      <c r="AE1623" s="32" t="str">
        <f t="shared" si="1627"/>
        <v/>
      </c>
      <c r="AF1623" s="32" t="str">
        <f t="shared" si="1627"/>
        <v/>
      </c>
      <c r="AG1623" s="32" t="str">
        <f t="shared" si="1627"/>
        <v/>
      </c>
      <c r="AH1623" s="33"/>
    </row>
    <row r="1624" hidden="1" outlineLevel="2" collapsed="1">
      <c r="A1624" s="16" t="b">
        <v>0</v>
      </c>
      <c r="B1624" s="17"/>
      <c r="C1624" s="18"/>
      <c r="D1624" s="42">
        <v>45304.0</v>
      </c>
      <c r="E1624" s="43" t="s">
        <v>24</v>
      </c>
      <c r="F1624" s="53" t="s">
        <v>1058</v>
      </c>
      <c r="G1624" s="45">
        <v>1.0</v>
      </c>
      <c r="H1624" s="45"/>
      <c r="I1624" s="45"/>
      <c r="J1624" s="46"/>
      <c r="K1624" s="46"/>
      <c r="L1624" s="45"/>
      <c r="M1624" s="46"/>
      <c r="N1624" s="46"/>
      <c r="O1624" s="47"/>
      <c r="P1624" s="16" t="b">
        <v>0</v>
      </c>
      <c r="Q1624" s="24"/>
      <c r="R1624" s="48">
        <v>1.0</v>
      </c>
      <c r="S1624" s="45">
        <v>3.11</v>
      </c>
      <c r="T1624" s="49" t="s">
        <v>1072</v>
      </c>
      <c r="U1624" s="47"/>
      <c r="V1624" s="28"/>
      <c r="W1624" s="29"/>
      <c r="X1624" s="30"/>
      <c r="Y1624" s="31"/>
      <c r="Z1624" s="26">
        <f t="shared" si="5"/>
        <v>-1</v>
      </c>
      <c r="AA1624" s="26" t="str">
        <f t="shared" si="6"/>
        <v/>
      </c>
      <c r="AB1624" s="32" t="str">
        <f t="shared" si="7"/>
        <v/>
      </c>
      <c r="AC1624" s="32" t="str">
        <f t="shared" ref="AC1624:AG1624" si="1628">IF(J1624&lt;&gt;"", IF(AND($P1624=FALSE, $A1624=FALSE), -J1624, IF(AND($P1624=FALSE, $A1624=TRUE), 0, IF($P1624=TRUE, (J1624 / $R1624) * 100 * ($S1624 / 100)-J1624, ))), )</f>
        <v/>
      </c>
      <c r="AD1624" s="32" t="str">
        <f t="shared" si="1628"/>
        <v/>
      </c>
      <c r="AE1624" s="32" t="str">
        <f t="shared" si="1628"/>
        <v/>
      </c>
      <c r="AF1624" s="32" t="str">
        <f t="shared" si="1628"/>
        <v/>
      </c>
      <c r="AG1624" s="32" t="str">
        <f t="shared" si="1628"/>
        <v/>
      </c>
      <c r="AH1624" s="33"/>
    </row>
    <row r="1625" hidden="1" outlineLevel="3">
      <c r="A1625" s="16" t="b">
        <v>0</v>
      </c>
      <c r="B1625" s="17"/>
      <c r="C1625" s="18"/>
      <c r="D1625" s="19"/>
      <c r="E1625" s="20"/>
      <c r="F1625" s="21"/>
      <c r="G1625" s="22"/>
      <c r="H1625" s="22"/>
      <c r="I1625" s="23"/>
      <c r="J1625" s="22"/>
      <c r="K1625" s="23"/>
      <c r="L1625" s="22"/>
      <c r="M1625" s="23"/>
      <c r="N1625" s="23"/>
      <c r="O1625" s="24"/>
      <c r="P1625" s="16" t="b">
        <v>0</v>
      </c>
      <c r="Q1625" s="24"/>
      <c r="R1625" s="25"/>
      <c r="S1625" s="26"/>
      <c r="T1625" s="27"/>
      <c r="U1625" s="24"/>
      <c r="V1625" s="66">
        <v>260.0</v>
      </c>
      <c r="W1625" s="29" t="s">
        <v>22</v>
      </c>
      <c r="X1625" s="37" t="s">
        <v>1073</v>
      </c>
      <c r="Y1625" s="31"/>
      <c r="Z1625" s="26" t="str">
        <f t="shared" si="5"/>
        <v/>
      </c>
      <c r="AA1625" s="26" t="str">
        <f t="shared" si="6"/>
        <v/>
      </c>
      <c r="AB1625" s="32" t="str">
        <f t="shared" si="7"/>
        <v/>
      </c>
      <c r="AC1625" s="32" t="str">
        <f t="shared" ref="AC1625:AG1625" si="1629">IF(J1625&lt;&gt;"", IF(AND($P1625=FALSE, $A1625=FALSE), -J1625, IF(AND($P1625=FALSE, $A1625=TRUE), 0, IF($P1625=TRUE, (J1625 / $R1625) * 100 * ($S1625 / 100)-J1625, ))), )</f>
        <v/>
      </c>
      <c r="AD1625" s="32" t="str">
        <f t="shared" si="1629"/>
        <v/>
      </c>
      <c r="AE1625" s="32" t="str">
        <f t="shared" si="1629"/>
        <v/>
      </c>
      <c r="AF1625" s="32" t="str">
        <f t="shared" si="1629"/>
        <v/>
      </c>
      <c r="AG1625" s="32" t="str">
        <f t="shared" si="1629"/>
        <v/>
      </c>
      <c r="AH1625" s="33"/>
    </row>
    <row r="1626" hidden="1" outlineLevel="3">
      <c r="A1626" s="16" t="b">
        <v>0</v>
      </c>
      <c r="B1626" s="17"/>
      <c r="C1626" s="18"/>
      <c r="D1626" s="19"/>
      <c r="E1626" s="20"/>
      <c r="F1626" s="21"/>
      <c r="G1626" s="22"/>
      <c r="H1626" s="22"/>
      <c r="I1626" s="23"/>
      <c r="J1626" s="22"/>
      <c r="K1626" s="23"/>
      <c r="L1626" s="22"/>
      <c r="M1626" s="23"/>
      <c r="N1626" s="23"/>
      <c r="O1626" s="24"/>
      <c r="P1626" s="16" t="b">
        <v>0</v>
      </c>
      <c r="Q1626" s="24"/>
      <c r="R1626" s="25"/>
      <c r="S1626" s="26"/>
      <c r="T1626" s="27"/>
      <c r="U1626" s="24"/>
      <c r="V1626" s="38" t="s">
        <v>29</v>
      </c>
      <c r="W1626" s="29" t="s">
        <v>22</v>
      </c>
      <c r="X1626" s="37" t="s">
        <v>1074</v>
      </c>
      <c r="Y1626" s="31"/>
      <c r="Z1626" s="26" t="str">
        <f t="shared" si="5"/>
        <v/>
      </c>
      <c r="AA1626" s="26" t="str">
        <f t="shared" si="6"/>
        <v/>
      </c>
      <c r="AB1626" s="32" t="str">
        <f t="shared" si="7"/>
        <v/>
      </c>
      <c r="AC1626" s="32" t="str">
        <f t="shared" ref="AC1626:AG1626" si="1630">IF(J1626&lt;&gt;"", IF(AND($P1626=FALSE, $A1626=FALSE), -J1626, IF(AND($P1626=FALSE, $A1626=TRUE), 0, IF($P1626=TRUE, (J1626 / $R1626) * 100 * ($S1626 / 100)-J1626, ))), )</f>
        <v/>
      </c>
      <c r="AD1626" s="32" t="str">
        <f t="shared" si="1630"/>
        <v/>
      </c>
      <c r="AE1626" s="32" t="str">
        <f t="shared" si="1630"/>
        <v/>
      </c>
      <c r="AF1626" s="32" t="str">
        <f t="shared" si="1630"/>
        <v/>
      </c>
      <c r="AG1626" s="32" t="str">
        <f t="shared" si="1630"/>
        <v/>
      </c>
      <c r="AH1626" s="33"/>
    </row>
    <row r="1627" hidden="1" outlineLevel="2" collapsed="1">
      <c r="A1627" s="16" t="b">
        <v>0</v>
      </c>
      <c r="B1627" s="17"/>
      <c r="C1627" s="18"/>
      <c r="D1627" s="42">
        <v>45304.0</v>
      </c>
      <c r="E1627" s="43" t="s">
        <v>24</v>
      </c>
      <c r="F1627" s="53" t="s">
        <v>1058</v>
      </c>
      <c r="G1627" s="45">
        <v>2.0</v>
      </c>
      <c r="H1627" s="45">
        <v>1.0</v>
      </c>
      <c r="I1627" s="45">
        <v>2.0</v>
      </c>
      <c r="J1627" s="46"/>
      <c r="K1627" s="46"/>
      <c r="L1627" s="45"/>
      <c r="M1627" s="46"/>
      <c r="N1627" s="46"/>
      <c r="O1627" s="47"/>
      <c r="P1627" s="16" t="b">
        <v>0</v>
      </c>
      <c r="Q1627" s="24"/>
      <c r="R1627" s="48">
        <v>5.0</v>
      </c>
      <c r="S1627" s="45">
        <v>10.31</v>
      </c>
      <c r="T1627" s="49" t="s">
        <v>631</v>
      </c>
      <c r="U1627" s="47"/>
      <c r="V1627" s="28"/>
      <c r="W1627" s="29"/>
      <c r="X1627" s="30"/>
      <c r="Y1627" s="31"/>
      <c r="Z1627" s="26">
        <f t="shared" si="5"/>
        <v>-2</v>
      </c>
      <c r="AA1627" s="26">
        <f t="shared" si="6"/>
        <v>-2</v>
      </c>
      <c r="AB1627" s="32">
        <f t="shared" si="7"/>
        <v>-1</v>
      </c>
      <c r="AC1627" s="32" t="str">
        <f t="shared" ref="AC1627:AG1627" si="1631">IF(J1627&lt;&gt;"", IF(AND($P1627=FALSE, $A1627=FALSE), -J1627, IF(AND($P1627=FALSE, $A1627=TRUE), 0, IF($P1627=TRUE, (J1627 / $R1627) * 100 * ($S1627 / 100)-J1627, ))), )</f>
        <v/>
      </c>
      <c r="AD1627" s="32" t="str">
        <f t="shared" si="1631"/>
        <v/>
      </c>
      <c r="AE1627" s="32" t="str">
        <f t="shared" si="1631"/>
        <v/>
      </c>
      <c r="AF1627" s="32" t="str">
        <f t="shared" si="1631"/>
        <v/>
      </c>
      <c r="AG1627" s="32" t="str">
        <f t="shared" si="1631"/>
        <v/>
      </c>
      <c r="AH1627" s="33"/>
    </row>
    <row r="1628" hidden="1" outlineLevel="3">
      <c r="A1628" s="16" t="b">
        <v>0</v>
      </c>
      <c r="B1628" s="17"/>
      <c r="C1628" s="18"/>
      <c r="D1628" s="19"/>
      <c r="E1628" s="20"/>
      <c r="F1628" s="21"/>
      <c r="G1628" s="22"/>
      <c r="H1628" s="22"/>
      <c r="I1628" s="23"/>
      <c r="J1628" s="22"/>
      <c r="K1628" s="23"/>
      <c r="L1628" s="22"/>
      <c r="M1628" s="23"/>
      <c r="N1628" s="23"/>
      <c r="O1628" s="24"/>
      <c r="P1628" s="16" t="b">
        <v>0</v>
      </c>
      <c r="Q1628" s="24"/>
      <c r="R1628" s="25"/>
      <c r="S1628" s="26"/>
      <c r="T1628" s="27"/>
      <c r="U1628" s="24"/>
      <c r="V1628" s="38" t="s">
        <v>29</v>
      </c>
      <c r="W1628" s="29" t="s">
        <v>22</v>
      </c>
      <c r="X1628" s="37" t="s">
        <v>1075</v>
      </c>
      <c r="Y1628" s="31"/>
      <c r="Z1628" s="26" t="str">
        <f t="shared" si="5"/>
        <v/>
      </c>
      <c r="AA1628" s="26" t="str">
        <f t="shared" si="6"/>
        <v/>
      </c>
      <c r="AB1628" s="32" t="str">
        <f t="shared" si="7"/>
        <v/>
      </c>
      <c r="AC1628" s="32" t="str">
        <f t="shared" ref="AC1628:AG1628" si="1632">IF(J1628&lt;&gt;"", IF(AND($P1628=FALSE, $A1628=FALSE), -J1628, IF(AND($P1628=FALSE, $A1628=TRUE), 0, IF($P1628=TRUE, (J1628 / $R1628) * 100 * ($S1628 / 100)-J1628, ))), )</f>
        <v/>
      </c>
      <c r="AD1628" s="32" t="str">
        <f t="shared" si="1632"/>
        <v/>
      </c>
      <c r="AE1628" s="32" t="str">
        <f t="shared" si="1632"/>
        <v/>
      </c>
      <c r="AF1628" s="32" t="str">
        <f t="shared" si="1632"/>
        <v/>
      </c>
      <c r="AG1628" s="32" t="str">
        <f t="shared" si="1632"/>
        <v/>
      </c>
      <c r="AH1628" s="33"/>
    </row>
    <row r="1629" hidden="1" outlineLevel="3">
      <c r="A1629" s="16" t="b">
        <v>0</v>
      </c>
      <c r="B1629" s="17"/>
      <c r="C1629" s="18"/>
      <c r="D1629" s="19"/>
      <c r="E1629" s="20"/>
      <c r="F1629" s="21"/>
      <c r="G1629" s="22"/>
      <c r="H1629" s="22"/>
      <c r="I1629" s="23"/>
      <c r="J1629" s="22"/>
      <c r="K1629" s="23"/>
      <c r="L1629" s="22"/>
      <c r="M1629" s="23"/>
      <c r="N1629" s="23"/>
      <c r="O1629" s="24"/>
      <c r="P1629" s="16" t="b">
        <v>0</v>
      </c>
      <c r="Q1629" s="24"/>
      <c r="R1629" s="25"/>
      <c r="S1629" s="26"/>
      <c r="T1629" s="27"/>
      <c r="U1629" s="24"/>
      <c r="V1629" s="66">
        <v>33.0</v>
      </c>
      <c r="W1629" s="29" t="s">
        <v>22</v>
      </c>
      <c r="X1629" s="37" t="s">
        <v>499</v>
      </c>
      <c r="Y1629" s="31"/>
      <c r="Z1629" s="26" t="str">
        <f t="shared" si="5"/>
        <v/>
      </c>
      <c r="AA1629" s="26" t="str">
        <f t="shared" si="6"/>
        <v/>
      </c>
      <c r="AB1629" s="32" t="str">
        <f t="shared" si="7"/>
        <v/>
      </c>
      <c r="AC1629" s="32" t="str">
        <f t="shared" ref="AC1629:AG1629" si="1633">IF(J1629&lt;&gt;"", IF(AND($P1629=FALSE, $A1629=FALSE), -J1629, IF(AND($P1629=FALSE, $A1629=TRUE), 0, IF($P1629=TRUE, (J1629 / $R1629) * 100 * ($S1629 / 100)-J1629, ))), )</f>
        <v/>
      </c>
      <c r="AD1629" s="32" t="str">
        <f t="shared" si="1633"/>
        <v/>
      </c>
      <c r="AE1629" s="32" t="str">
        <f t="shared" si="1633"/>
        <v/>
      </c>
      <c r="AF1629" s="32" t="str">
        <f t="shared" si="1633"/>
        <v/>
      </c>
      <c r="AG1629" s="32" t="str">
        <f t="shared" si="1633"/>
        <v/>
      </c>
      <c r="AH1629" s="33"/>
    </row>
    <row r="1630" hidden="1" outlineLevel="2">
      <c r="A1630" s="16" t="b">
        <v>0</v>
      </c>
      <c r="B1630" s="17"/>
      <c r="C1630" s="18"/>
      <c r="D1630" s="42">
        <v>45304.0</v>
      </c>
      <c r="E1630" s="43" t="s">
        <v>24</v>
      </c>
      <c r="F1630" s="53" t="s">
        <v>1058</v>
      </c>
      <c r="G1630" s="45">
        <v>2.0</v>
      </c>
      <c r="H1630" s="45">
        <v>1.0</v>
      </c>
      <c r="I1630" s="45">
        <v>10.0</v>
      </c>
      <c r="J1630" s="46"/>
      <c r="K1630" s="46"/>
      <c r="L1630" s="45"/>
      <c r="M1630" s="46"/>
      <c r="N1630" s="46"/>
      <c r="O1630" s="47"/>
      <c r="P1630" s="16" t="b">
        <v>0</v>
      </c>
      <c r="Q1630" s="24"/>
      <c r="R1630" s="48">
        <v>13.0</v>
      </c>
      <c r="S1630" s="45">
        <v>27.95</v>
      </c>
      <c r="T1630" s="49" t="s">
        <v>599</v>
      </c>
      <c r="U1630" s="47"/>
      <c r="V1630" s="28"/>
      <c r="W1630" s="29"/>
      <c r="X1630" s="30"/>
      <c r="Y1630" s="31"/>
      <c r="Z1630" s="26">
        <f t="shared" si="5"/>
        <v>-2</v>
      </c>
      <c r="AA1630" s="26">
        <f t="shared" si="6"/>
        <v>-10</v>
      </c>
      <c r="AB1630" s="32">
        <f t="shared" si="7"/>
        <v>-1</v>
      </c>
      <c r="AC1630" s="32" t="str">
        <f t="shared" ref="AC1630:AG1630" si="1634">IF(J1630&lt;&gt;"", IF(AND($P1630=FALSE, $A1630=FALSE), -J1630, IF(AND($P1630=FALSE, $A1630=TRUE), 0, IF($P1630=TRUE, (J1630 / $R1630) * 100 * ($S1630 / 100)-J1630, ))), )</f>
        <v/>
      </c>
      <c r="AD1630" s="32" t="str">
        <f t="shared" si="1634"/>
        <v/>
      </c>
      <c r="AE1630" s="32" t="str">
        <f t="shared" si="1634"/>
        <v/>
      </c>
      <c r="AF1630" s="32" t="str">
        <f t="shared" si="1634"/>
        <v/>
      </c>
      <c r="AG1630" s="32" t="str">
        <f t="shared" si="1634"/>
        <v/>
      </c>
      <c r="AH1630" s="33"/>
    </row>
    <row r="1631" hidden="1" outlineLevel="3">
      <c r="A1631" s="16" t="b">
        <v>0</v>
      </c>
      <c r="B1631" s="17"/>
      <c r="C1631" s="18"/>
      <c r="D1631" s="19"/>
      <c r="E1631" s="20"/>
      <c r="F1631" s="21"/>
      <c r="G1631" s="22"/>
      <c r="H1631" s="22"/>
      <c r="I1631" s="23"/>
      <c r="J1631" s="22"/>
      <c r="K1631" s="23"/>
      <c r="L1631" s="22"/>
      <c r="M1631" s="23"/>
      <c r="N1631" s="23"/>
      <c r="O1631" s="24"/>
      <c r="P1631" s="16" t="b">
        <v>0</v>
      </c>
      <c r="Q1631" s="24"/>
      <c r="R1631" s="25"/>
      <c r="S1631" s="26"/>
      <c r="T1631" s="27"/>
      <c r="U1631" s="24"/>
      <c r="V1631" s="38" t="s">
        <v>29</v>
      </c>
      <c r="W1631" s="29" t="s">
        <v>22</v>
      </c>
      <c r="X1631" s="37" t="s">
        <v>1076</v>
      </c>
      <c r="Y1631" s="31"/>
      <c r="Z1631" s="26" t="str">
        <f t="shared" si="5"/>
        <v/>
      </c>
      <c r="AA1631" s="26" t="str">
        <f t="shared" si="6"/>
        <v/>
      </c>
      <c r="AB1631" s="32" t="str">
        <f t="shared" si="7"/>
        <v/>
      </c>
      <c r="AC1631" s="32" t="str">
        <f t="shared" ref="AC1631:AG1631" si="1635">IF(J1631&lt;&gt;"", IF(AND($P1631=FALSE, $A1631=FALSE), -J1631, IF(AND($P1631=FALSE, $A1631=TRUE), 0, IF($P1631=TRUE, (J1631 / $R1631) * 100 * ($S1631 / 100)-J1631, ))), )</f>
        <v/>
      </c>
      <c r="AD1631" s="32" t="str">
        <f t="shared" si="1635"/>
        <v/>
      </c>
      <c r="AE1631" s="32" t="str">
        <f t="shared" si="1635"/>
        <v/>
      </c>
      <c r="AF1631" s="32" t="str">
        <f t="shared" si="1635"/>
        <v/>
      </c>
      <c r="AG1631" s="32" t="str">
        <f t="shared" si="1635"/>
        <v/>
      </c>
      <c r="AH1631" s="33"/>
    </row>
    <row r="1632" hidden="1" outlineLevel="3">
      <c r="A1632" s="16" t="b">
        <v>0</v>
      </c>
      <c r="B1632" s="17"/>
      <c r="C1632" s="18"/>
      <c r="D1632" s="19"/>
      <c r="E1632" s="20"/>
      <c r="F1632" s="21"/>
      <c r="G1632" s="22"/>
      <c r="H1632" s="22"/>
      <c r="I1632" s="23"/>
      <c r="J1632" s="22"/>
      <c r="K1632" s="23"/>
      <c r="L1632" s="22"/>
      <c r="M1632" s="23"/>
      <c r="N1632" s="23"/>
      <c r="O1632" s="24"/>
      <c r="P1632" s="16" t="b">
        <v>0</v>
      </c>
      <c r="Q1632" s="24"/>
      <c r="R1632" s="25"/>
      <c r="S1632" s="26"/>
      <c r="T1632" s="27"/>
      <c r="U1632" s="24"/>
      <c r="V1632" s="66">
        <v>199.0</v>
      </c>
      <c r="W1632" s="29" t="s">
        <v>22</v>
      </c>
      <c r="X1632" s="37" t="s">
        <v>1077</v>
      </c>
      <c r="Y1632" s="31"/>
      <c r="Z1632" s="26" t="str">
        <f t="shared" si="5"/>
        <v/>
      </c>
      <c r="AA1632" s="26" t="str">
        <f t="shared" si="6"/>
        <v/>
      </c>
      <c r="AB1632" s="32" t="str">
        <f t="shared" si="7"/>
        <v/>
      </c>
      <c r="AC1632" s="32" t="str">
        <f t="shared" ref="AC1632:AG1632" si="1636">IF(J1632&lt;&gt;"", IF(AND($P1632=FALSE, $A1632=FALSE), -J1632, IF(AND($P1632=FALSE, $A1632=TRUE), 0, IF($P1632=TRUE, (J1632 / $R1632) * 100 * ($S1632 / 100)-J1632, ))), )</f>
        <v/>
      </c>
      <c r="AD1632" s="32" t="str">
        <f t="shared" si="1636"/>
        <v/>
      </c>
      <c r="AE1632" s="32" t="str">
        <f t="shared" si="1636"/>
        <v/>
      </c>
      <c r="AF1632" s="32" t="str">
        <f t="shared" si="1636"/>
        <v/>
      </c>
      <c r="AG1632" s="32" t="str">
        <f t="shared" si="1636"/>
        <v/>
      </c>
      <c r="AH1632" s="33"/>
    </row>
    <row r="1633" hidden="1" outlineLevel="1" collapsed="1">
      <c r="A1633" s="16" t="b">
        <v>0</v>
      </c>
      <c r="B1633" s="17"/>
      <c r="C1633" s="18"/>
      <c r="D1633" s="42">
        <v>45305.0</v>
      </c>
      <c r="E1633" s="43" t="s">
        <v>24</v>
      </c>
      <c r="F1633" s="53" t="s">
        <v>1058</v>
      </c>
      <c r="G1633" s="45">
        <v>2.5</v>
      </c>
      <c r="H1633" s="45">
        <v>1.0</v>
      </c>
      <c r="I1633" s="45">
        <v>5.0</v>
      </c>
      <c r="J1633" s="46"/>
      <c r="K1633" s="46"/>
      <c r="L1633" s="45"/>
      <c r="M1633" s="46"/>
      <c r="N1633" s="46"/>
      <c r="O1633" s="47"/>
      <c r="P1633" s="16" t="b">
        <v>0</v>
      </c>
      <c r="Q1633" s="24"/>
      <c r="R1633" s="48">
        <v>8.5</v>
      </c>
      <c r="S1633" s="45">
        <v>19.04</v>
      </c>
      <c r="T1633" s="49" t="s">
        <v>380</v>
      </c>
      <c r="U1633" s="47"/>
      <c r="V1633" s="28"/>
      <c r="W1633" s="29"/>
      <c r="X1633" s="30"/>
      <c r="Y1633" s="31"/>
      <c r="Z1633" s="26">
        <f t="shared" si="5"/>
        <v>-2.5</v>
      </c>
      <c r="AA1633" s="26">
        <f t="shared" si="6"/>
        <v>-5</v>
      </c>
      <c r="AB1633" s="32">
        <f t="shared" si="7"/>
        <v>-1</v>
      </c>
      <c r="AC1633" s="32" t="str">
        <f t="shared" ref="AC1633:AG1633" si="1637">IF(J1633&lt;&gt;"", IF(AND($P1633=FALSE, $A1633=FALSE), -J1633, IF(AND($P1633=FALSE, $A1633=TRUE), 0, IF($P1633=TRUE, (J1633 / $R1633) * 100 * ($S1633 / 100)-J1633, ))), )</f>
        <v/>
      </c>
      <c r="AD1633" s="32" t="str">
        <f t="shared" si="1637"/>
        <v/>
      </c>
      <c r="AE1633" s="32" t="str">
        <f t="shared" si="1637"/>
        <v/>
      </c>
      <c r="AF1633" s="32" t="str">
        <f t="shared" si="1637"/>
        <v/>
      </c>
      <c r="AG1633" s="32" t="str">
        <f t="shared" si="1637"/>
        <v/>
      </c>
      <c r="AH1633" s="33"/>
    </row>
    <row r="1634" hidden="1" outlineLevel="3">
      <c r="A1634" s="16" t="b">
        <v>0</v>
      </c>
      <c r="B1634" s="17"/>
      <c r="C1634" s="18"/>
      <c r="D1634" s="19"/>
      <c r="E1634" s="20"/>
      <c r="F1634" s="21"/>
      <c r="G1634" s="22"/>
      <c r="H1634" s="22"/>
      <c r="I1634" s="23"/>
      <c r="J1634" s="22"/>
      <c r="K1634" s="23"/>
      <c r="L1634" s="22"/>
      <c r="M1634" s="23"/>
      <c r="N1634" s="23"/>
      <c r="O1634" s="24"/>
      <c r="P1634" s="16" t="b">
        <v>0</v>
      </c>
      <c r="Q1634" s="24"/>
      <c r="R1634" s="25"/>
      <c r="S1634" s="26"/>
      <c r="T1634" s="27"/>
      <c r="U1634" s="24"/>
      <c r="V1634" s="38" t="s">
        <v>29</v>
      </c>
      <c r="W1634" s="29" t="s">
        <v>22</v>
      </c>
      <c r="X1634" s="37" t="s">
        <v>375</v>
      </c>
      <c r="Y1634" s="31"/>
      <c r="Z1634" s="26" t="str">
        <f t="shared" si="5"/>
        <v/>
      </c>
      <c r="AA1634" s="26" t="str">
        <f t="shared" si="6"/>
        <v/>
      </c>
      <c r="AB1634" s="32" t="str">
        <f t="shared" si="7"/>
        <v/>
      </c>
      <c r="AC1634" s="32" t="str">
        <f t="shared" ref="AC1634:AG1634" si="1638">IF(J1634&lt;&gt;"", IF(AND($P1634=FALSE, $A1634=FALSE), -J1634, IF(AND($P1634=FALSE, $A1634=TRUE), 0, IF($P1634=TRUE, (J1634 / $R1634) * 100 * ($S1634 / 100)-J1634, ))), )</f>
        <v/>
      </c>
      <c r="AD1634" s="32" t="str">
        <f t="shared" si="1638"/>
        <v/>
      </c>
      <c r="AE1634" s="32" t="str">
        <f t="shared" si="1638"/>
        <v/>
      </c>
      <c r="AF1634" s="32" t="str">
        <f t="shared" si="1638"/>
        <v/>
      </c>
      <c r="AG1634" s="32" t="str">
        <f t="shared" si="1638"/>
        <v/>
      </c>
      <c r="AH1634" s="33"/>
    </row>
    <row r="1635" hidden="1" outlineLevel="3">
      <c r="A1635" s="16" t="b">
        <v>0</v>
      </c>
      <c r="B1635" s="17"/>
      <c r="C1635" s="18"/>
      <c r="D1635" s="19"/>
      <c r="E1635" s="20"/>
      <c r="F1635" s="21"/>
      <c r="G1635" s="22"/>
      <c r="H1635" s="22"/>
      <c r="I1635" s="23"/>
      <c r="J1635" s="22"/>
      <c r="K1635" s="23"/>
      <c r="L1635" s="22"/>
      <c r="M1635" s="23"/>
      <c r="N1635" s="23"/>
      <c r="O1635" s="24"/>
      <c r="P1635" s="16" t="b">
        <v>0</v>
      </c>
      <c r="Q1635" s="24"/>
      <c r="R1635" s="25"/>
      <c r="S1635" s="26"/>
      <c r="T1635" s="27"/>
      <c r="U1635" s="24"/>
      <c r="V1635" s="38" t="s">
        <v>29</v>
      </c>
      <c r="W1635" s="29" t="s">
        <v>22</v>
      </c>
      <c r="X1635" s="37" t="s">
        <v>1078</v>
      </c>
      <c r="Y1635" s="31"/>
      <c r="Z1635" s="26" t="str">
        <f t="shared" si="5"/>
        <v/>
      </c>
      <c r="AA1635" s="26" t="str">
        <f t="shared" si="6"/>
        <v/>
      </c>
      <c r="AB1635" s="32" t="str">
        <f t="shared" si="7"/>
        <v/>
      </c>
      <c r="AC1635" s="32" t="str">
        <f t="shared" ref="AC1635:AG1635" si="1639">IF(J1635&lt;&gt;"", IF(AND($P1635=FALSE, $A1635=FALSE), -J1635, IF(AND($P1635=FALSE, $A1635=TRUE), 0, IF($P1635=TRUE, (J1635 / $R1635) * 100 * ($S1635 / 100)-J1635, ))), )</f>
        <v/>
      </c>
      <c r="AD1635" s="32" t="str">
        <f t="shared" si="1639"/>
        <v/>
      </c>
      <c r="AE1635" s="32" t="str">
        <f t="shared" si="1639"/>
        <v/>
      </c>
      <c r="AF1635" s="32" t="str">
        <f t="shared" si="1639"/>
        <v/>
      </c>
      <c r="AG1635" s="32" t="str">
        <f t="shared" si="1639"/>
        <v/>
      </c>
      <c r="AH1635" s="33"/>
    </row>
    <row r="1636" hidden="1" outlineLevel="3">
      <c r="A1636" s="16" t="b">
        <v>0</v>
      </c>
      <c r="B1636" s="17"/>
      <c r="C1636" s="18"/>
      <c r="D1636" s="19"/>
      <c r="E1636" s="20"/>
      <c r="F1636" s="21"/>
      <c r="G1636" s="22"/>
      <c r="H1636" s="22"/>
      <c r="I1636" s="23"/>
      <c r="J1636" s="22"/>
      <c r="K1636" s="23"/>
      <c r="L1636" s="22"/>
      <c r="M1636" s="23"/>
      <c r="N1636" s="23"/>
      <c r="O1636" s="24"/>
      <c r="P1636" s="16" t="b">
        <v>0</v>
      </c>
      <c r="Q1636" s="24"/>
      <c r="R1636" s="25"/>
      <c r="S1636" s="26"/>
      <c r="T1636" s="27"/>
      <c r="U1636" s="24"/>
      <c r="V1636" s="38" t="s">
        <v>29</v>
      </c>
      <c r="W1636" s="29" t="s">
        <v>22</v>
      </c>
      <c r="X1636" s="37" t="s">
        <v>1079</v>
      </c>
      <c r="Y1636" s="31"/>
      <c r="Z1636" s="26" t="str">
        <f t="shared" si="5"/>
        <v/>
      </c>
      <c r="AA1636" s="26" t="str">
        <f t="shared" si="6"/>
        <v/>
      </c>
      <c r="AB1636" s="32" t="str">
        <f t="shared" si="7"/>
        <v/>
      </c>
      <c r="AC1636" s="32" t="str">
        <f t="shared" ref="AC1636:AG1636" si="1640">IF(J1636&lt;&gt;"", IF(AND($P1636=FALSE, $A1636=FALSE), -J1636, IF(AND($P1636=FALSE, $A1636=TRUE), 0, IF($P1636=TRUE, (J1636 / $R1636) * 100 * ($S1636 / 100)-J1636, ))), )</f>
        <v/>
      </c>
      <c r="AD1636" s="32" t="str">
        <f t="shared" si="1640"/>
        <v/>
      </c>
      <c r="AE1636" s="32" t="str">
        <f t="shared" si="1640"/>
        <v/>
      </c>
      <c r="AF1636" s="32" t="str">
        <f t="shared" si="1640"/>
        <v/>
      </c>
      <c r="AG1636" s="32" t="str">
        <f t="shared" si="1640"/>
        <v/>
      </c>
      <c r="AH1636" s="33"/>
    </row>
    <row r="1637" hidden="1" outlineLevel="3">
      <c r="A1637" s="16" t="b">
        <v>0</v>
      </c>
      <c r="B1637" s="17"/>
      <c r="C1637" s="18"/>
      <c r="D1637" s="19"/>
      <c r="E1637" s="20"/>
      <c r="F1637" s="21"/>
      <c r="G1637" s="22"/>
      <c r="H1637" s="22"/>
      <c r="I1637" s="23"/>
      <c r="J1637" s="22"/>
      <c r="K1637" s="23"/>
      <c r="L1637" s="22"/>
      <c r="M1637" s="23"/>
      <c r="N1637" s="23"/>
      <c r="O1637" s="24"/>
      <c r="P1637" s="16" t="b">
        <v>0</v>
      </c>
      <c r="Q1637" s="24"/>
      <c r="R1637" s="25"/>
      <c r="S1637" s="26"/>
      <c r="T1637" s="27"/>
      <c r="U1637" s="24"/>
      <c r="V1637" s="28" t="s">
        <v>1070</v>
      </c>
      <c r="W1637" s="29" t="s">
        <v>22</v>
      </c>
      <c r="X1637" s="37" t="s">
        <v>1080</v>
      </c>
      <c r="Y1637" s="31"/>
      <c r="Z1637" s="26" t="str">
        <f t="shared" si="5"/>
        <v/>
      </c>
      <c r="AA1637" s="26" t="str">
        <f t="shared" si="6"/>
        <v/>
      </c>
      <c r="AB1637" s="32" t="str">
        <f t="shared" si="7"/>
        <v/>
      </c>
      <c r="AC1637" s="32" t="str">
        <f t="shared" ref="AC1637:AG1637" si="1641">IF(J1637&lt;&gt;"", IF(AND($P1637=FALSE, $A1637=FALSE), -J1637, IF(AND($P1637=FALSE, $A1637=TRUE), 0, IF($P1637=TRUE, (J1637 / $R1637) * 100 * ($S1637 / 100)-J1637, ))), )</f>
        <v/>
      </c>
      <c r="AD1637" s="32" t="str">
        <f t="shared" si="1641"/>
        <v/>
      </c>
      <c r="AE1637" s="32" t="str">
        <f t="shared" si="1641"/>
        <v/>
      </c>
      <c r="AF1637" s="32" t="str">
        <f t="shared" si="1641"/>
        <v/>
      </c>
      <c r="AG1637" s="32" t="str">
        <f t="shared" si="1641"/>
        <v/>
      </c>
      <c r="AH1637" s="33"/>
    </row>
    <row r="1638" hidden="1" outlineLevel="2" collapsed="1">
      <c r="A1638" s="16" t="b">
        <v>0</v>
      </c>
      <c r="B1638" s="17"/>
      <c r="C1638" s="18"/>
      <c r="D1638" s="42">
        <v>45305.0</v>
      </c>
      <c r="E1638" s="43" t="s">
        <v>24</v>
      </c>
      <c r="F1638" s="53" t="s">
        <v>1058</v>
      </c>
      <c r="G1638" s="45">
        <v>4.0</v>
      </c>
      <c r="H1638" s="45">
        <v>2.0</v>
      </c>
      <c r="I1638" s="45">
        <v>4.0</v>
      </c>
      <c r="J1638" s="46"/>
      <c r="K1638" s="46"/>
      <c r="L1638" s="45"/>
      <c r="M1638" s="46"/>
      <c r="N1638" s="46"/>
      <c r="O1638" s="47"/>
      <c r="P1638" s="16" t="b">
        <v>0</v>
      </c>
      <c r="Q1638" s="24"/>
      <c r="R1638" s="48">
        <v>10.0</v>
      </c>
      <c r="S1638" s="45">
        <v>84.34</v>
      </c>
      <c r="T1638" s="49" t="s">
        <v>1081</v>
      </c>
      <c r="U1638" s="47"/>
      <c r="V1638" s="28"/>
      <c r="W1638" s="29"/>
      <c r="X1638" s="30"/>
      <c r="Y1638" s="31"/>
      <c r="Z1638" s="26">
        <f t="shared" si="5"/>
        <v>-4</v>
      </c>
      <c r="AA1638" s="26">
        <f t="shared" si="6"/>
        <v>-4</v>
      </c>
      <c r="AB1638" s="32">
        <f t="shared" si="7"/>
        <v>-2</v>
      </c>
      <c r="AC1638" s="32" t="str">
        <f t="shared" ref="AC1638:AG1638" si="1642">IF(J1638&lt;&gt;"", IF(AND($P1638=FALSE, $A1638=FALSE), -J1638, IF(AND($P1638=FALSE, $A1638=TRUE), 0, IF($P1638=TRUE, (J1638 / $R1638) * 100 * ($S1638 / 100)-J1638, ))), )</f>
        <v/>
      </c>
      <c r="AD1638" s="32" t="str">
        <f t="shared" si="1642"/>
        <v/>
      </c>
      <c r="AE1638" s="32" t="str">
        <f t="shared" si="1642"/>
        <v/>
      </c>
      <c r="AF1638" s="32" t="str">
        <f t="shared" si="1642"/>
        <v/>
      </c>
      <c r="AG1638" s="32" t="str">
        <f t="shared" si="1642"/>
        <v/>
      </c>
      <c r="AH1638" s="33"/>
    </row>
    <row r="1639" hidden="1" outlineLevel="3">
      <c r="A1639" s="16" t="b">
        <v>0</v>
      </c>
      <c r="B1639" s="17"/>
      <c r="C1639" s="18"/>
      <c r="D1639" s="19"/>
      <c r="E1639" s="20"/>
      <c r="F1639" s="21"/>
      <c r="G1639" s="22"/>
      <c r="H1639" s="22"/>
      <c r="I1639" s="23"/>
      <c r="J1639" s="22"/>
      <c r="K1639" s="23"/>
      <c r="L1639" s="22"/>
      <c r="M1639" s="23"/>
      <c r="N1639" s="23"/>
      <c r="O1639" s="24"/>
      <c r="P1639" s="16" t="b">
        <v>0</v>
      </c>
      <c r="Q1639" s="24"/>
      <c r="R1639" s="25"/>
      <c r="S1639" s="26"/>
      <c r="T1639" s="27"/>
      <c r="U1639" s="24"/>
      <c r="V1639" s="38" t="s">
        <v>29</v>
      </c>
      <c r="W1639" s="29" t="s">
        <v>22</v>
      </c>
      <c r="X1639" s="37" t="s">
        <v>606</v>
      </c>
      <c r="Y1639" s="31"/>
      <c r="Z1639" s="26" t="str">
        <f t="shared" si="5"/>
        <v/>
      </c>
      <c r="AA1639" s="26" t="str">
        <f t="shared" si="6"/>
        <v/>
      </c>
      <c r="AB1639" s="32" t="str">
        <f t="shared" si="7"/>
        <v/>
      </c>
      <c r="AC1639" s="32" t="str">
        <f t="shared" ref="AC1639:AG1639" si="1643">IF(J1639&lt;&gt;"", IF(AND($P1639=FALSE, $A1639=FALSE), -J1639, IF(AND($P1639=FALSE, $A1639=TRUE), 0, IF($P1639=TRUE, (J1639 / $R1639) * 100 * ($S1639 / 100)-J1639, ))), )</f>
        <v/>
      </c>
      <c r="AD1639" s="32" t="str">
        <f t="shared" si="1643"/>
        <v/>
      </c>
      <c r="AE1639" s="32" t="str">
        <f t="shared" si="1643"/>
        <v/>
      </c>
      <c r="AF1639" s="32" t="str">
        <f t="shared" si="1643"/>
        <v/>
      </c>
      <c r="AG1639" s="32" t="str">
        <f t="shared" si="1643"/>
        <v/>
      </c>
      <c r="AH1639" s="33"/>
    </row>
    <row r="1640" hidden="1" outlineLevel="3">
      <c r="A1640" s="16" t="b">
        <v>0</v>
      </c>
      <c r="B1640" s="17"/>
      <c r="C1640" s="18"/>
      <c r="D1640" s="19"/>
      <c r="E1640" s="20"/>
      <c r="F1640" s="21"/>
      <c r="G1640" s="22"/>
      <c r="H1640" s="22"/>
      <c r="I1640" s="23"/>
      <c r="J1640" s="22"/>
      <c r="K1640" s="23"/>
      <c r="L1640" s="22"/>
      <c r="M1640" s="23"/>
      <c r="N1640" s="23"/>
      <c r="O1640" s="24"/>
      <c r="P1640" s="16" t="b">
        <v>0</v>
      </c>
      <c r="Q1640" s="24"/>
      <c r="R1640" s="25"/>
      <c r="S1640" s="26"/>
      <c r="T1640" s="27"/>
      <c r="U1640" s="24"/>
      <c r="V1640" s="38" t="s">
        <v>29</v>
      </c>
      <c r="W1640" s="29" t="s">
        <v>22</v>
      </c>
      <c r="X1640" s="37" t="s">
        <v>1082</v>
      </c>
      <c r="Y1640" s="31"/>
      <c r="Z1640" s="26" t="str">
        <f t="shared" si="5"/>
        <v/>
      </c>
      <c r="AA1640" s="26" t="str">
        <f t="shared" si="6"/>
        <v/>
      </c>
      <c r="AB1640" s="32" t="str">
        <f t="shared" si="7"/>
        <v/>
      </c>
      <c r="AC1640" s="32" t="str">
        <f t="shared" ref="AC1640:AG1640" si="1644">IF(J1640&lt;&gt;"", IF(AND($P1640=FALSE, $A1640=FALSE), -J1640, IF(AND($P1640=FALSE, $A1640=TRUE), 0, IF($P1640=TRUE, (J1640 / $R1640) * 100 * ($S1640 / 100)-J1640, ))), )</f>
        <v/>
      </c>
      <c r="AD1640" s="32" t="str">
        <f t="shared" si="1644"/>
        <v/>
      </c>
      <c r="AE1640" s="32" t="str">
        <f t="shared" si="1644"/>
        <v/>
      </c>
      <c r="AF1640" s="32" t="str">
        <f t="shared" si="1644"/>
        <v/>
      </c>
      <c r="AG1640" s="32" t="str">
        <f t="shared" si="1644"/>
        <v/>
      </c>
      <c r="AH1640" s="33"/>
    </row>
    <row r="1641" hidden="1" outlineLevel="3">
      <c r="A1641" s="16" t="b">
        <v>0</v>
      </c>
      <c r="B1641" s="17"/>
      <c r="C1641" s="18"/>
      <c r="D1641" s="19"/>
      <c r="E1641" s="20"/>
      <c r="F1641" s="21"/>
      <c r="G1641" s="22"/>
      <c r="H1641" s="22"/>
      <c r="I1641" s="23"/>
      <c r="J1641" s="22"/>
      <c r="K1641" s="23"/>
      <c r="L1641" s="22"/>
      <c r="M1641" s="23"/>
      <c r="N1641" s="23"/>
      <c r="O1641" s="24"/>
      <c r="P1641" s="16" t="b">
        <v>0</v>
      </c>
      <c r="Q1641" s="24"/>
      <c r="R1641" s="25"/>
      <c r="S1641" s="26"/>
      <c r="T1641" s="27"/>
      <c r="U1641" s="24"/>
      <c r="V1641" s="38" t="s">
        <v>29</v>
      </c>
      <c r="W1641" s="29" t="s">
        <v>22</v>
      </c>
      <c r="X1641" s="37" t="s">
        <v>604</v>
      </c>
      <c r="Y1641" s="31"/>
      <c r="Z1641" s="26" t="str">
        <f t="shared" si="5"/>
        <v/>
      </c>
      <c r="AA1641" s="26" t="str">
        <f t="shared" si="6"/>
        <v/>
      </c>
      <c r="AB1641" s="32" t="str">
        <f t="shared" si="7"/>
        <v/>
      </c>
      <c r="AC1641" s="32" t="str">
        <f t="shared" ref="AC1641:AG1641" si="1645">IF(J1641&lt;&gt;"", IF(AND($P1641=FALSE, $A1641=FALSE), -J1641, IF(AND($P1641=FALSE, $A1641=TRUE), 0, IF($P1641=TRUE, (J1641 / $R1641) * 100 * ($S1641 / 100)-J1641, ))), )</f>
        <v/>
      </c>
      <c r="AD1641" s="32" t="str">
        <f t="shared" si="1645"/>
        <v/>
      </c>
      <c r="AE1641" s="32" t="str">
        <f t="shared" si="1645"/>
        <v/>
      </c>
      <c r="AF1641" s="32" t="str">
        <f t="shared" si="1645"/>
        <v/>
      </c>
      <c r="AG1641" s="32" t="str">
        <f t="shared" si="1645"/>
        <v/>
      </c>
      <c r="AH1641" s="33"/>
    </row>
    <row r="1642" hidden="1" outlineLevel="3">
      <c r="A1642" s="16" t="b">
        <v>0</v>
      </c>
      <c r="B1642" s="17"/>
      <c r="C1642" s="18"/>
      <c r="D1642" s="19"/>
      <c r="E1642" s="20"/>
      <c r="F1642" s="21"/>
      <c r="G1642" s="22"/>
      <c r="H1642" s="22"/>
      <c r="I1642" s="23"/>
      <c r="J1642" s="22"/>
      <c r="K1642" s="23"/>
      <c r="L1642" s="22"/>
      <c r="M1642" s="23"/>
      <c r="N1642" s="23"/>
      <c r="O1642" s="24"/>
      <c r="P1642" s="16" t="b">
        <v>0</v>
      </c>
      <c r="Q1642" s="24"/>
      <c r="R1642" s="25"/>
      <c r="S1642" s="26"/>
      <c r="T1642" s="27"/>
      <c r="U1642" s="24"/>
      <c r="V1642" s="38" t="s">
        <v>29</v>
      </c>
      <c r="W1642" s="29" t="s">
        <v>22</v>
      </c>
      <c r="X1642" s="37" t="s">
        <v>1083</v>
      </c>
      <c r="Y1642" s="31"/>
      <c r="Z1642" s="26" t="str">
        <f t="shared" si="5"/>
        <v/>
      </c>
      <c r="AA1642" s="26" t="str">
        <f t="shared" si="6"/>
        <v/>
      </c>
      <c r="AB1642" s="32" t="str">
        <f t="shared" si="7"/>
        <v/>
      </c>
      <c r="AC1642" s="32" t="str">
        <f t="shared" ref="AC1642:AG1642" si="1646">IF(J1642&lt;&gt;"", IF(AND($P1642=FALSE, $A1642=FALSE), -J1642, IF(AND($P1642=FALSE, $A1642=TRUE), 0, IF($P1642=TRUE, (J1642 / $R1642) * 100 * ($S1642 / 100)-J1642, ))), )</f>
        <v/>
      </c>
      <c r="AD1642" s="32" t="str">
        <f t="shared" si="1646"/>
        <v/>
      </c>
      <c r="AE1642" s="32" t="str">
        <f t="shared" si="1646"/>
        <v/>
      </c>
      <c r="AF1642" s="32" t="str">
        <f t="shared" si="1646"/>
        <v/>
      </c>
      <c r="AG1642" s="32" t="str">
        <f t="shared" si="1646"/>
        <v/>
      </c>
      <c r="AH1642" s="33"/>
    </row>
    <row r="1643" hidden="1" outlineLevel="3">
      <c r="A1643" s="16" t="b">
        <v>0</v>
      </c>
      <c r="B1643" s="17"/>
      <c r="C1643" s="18"/>
      <c r="D1643" s="19"/>
      <c r="E1643" s="20"/>
      <c r="F1643" s="21"/>
      <c r="G1643" s="22"/>
      <c r="H1643" s="22"/>
      <c r="I1643" s="23"/>
      <c r="J1643" s="22"/>
      <c r="K1643" s="23"/>
      <c r="L1643" s="22"/>
      <c r="M1643" s="23"/>
      <c r="N1643" s="23"/>
      <c r="O1643" s="24"/>
      <c r="P1643" s="16" t="b">
        <v>0</v>
      </c>
      <c r="Q1643" s="24"/>
      <c r="R1643" s="25"/>
      <c r="S1643" s="26"/>
      <c r="T1643" s="27"/>
      <c r="U1643" s="24"/>
      <c r="V1643" s="38" t="s">
        <v>29</v>
      </c>
      <c r="W1643" s="29" t="s">
        <v>22</v>
      </c>
      <c r="X1643" s="37" t="s">
        <v>1084</v>
      </c>
      <c r="Y1643" s="31"/>
      <c r="Z1643" s="26" t="str">
        <f t="shared" si="5"/>
        <v/>
      </c>
      <c r="AA1643" s="26" t="str">
        <f t="shared" si="6"/>
        <v/>
      </c>
      <c r="AB1643" s="32" t="str">
        <f t="shared" si="7"/>
        <v/>
      </c>
      <c r="AC1643" s="32" t="str">
        <f t="shared" ref="AC1643:AG1643" si="1647">IF(J1643&lt;&gt;"", IF(AND($P1643=FALSE, $A1643=FALSE), -J1643, IF(AND($P1643=FALSE, $A1643=TRUE), 0, IF($P1643=TRUE, (J1643 / $R1643) * 100 * ($S1643 / 100)-J1643, ))), )</f>
        <v/>
      </c>
      <c r="AD1643" s="32" t="str">
        <f t="shared" si="1647"/>
        <v/>
      </c>
      <c r="AE1643" s="32" t="str">
        <f t="shared" si="1647"/>
        <v/>
      </c>
      <c r="AF1643" s="32" t="str">
        <f t="shared" si="1647"/>
        <v/>
      </c>
      <c r="AG1643" s="32" t="str">
        <f t="shared" si="1647"/>
        <v/>
      </c>
      <c r="AH1643" s="33"/>
    </row>
    <row r="1644" hidden="1" outlineLevel="3">
      <c r="A1644" s="16" t="b">
        <v>0</v>
      </c>
      <c r="B1644" s="17"/>
      <c r="C1644" s="18"/>
      <c r="D1644" s="19"/>
      <c r="E1644" s="20"/>
      <c r="F1644" s="21"/>
      <c r="G1644" s="22"/>
      <c r="H1644" s="22"/>
      <c r="I1644" s="23"/>
      <c r="J1644" s="22"/>
      <c r="K1644" s="23"/>
      <c r="L1644" s="22"/>
      <c r="M1644" s="23"/>
      <c r="N1644" s="23"/>
      <c r="O1644" s="24"/>
      <c r="P1644" s="16" t="b">
        <v>0</v>
      </c>
      <c r="Q1644" s="24"/>
      <c r="R1644" s="25"/>
      <c r="S1644" s="26"/>
      <c r="T1644" s="27"/>
      <c r="U1644" s="24"/>
      <c r="V1644" s="28" t="s">
        <v>1070</v>
      </c>
      <c r="W1644" s="29" t="s">
        <v>22</v>
      </c>
      <c r="X1644" s="37" t="s">
        <v>1085</v>
      </c>
      <c r="Y1644" s="31"/>
      <c r="Z1644" s="26" t="str">
        <f t="shared" si="5"/>
        <v/>
      </c>
      <c r="AA1644" s="26" t="str">
        <f t="shared" si="6"/>
        <v/>
      </c>
      <c r="AB1644" s="32" t="str">
        <f t="shared" si="7"/>
        <v/>
      </c>
      <c r="AC1644" s="32" t="str">
        <f t="shared" ref="AC1644:AG1644" si="1648">IF(J1644&lt;&gt;"", IF(AND($P1644=FALSE, $A1644=FALSE), -J1644, IF(AND($P1644=FALSE, $A1644=TRUE), 0, IF($P1644=TRUE, (J1644 / $R1644) * 100 * ($S1644 / 100)-J1644, ))), )</f>
        <v/>
      </c>
      <c r="AD1644" s="32" t="str">
        <f t="shared" si="1648"/>
        <v/>
      </c>
      <c r="AE1644" s="32" t="str">
        <f t="shared" si="1648"/>
        <v/>
      </c>
      <c r="AF1644" s="32" t="str">
        <f t="shared" si="1648"/>
        <v/>
      </c>
      <c r="AG1644" s="32" t="str">
        <f t="shared" si="1648"/>
        <v/>
      </c>
      <c r="AH1644" s="33"/>
    </row>
    <row r="1645" hidden="1" outlineLevel="3">
      <c r="A1645" s="16" t="b">
        <v>0</v>
      </c>
      <c r="B1645" s="17"/>
      <c r="C1645" s="18"/>
      <c r="D1645" s="19"/>
      <c r="E1645" s="20"/>
      <c r="F1645" s="21"/>
      <c r="G1645" s="22"/>
      <c r="H1645" s="22"/>
      <c r="I1645" s="23"/>
      <c r="J1645" s="22"/>
      <c r="K1645" s="23"/>
      <c r="L1645" s="22"/>
      <c r="M1645" s="23"/>
      <c r="N1645" s="23"/>
      <c r="O1645" s="24"/>
      <c r="P1645" s="16" t="b">
        <v>0</v>
      </c>
      <c r="Q1645" s="24"/>
      <c r="R1645" s="25"/>
      <c r="S1645" s="26"/>
      <c r="T1645" s="27"/>
      <c r="U1645" s="24"/>
      <c r="V1645" s="38" t="s">
        <v>29</v>
      </c>
      <c r="W1645" s="29" t="s">
        <v>22</v>
      </c>
      <c r="X1645" s="37" t="s">
        <v>1086</v>
      </c>
      <c r="Y1645" s="31"/>
      <c r="Z1645" s="26" t="str">
        <f t="shared" si="5"/>
        <v/>
      </c>
      <c r="AA1645" s="26" t="str">
        <f t="shared" si="6"/>
        <v/>
      </c>
      <c r="AB1645" s="32" t="str">
        <f t="shared" si="7"/>
        <v/>
      </c>
      <c r="AC1645" s="32" t="str">
        <f t="shared" ref="AC1645:AG1645" si="1649">IF(J1645&lt;&gt;"", IF(AND($P1645=FALSE, $A1645=FALSE), -J1645, IF(AND($P1645=FALSE, $A1645=TRUE), 0, IF($P1645=TRUE, (J1645 / $R1645) * 100 * ($S1645 / 100)-J1645, ))), )</f>
        <v/>
      </c>
      <c r="AD1645" s="32" t="str">
        <f t="shared" si="1649"/>
        <v/>
      </c>
      <c r="AE1645" s="32" t="str">
        <f t="shared" si="1649"/>
        <v/>
      </c>
      <c r="AF1645" s="32" t="str">
        <f t="shared" si="1649"/>
        <v/>
      </c>
      <c r="AG1645" s="32" t="str">
        <f t="shared" si="1649"/>
        <v/>
      </c>
      <c r="AH1645" s="33"/>
    </row>
    <row r="1646" hidden="1" outlineLevel="3">
      <c r="A1646" s="16" t="b">
        <v>0</v>
      </c>
      <c r="B1646" s="17"/>
      <c r="C1646" s="18"/>
      <c r="D1646" s="19"/>
      <c r="E1646" s="20"/>
      <c r="F1646" s="21"/>
      <c r="G1646" s="22"/>
      <c r="H1646" s="22"/>
      <c r="I1646" s="23"/>
      <c r="J1646" s="22"/>
      <c r="K1646" s="23"/>
      <c r="L1646" s="22"/>
      <c r="M1646" s="23"/>
      <c r="N1646" s="23"/>
      <c r="O1646" s="24"/>
      <c r="P1646" s="16" t="b">
        <v>0</v>
      </c>
      <c r="Q1646" s="24"/>
      <c r="R1646" s="25"/>
      <c r="S1646" s="26"/>
      <c r="T1646" s="27"/>
      <c r="U1646" s="24"/>
      <c r="V1646" s="28" t="s">
        <v>1070</v>
      </c>
      <c r="W1646" s="29" t="s">
        <v>22</v>
      </c>
      <c r="X1646" s="37" t="s">
        <v>609</v>
      </c>
      <c r="Y1646" s="31"/>
      <c r="Z1646" s="26" t="str">
        <f t="shared" si="5"/>
        <v/>
      </c>
      <c r="AA1646" s="26" t="str">
        <f t="shared" si="6"/>
        <v/>
      </c>
      <c r="AB1646" s="32" t="str">
        <f t="shared" si="7"/>
        <v/>
      </c>
      <c r="AC1646" s="32" t="str">
        <f t="shared" ref="AC1646:AG1646" si="1650">IF(J1646&lt;&gt;"", IF(AND($P1646=FALSE, $A1646=FALSE), -J1646, IF(AND($P1646=FALSE, $A1646=TRUE), 0, IF($P1646=TRUE, (J1646 / $R1646) * 100 * ($S1646 / 100)-J1646, ))), )</f>
        <v/>
      </c>
      <c r="AD1646" s="32" t="str">
        <f t="shared" si="1650"/>
        <v/>
      </c>
      <c r="AE1646" s="32" t="str">
        <f t="shared" si="1650"/>
        <v/>
      </c>
      <c r="AF1646" s="32" t="str">
        <f t="shared" si="1650"/>
        <v/>
      </c>
      <c r="AG1646" s="32" t="str">
        <f t="shared" si="1650"/>
        <v/>
      </c>
      <c r="AH1646" s="33"/>
    </row>
    <row r="1647" hidden="1" outlineLevel="2" collapsed="1">
      <c r="A1647" s="16" t="b">
        <v>0</v>
      </c>
      <c r="B1647" s="17"/>
      <c r="C1647" s="18"/>
      <c r="D1647" s="42">
        <v>45305.0</v>
      </c>
      <c r="E1647" s="43" t="s">
        <v>24</v>
      </c>
      <c r="F1647" s="53" t="s">
        <v>1058</v>
      </c>
      <c r="G1647" s="45">
        <v>4.0</v>
      </c>
      <c r="H1647" s="45">
        <v>1.0</v>
      </c>
      <c r="I1647" s="45">
        <v>25.0</v>
      </c>
      <c r="J1647" s="46"/>
      <c r="K1647" s="46"/>
      <c r="L1647" s="45"/>
      <c r="M1647" s="46"/>
      <c r="N1647" s="46"/>
      <c r="O1647" s="47"/>
      <c r="P1647" s="16" t="b">
        <v>1</v>
      </c>
      <c r="Q1647" s="24"/>
      <c r="R1647" s="48">
        <v>30.0</v>
      </c>
      <c r="S1647" s="45">
        <v>60.0</v>
      </c>
      <c r="T1647" s="49">
        <v>-100.0</v>
      </c>
      <c r="U1647" s="47"/>
      <c r="V1647" s="28"/>
      <c r="W1647" s="29"/>
      <c r="X1647" s="30"/>
      <c r="Y1647" s="31"/>
      <c r="Z1647" s="26">
        <f t="shared" si="5"/>
        <v>4</v>
      </c>
      <c r="AA1647" s="26">
        <f t="shared" si="6"/>
        <v>25</v>
      </c>
      <c r="AB1647" s="32">
        <f t="shared" si="7"/>
        <v>1</v>
      </c>
      <c r="AC1647" s="32" t="str">
        <f t="shared" ref="AC1647:AG1647" si="1651">IF(J1647&lt;&gt;"", IF(AND($P1647=FALSE, $A1647=FALSE), -J1647, IF(AND($P1647=FALSE, $A1647=TRUE), 0, IF($P1647=TRUE, (J1647 / $R1647) * 100 * ($S1647 / 100)-J1647, ))), )</f>
        <v/>
      </c>
      <c r="AD1647" s="32" t="str">
        <f t="shared" si="1651"/>
        <v/>
      </c>
      <c r="AE1647" s="32" t="str">
        <f t="shared" si="1651"/>
        <v/>
      </c>
      <c r="AF1647" s="32" t="str">
        <f t="shared" si="1651"/>
        <v/>
      </c>
      <c r="AG1647" s="32" t="str">
        <f t="shared" si="1651"/>
        <v/>
      </c>
      <c r="AH1647" s="33"/>
    </row>
    <row r="1648" hidden="1" outlineLevel="3">
      <c r="A1648" s="16" t="b">
        <v>0</v>
      </c>
      <c r="B1648" s="17"/>
      <c r="C1648" s="18"/>
      <c r="D1648" s="19"/>
      <c r="E1648" s="20"/>
      <c r="F1648" s="21"/>
      <c r="G1648" s="22"/>
      <c r="H1648" s="22"/>
      <c r="I1648" s="23"/>
      <c r="J1648" s="22"/>
      <c r="K1648" s="23"/>
      <c r="L1648" s="22"/>
      <c r="M1648" s="23"/>
      <c r="N1648" s="23"/>
      <c r="O1648" s="24"/>
      <c r="P1648" s="16" t="b">
        <v>0</v>
      </c>
      <c r="Q1648" s="24"/>
      <c r="R1648" s="25"/>
      <c r="S1648" s="26"/>
      <c r="T1648" s="27"/>
      <c r="U1648" s="24"/>
      <c r="V1648" s="38" t="s">
        <v>29</v>
      </c>
      <c r="W1648" s="29" t="s">
        <v>22</v>
      </c>
      <c r="X1648" s="37" t="s">
        <v>372</v>
      </c>
      <c r="Y1648" s="31"/>
      <c r="Z1648" s="26" t="str">
        <f t="shared" si="5"/>
        <v/>
      </c>
      <c r="AA1648" s="26" t="str">
        <f t="shared" si="6"/>
        <v/>
      </c>
      <c r="AB1648" s="32" t="str">
        <f t="shared" si="7"/>
        <v/>
      </c>
      <c r="AC1648" s="32" t="str">
        <f t="shared" ref="AC1648:AG1648" si="1652">IF(J1648&lt;&gt;"", IF(AND($P1648=FALSE, $A1648=FALSE), -J1648, IF(AND($P1648=FALSE, $A1648=TRUE), 0, IF($P1648=TRUE, (J1648 / $R1648) * 100 * ($S1648 / 100)-J1648, ))), )</f>
        <v/>
      </c>
      <c r="AD1648" s="32" t="str">
        <f t="shared" si="1652"/>
        <v/>
      </c>
      <c r="AE1648" s="32" t="str">
        <f t="shared" si="1652"/>
        <v/>
      </c>
      <c r="AF1648" s="32" t="str">
        <f t="shared" si="1652"/>
        <v/>
      </c>
      <c r="AG1648" s="32" t="str">
        <f t="shared" si="1652"/>
        <v/>
      </c>
      <c r="AH1648" s="33"/>
    </row>
    <row r="1649" hidden="1" outlineLevel="3">
      <c r="A1649" s="16" t="b">
        <v>0</v>
      </c>
      <c r="B1649" s="17"/>
      <c r="C1649" s="18"/>
      <c r="D1649" s="19"/>
      <c r="E1649" s="20"/>
      <c r="F1649" s="21"/>
      <c r="G1649" s="22"/>
      <c r="H1649" s="22"/>
      <c r="I1649" s="23"/>
      <c r="J1649" s="22"/>
      <c r="K1649" s="23"/>
      <c r="L1649" s="22"/>
      <c r="M1649" s="23"/>
      <c r="N1649" s="23"/>
      <c r="O1649" s="24"/>
      <c r="P1649" s="16" t="b">
        <v>0</v>
      </c>
      <c r="Q1649" s="24"/>
      <c r="R1649" s="25"/>
      <c r="S1649" s="26"/>
      <c r="T1649" s="27"/>
      <c r="U1649" s="24"/>
      <c r="V1649" s="38" t="s">
        <v>29</v>
      </c>
      <c r="W1649" s="29" t="s">
        <v>22</v>
      </c>
      <c r="X1649" s="37" t="s">
        <v>1078</v>
      </c>
      <c r="Y1649" s="31"/>
      <c r="Z1649" s="26" t="str">
        <f t="shared" si="5"/>
        <v/>
      </c>
      <c r="AA1649" s="26" t="str">
        <f t="shared" si="6"/>
        <v/>
      </c>
      <c r="AB1649" s="32" t="str">
        <f t="shared" si="7"/>
        <v/>
      </c>
      <c r="AC1649" s="32" t="str">
        <f t="shared" ref="AC1649:AG1649" si="1653">IF(J1649&lt;&gt;"", IF(AND($P1649=FALSE, $A1649=FALSE), -J1649, IF(AND($P1649=FALSE, $A1649=TRUE), 0, IF($P1649=TRUE, (J1649 / $R1649) * 100 * ($S1649 / 100)-J1649, ))), )</f>
        <v/>
      </c>
      <c r="AD1649" s="32" t="str">
        <f t="shared" si="1653"/>
        <v/>
      </c>
      <c r="AE1649" s="32" t="str">
        <f t="shared" si="1653"/>
        <v/>
      </c>
      <c r="AF1649" s="32" t="str">
        <f t="shared" si="1653"/>
        <v/>
      </c>
      <c r="AG1649" s="32" t="str">
        <f t="shared" si="1653"/>
        <v/>
      </c>
      <c r="AH1649" s="33"/>
    </row>
    <row r="1650" hidden="1" outlineLevel="2" collapsed="1">
      <c r="A1650" s="16" t="b">
        <v>0</v>
      </c>
      <c r="B1650" s="17"/>
      <c r="C1650" s="18"/>
      <c r="D1650" s="42">
        <v>45305.0</v>
      </c>
      <c r="E1650" s="43" t="s">
        <v>24</v>
      </c>
      <c r="F1650" s="53" t="s">
        <v>1058</v>
      </c>
      <c r="G1650" s="45">
        <v>1.0</v>
      </c>
      <c r="H1650" s="45"/>
      <c r="I1650" s="45"/>
      <c r="J1650" s="46"/>
      <c r="K1650" s="46"/>
      <c r="L1650" s="45"/>
      <c r="M1650" s="46"/>
      <c r="N1650" s="46"/>
      <c r="O1650" s="47"/>
      <c r="P1650" s="16" t="b">
        <v>0</v>
      </c>
      <c r="Q1650" s="24"/>
      <c r="R1650" s="48">
        <v>1.0</v>
      </c>
      <c r="S1650" s="45">
        <v>1.95</v>
      </c>
      <c r="T1650" s="49">
        <v>-105.0</v>
      </c>
      <c r="U1650" s="47"/>
      <c r="V1650" s="28"/>
      <c r="W1650" s="29"/>
      <c r="X1650" s="30"/>
      <c r="Y1650" s="31"/>
      <c r="Z1650" s="26">
        <f t="shared" si="5"/>
        <v>-1</v>
      </c>
      <c r="AA1650" s="26" t="str">
        <f t="shared" si="6"/>
        <v/>
      </c>
      <c r="AB1650" s="32" t="str">
        <f t="shared" si="7"/>
        <v/>
      </c>
      <c r="AC1650" s="32" t="str">
        <f t="shared" ref="AC1650:AG1650" si="1654">IF(J1650&lt;&gt;"", IF(AND($P1650=FALSE, $A1650=FALSE), -J1650, IF(AND($P1650=FALSE, $A1650=TRUE), 0, IF($P1650=TRUE, (J1650 / $R1650) * 100 * ($S1650 / 100)-J1650, ))), )</f>
        <v/>
      </c>
      <c r="AD1650" s="32" t="str">
        <f t="shared" si="1654"/>
        <v/>
      </c>
      <c r="AE1650" s="32" t="str">
        <f t="shared" si="1654"/>
        <v/>
      </c>
      <c r="AF1650" s="32" t="str">
        <f t="shared" si="1654"/>
        <v/>
      </c>
      <c r="AG1650" s="32" t="str">
        <f t="shared" si="1654"/>
        <v/>
      </c>
      <c r="AH1650" s="33"/>
    </row>
    <row r="1651" hidden="1" outlineLevel="3">
      <c r="A1651" s="16" t="b">
        <v>0</v>
      </c>
      <c r="B1651" s="17"/>
      <c r="C1651" s="18"/>
      <c r="D1651" s="19"/>
      <c r="E1651" s="20"/>
      <c r="F1651" s="21"/>
      <c r="G1651" s="22"/>
      <c r="H1651" s="22"/>
      <c r="I1651" s="23"/>
      <c r="J1651" s="22"/>
      <c r="K1651" s="23"/>
      <c r="L1651" s="22"/>
      <c r="M1651" s="23"/>
      <c r="N1651" s="23"/>
      <c r="O1651" s="24"/>
      <c r="P1651" s="16" t="b">
        <v>0</v>
      </c>
      <c r="Q1651" s="24"/>
      <c r="R1651" s="25"/>
      <c r="S1651" s="26"/>
      <c r="T1651" s="27"/>
      <c r="U1651" s="24"/>
      <c r="V1651" s="86" t="s">
        <v>1087</v>
      </c>
      <c r="W1651" s="29" t="s">
        <v>22</v>
      </c>
      <c r="X1651" s="37" t="s">
        <v>1088</v>
      </c>
      <c r="Y1651" s="31"/>
      <c r="Z1651" s="26" t="str">
        <f t="shared" si="5"/>
        <v/>
      </c>
      <c r="AA1651" s="26" t="str">
        <f t="shared" si="6"/>
        <v/>
      </c>
      <c r="AB1651" s="32" t="str">
        <f t="shared" si="7"/>
        <v/>
      </c>
      <c r="AC1651" s="32" t="str">
        <f t="shared" ref="AC1651:AG1651" si="1655">IF(J1651&lt;&gt;"", IF(AND($P1651=FALSE, $A1651=FALSE), -J1651, IF(AND($P1651=FALSE, $A1651=TRUE), 0, IF($P1651=TRUE, (J1651 / $R1651) * 100 * ($S1651 / 100)-J1651, ))), )</f>
        <v/>
      </c>
      <c r="AD1651" s="32" t="str">
        <f t="shared" si="1655"/>
        <v/>
      </c>
      <c r="AE1651" s="32" t="str">
        <f t="shared" si="1655"/>
        <v/>
      </c>
      <c r="AF1651" s="32" t="str">
        <f t="shared" si="1655"/>
        <v/>
      </c>
      <c r="AG1651" s="32" t="str">
        <f t="shared" si="1655"/>
        <v/>
      </c>
      <c r="AH1651" s="33"/>
    </row>
    <row r="1652" hidden="1" outlineLevel="2" collapsed="1">
      <c r="A1652" s="16" t="b">
        <v>0</v>
      </c>
      <c r="B1652" s="17"/>
      <c r="C1652" s="18"/>
      <c r="D1652" s="42">
        <v>45305.0</v>
      </c>
      <c r="E1652" s="43" t="s">
        <v>24</v>
      </c>
      <c r="F1652" s="53" t="s">
        <v>1058</v>
      </c>
      <c r="G1652" s="45">
        <v>1.5</v>
      </c>
      <c r="H1652" s="45">
        <v>0.5</v>
      </c>
      <c r="I1652" s="45">
        <v>2.0</v>
      </c>
      <c r="J1652" s="46"/>
      <c r="K1652" s="46"/>
      <c r="L1652" s="45"/>
      <c r="M1652" s="46"/>
      <c r="N1652" s="46"/>
      <c r="O1652" s="47"/>
      <c r="P1652" s="16" t="b">
        <v>0</v>
      </c>
      <c r="Q1652" s="24"/>
      <c r="R1652" s="48">
        <v>4.0</v>
      </c>
      <c r="S1652" s="45">
        <v>10.0</v>
      </c>
      <c r="T1652" s="49" t="s">
        <v>44</v>
      </c>
      <c r="U1652" s="47"/>
      <c r="V1652" s="28"/>
      <c r="W1652" s="29"/>
      <c r="X1652" s="30"/>
      <c r="Y1652" s="31"/>
      <c r="Z1652" s="26">
        <f t="shared" si="5"/>
        <v>-1.5</v>
      </c>
      <c r="AA1652" s="26">
        <f t="shared" si="6"/>
        <v>-2</v>
      </c>
      <c r="AB1652" s="32">
        <f t="shared" si="7"/>
        <v>-0.5</v>
      </c>
      <c r="AC1652" s="32" t="str">
        <f t="shared" ref="AC1652:AG1652" si="1656">IF(J1652&lt;&gt;"", IF(AND($P1652=FALSE, $A1652=FALSE), -J1652, IF(AND($P1652=FALSE, $A1652=TRUE), 0, IF($P1652=TRUE, (J1652 / $R1652) * 100 * ($S1652 / 100)-J1652, ))), )</f>
        <v/>
      </c>
      <c r="AD1652" s="32" t="str">
        <f t="shared" si="1656"/>
        <v/>
      </c>
      <c r="AE1652" s="32" t="str">
        <f t="shared" si="1656"/>
        <v/>
      </c>
      <c r="AF1652" s="32" t="str">
        <f t="shared" si="1656"/>
        <v/>
      </c>
      <c r="AG1652" s="32" t="str">
        <f t="shared" si="1656"/>
        <v/>
      </c>
      <c r="AH1652" s="33"/>
    </row>
    <row r="1653" hidden="1" outlineLevel="3">
      <c r="A1653" s="16" t="b">
        <v>0</v>
      </c>
      <c r="B1653" s="17"/>
      <c r="C1653" s="18"/>
      <c r="D1653" s="19"/>
      <c r="E1653" s="20"/>
      <c r="F1653" s="21"/>
      <c r="G1653" s="22"/>
      <c r="H1653" s="22"/>
      <c r="I1653" s="23"/>
      <c r="J1653" s="22"/>
      <c r="K1653" s="23"/>
      <c r="L1653" s="22"/>
      <c r="M1653" s="23"/>
      <c r="N1653" s="23"/>
      <c r="O1653" s="24"/>
      <c r="P1653" s="16" t="b">
        <v>0</v>
      </c>
      <c r="Q1653" s="24"/>
      <c r="R1653" s="25"/>
      <c r="S1653" s="26"/>
      <c r="T1653" s="27"/>
      <c r="U1653" s="24"/>
      <c r="V1653" s="28">
        <v>30.0</v>
      </c>
      <c r="W1653" s="29" t="s">
        <v>22</v>
      </c>
      <c r="X1653" s="37" t="s">
        <v>1089</v>
      </c>
      <c r="Y1653" s="31"/>
      <c r="Z1653" s="26" t="str">
        <f t="shared" si="5"/>
        <v/>
      </c>
      <c r="AA1653" s="26" t="str">
        <f t="shared" si="6"/>
        <v/>
      </c>
      <c r="AB1653" s="32" t="str">
        <f t="shared" si="7"/>
        <v/>
      </c>
      <c r="AC1653" s="32" t="str">
        <f t="shared" ref="AC1653:AG1653" si="1657">IF(J1653&lt;&gt;"", IF(AND($P1653=FALSE, $A1653=FALSE), -J1653, IF(AND($P1653=FALSE, $A1653=TRUE), 0, IF($P1653=TRUE, (J1653 / $R1653) * 100 * ($S1653 / 100)-J1653, ))), )</f>
        <v/>
      </c>
      <c r="AD1653" s="32" t="str">
        <f t="shared" si="1657"/>
        <v/>
      </c>
      <c r="AE1653" s="32" t="str">
        <f t="shared" si="1657"/>
        <v/>
      </c>
      <c r="AF1653" s="32" t="str">
        <f t="shared" si="1657"/>
        <v/>
      </c>
      <c r="AG1653" s="32" t="str">
        <f t="shared" si="1657"/>
        <v/>
      </c>
      <c r="AH1653" s="33"/>
    </row>
    <row r="1654" hidden="1" outlineLevel="2" collapsed="1">
      <c r="A1654" s="16" t="b">
        <v>0</v>
      </c>
      <c r="B1654" s="17"/>
      <c r="C1654" s="18"/>
      <c r="D1654" s="42">
        <v>45305.0</v>
      </c>
      <c r="E1654" s="43" t="s">
        <v>24</v>
      </c>
      <c r="F1654" s="53" t="s">
        <v>1058</v>
      </c>
      <c r="G1654" s="45">
        <v>2.5</v>
      </c>
      <c r="H1654" s="45">
        <v>1.0</v>
      </c>
      <c r="I1654" s="45">
        <v>5.0</v>
      </c>
      <c r="J1654" s="46"/>
      <c r="K1654" s="46"/>
      <c r="L1654" s="45"/>
      <c r="M1654" s="46"/>
      <c r="N1654" s="46"/>
      <c r="O1654" s="47"/>
      <c r="P1654" s="16" t="b">
        <v>1</v>
      </c>
      <c r="Q1654" s="24"/>
      <c r="R1654" s="48">
        <v>8.5</v>
      </c>
      <c r="S1654" s="45">
        <v>17.4</v>
      </c>
      <c r="T1654" s="49" t="s">
        <v>621</v>
      </c>
      <c r="U1654" s="47"/>
      <c r="V1654" s="28"/>
      <c r="W1654" s="29"/>
      <c r="X1654" s="30"/>
      <c r="Y1654" s="31"/>
      <c r="Z1654" s="26">
        <f t="shared" si="5"/>
        <v>2.617647059</v>
      </c>
      <c r="AA1654" s="26">
        <f t="shared" si="6"/>
        <v>5.235294118</v>
      </c>
      <c r="AB1654" s="32">
        <f t="shared" si="7"/>
        <v>1.047058824</v>
      </c>
      <c r="AC1654" s="32" t="str">
        <f t="shared" ref="AC1654:AG1654" si="1658">IF(J1654&lt;&gt;"", IF(AND($P1654=FALSE, $A1654=FALSE), -J1654, IF(AND($P1654=FALSE, $A1654=TRUE), 0, IF($P1654=TRUE, (J1654 / $R1654) * 100 * ($S1654 / 100)-J1654, ))), )</f>
        <v/>
      </c>
      <c r="AD1654" s="32" t="str">
        <f t="shared" si="1658"/>
        <v/>
      </c>
      <c r="AE1654" s="32" t="str">
        <f t="shared" si="1658"/>
        <v/>
      </c>
      <c r="AF1654" s="32" t="str">
        <f t="shared" si="1658"/>
        <v/>
      </c>
      <c r="AG1654" s="32" t="str">
        <f t="shared" si="1658"/>
        <v/>
      </c>
      <c r="AH1654" s="33"/>
    </row>
    <row r="1655" hidden="1" outlineLevel="3">
      <c r="A1655" s="16" t="b">
        <v>0</v>
      </c>
      <c r="B1655" s="17"/>
      <c r="C1655" s="18"/>
      <c r="D1655" s="19"/>
      <c r="E1655" s="20"/>
      <c r="F1655" s="21"/>
      <c r="G1655" s="22"/>
      <c r="H1655" s="22"/>
      <c r="I1655" s="23"/>
      <c r="J1655" s="22"/>
      <c r="K1655" s="23"/>
      <c r="L1655" s="22"/>
      <c r="M1655" s="23"/>
      <c r="N1655" s="23"/>
      <c r="O1655" s="24"/>
      <c r="P1655" s="16" t="b">
        <v>0</v>
      </c>
      <c r="Q1655" s="24"/>
      <c r="R1655" s="25"/>
      <c r="S1655" s="26"/>
      <c r="T1655" s="27"/>
      <c r="U1655" s="24"/>
      <c r="V1655" s="38" t="s">
        <v>29</v>
      </c>
      <c r="W1655" s="29" t="s">
        <v>22</v>
      </c>
      <c r="X1655" s="37" t="s">
        <v>890</v>
      </c>
      <c r="Y1655" s="31"/>
      <c r="Z1655" s="26" t="str">
        <f t="shared" si="5"/>
        <v/>
      </c>
      <c r="AA1655" s="26" t="str">
        <f t="shared" si="6"/>
        <v/>
      </c>
      <c r="AB1655" s="32" t="str">
        <f t="shared" si="7"/>
        <v/>
      </c>
      <c r="AC1655" s="32" t="str">
        <f t="shared" ref="AC1655:AG1655" si="1659">IF(J1655&lt;&gt;"", IF(AND($P1655=FALSE, $A1655=FALSE), -J1655, IF(AND($P1655=FALSE, $A1655=TRUE), 0, IF($P1655=TRUE, (J1655 / $R1655) * 100 * ($S1655 / 100)-J1655, ))), )</f>
        <v/>
      </c>
      <c r="AD1655" s="32" t="str">
        <f t="shared" si="1659"/>
        <v/>
      </c>
      <c r="AE1655" s="32" t="str">
        <f t="shared" si="1659"/>
        <v/>
      </c>
      <c r="AF1655" s="32" t="str">
        <f t="shared" si="1659"/>
        <v/>
      </c>
      <c r="AG1655" s="32" t="str">
        <f t="shared" si="1659"/>
        <v/>
      </c>
      <c r="AH1655" s="33"/>
    </row>
    <row r="1656" hidden="1" outlineLevel="3">
      <c r="A1656" s="16" t="b">
        <v>0</v>
      </c>
      <c r="B1656" s="17"/>
      <c r="C1656" s="18"/>
      <c r="D1656" s="19"/>
      <c r="E1656" s="20"/>
      <c r="F1656" s="21"/>
      <c r="G1656" s="22"/>
      <c r="H1656" s="22"/>
      <c r="I1656" s="23"/>
      <c r="J1656" s="22"/>
      <c r="K1656" s="23"/>
      <c r="L1656" s="22"/>
      <c r="M1656" s="23"/>
      <c r="N1656" s="23"/>
      <c r="O1656" s="24"/>
      <c r="P1656" s="16" t="b">
        <v>0</v>
      </c>
      <c r="Q1656" s="24"/>
      <c r="R1656" s="25"/>
      <c r="S1656" s="26"/>
      <c r="T1656" s="27"/>
      <c r="U1656" s="24"/>
      <c r="V1656" s="38" t="s">
        <v>29</v>
      </c>
      <c r="W1656" s="29" t="s">
        <v>22</v>
      </c>
      <c r="X1656" s="37" t="s">
        <v>767</v>
      </c>
      <c r="Y1656" s="31"/>
      <c r="Z1656" s="26" t="str">
        <f t="shared" si="5"/>
        <v/>
      </c>
      <c r="AA1656" s="26" t="str">
        <f t="shared" si="6"/>
        <v/>
      </c>
      <c r="AB1656" s="32" t="str">
        <f t="shared" si="7"/>
        <v/>
      </c>
      <c r="AC1656" s="32" t="str">
        <f t="shared" ref="AC1656:AG1656" si="1660">IF(J1656&lt;&gt;"", IF(AND($P1656=FALSE, $A1656=FALSE), -J1656, IF(AND($P1656=FALSE, $A1656=TRUE), 0, IF($P1656=TRUE, (J1656 / $R1656) * 100 * ($S1656 / 100)-J1656, ))), )</f>
        <v/>
      </c>
      <c r="AD1656" s="32" t="str">
        <f t="shared" si="1660"/>
        <v/>
      </c>
      <c r="AE1656" s="32" t="str">
        <f t="shared" si="1660"/>
        <v/>
      </c>
      <c r="AF1656" s="32" t="str">
        <f t="shared" si="1660"/>
        <v/>
      </c>
      <c r="AG1656" s="32" t="str">
        <f t="shared" si="1660"/>
        <v/>
      </c>
      <c r="AH1656" s="33"/>
    </row>
    <row r="1657" hidden="1" outlineLevel="3">
      <c r="A1657" s="16" t="b">
        <v>0</v>
      </c>
      <c r="B1657" s="17"/>
      <c r="C1657" s="18"/>
      <c r="D1657" s="19"/>
      <c r="E1657" s="20"/>
      <c r="F1657" s="21"/>
      <c r="G1657" s="22"/>
      <c r="H1657" s="22"/>
      <c r="I1657" s="23"/>
      <c r="J1657" s="22"/>
      <c r="K1657" s="23"/>
      <c r="L1657" s="22"/>
      <c r="M1657" s="23"/>
      <c r="N1657" s="23"/>
      <c r="O1657" s="24"/>
      <c r="P1657" s="16" t="b">
        <v>0</v>
      </c>
      <c r="Q1657" s="24"/>
      <c r="R1657" s="25"/>
      <c r="S1657" s="26"/>
      <c r="T1657" s="27"/>
      <c r="U1657" s="24"/>
      <c r="V1657" s="38" t="s">
        <v>29</v>
      </c>
      <c r="W1657" s="29" t="s">
        <v>22</v>
      </c>
      <c r="X1657" s="37" t="s">
        <v>332</v>
      </c>
      <c r="Y1657" s="31"/>
      <c r="Z1657" s="26" t="str">
        <f t="shared" si="5"/>
        <v/>
      </c>
      <c r="AA1657" s="26" t="str">
        <f t="shared" si="6"/>
        <v/>
      </c>
      <c r="AB1657" s="32" t="str">
        <f t="shared" si="7"/>
        <v/>
      </c>
      <c r="AC1657" s="32" t="str">
        <f t="shared" ref="AC1657:AG1657" si="1661">IF(J1657&lt;&gt;"", IF(AND($P1657=FALSE, $A1657=FALSE), -J1657, IF(AND($P1657=FALSE, $A1657=TRUE), 0, IF($P1657=TRUE, (J1657 / $R1657) * 100 * ($S1657 / 100)-J1657, ))), )</f>
        <v/>
      </c>
      <c r="AD1657" s="32" t="str">
        <f t="shared" si="1661"/>
        <v/>
      </c>
      <c r="AE1657" s="32" t="str">
        <f t="shared" si="1661"/>
        <v/>
      </c>
      <c r="AF1657" s="32" t="str">
        <f t="shared" si="1661"/>
        <v/>
      </c>
      <c r="AG1657" s="32" t="str">
        <f t="shared" si="1661"/>
        <v/>
      </c>
      <c r="AH1657" s="33"/>
    </row>
    <row r="1658" hidden="1" outlineLevel="3">
      <c r="A1658" s="16" t="b">
        <v>0</v>
      </c>
      <c r="B1658" s="17"/>
      <c r="C1658" s="18"/>
      <c r="D1658" s="19"/>
      <c r="E1658" s="20"/>
      <c r="F1658" s="21"/>
      <c r="G1658" s="22"/>
      <c r="H1658" s="22"/>
      <c r="I1658" s="23"/>
      <c r="J1658" s="22"/>
      <c r="K1658" s="23"/>
      <c r="L1658" s="22"/>
      <c r="M1658" s="23"/>
      <c r="N1658" s="23"/>
      <c r="O1658" s="24"/>
      <c r="P1658" s="16" t="b">
        <v>0</v>
      </c>
      <c r="Q1658" s="24"/>
      <c r="R1658" s="25"/>
      <c r="S1658" s="26"/>
      <c r="T1658" s="27"/>
      <c r="U1658" s="24"/>
      <c r="V1658" s="38" t="s">
        <v>29</v>
      </c>
      <c r="W1658" s="29" t="s">
        <v>22</v>
      </c>
      <c r="X1658" s="37" t="s">
        <v>1090</v>
      </c>
      <c r="Y1658" s="31"/>
      <c r="Z1658" s="26" t="str">
        <f t="shared" si="5"/>
        <v/>
      </c>
      <c r="AA1658" s="26" t="str">
        <f t="shared" si="6"/>
        <v/>
      </c>
      <c r="AB1658" s="32" t="str">
        <f t="shared" si="7"/>
        <v/>
      </c>
      <c r="AC1658" s="32" t="str">
        <f t="shared" ref="AC1658:AG1658" si="1662">IF(J1658&lt;&gt;"", IF(AND($P1658=FALSE, $A1658=FALSE), -J1658, IF(AND($P1658=FALSE, $A1658=TRUE), 0, IF($P1658=TRUE, (J1658 / $R1658) * 100 * ($S1658 / 100)-J1658, ))), )</f>
        <v/>
      </c>
      <c r="AD1658" s="32" t="str">
        <f t="shared" si="1662"/>
        <v/>
      </c>
      <c r="AE1658" s="32" t="str">
        <f t="shared" si="1662"/>
        <v/>
      </c>
      <c r="AF1658" s="32" t="str">
        <f t="shared" si="1662"/>
        <v/>
      </c>
      <c r="AG1658" s="32" t="str">
        <f t="shared" si="1662"/>
        <v/>
      </c>
      <c r="AH1658" s="33"/>
    </row>
    <row r="1659" hidden="1" outlineLevel="3">
      <c r="A1659" s="16" t="b">
        <v>0</v>
      </c>
      <c r="B1659" s="17"/>
      <c r="C1659" s="18"/>
      <c r="D1659" s="19"/>
      <c r="E1659" s="20"/>
      <c r="F1659" s="21"/>
      <c r="G1659" s="22"/>
      <c r="H1659" s="22"/>
      <c r="I1659" s="23"/>
      <c r="J1659" s="22"/>
      <c r="K1659" s="23"/>
      <c r="L1659" s="22"/>
      <c r="M1659" s="23"/>
      <c r="N1659" s="23"/>
      <c r="O1659" s="24"/>
      <c r="P1659" s="16" t="b">
        <v>0</v>
      </c>
      <c r="Q1659" s="24"/>
      <c r="R1659" s="25"/>
      <c r="S1659" s="26"/>
      <c r="T1659" s="27"/>
      <c r="U1659" s="24"/>
      <c r="V1659" s="38" t="s">
        <v>29</v>
      </c>
      <c r="W1659" s="29" t="s">
        <v>22</v>
      </c>
      <c r="X1659" s="37" t="s">
        <v>851</v>
      </c>
      <c r="Y1659" s="31"/>
      <c r="Z1659" s="26" t="str">
        <f t="shared" si="5"/>
        <v/>
      </c>
      <c r="AA1659" s="26" t="str">
        <f t="shared" si="6"/>
        <v/>
      </c>
      <c r="AB1659" s="32" t="str">
        <f t="shared" si="7"/>
        <v/>
      </c>
      <c r="AC1659" s="32" t="str">
        <f t="shared" ref="AC1659:AG1659" si="1663">IF(J1659&lt;&gt;"", IF(AND($P1659=FALSE, $A1659=FALSE), -J1659, IF(AND($P1659=FALSE, $A1659=TRUE), 0, IF($P1659=TRUE, (J1659 / $R1659) * 100 * ($S1659 / 100)-J1659, ))), )</f>
        <v/>
      </c>
      <c r="AD1659" s="32" t="str">
        <f t="shared" si="1663"/>
        <v/>
      </c>
      <c r="AE1659" s="32" t="str">
        <f t="shared" si="1663"/>
        <v/>
      </c>
      <c r="AF1659" s="32" t="str">
        <f t="shared" si="1663"/>
        <v/>
      </c>
      <c r="AG1659" s="32" t="str">
        <f t="shared" si="1663"/>
        <v/>
      </c>
      <c r="AH1659" s="33"/>
    </row>
    <row r="1660" hidden="1" outlineLevel="2" collapsed="1">
      <c r="A1660" s="16" t="b">
        <v>0</v>
      </c>
      <c r="B1660" s="17"/>
      <c r="C1660" s="18"/>
      <c r="D1660" s="42">
        <v>45305.0</v>
      </c>
      <c r="E1660" s="43" t="s">
        <v>24</v>
      </c>
      <c r="F1660" s="53" t="s">
        <v>1058</v>
      </c>
      <c r="G1660" s="45">
        <v>1.5</v>
      </c>
      <c r="H1660" s="45">
        <v>0.5</v>
      </c>
      <c r="I1660" s="45">
        <v>3.0</v>
      </c>
      <c r="J1660" s="46"/>
      <c r="K1660" s="46"/>
      <c r="L1660" s="45"/>
      <c r="M1660" s="46"/>
      <c r="N1660" s="46"/>
      <c r="O1660" s="47"/>
      <c r="P1660" s="16" t="b">
        <v>0</v>
      </c>
      <c r="Q1660" s="24"/>
      <c r="R1660" s="48">
        <v>5.0</v>
      </c>
      <c r="S1660" s="45">
        <v>55.67</v>
      </c>
      <c r="T1660" s="49" t="s">
        <v>1091</v>
      </c>
      <c r="U1660" s="47"/>
      <c r="V1660" s="28"/>
      <c r="W1660" s="29"/>
      <c r="X1660" s="30"/>
      <c r="Y1660" s="31"/>
      <c r="Z1660" s="26">
        <f t="shared" si="5"/>
        <v>-1.5</v>
      </c>
      <c r="AA1660" s="26">
        <f t="shared" si="6"/>
        <v>-3</v>
      </c>
      <c r="AB1660" s="32">
        <f t="shared" si="7"/>
        <v>-0.5</v>
      </c>
      <c r="AC1660" s="32" t="str">
        <f t="shared" ref="AC1660:AG1660" si="1664">IF(J1660&lt;&gt;"", IF(AND($P1660=FALSE, $A1660=FALSE), -J1660, IF(AND($P1660=FALSE, $A1660=TRUE), 0, IF($P1660=TRUE, (J1660 / $R1660) * 100 * ($S1660 / 100)-J1660, ))), )</f>
        <v/>
      </c>
      <c r="AD1660" s="32" t="str">
        <f t="shared" si="1664"/>
        <v/>
      </c>
      <c r="AE1660" s="32" t="str">
        <f t="shared" si="1664"/>
        <v/>
      </c>
      <c r="AF1660" s="32" t="str">
        <f t="shared" si="1664"/>
        <v/>
      </c>
      <c r="AG1660" s="32" t="str">
        <f t="shared" si="1664"/>
        <v/>
      </c>
      <c r="AH1660" s="33"/>
    </row>
    <row r="1661" hidden="1" outlineLevel="3">
      <c r="A1661" s="16" t="b">
        <v>0</v>
      </c>
      <c r="B1661" s="17"/>
      <c r="C1661" s="18"/>
      <c r="D1661" s="19"/>
      <c r="E1661" s="20"/>
      <c r="F1661" s="21"/>
      <c r="G1661" s="22"/>
      <c r="H1661" s="22"/>
      <c r="I1661" s="23"/>
      <c r="J1661" s="22"/>
      <c r="K1661" s="23"/>
      <c r="L1661" s="22"/>
      <c r="M1661" s="23"/>
      <c r="N1661" s="23"/>
      <c r="O1661" s="24"/>
      <c r="P1661" s="16" t="b">
        <v>0</v>
      </c>
      <c r="Q1661" s="24"/>
      <c r="R1661" s="25"/>
      <c r="S1661" s="26"/>
      <c r="T1661" s="27"/>
      <c r="U1661" s="24"/>
      <c r="V1661" s="38" t="s">
        <v>29</v>
      </c>
      <c r="W1661" s="29" t="s">
        <v>22</v>
      </c>
      <c r="X1661" s="37" t="s">
        <v>1092</v>
      </c>
      <c r="Y1661" s="31"/>
      <c r="Z1661" s="26" t="str">
        <f t="shared" si="5"/>
        <v/>
      </c>
      <c r="AA1661" s="26" t="str">
        <f t="shared" si="6"/>
        <v/>
      </c>
      <c r="AB1661" s="32" t="str">
        <f t="shared" si="7"/>
        <v/>
      </c>
      <c r="AC1661" s="32" t="str">
        <f t="shared" ref="AC1661:AG1661" si="1665">IF(J1661&lt;&gt;"", IF(AND($P1661=FALSE, $A1661=FALSE), -J1661, IF(AND($P1661=FALSE, $A1661=TRUE), 0, IF($P1661=TRUE, (J1661 / $R1661) * 100 * ($S1661 / 100)-J1661, ))), )</f>
        <v/>
      </c>
      <c r="AD1661" s="32" t="str">
        <f t="shared" si="1665"/>
        <v/>
      </c>
      <c r="AE1661" s="32" t="str">
        <f t="shared" si="1665"/>
        <v/>
      </c>
      <c r="AF1661" s="32" t="str">
        <f t="shared" si="1665"/>
        <v/>
      </c>
      <c r="AG1661" s="32" t="str">
        <f t="shared" si="1665"/>
        <v/>
      </c>
      <c r="AH1661" s="33"/>
    </row>
    <row r="1662" hidden="1" outlineLevel="3">
      <c r="A1662" s="16" t="b">
        <v>0</v>
      </c>
      <c r="B1662" s="17"/>
      <c r="C1662" s="18"/>
      <c r="D1662" s="19"/>
      <c r="E1662" s="20"/>
      <c r="F1662" s="21"/>
      <c r="G1662" s="22"/>
      <c r="H1662" s="22"/>
      <c r="I1662" s="23"/>
      <c r="J1662" s="22"/>
      <c r="K1662" s="23"/>
      <c r="L1662" s="22"/>
      <c r="M1662" s="23"/>
      <c r="N1662" s="23"/>
      <c r="O1662" s="24"/>
      <c r="P1662" s="16" t="b">
        <v>0</v>
      </c>
      <c r="Q1662" s="24"/>
      <c r="R1662" s="25"/>
      <c r="S1662" s="26"/>
      <c r="T1662" s="27"/>
      <c r="U1662" s="24"/>
      <c r="V1662" s="28" t="s">
        <v>1070</v>
      </c>
      <c r="W1662" s="29" t="s">
        <v>22</v>
      </c>
      <c r="X1662" s="37" t="s">
        <v>1093</v>
      </c>
      <c r="Y1662" s="31"/>
      <c r="Z1662" s="26" t="str">
        <f t="shared" si="5"/>
        <v/>
      </c>
      <c r="AA1662" s="26" t="str">
        <f t="shared" si="6"/>
        <v/>
      </c>
      <c r="AB1662" s="32" t="str">
        <f t="shared" si="7"/>
        <v/>
      </c>
      <c r="AC1662" s="32" t="str">
        <f t="shared" ref="AC1662:AG1662" si="1666">IF(J1662&lt;&gt;"", IF(AND($P1662=FALSE, $A1662=FALSE), -J1662, IF(AND($P1662=FALSE, $A1662=TRUE), 0, IF($P1662=TRUE, (J1662 / $R1662) * 100 * ($S1662 / 100)-J1662, ))), )</f>
        <v/>
      </c>
      <c r="AD1662" s="32" t="str">
        <f t="shared" si="1666"/>
        <v/>
      </c>
      <c r="AE1662" s="32" t="str">
        <f t="shared" si="1666"/>
        <v/>
      </c>
      <c r="AF1662" s="32" t="str">
        <f t="shared" si="1666"/>
        <v/>
      </c>
      <c r="AG1662" s="32" t="str">
        <f t="shared" si="1666"/>
        <v/>
      </c>
      <c r="AH1662" s="33"/>
    </row>
    <row r="1663" hidden="1" outlineLevel="3">
      <c r="A1663" s="16" t="b">
        <v>0</v>
      </c>
      <c r="B1663" s="17"/>
      <c r="C1663" s="18"/>
      <c r="D1663" s="19"/>
      <c r="E1663" s="20"/>
      <c r="F1663" s="21"/>
      <c r="G1663" s="22"/>
      <c r="H1663" s="22"/>
      <c r="I1663" s="23"/>
      <c r="J1663" s="22"/>
      <c r="K1663" s="23"/>
      <c r="L1663" s="22"/>
      <c r="M1663" s="23"/>
      <c r="N1663" s="23"/>
      <c r="O1663" s="24"/>
      <c r="P1663" s="16" t="b">
        <v>0</v>
      </c>
      <c r="Q1663" s="24"/>
      <c r="R1663" s="25"/>
      <c r="S1663" s="26"/>
      <c r="T1663" s="27"/>
      <c r="U1663" s="24"/>
      <c r="V1663" s="38" t="s">
        <v>29</v>
      </c>
      <c r="W1663" s="29" t="s">
        <v>22</v>
      </c>
      <c r="X1663" s="37" t="s">
        <v>1094</v>
      </c>
      <c r="Y1663" s="31"/>
      <c r="Z1663" s="26" t="str">
        <f t="shared" si="5"/>
        <v/>
      </c>
      <c r="AA1663" s="26" t="str">
        <f t="shared" si="6"/>
        <v/>
      </c>
      <c r="AB1663" s="32" t="str">
        <f t="shared" si="7"/>
        <v/>
      </c>
      <c r="AC1663" s="32" t="str">
        <f t="shared" ref="AC1663:AG1663" si="1667">IF(J1663&lt;&gt;"", IF(AND($P1663=FALSE, $A1663=FALSE), -J1663, IF(AND($P1663=FALSE, $A1663=TRUE), 0, IF($P1663=TRUE, (J1663 / $R1663) * 100 * ($S1663 / 100)-J1663, ))), )</f>
        <v/>
      </c>
      <c r="AD1663" s="32" t="str">
        <f t="shared" si="1667"/>
        <v/>
      </c>
      <c r="AE1663" s="32" t="str">
        <f t="shared" si="1667"/>
        <v/>
      </c>
      <c r="AF1663" s="32" t="str">
        <f t="shared" si="1667"/>
        <v/>
      </c>
      <c r="AG1663" s="32" t="str">
        <f t="shared" si="1667"/>
        <v/>
      </c>
      <c r="AH1663" s="33"/>
    </row>
    <row r="1664" hidden="1" outlineLevel="3">
      <c r="A1664" s="16" t="b">
        <v>0</v>
      </c>
      <c r="B1664" s="17"/>
      <c r="C1664" s="18"/>
      <c r="D1664" s="19"/>
      <c r="E1664" s="20"/>
      <c r="F1664" s="21"/>
      <c r="G1664" s="22"/>
      <c r="H1664" s="22"/>
      <c r="I1664" s="23"/>
      <c r="J1664" s="22"/>
      <c r="K1664" s="23"/>
      <c r="L1664" s="22"/>
      <c r="M1664" s="23"/>
      <c r="N1664" s="23"/>
      <c r="O1664" s="24"/>
      <c r="P1664" s="16" t="b">
        <v>0</v>
      </c>
      <c r="Q1664" s="24"/>
      <c r="R1664" s="25"/>
      <c r="S1664" s="26"/>
      <c r="T1664" s="27"/>
      <c r="U1664" s="24"/>
      <c r="V1664" s="38" t="s">
        <v>29</v>
      </c>
      <c r="W1664" s="29" t="s">
        <v>22</v>
      </c>
      <c r="X1664" s="37" t="s">
        <v>331</v>
      </c>
      <c r="Y1664" s="31"/>
      <c r="Z1664" s="26" t="str">
        <f t="shared" si="5"/>
        <v/>
      </c>
      <c r="AA1664" s="26" t="str">
        <f t="shared" si="6"/>
        <v/>
      </c>
      <c r="AB1664" s="32" t="str">
        <f t="shared" si="7"/>
        <v/>
      </c>
      <c r="AC1664" s="32" t="str">
        <f t="shared" ref="AC1664:AG1664" si="1668">IF(J1664&lt;&gt;"", IF(AND($P1664=FALSE, $A1664=FALSE), -J1664, IF(AND($P1664=FALSE, $A1664=TRUE), 0, IF($P1664=TRUE, (J1664 / $R1664) * 100 * ($S1664 / 100)-J1664, ))), )</f>
        <v/>
      </c>
      <c r="AD1664" s="32" t="str">
        <f t="shared" si="1668"/>
        <v/>
      </c>
      <c r="AE1664" s="32" t="str">
        <f t="shared" si="1668"/>
        <v/>
      </c>
      <c r="AF1664" s="32" t="str">
        <f t="shared" si="1668"/>
        <v/>
      </c>
      <c r="AG1664" s="32" t="str">
        <f t="shared" si="1668"/>
        <v/>
      </c>
      <c r="AH1664" s="33"/>
    </row>
    <row r="1665" hidden="1" outlineLevel="3">
      <c r="A1665" s="16" t="b">
        <v>0</v>
      </c>
      <c r="B1665" s="17"/>
      <c r="C1665" s="18"/>
      <c r="D1665" s="19"/>
      <c r="E1665" s="20"/>
      <c r="F1665" s="21"/>
      <c r="G1665" s="22"/>
      <c r="H1665" s="22"/>
      <c r="I1665" s="23"/>
      <c r="J1665" s="22"/>
      <c r="K1665" s="23"/>
      <c r="L1665" s="22"/>
      <c r="M1665" s="23"/>
      <c r="N1665" s="23"/>
      <c r="O1665" s="24"/>
      <c r="P1665" s="16" t="b">
        <v>0</v>
      </c>
      <c r="Q1665" s="24"/>
      <c r="R1665" s="25"/>
      <c r="S1665" s="26"/>
      <c r="T1665" s="27"/>
      <c r="U1665" s="24"/>
      <c r="V1665" s="66">
        <v>27.0</v>
      </c>
      <c r="W1665" s="29" t="s">
        <v>22</v>
      </c>
      <c r="X1665" s="37" t="s">
        <v>86</v>
      </c>
      <c r="Y1665" s="31"/>
      <c r="Z1665" s="26" t="str">
        <f t="shared" si="5"/>
        <v/>
      </c>
      <c r="AA1665" s="26" t="str">
        <f t="shared" si="6"/>
        <v/>
      </c>
      <c r="AB1665" s="32" t="str">
        <f t="shared" si="7"/>
        <v/>
      </c>
      <c r="AC1665" s="32" t="str">
        <f t="shared" ref="AC1665:AG1665" si="1669">IF(J1665&lt;&gt;"", IF(AND($P1665=FALSE, $A1665=FALSE), -J1665, IF(AND($P1665=FALSE, $A1665=TRUE), 0, IF($P1665=TRUE, (J1665 / $R1665) * 100 * ($S1665 / 100)-J1665, ))), )</f>
        <v/>
      </c>
      <c r="AD1665" s="32" t="str">
        <f t="shared" si="1669"/>
        <v/>
      </c>
      <c r="AE1665" s="32" t="str">
        <f t="shared" si="1669"/>
        <v/>
      </c>
      <c r="AF1665" s="32" t="str">
        <f t="shared" si="1669"/>
        <v/>
      </c>
      <c r="AG1665" s="32" t="str">
        <f t="shared" si="1669"/>
        <v/>
      </c>
      <c r="AH1665" s="33"/>
    </row>
    <row r="1666" hidden="1" outlineLevel="3">
      <c r="A1666" s="16" t="b">
        <v>0</v>
      </c>
      <c r="B1666" s="17"/>
      <c r="C1666" s="18"/>
      <c r="D1666" s="19"/>
      <c r="E1666" s="20"/>
      <c r="F1666" s="21"/>
      <c r="G1666" s="22"/>
      <c r="H1666" s="22"/>
      <c r="I1666" s="23"/>
      <c r="J1666" s="22"/>
      <c r="K1666" s="23"/>
      <c r="L1666" s="22"/>
      <c r="M1666" s="23"/>
      <c r="N1666" s="23"/>
      <c r="O1666" s="24"/>
      <c r="P1666" s="16" t="b">
        <v>0</v>
      </c>
      <c r="Q1666" s="24"/>
      <c r="R1666" s="25"/>
      <c r="S1666" s="26"/>
      <c r="T1666" s="27"/>
      <c r="U1666" s="24"/>
      <c r="V1666" s="38" t="s">
        <v>29</v>
      </c>
      <c r="W1666" s="29" t="s">
        <v>22</v>
      </c>
      <c r="X1666" s="37" t="s">
        <v>1095</v>
      </c>
      <c r="Y1666" s="31"/>
      <c r="Z1666" s="26" t="str">
        <f t="shared" si="5"/>
        <v/>
      </c>
      <c r="AA1666" s="26" t="str">
        <f t="shared" si="6"/>
        <v/>
      </c>
      <c r="AB1666" s="32" t="str">
        <f t="shared" si="7"/>
        <v/>
      </c>
      <c r="AC1666" s="32" t="str">
        <f t="shared" ref="AC1666:AG1666" si="1670">IF(J1666&lt;&gt;"", IF(AND($P1666=FALSE, $A1666=FALSE), -J1666, IF(AND($P1666=FALSE, $A1666=TRUE), 0, IF($P1666=TRUE, (J1666 / $R1666) * 100 * ($S1666 / 100)-J1666, ))), )</f>
        <v/>
      </c>
      <c r="AD1666" s="32" t="str">
        <f t="shared" si="1670"/>
        <v/>
      </c>
      <c r="AE1666" s="32" t="str">
        <f t="shared" si="1670"/>
        <v/>
      </c>
      <c r="AF1666" s="32" t="str">
        <f t="shared" si="1670"/>
        <v/>
      </c>
      <c r="AG1666" s="32" t="str">
        <f t="shared" si="1670"/>
        <v/>
      </c>
      <c r="AH1666" s="33"/>
    </row>
    <row r="1667" hidden="1" outlineLevel="3">
      <c r="A1667" s="16" t="b">
        <v>0</v>
      </c>
      <c r="B1667" s="17"/>
      <c r="C1667" s="18"/>
      <c r="D1667" s="19"/>
      <c r="E1667" s="20"/>
      <c r="F1667" s="21"/>
      <c r="G1667" s="22"/>
      <c r="H1667" s="22"/>
      <c r="I1667" s="23"/>
      <c r="J1667" s="22"/>
      <c r="K1667" s="23"/>
      <c r="L1667" s="22"/>
      <c r="M1667" s="23"/>
      <c r="N1667" s="23"/>
      <c r="O1667" s="24"/>
      <c r="P1667" s="16" t="b">
        <v>0</v>
      </c>
      <c r="Q1667" s="24"/>
      <c r="R1667" s="25"/>
      <c r="S1667" s="26"/>
      <c r="T1667" s="27"/>
      <c r="U1667" s="24"/>
      <c r="V1667" s="38" t="s">
        <v>29</v>
      </c>
      <c r="W1667" s="29" t="s">
        <v>22</v>
      </c>
      <c r="X1667" s="37" t="s">
        <v>1096</v>
      </c>
      <c r="Y1667" s="31"/>
      <c r="Z1667" s="26" t="str">
        <f t="shared" si="5"/>
        <v/>
      </c>
      <c r="AA1667" s="26" t="str">
        <f t="shared" si="6"/>
        <v/>
      </c>
      <c r="AB1667" s="32" t="str">
        <f t="shared" si="7"/>
        <v/>
      </c>
      <c r="AC1667" s="32" t="str">
        <f t="shared" ref="AC1667:AG1667" si="1671">IF(J1667&lt;&gt;"", IF(AND($P1667=FALSE, $A1667=FALSE), -J1667, IF(AND($P1667=FALSE, $A1667=TRUE), 0, IF($P1667=TRUE, (J1667 / $R1667) * 100 * ($S1667 / 100)-J1667, ))), )</f>
        <v/>
      </c>
      <c r="AD1667" s="32" t="str">
        <f t="shared" si="1671"/>
        <v/>
      </c>
      <c r="AE1667" s="32" t="str">
        <f t="shared" si="1671"/>
        <v/>
      </c>
      <c r="AF1667" s="32" t="str">
        <f t="shared" si="1671"/>
        <v/>
      </c>
      <c r="AG1667" s="32" t="str">
        <f t="shared" si="1671"/>
        <v/>
      </c>
      <c r="AH1667" s="33"/>
    </row>
    <row r="1668" hidden="1" outlineLevel="2">
      <c r="A1668" s="16" t="b">
        <v>0</v>
      </c>
      <c r="B1668" s="17"/>
      <c r="C1668" s="18"/>
      <c r="D1668" s="42">
        <v>45305.0</v>
      </c>
      <c r="E1668" s="43" t="s">
        <v>24</v>
      </c>
      <c r="F1668" s="53" t="s">
        <v>1058</v>
      </c>
      <c r="G1668" s="45">
        <v>1.5</v>
      </c>
      <c r="H1668" s="45">
        <v>0.5</v>
      </c>
      <c r="I1668" s="45"/>
      <c r="J1668" s="46"/>
      <c r="K1668" s="46"/>
      <c r="L1668" s="45"/>
      <c r="M1668" s="46"/>
      <c r="N1668" s="46"/>
      <c r="O1668" s="47"/>
      <c r="P1668" s="16" t="b">
        <v>0</v>
      </c>
      <c r="Q1668" s="24"/>
      <c r="R1668" s="48">
        <v>2.0</v>
      </c>
      <c r="S1668" s="45">
        <v>6.0</v>
      </c>
      <c r="T1668" s="49" t="s">
        <v>55</v>
      </c>
      <c r="U1668" s="47"/>
      <c r="V1668" s="28"/>
      <c r="W1668" s="29"/>
      <c r="X1668" s="30"/>
      <c r="Y1668" s="31"/>
      <c r="Z1668" s="26">
        <f t="shared" si="5"/>
        <v>-1.5</v>
      </c>
      <c r="AA1668" s="26" t="str">
        <f t="shared" si="6"/>
        <v/>
      </c>
      <c r="AB1668" s="32">
        <f t="shared" si="7"/>
        <v>-0.5</v>
      </c>
      <c r="AC1668" s="32" t="str">
        <f t="shared" ref="AC1668:AG1668" si="1672">IF(J1668&lt;&gt;"", IF(AND($P1668=FALSE, $A1668=FALSE), -J1668, IF(AND($P1668=FALSE, $A1668=TRUE), 0, IF($P1668=TRUE, (J1668 / $R1668) * 100 * ($S1668 / 100)-J1668, ))), )</f>
        <v/>
      </c>
      <c r="AD1668" s="32" t="str">
        <f t="shared" si="1672"/>
        <v/>
      </c>
      <c r="AE1668" s="32" t="str">
        <f t="shared" si="1672"/>
        <v/>
      </c>
      <c r="AF1668" s="32" t="str">
        <f t="shared" si="1672"/>
        <v/>
      </c>
      <c r="AG1668" s="32" t="str">
        <f t="shared" si="1672"/>
        <v/>
      </c>
      <c r="AH1668" s="33"/>
    </row>
    <row r="1669" hidden="1" outlineLevel="3">
      <c r="A1669" s="16" t="b">
        <v>0</v>
      </c>
      <c r="B1669" s="17"/>
      <c r="C1669" s="18"/>
      <c r="D1669" s="19"/>
      <c r="E1669" s="20"/>
      <c r="F1669" s="21"/>
      <c r="G1669" s="22"/>
      <c r="H1669" s="22"/>
      <c r="I1669" s="23"/>
      <c r="J1669" s="22"/>
      <c r="K1669" s="23"/>
      <c r="L1669" s="22"/>
      <c r="M1669" s="23"/>
      <c r="N1669" s="23"/>
      <c r="O1669" s="24"/>
      <c r="P1669" s="16" t="b">
        <v>0</v>
      </c>
      <c r="Q1669" s="24"/>
      <c r="R1669" s="25"/>
      <c r="S1669" s="26"/>
      <c r="T1669" s="27"/>
      <c r="U1669" s="24"/>
      <c r="V1669" s="28" t="s">
        <v>1070</v>
      </c>
      <c r="W1669" s="29" t="s">
        <v>22</v>
      </c>
      <c r="X1669" s="37" t="s">
        <v>1097</v>
      </c>
      <c r="Y1669" s="31"/>
      <c r="Z1669" s="26" t="str">
        <f t="shared" si="5"/>
        <v/>
      </c>
      <c r="AA1669" s="26" t="str">
        <f t="shared" si="6"/>
        <v/>
      </c>
      <c r="AB1669" s="32" t="str">
        <f t="shared" si="7"/>
        <v/>
      </c>
      <c r="AC1669" s="32" t="str">
        <f t="shared" ref="AC1669:AG1669" si="1673">IF(J1669&lt;&gt;"", IF(AND($P1669=FALSE, $A1669=FALSE), -J1669, IF(AND($P1669=FALSE, $A1669=TRUE), 0, IF($P1669=TRUE, (J1669 / $R1669) * 100 * ($S1669 / 100)-J1669, ))), )</f>
        <v/>
      </c>
      <c r="AD1669" s="32" t="str">
        <f t="shared" si="1673"/>
        <v/>
      </c>
      <c r="AE1669" s="32" t="str">
        <f t="shared" si="1673"/>
        <v/>
      </c>
      <c r="AF1669" s="32" t="str">
        <f t="shared" si="1673"/>
        <v/>
      </c>
      <c r="AG1669" s="32" t="str">
        <f t="shared" si="1673"/>
        <v/>
      </c>
      <c r="AH1669" s="33"/>
    </row>
    <row r="1670" hidden="1" outlineLevel="3">
      <c r="A1670" s="16" t="b">
        <v>0</v>
      </c>
      <c r="B1670" s="17"/>
      <c r="C1670" s="18"/>
      <c r="D1670" s="19"/>
      <c r="E1670" s="20"/>
      <c r="F1670" s="21"/>
      <c r="G1670" s="22"/>
      <c r="H1670" s="22"/>
      <c r="I1670" s="23"/>
      <c r="J1670" s="22"/>
      <c r="K1670" s="23"/>
      <c r="L1670" s="22"/>
      <c r="M1670" s="23"/>
      <c r="N1670" s="23"/>
      <c r="O1670" s="24"/>
      <c r="P1670" s="16" t="b">
        <v>0</v>
      </c>
      <c r="Q1670" s="24"/>
      <c r="R1670" s="25"/>
      <c r="S1670" s="26"/>
      <c r="T1670" s="27"/>
      <c r="U1670" s="24"/>
      <c r="V1670" s="38" t="s">
        <v>29</v>
      </c>
      <c r="W1670" s="29" t="s">
        <v>22</v>
      </c>
      <c r="X1670" s="37" t="s">
        <v>1098</v>
      </c>
      <c r="Y1670" s="31"/>
      <c r="Z1670" s="26" t="str">
        <f t="shared" si="5"/>
        <v/>
      </c>
      <c r="AA1670" s="26" t="str">
        <f t="shared" si="6"/>
        <v/>
      </c>
      <c r="AB1670" s="32" t="str">
        <f t="shared" si="7"/>
        <v/>
      </c>
      <c r="AC1670" s="32" t="str">
        <f t="shared" ref="AC1670:AG1670" si="1674">IF(J1670&lt;&gt;"", IF(AND($P1670=FALSE, $A1670=FALSE), -J1670, IF(AND($P1670=FALSE, $A1670=TRUE), 0, IF($P1670=TRUE, (J1670 / $R1670) * 100 * ($S1670 / 100)-J1670, ))), )</f>
        <v/>
      </c>
      <c r="AD1670" s="32" t="str">
        <f t="shared" si="1674"/>
        <v/>
      </c>
      <c r="AE1670" s="32" t="str">
        <f t="shared" si="1674"/>
        <v/>
      </c>
      <c r="AF1670" s="32" t="str">
        <f t="shared" si="1674"/>
        <v/>
      </c>
      <c r="AG1670" s="32" t="str">
        <f t="shared" si="1674"/>
        <v/>
      </c>
      <c r="AH1670" s="33"/>
    </row>
    <row r="1671" hidden="1" outlineLevel="3">
      <c r="A1671" s="16" t="b">
        <v>0</v>
      </c>
      <c r="B1671" s="17"/>
      <c r="C1671" s="18"/>
      <c r="D1671" s="19"/>
      <c r="E1671" s="20"/>
      <c r="F1671" s="21"/>
      <c r="G1671" s="22"/>
      <c r="H1671" s="22"/>
      <c r="I1671" s="23"/>
      <c r="J1671" s="22"/>
      <c r="K1671" s="23"/>
      <c r="L1671" s="22"/>
      <c r="M1671" s="23"/>
      <c r="N1671" s="23"/>
      <c r="O1671" s="24"/>
      <c r="P1671" s="16" t="b">
        <v>0</v>
      </c>
      <c r="Q1671" s="24"/>
      <c r="R1671" s="25"/>
      <c r="S1671" s="26"/>
      <c r="T1671" s="27"/>
      <c r="U1671" s="24"/>
      <c r="V1671" s="38" t="s">
        <v>29</v>
      </c>
      <c r="W1671" s="29" t="s">
        <v>22</v>
      </c>
      <c r="X1671" s="37" t="s">
        <v>1099</v>
      </c>
      <c r="Y1671" s="31"/>
      <c r="Z1671" s="26" t="str">
        <f t="shared" si="5"/>
        <v/>
      </c>
      <c r="AA1671" s="26" t="str">
        <f t="shared" si="6"/>
        <v/>
      </c>
      <c r="AB1671" s="32" t="str">
        <f t="shared" si="7"/>
        <v/>
      </c>
      <c r="AC1671" s="32" t="str">
        <f t="shared" ref="AC1671:AG1671" si="1675">IF(J1671&lt;&gt;"", IF(AND($P1671=FALSE, $A1671=FALSE), -J1671, IF(AND($P1671=FALSE, $A1671=TRUE), 0, IF($P1671=TRUE, (J1671 / $R1671) * 100 * ($S1671 / 100)-J1671, ))), )</f>
        <v/>
      </c>
      <c r="AD1671" s="32" t="str">
        <f t="shared" si="1675"/>
        <v/>
      </c>
      <c r="AE1671" s="32" t="str">
        <f t="shared" si="1675"/>
        <v/>
      </c>
      <c r="AF1671" s="32" t="str">
        <f t="shared" si="1675"/>
        <v/>
      </c>
      <c r="AG1671" s="32" t="str">
        <f t="shared" si="1675"/>
        <v/>
      </c>
      <c r="AH1671" s="33"/>
    </row>
    <row r="1672" hidden="1" outlineLevel="3">
      <c r="A1672" s="16" t="b">
        <v>0</v>
      </c>
      <c r="B1672" s="17"/>
      <c r="C1672" s="18"/>
      <c r="D1672" s="19"/>
      <c r="E1672" s="20"/>
      <c r="F1672" s="21"/>
      <c r="G1672" s="22"/>
      <c r="H1672" s="22"/>
      <c r="I1672" s="23"/>
      <c r="J1672" s="22"/>
      <c r="K1672" s="23"/>
      <c r="L1672" s="22"/>
      <c r="M1672" s="23"/>
      <c r="N1672" s="23"/>
      <c r="O1672" s="24"/>
      <c r="P1672" s="16" t="b">
        <v>0</v>
      </c>
      <c r="Q1672" s="24"/>
      <c r="R1672" s="25"/>
      <c r="S1672" s="26"/>
      <c r="T1672" s="27"/>
      <c r="U1672" s="24"/>
      <c r="V1672" s="38" t="s">
        <v>29</v>
      </c>
      <c r="W1672" s="29" t="s">
        <v>22</v>
      </c>
      <c r="X1672" s="37" t="s">
        <v>1100</v>
      </c>
      <c r="Y1672" s="31"/>
      <c r="Z1672" s="26" t="str">
        <f t="shared" si="5"/>
        <v/>
      </c>
      <c r="AA1672" s="26" t="str">
        <f t="shared" si="6"/>
        <v/>
      </c>
      <c r="AB1672" s="32" t="str">
        <f t="shared" si="7"/>
        <v/>
      </c>
      <c r="AC1672" s="32" t="str">
        <f t="shared" ref="AC1672:AG1672" si="1676">IF(J1672&lt;&gt;"", IF(AND($P1672=FALSE, $A1672=FALSE), -J1672, IF(AND($P1672=FALSE, $A1672=TRUE), 0, IF($P1672=TRUE, (J1672 / $R1672) * 100 * ($S1672 / 100)-J1672, ))), )</f>
        <v/>
      </c>
      <c r="AD1672" s="32" t="str">
        <f t="shared" si="1676"/>
        <v/>
      </c>
      <c r="AE1672" s="32" t="str">
        <f t="shared" si="1676"/>
        <v/>
      </c>
      <c r="AF1672" s="32" t="str">
        <f t="shared" si="1676"/>
        <v/>
      </c>
      <c r="AG1672" s="32" t="str">
        <f t="shared" si="1676"/>
        <v/>
      </c>
      <c r="AH1672" s="33"/>
    </row>
    <row r="1673" hidden="1" outlineLevel="1" collapsed="1">
      <c r="A1673" s="16" t="b">
        <v>0</v>
      </c>
      <c r="B1673" s="17"/>
      <c r="C1673" s="18"/>
      <c r="D1673" s="42">
        <v>45306.0</v>
      </c>
      <c r="E1673" s="43" t="s">
        <v>24</v>
      </c>
      <c r="F1673" s="53" t="s">
        <v>1058</v>
      </c>
      <c r="G1673" s="45">
        <v>0.02</v>
      </c>
      <c r="H1673" s="45">
        <v>0.01</v>
      </c>
      <c r="I1673" s="45">
        <v>0.02</v>
      </c>
      <c r="J1673" s="46"/>
      <c r="K1673" s="46"/>
      <c r="L1673" s="45"/>
      <c r="M1673" s="46"/>
      <c r="N1673" s="46"/>
      <c r="O1673" s="47"/>
      <c r="P1673" s="16" t="b">
        <v>0</v>
      </c>
      <c r="Q1673" s="24"/>
      <c r="R1673" s="48">
        <v>0.05</v>
      </c>
      <c r="S1673" s="45">
        <v>11.5</v>
      </c>
      <c r="T1673" s="49" t="s">
        <v>1101</v>
      </c>
      <c r="U1673" s="47"/>
      <c r="V1673" s="28"/>
      <c r="W1673" s="29"/>
      <c r="X1673" s="30"/>
      <c r="Y1673" s="31"/>
      <c r="Z1673" s="26">
        <f t="shared" si="5"/>
        <v>-0.02</v>
      </c>
      <c r="AA1673" s="26">
        <f t="shared" si="6"/>
        <v>-0.02</v>
      </c>
      <c r="AB1673" s="32">
        <f t="shared" si="7"/>
        <v>-0.01</v>
      </c>
      <c r="AC1673" s="32" t="str">
        <f t="shared" ref="AC1673:AG1673" si="1677">IF(J1673&lt;&gt;"", IF(AND($P1673=FALSE, $A1673=FALSE), -J1673, IF(AND($P1673=FALSE, $A1673=TRUE), 0, IF($P1673=TRUE, (J1673 / $R1673) * 100 * ($S1673 / 100)-J1673, ))), )</f>
        <v/>
      </c>
      <c r="AD1673" s="32" t="str">
        <f t="shared" si="1677"/>
        <v/>
      </c>
      <c r="AE1673" s="32" t="str">
        <f t="shared" si="1677"/>
        <v/>
      </c>
      <c r="AF1673" s="32" t="str">
        <f t="shared" si="1677"/>
        <v/>
      </c>
      <c r="AG1673" s="32" t="str">
        <f t="shared" si="1677"/>
        <v/>
      </c>
      <c r="AH1673" s="33"/>
    </row>
    <row r="1674" hidden="1" outlineLevel="3">
      <c r="A1674" s="16" t="b">
        <v>0</v>
      </c>
      <c r="B1674" s="17"/>
      <c r="C1674" s="18"/>
      <c r="D1674" s="19"/>
      <c r="E1674" s="20"/>
      <c r="F1674" s="21"/>
      <c r="G1674" s="22"/>
      <c r="H1674" s="22"/>
      <c r="I1674" s="23"/>
      <c r="J1674" s="22"/>
      <c r="K1674" s="23"/>
      <c r="L1674" s="22"/>
      <c r="M1674" s="23"/>
      <c r="N1674" s="23"/>
      <c r="O1674" s="24"/>
      <c r="P1674" s="16" t="b">
        <v>0</v>
      </c>
      <c r="Q1674" s="24"/>
      <c r="R1674" s="25"/>
      <c r="S1674" s="26"/>
      <c r="T1674" s="27"/>
      <c r="U1674" s="24"/>
      <c r="V1674" s="38" t="s">
        <v>29</v>
      </c>
      <c r="W1674" s="29" t="s">
        <v>22</v>
      </c>
      <c r="X1674" s="37" t="s">
        <v>1102</v>
      </c>
      <c r="Y1674" s="31"/>
      <c r="Z1674" s="26" t="str">
        <f t="shared" si="5"/>
        <v/>
      </c>
      <c r="AA1674" s="26" t="str">
        <f t="shared" si="6"/>
        <v/>
      </c>
      <c r="AB1674" s="32" t="str">
        <f t="shared" si="7"/>
        <v/>
      </c>
      <c r="AC1674" s="32" t="str">
        <f t="shared" ref="AC1674:AG1674" si="1678">IF(J1674&lt;&gt;"", IF(AND($P1674=FALSE, $A1674=FALSE), -J1674, IF(AND($P1674=FALSE, $A1674=TRUE), 0, IF($P1674=TRUE, (J1674 / $R1674) * 100 * ($S1674 / 100)-J1674, ))), )</f>
        <v/>
      </c>
      <c r="AD1674" s="32" t="str">
        <f t="shared" si="1678"/>
        <v/>
      </c>
      <c r="AE1674" s="32" t="str">
        <f t="shared" si="1678"/>
        <v/>
      </c>
      <c r="AF1674" s="32" t="str">
        <f t="shared" si="1678"/>
        <v/>
      </c>
      <c r="AG1674" s="32" t="str">
        <f t="shared" si="1678"/>
        <v/>
      </c>
      <c r="AH1674" s="33"/>
    </row>
    <row r="1675" hidden="1" outlineLevel="3">
      <c r="A1675" s="16" t="b">
        <v>0</v>
      </c>
      <c r="B1675" s="17"/>
      <c r="C1675" s="18"/>
      <c r="D1675" s="19"/>
      <c r="E1675" s="20"/>
      <c r="F1675" s="21"/>
      <c r="G1675" s="22"/>
      <c r="H1675" s="22"/>
      <c r="I1675" s="23"/>
      <c r="J1675" s="22"/>
      <c r="K1675" s="23"/>
      <c r="L1675" s="22"/>
      <c r="M1675" s="23"/>
      <c r="N1675" s="23"/>
      <c r="O1675" s="24"/>
      <c r="P1675" s="16" t="b">
        <v>0</v>
      </c>
      <c r="Q1675" s="24"/>
      <c r="R1675" s="25"/>
      <c r="S1675" s="26"/>
      <c r="T1675" s="27"/>
      <c r="U1675" s="24"/>
      <c r="V1675" s="66">
        <v>48.0</v>
      </c>
      <c r="W1675" s="29" t="s">
        <v>22</v>
      </c>
      <c r="X1675" s="37" t="s">
        <v>1103</v>
      </c>
      <c r="Y1675" s="31"/>
      <c r="Z1675" s="26" t="str">
        <f t="shared" si="5"/>
        <v/>
      </c>
      <c r="AA1675" s="26" t="str">
        <f t="shared" si="6"/>
        <v/>
      </c>
      <c r="AB1675" s="32" t="str">
        <f t="shared" si="7"/>
        <v/>
      </c>
      <c r="AC1675" s="32" t="str">
        <f t="shared" ref="AC1675:AG1675" si="1679">IF(J1675&lt;&gt;"", IF(AND($P1675=FALSE, $A1675=FALSE), -J1675, IF(AND($P1675=FALSE, $A1675=TRUE), 0, IF($P1675=TRUE, (J1675 / $R1675) * 100 * ($S1675 / 100)-J1675, ))), )</f>
        <v/>
      </c>
      <c r="AD1675" s="32" t="str">
        <f t="shared" si="1679"/>
        <v/>
      </c>
      <c r="AE1675" s="32" t="str">
        <f t="shared" si="1679"/>
        <v/>
      </c>
      <c r="AF1675" s="32" t="str">
        <f t="shared" si="1679"/>
        <v/>
      </c>
      <c r="AG1675" s="32" t="str">
        <f t="shared" si="1679"/>
        <v/>
      </c>
      <c r="AH1675" s="33"/>
    </row>
    <row r="1676" hidden="1" outlineLevel="3">
      <c r="A1676" s="16" t="b">
        <v>0</v>
      </c>
      <c r="B1676" s="17"/>
      <c r="C1676" s="18"/>
      <c r="D1676" s="19"/>
      <c r="E1676" s="20"/>
      <c r="F1676" s="21"/>
      <c r="G1676" s="22"/>
      <c r="H1676" s="22"/>
      <c r="I1676" s="23"/>
      <c r="J1676" s="22"/>
      <c r="K1676" s="23"/>
      <c r="L1676" s="22"/>
      <c r="M1676" s="23"/>
      <c r="N1676" s="23"/>
      <c r="O1676" s="24"/>
      <c r="P1676" s="16" t="b">
        <v>0</v>
      </c>
      <c r="Q1676" s="24"/>
      <c r="R1676" s="25"/>
      <c r="S1676" s="26"/>
      <c r="T1676" s="27"/>
      <c r="U1676" s="24"/>
      <c r="V1676" s="38" t="s">
        <v>29</v>
      </c>
      <c r="W1676" s="29" t="s">
        <v>22</v>
      </c>
      <c r="X1676" s="37" t="s">
        <v>1104</v>
      </c>
      <c r="Y1676" s="31"/>
      <c r="Z1676" s="26" t="str">
        <f t="shared" si="5"/>
        <v/>
      </c>
      <c r="AA1676" s="26" t="str">
        <f t="shared" si="6"/>
        <v/>
      </c>
      <c r="AB1676" s="32" t="str">
        <f t="shared" si="7"/>
        <v/>
      </c>
      <c r="AC1676" s="32" t="str">
        <f t="shared" ref="AC1676:AG1676" si="1680">IF(J1676&lt;&gt;"", IF(AND($P1676=FALSE, $A1676=FALSE), -J1676, IF(AND($P1676=FALSE, $A1676=TRUE), 0, IF($P1676=TRUE, (J1676 / $R1676) * 100 * ($S1676 / 100)-J1676, ))), )</f>
        <v/>
      </c>
      <c r="AD1676" s="32" t="str">
        <f t="shared" si="1680"/>
        <v/>
      </c>
      <c r="AE1676" s="32" t="str">
        <f t="shared" si="1680"/>
        <v/>
      </c>
      <c r="AF1676" s="32" t="str">
        <f t="shared" si="1680"/>
        <v/>
      </c>
      <c r="AG1676" s="32" t="str">
        <f t="shared" si="1680"/>
        <v/>
      </c>
      <c r="AH1676" s="33"/>
    </row>
    <row r="1677" hidden="1" outlineLevel="3">
      <c r="A1677" s="16" t="b">
        <v>0</v>
      </c>
      <c r="B1677" s="17"/>
      <c r="C1677" s="18"/>
      <c r="D1677" s="19"/>
      <c r="E1677" s="20"/>
      <c r="F1677" s="21"/>
      <c r="G1677" s="22"/>
      <c r="H1677" s="22"/>
      <c r="I1677" s="23"/>
      <c r="J1677" s="22"/>
      <c r="K1677" s="23"/>
      <c r="L1677" s="22"/>
      <c r="M1677" s="23"/>
      <c r="N1677" s="23"/>
      <c r="O1677" s="24"/>
      <c r="P1677" s="16" t="b">
        <v>0</v>
      </c>
      <c r="Q1677" s="24"/>
      <c r="R1677" s="25"/>
      <c r="S1677" s="26"/>
      <c r="T1677" s="27"/>
      <c r="U1677" s="24"/>
      <c r="V1677" s="38" t="s">
        <v>29</v>
      </c>
      <c r="W1677" s="29" t="s">
        <v>22</v>
      </c>
      <c r="X1677" s="37" t="s">
        <v>1105</v>
      </c>
      <c r="Y1677" s="31"/>
      <c r="Z1677" s="26" t="str">
        <f t="shared" si="5"/>
        <v/>
      </c>
      <c r="AA1677" s="26" t="str">
        <f t="shared" si="6"/>
        <v/>
      </c>
      <c r="AB1677" s="32" t="str">
        <f t="shared" si="7"/>
        <v/>
      </c>
      <c r="AC1677" s="32" t="str">
        <f t="shared" ref="AC1677:AG1677" si="1681">IF(J1677&lt;&gt;"", IF(AND($P1677=FALSE, $A1677=FALSE), -J1677, IF(AND($P1677=FALSE, $A1677=TRUE), 0, IF($P1677=TRUE, (J1677 / $R1677) * 100 * ($S1677 / 100)-J1677, ))), )</f>
        <v/>
      </c>
      <c r="AD1677" s="32" t="str">
        <f t="shared" si="1681"/>
        <v/>
      </c>
      <c r="AE1677" s="32" t="str">
        <f t="shared" si="1681"/>
        <v/>
      </c>
      <c r="AF1677" s="32" t="str">
        <f t="shared" si="1681"/>
        <v/>
      </c>
      <c r="AG1677" s="32" t="str">
        <f t="shared" si="1681"/>
        <v/>
      </c>
      <c r="AH1677" s="33"/>
    </row>
    <row r="1678" hidden="1" outlineLevel="2" collapsed="1">
      <c r="A1678" s="16" t="b">
        <v>0</v>
      </c>
      <c r="B1678" s="17"/>
      <c r="C1678" s="18"/>
      <c r="D1678" s="42">
        <v>45306.0</v>
      </c>
      <c r="E1678" s="43" t="s">
        <v>24</v>
      </c>
      <c r="F1678" s="53" t="s">
        <v>1058</v>
      </c>
      <c r="G1678" s="45">
        <v>3.0</v>
      </c>
      <c r="H1678" s="45">
        <v>1.0</v>
      </c>
      <c r="I1678" s="45">
        <v>10.0</v>
      </c>
      <c r="J1678" s="46"/>
      <c r="K1678" s="46"/>
      <c r="L1678" s="45"/>
      <c r="M1678" s="46"/>
      <c r="N1678" s="46"/>
      <c r="O1678" s="47"/>
      <c r="P1678" s="16" t="b">
        <v>0</v>
      </c>
      <c r="Q1678" s="24"/>
      <c r="R1678" s="48">
        <v>14.0</v>
      </c>
      <c r="S1678" s="45">
        <v>42.0</v>
      </c>
      <c r="T1678" s="49" t="s">
        <v>55</v>
      </c>
      <c r="U1678" s="47"/>
      <c r="V1678" s="28"/>
      <c r="W1678" s="29"/>
      <c r="X1678" s="30"/>
      <c r="Y1678" s="31"/>
      <c r="Z1678" s="26">
        <f t="shared" si="5"/>
        <v>-3</v>
      </c>
      <c r="AA1678" s="26">
        <f t="shared" si="6"/>
        <v>-10</v>
      </c>
      <c r="AB1678" s="32">
        <f t="shared" si="7"/>
        <v>-1</v>
      </c>
      <c r="AC1678" s="32" t="str">
        <f t="shared" ref="AC1678:AG1678" si="1682">IF(J1678&lt;&gt;"", IF(AND($P1678=FALSE, $A1678=FALSE), -J1678, IF(AND($P1678=FALSE, $A1678=TRUE), 0, IF($P1678=TRUE, (J1678 / $R1678) * 100 * ($S1678 / 100)-J1678, ))), )</f>
        <v/>
      </c>
      <c r="AD1678" s="32" t="str">
        <f t="shared" si="1682"/>
        <v/>
      </c>
      <c r="AE1678" s="32" t="str">
        <f t="shared" si="1682"/>
        <v/>
      </c>
      <c r="AF1678" s="32" t="str">
        <f t="shared" si="1682"/>
        <v/>
      </c>
      <c r="AG1678" s="32" t="str">
        <f t="shared" si="1682"/>
        <v/>
      </c>
      <c r="AH1678" s="33"/>
    </row>
    <row r="1679" hidden="1" outlineLevel="3">
      <c r="A1679" s="16" t="b">
        <v>0</v>
      </c>
      <c r="B1679" s="17"/>
      <c r="C1679" s="18"/>
      <c r="D1679" s="19"/>
      <c r="E1679" s="20"/>
      <c r="F1679" s="21"/>
      <c r="G1679" s="22"/>
      <c r="H1679" s="22"/>
      <c r="I1679" s="23"/>
      <c r="J1679" s="22"/>
      <c r="K1679" s="23"/>
      <c r="L1679" s="22"/>
      <c r="M1679" s="23"/>
      <c r="N1679" s="23"/>
      <c r="O1679" s="24"/>
      <c r="P1679" s="16" t="b">
        <v>0</v>
      </c>
      <c r="Q1679" s="24"/>
      <c r="R1679" s="25"/>
      <c r="S1679" s="26"/>
      <c r="T1679" s="27"/>
      <c r="U1679" s="24"/>
      <c r="V1679" s="38" t="s">
        <v>29</v>
      </c>
      <c r="W1679" s="29" t="s">
        <v>22</v>
      </c>
      <c r="X1679" s="37" t="s">
        <v>1106</v>
      </c>
      <c r="Y1679" s="31"/>
      <c r="Z1679" s="26" t="str">
        <f t="shared" si="5"/>
        <v/>
      </c>
      <c r="AA1679" s="26" t="str">
        <f t="shared" si="6"/>
        <v/>
      </c>
      <c r="AB1679" s="32" t="str">
        <f t="shared" si="7"/>
        <v/>
      </c>
      <c r="AC1679" s="32" t="str">
        <f t="shared" ref="AC1679:AG1679" si="1683">IF(J1679&lt;&gt;"", IF(AND($P1679=FALSE, $A1679=FALSE), -J1679, IF(AND($P1679=FALSE, $A1679=TRUE), 0, IF($P1679=TRUE, (J1679 / $R1679) * 100 * ($S1679 / 100)-J1679, ))), )</f>
        <v/>
      </c>
      <c r="AD1679" s="32" t="str">
        <f t="shared" si="1683"/>
        <v/>
      </c>
      <c r="AE1679" s="32" t="str">
        <f t="shared" si="1683"/>
        <v/>
      </c>
      <c r="AF1679" s="32" t="str">
        <f t="shared" si="1683"/>
        <v/>
      </c>
      <c r="AG1679" s="32" t="str">
        <f t="shared" si="1683"/>
        <v/>
      </c>
      <c r="AH1679" s="33"/>
    </row>
    <row r="1680" hidden="1" outlineLevel="3">
      <c r="A1680" s="16" t="b">
        <v>0</v>
      </c>
      <c r="B1680" s="17"/>
      <c r="C1680" s="18"/>
      <c r="D1680" s="19"/>
      <c r="E1680" s="20"/>
      <c r="F1680" s="21"/>
      <c r="G1680" s="22"/>
      <c r="H1680" s="22"/>
      <c r="I1680" s="23"/>
      <c r="J1680" s="22"/>
      <c r="K1680" s="23"/>
      <c r="L1680" s="22"/>
      <c r="M1680" s="23"/>
      <c r="N1680" s="23"/>
      <c r="O1680" s="24"/>
      <c r="P1680" s="16" t="b">
        <v>0</v>
      </c>
      <c r="Q1680" s="24"/>
      <c r="R1680" s="25"/>
      <c r="S1680" s="26"/>
      <c r="T1680" s="27"/>
      <c r="U1680" s="24"/>
      <c r="V1680" s="66">
        <v>37.0</v>
      </c>
      <c r="W1680" s="29" t="s">
        <v>22</v>
      </c>
      <c r="X1680" s="37" t="s">
        <v>1107</v>
      </c>
      <c r="Y1680" s="31"/>
      <c r="Z1680" s="26" t="str">
        <f t="shared" si="5"/>
        <v/>
      </c>
      <c r="AA1680" s="26" t="str">
        <f t="shared" si="6"/>
        <v/>
      </c>
      <c r="AB1680" s="32" t="str">
        <f t="shared" si="7"/>
        <v/>
      </c>
      <c r="AC1680" s="32" t="str">
        <f t="shared" ref="AC1680:AG1680" si="1684">IF(J1680&lt;&gt;"", IF(AND($P1680=FALSE, $A1680=FALSE), -J1680, IF(AND($P1680=FALSE, $A1680=TRUE), 0, IF($P1680=TRUE, (J1680 / $R1680) * 100 * ($S1680 / 100)-J1680, ))), )</f>
        <v/>
      </c>
      <c r="AD1680" s="32" t="str">
        <f t="shared" si="1684"/>
        <v/>
      </c>
      <c r="AE1680" s="32" t="str">
        <f t="shared" si="1684"/>
        <v/>
      </c>
      <c r="AF1680" s="32" t="str">
        <f t="shared" si="1684"/>
        <v/>
      </c>
      <c r="AG1680" s="32" t="str">
        <f t="shared" si="1684"/>
        <v/>
      </c>
      <c r="AH1680" s="33"/>
    </row>
    <row r="1681" hidden="1" outlineLevel="2">
      <c r="A1681" s="16" t="b">
        <v>0</v>
      </c>
      <c r="B1681" s="17"/>
      <c r="C1681" s="18"/>
      <c r="D1681" s="42">
        <v>45306.0</v>
      </c>
      <c r="E1681" s="43" t="s">
        <v>24</v>
      </c>
      <c r="F1681" s="53" t="s">
        <v>1058</v>
      </c>
      <c r="G1681" s="45">
        <v>4.0</v>
      </c>
      <c r="H1681" s="45">
        <v>2.0</v>
      </c>
      <c r="I1681" s="45">
        <v>4.0</v>
      </c>
      <c r="J1681" s="46"/>
      <c r="K1681" s="46"/>
      <c r="L1681" s="45"/>
      <c r="M1681" s="46"/>
      <c r="N1681" s="46"/>
      <c r="O1681" s="47"/>
      <c r="P1681" s="16" t="b">
        <v>0</v>
      </c>
      <c r="Q1681" s="24"/>
      <c r="R1681" s="48">
        <v>10.0</v>
      </c>
      <c r="S1681" s="45">
        <v>154.95</v>
      </c>
      <c r="T1681" s="49" t="s">
        <v>1108</v>
      </c>
      <c r="U1681" s="47"/>
      <c r="V1681" s="28"/>
      <c r="W1681" s="29"/>
      <c r="X1681" s="30"/>
      <c r="Y1681" s="31"/>
      <c r="Z1681" s="26">
        <f t="shared" si="5"/>
        <v>-4</v>
      </c>
      <c r="AA1681" s="26">
        <f t="shared" si="6"/>
        <v>-4</v>
      </c>
      <c r="AB1681" s="32">
        <f t="shared" si="7"/>
        <v>-2</v>
      </c>
      <c r="AC1681" s="32" t="str">
        <f t="shared" ref="AC1681:AG1681" si="1685">IF(J1681&lt;&gt;"", IF(AND($P1681=FALSE, $A1681=FALSE), -J1681, IF(AND($P1681=FALSE, $A1681=TRUE), 0, IF($P1681=TRUE, (J1681 / $R1681) * 100 * ($S1681 / 100)-J1681, ))), )</f>
        <v/>
      </c>
      <c r="AD1681" s="32" t="str">
        <f t="shared" si="1685"/>
        <v/>
      </c>
      <c r="AE1681" s="32" t="str">
        <f t="shared" si="1685"/>
        <v/>
      </c>
      <c r="AF1681" s="32" t="str">
        <f t="shared" si="1685"/>
        <v/>
      </c>
      <c r="AG1681" s="32" t="str">
        <f t="shared" si="1685"/>
        <v/>
      </c>
      <c r="AH1681" s="33"/>
    </row>
    <row r="1682" hidden="1" outlineLevel="3">
      <c r="A1682" s="16" t="b">
        <v>0</v>
      </c>
      <c r="B1682" s="17"/>
      <c r="C1682" s="18"/>
      <c r="D1682" s="19"/>
      <c r="E1682" s="20"/>
      <c r="F1682" s="21"/>
      <c r="G1682" s="22"/>
      <c r="H1682" s="22"/>
      <c r="I1682" s="23"/>
      <c r="J1682" s="22"/>
      <c r="K1682" s="23"/>
      <c r="L1682" s="22"/>
      <c r="M1682" s="23"/>
      <c r="N1682" s="23"/>
      <c r="O1682" s="24"/>
      <c r="P1682" s="16" t="b">
        <v>0</v>
      </c>
      <c r="Q1682" s="24"/>
      <c r="R1682" s="25"/>
      <c r="S1682" s="26"/>
      <c r="T1682" s="27"/>
      <c r="U1682" s="24"/>
      <c r="V1682" s="38" t="s">
        <v>29</v>
      </c>
      <c r="W1682" s="29" t="s">
        <v>22</v>
      </c>
      <c r="X1682" s="37" t="s">
        <v>868</v>
      </c>
      <c r="Y1682" s="31"/>
      <c r="Z1682" s="26" t="str">
        <f t="shared" si="5"/>
        <v/>
      </c>
      <c r="AA1682" s="26" t="str">
        <f t="shared" si="6"/>
        <v/>
      </c>
      <c r="AB1682" s="32" t="str">
        <f t="shared" si="7"/>
        <v/>
      </c>
      <c r="AC1682" s="32" t="str">
        <f t="shared" ref="AC1682:AG1682" si="1686">IF(J1682&lt;&gt;"", IF(AND($P1682=FALSE, $A1682=FALSE), -J1682, IF(AND($P1682=FALSE, $A1682=TRUE), 0, IF($P1682=TRUE, (J1682 / $R1682) * 100 * ($S1682 / 100)-J1682, ))), )</f>
        <v/>
      </c>
      <c r="AD1682" s="32" t="str">
        <f t="shared" si="1686"/>
        <v/>
      </c>
      <c r="AE1682" s="32" t="str">
        <f t="shared" si="1686"/>
        <v/>
      </c>
      <c r="AF1682" s="32" t="str">
        <f t="shared" si="1686"/>
        <v/>
      </c>
      <c r="AG1682" s="32" t="str">
        <f t="shared" si="1686"/>
        <v/>
      </c>
      <c r="AH1682" s="33"/>
    </row>
    <row r="1683" hidden="1" outlineLevel="3">
      <c r="A1683" s="16" t="b">
        <v>0</v>
      </c>
      <c r="B1683" s="17"/>
      <c r="C1683" s="18"/>
      <c r="D1683" s="19"/>
      <c r="E1683" s="20"/>
      <c r="F1683" s="21"/>
      <c r="G1683" s="22"/>
      <c r="H1683" s="22"/>
      <c r="I1683" s="23"/>
      <c r="J1683" s="22"/>
      <c r="K1683" s="23"/>
      <c r="L1683" s="22"/>
      <c r="M1683" s="23"/>
      <c r="N1683" s="23"/>
      <c r="O1683" s="24"/>
      <c r="P1683" s="16" t="b">
        <v>0</v>
      </c>
      <c r="Q1683" s="24"/>
      <c r="R1683" s="25"/>
      <c r="S1683" s="26"/>
      <c r="T1683" s="27"/>
      <c r="U1683" s="24"/>
      <c r="V1683" s="66">
        <v>5.0</v>
      </c>
      <c r="W1683" s="29" t="s">
        <v>22</v>
      </c>
      <c r="X1683" s="37" t="s">
        <v>437</v>
      </c>
      <c r="Y1683" s="31"/>
      <c r="Z1683" s="26" t="str">
        <f t="shared" si="5"/>
        <v/>
      </c>
      <c r="AA1683" s="26" t="str">
        <f t="shared" si="6"/>
        <v/>
      </c>
      <c r="AB1683" s="32" t="str">
        <f t="shared" si="7"/>
        <v/>
      </c>
      <c r="AC1683" s="32" t="str">
        <f t="shared" ref="AC1683:AG1683" si="1687">IF(J1683&lt;&gt;"", IF(AND($P1683=FALSE, $A1683=FALSE), -J1683, IF(AND($P1683=FALSE, $A1683=TRUE), 0, IF($P1683=TRUE, (J1683 / $R1683) * 100 * ($S1683 / 100)-J1683, ))), )</f>
        <v/>
      </c>
      <c r="AD1683" s="32" t="str">
        <f t="shared" si="1687"/>
        <v/>
      </c>
      <c r="AE1683" s="32" t="str">
        <f t="shared" si="1687"/>
        <v/>
      </c>
      <c r="AF1683" s="32" t="str">
        <f t="shared" si="1687"/>
        <v/>
      </c>
      <c r="AG1683" s="32" t="str">
        <f t="shared" si="1687"/>
        <v/>
      </c>
      <c r="AH1683" s="33"/>
    </row>
    <row r="1684" hidden="1" outlineLevel="3">
      <c r="A1684" s="16" t="b">
        <v>0</v>
      </c>
      <c r="B1684" s="17"/>
      <c r="C1684" s="18"/>
      <c r="D1684" s="19"/>
      <c r="E1684" s="20"/>
      <c r="F1684" s="21"/>
      <c r="G1684" s="22"/>
      <c r="H1684" s="22"/>
      <c r="I1684" s="23"/>
      <c r="J1684" s="22"/>
      <c r="K1684" s="23"/>
      <c r="L1684" s="22"/>
      <c r="M1684" s="23"/>
      <c r="N1684" s="23"/>
      <c r="O1684" s="24"/>
      <c r="P1684" s="16" t="b">
        <v>0</v>
      </c>
      <c r="Q1684" s="24"/>
      <c r="R1684" s="25"/>
      <c r="S1684" s="26"/>
      <c r="T1684" s="27"/>
      <c r="U1684" s="24"/>
      <c r="V1684" s="38" t="s">
        <v>29</v>
      </c>
      <c r="W1684" s="29" t="s">
        <v>22</v>
      </c>
      <c r="X1684" s="37" t="s">
        <v>1109</v>
      </c>
      <c r="Y1684" s="31"/>
      <c r="Z1684" s="26" t="str">
        <f t="shared" si="5"/>
        <v/>
      </c>
      <c r="AA1684" s="26" t="str">
        <f t="shared" si="6"/>
        <v/>
      </c>
      <c r="AB1684" s="32" t="str">
        <f t="shared" si="7"/>
        <v/>
      </c>
      <c r="AC1684" s="32" t="str">
        <f t="shared" ref="AC1684:AG1684" si="1688">IF(J1684&lt;&gt;"", IF(AND($P1684=FALSE, $A1684=FALSE), -J1684, IF(AND($P1684=FALSE, $A1684=TRUE), 0, IF($P1684=TRUE, (J1684 / $R1684) * 100 * ($S1684 / 100)-J1684, ))), )</f>
        <v/>
      </c>
      <c r="AD1684" s="32" t="str">
        <f t="shared" si="1688"/>
        <v/>
      </c>
      <c r="AE1684" s="32" t="str">
        <f t="shared" si="1688"/>
        <v/>
      </c>
      <c r="AF1684" s="32" t="str">
        <f t="shared" si="1688"/>
        <v/>
      </c>
      <c r="AG1684" s="32" t="str">
        <f t="shared" si="1688"/>
        <v/>
      </c>
      <c r="AH1684" s="33"/>
    </row>
    <row r="1685" hidden="1" outlineLevel="3">
      <c r="A1685" s="16" t="b">
        <v>0</v>
      </c>
      <c r="B1685" s="17"/>
      <c r="C1685" s="18"/>
      <c r="D1685" s="19"/>
      <c r="E1685" s="20"/>
      <c r="F1685" s="21"/>
      <c r="G1685" s="22"/>
      <c r="H1685" s="22"/>
      <c r="I1685" s="23"/>
      <c r="J1685" s="22"/>
      <c r="K1685" s="23"/>
      <c r="L1685" s="22"/>
      <c r="M1685" s="23"/>
      <c r="N1685" s="23"/>
      <c r="O1685" s="24"/>
      <c r="P1685" s="16" t="b">
        <v>0</v>
      </c>
      <c r="Q1685" s="24"/>
      <c r="R1685" s="25"/>
      <c r="S1685" s="26"/>
      <c r="T1685" s="27"/>
      <c r="U1685" s="24"/>
      <c r="V1685" s="66">
        <v>3.0</v>
      </c>
      <c r="W1685" s="29" t="s">
        <v>22</v>
      </c>
      <c r="X1685" s="37" t="s">
        <v>1110</v>
      </c>
      <c r="Y1685" s="31"/>
      <c r="Z1685" s="26" t="str">
        <f t="shared" si="5"/>
        <v/>
      </c>
      <c r="AA1685" s="26" t="str">
        <f t="shared" si="6"/>
        <v/>
      </c>
      <c r="AB1685" s="32" t="str">
        <f t="shared" si="7"/>
        <v/>
      </c>
      <c r="AC1685" s="32" t="str">
        <f t="shared" ref="AC1685:AG1685" si="1689">IF(J1685&lt;&gt;"", IF(AND($P1685=FALSE, $A1685=FALSE), -J1685, IF(AND($P1685=FALSE, $A1685=TRUE), 0, IF($P1685=TRUE, (J1685 / $R1685) * 100 * ($S1685 / 100)-J1685, ))), )</f>
        <v/>
      </c>
      <c r="AD1685" s="32" t="str">
        <f t="shared" si="1689"/>
        <v/>
      </c>
      <c r="AE1685" s="32" t="str">
        <f t="shared" si="1689"/>
        <v/>
      </c>
      <c r="AF1685" s="32" t="str">
        <f t="shared" si="1689"/>
        <v/>
      </c>
      <c r="AG1685" s="32" t="str">
        <f t="shared" si="1689"/>
        <v/>
      </c>
      <c r="AH1685" s="33"/>
    </row>
    <row r="1686" hidden="1" outlineLevel="3">
      <c r="A1686" s="16" t="b">
        <v>0</v>
      </c>
      <c r="B1686" s="17"/>
      <c r="C1686" s="18"/>
      <c r="D1686" s="19"/>
      <c r="E1686" s="20"/>
      <c r="F1686" s="21"/>
      <c r="G1686" s="22"/>
      <c r="H1686" s="22"/>
      <c r="I1686" s="23"/>
      <c r="J1686" s="22"/>
      <c r="K1686" s="23"/>
      <c r="L1686" s="22"/>
      <c r="M1686" s="23"/>
      <c r="N1686" s="23"/>
      <c r="O1686" s="24"/>
      <c r="P1686" s="16" t="b">
        <v>0</v>
      </c>
      <c r="Q1686" s="24"/>
      <c r="R1686" s="25"/>
      <c r="S1686" s="26"/>
      <c r="T1686" s="27"/>
      <c r="U1686" s="24"/>
      <c r="V1686" s="66">
        <v>1.0</v>
      </c>
      <c r="W1686" s="29" t="s">
        <v>22</v>
      </c>
      <c r="X1686" s="37" t="s">
        <v>1111</v>
      </c>
      <c r="Y1686" s="31"/>
      <c r="Z1686" s="26" t="str">
        <f t="shared" si="5"/>
        <v/>
      </c>
      <c r="AA1686" s="26" t="str">
        <f t="shared" si="6"/>
        <v/>
      </c>
      <c r="AB1686" s="32" t="str">
        <f t="shared" si="7"/>
        <v/>
      </c>
      <c r="AC1686" s="32" t="str">
        <f t="shared" ref="AC1686:AG1686" si="1690">IF(J1686&lt;&gt;"", IF(AND($P1686=FALSE, $A1686=FALSE), -J1686, IF(AND($P1686=FALSE, $A1686=TRUE), 0, IF($P1686=TRUE, (J1686 / $R1686) * 100 * ($S1686 / 100)-J1686, ))), )</f>
        <v/>
      </c>
      <c r="AD1686" s="32" t="str">
        <f t="shared" si="1690"/>
        <v/>
      </c>
      <c r="AE1686" s="32" t="str">
        <f t="shared" si="1690"/>
        <v/>
      </c>
      <c r="AF1686" s="32" t="str">
        <f t="shared" si="1690"/>
        <v/>
      </c>
      <c r="AG1686" s="32" t="str">
        <f t="shared" si="1690"/>
        <v/>
      </c>
      <c r="AH1686" s="33"/>
    </row>
    <row r="1687" hidden="1" outlineLevel="3">
      <c r="A1687" s="16" t="b">
        <v>0</v>
      </c>
      <c r="B1687" s="17"/>
      <c r="C1687" s="18"/>
      <c r="D1687" s="19"/>
      <c r="E1687" s="20"/>
      <c r="F1687" s="21"/>
      <c r="G1687" s="22"/>
      <c r="H1687" s="22"/>
      <c r="I1687" s="23"/>
      <c r="J1687" s="22"/>
      <c r="K1687" s="23"/>
      <c r="L1687" s="22"/>
      <c r="M1687" s="23"/>
      <c r="N1687" s="23"/>
      <c r="O1687" s="24"/>
      <c r="P1687" s="16" t="b">
        <v>0</v>
      </c>
      <c r="Q1687" s="24"/>
      <c r="R1687" s="25"/>
      <c r="S1687" s="26"/>
      <c r="T1687" s="27"/>
      <c r="U1687" s="24"/>
      <c r="V1687" s="38" t="s">
        <v>29</v>
      </c>
      <c r="W1687" s="29" t="s">
        <v>22</v>
      </c>
      <c r="X1687" s="37" t="s">
        <v>1112</v>
      </c>
      <c r="Y1687" s="31"/>
      <c r="Z1687" s="26" t="str">
        <f t="shared" si="5"/>
        <v/>
      </c>
      <c r="AA1687" s="26" t="str">
        <f t="shared" si="6"/>
        <v/>
      </c>
      <c r="AB1687" s="32" t="str">
        <f t="shared" si="7"/>
        <v/>
      </c>
      <c r="AC1687" s="32" t="str">
        <f t="shared" ref="AC1687:AG1687" si="1691">IF(J1687&lt;&gt;"", IF(AND($P1687=FALSE, $A1687=FALSE), -J1687, IF(AND($P1687=FALSE, $A1687=TRUE), 0, IF($P1687=TRUE, (J1687 / $R1687) * 100 * ($S1687 / 100)-J1687, ))), )</f>
        <v/>
      </c>
      <c r="AD1687" s="32" t="str">
        <f t="shared" si="1691"/>
        <v/>
      </c>
      <c r="AE1687" s="32" t="str">
        <f t="shared" si="1691"/>
        <v/>
      </c>
      <c r="AF1687" s="32" t="str">
        <f t="shared" si="1691"/>
        <v/>
      </c>
      <c r="AG1687" s="32" t="str">
        <f t="shared" si="1691"/>
        <v/>
      </c>
      <c r="AH1687" s="33"/>
    </row>
    <row r="1688" hidden="1" outlineLevel="3">
      <c r="A1688" s="16" t="b">
        <v>0</v>
      </c>
      <c r="B1688" s="17"/>
      <c r="C1688" s="18"/>
      <c r="D1688" s="19"/>
      <c r="E1688" s="20"/>
      <c r="F1688" s="21"/>
      <c r="G1688" s="22"/>
      <c r="H1688" s="22"/>
      <c r="I1688" s="23"/>
      <c r="J1688" s="22"/>
      <c r="K1688" s="23"/>
      <c r="L1688" s="22"/>
      <c r="M1688" s="23"/>
      <c r="N1688" s="23"/>
      <c r="O1688" s="24"/>
      <c r="P1688" s="16" t="b">
        <v>0</v>
      </c>
      <c r="Q1688" s="24"/>
      <c r="R1688" s="25"/>
      <c r="S1688" s="26"/>
      <c r="T1688" s="27"/>
      <c r="U1688" s="24"/>
      <c r="V1688" s="38" t="s">
        <v>29</v>
      </c>
      <c r="W1688" s="29" t="s">
        <v>22</v>
      </c>
      <c r="X1688" s="37" t="s">
        <v>1113</v>
      </c>
      <c r="Y1688" s="31"/>
      <c r="Z1688" s="26" t="str">
        <f t="shared" si="5"/>
        <v/>
      </c>
      <c r="AA1688" s="26" t="str">
        <f t="shared" si="6"/>
        <v/>
      </c>
      <c r="AB1688" s="32" t="str">
        <f t="shared" si="7"/>
        <v/>
      </c>
      <c r="AC1688" s="32" t="str">
        <f t="shared" ref="AC1688:AG1688" si="1692">IF(J1688&lt;&gt;"", IF(AND($P1688=FALSE, $A1688=FALSE), -J1688, IF(AND($P1688=FALSE, $A1688=TRUE), 0, IF($P1688=TRUE, (J1688 / $R1688) * 100 * ($S1688 / 100)-J1688, ))), )</f>
        <v/>
      </c>
      <c r="AD1688" s="32" t="str">
        <f t="shared" si="1692"/>
        <v/>
      </c>
      <c r="AE1688" s="32" t="str">
        <f t="shared" si="1692"/>
        <v/>
      </c>
      <c r="AF1688" s="32" t="str">
        <f t="shared" si="1692"/>
        <v/>
      </c>
      <c r="AG1688" s="32" t="str">
        <f t="shared" si="1692"/>
        <v/>
      </c>
      <c r="AH1688" s="33"/>
    </row>
    <row r="1689" hidden="1" outlineLevel="1" collapsed="1">
      <c r="A1689" s="16" t="b">
        <v>0</v>
      </c>
      <c r="B1689" s="17"/>
      <c r="C1689" s="18"/>
      <c r="D1689" s="42">
        <v>45307.0</v>
      </c>
      <c r="E1689" s="80" t="s">
        <v>60</v>
      </c>
      <c r="F1689" s="53" t="s">
        <v>1003</v>
      </c>
      <c r="G1689" s="45">
        <v>2.0</v>
      </c>
      <c r="H1689" s="45">
        <v>1.0</v>
      </c>
      <c r="I1689" s="45">
        <v>2.0</v>
      </c>
      <c r="J1689" s="45"/>
      <c r="K1689" s="79"/>
      <c r="L1689" s="45"/>
      <c r="M1689" s="46"/>
      <c r="N1689" s="46"/>
      <c r="O1689" s="47"/>
      <c r="P1689" s="16" t="b">
        <v>1</v>
      </c>
      <c r="Q1689" s="24"/>
      <c r="R1689" s="48">
        <v>5.0</v>
      </c>
      <c r="S1689" s="45">
        <v>12.27</v>
      </c>
      <c r="T1689" s="49" t="s">
        <v>390</v>
      </c>
      <c r="U1689" s="47"/>
      <c r="V1689" s="28"/>
      <c r="W1689" s="29"/>
      <c r="X1689" s="30"/>
      <c r="Y1689" s="31"/>
      <c r="Z1689" s="26">
        <f t="shared" si="5"/>
        <v>2.908</v>
      </c>
      <c r="AA1689" s="26">
        <f t="shared" si="6"/>
        <v>2.908</v>
      </c>
      <c r="AB1689" s="32">
        <f t="shared" si="7"/>
        <v>1.454</v>
      </c>
      <c r="AC1689" s="32" t="str">
        <f t="shared" ref="AC1689:AG1689" si="1693">IF(J1689&lt;&gt;"", IF(AND($P1689=FALSE, $A1689=FALSE), -J1689, IF(AND($P1689=FALSE, $A1689=TRUE), 0, IF($P1689=TRUE, (J1689 / $R1689) * 100 * ($S1689 / 100)-J1689, ))), )</f>
        <v/>
      </c>
      <c r="AD1689" s="32" t="str">
        <f t="shared" si="1693"/>
        <v/>
      </c>
      <c r="AE1689" s="32" t="str">
        <f t="shared" si="1693"/>
        <v/>
      </c>
      <c r="AF1689" s="32" t="str">
        <f t="shared" si="1693"/>
        <v/>
      </c>
      <c r="AG1689" s="32" t="str">
        <f t="shared" si="1693"/>
        <v/>
      </c>
      <c r="AH1689" s="33"/>
    </row>
    <row r="1690" hidden="1" outlineLevel="3">
      <c r="A1690" s="16" t="b">
        <v>0</v>
      </c>
      <c r="B1690" s="17"/>
      <c r="C1690" s="18"/>
      <c r="D1690" s="19"/>
      <c r="E1690" s="20"/>
      <c r="F1690" s="21"/>
      <c r="G1690" s="22"/>
      <c r="H1690" s="22"/>
      <c r="I1690" s="23"/>
      <c r="J1690" s="22"/>
      <c r="K1690" s="23"/>
      <c r="L1690" s="22"/>
      <c r="M1690" s="23"/>
      <c r="N1690" s="23"/>
      <c r="O1690" s="24"/>
      <c r="P1690" s="16" t="b">
        <v>0</v>
      </c>
      <c r="Q1690" s="24"/>
      <c r="R1690" s="25"/>
      <c r="S1690" s="26"/>
      <c r="T1690" s="27"/>
      <c r="U1690" s="24"/>
      <c r="V1690" s="28" t="s">
        <v>29</v>
      </c>
      <c r="W1690" s="29" t="s">
        <v>22</v>
      </c>
      <c r="X1690" s="37" t="s">
        <v>861</v>
      </c>
      <c r="Y1690" s="31"/>
      <c r="Z1690" s="26" t="str">
        <f t="shared" si="5"/>
        <v/>
      </c>
      <c r="AA1690" s="26" t="str">
        <f t="shared" si="6"/>
        <v/>
      </c>
      <c r="AB1690" s="32" t="str">
        <f t="shared" si="7"/>
        <v/>
      </c>
      <c r="AC1690" s="32" t="str">
        <f t="shared" ref="AC1690:AG1690" si="1694">IF(J1690&lt;&gt;"", IF(AND($P1690=FALSE, $A1690=FALSE), -J1690, IF(AND($P1690=FALSE, $A1690=TRUE), 0, IF($P1690=TRUE, (J1690 / $R1690) * 100 * ($S1690 / 100)-J1690, ))), )</f>
        <v/>
      </c>
      <c r="AD1690" s="32" t="str">
        <f t="shared" si="1694"/>
        <v/>
      </c>
      <c r="AE1690" s="32" t="str">
        <f t="shared" si="1694"/>
        <v/>
      </c>
      <c r="AF1690" s="32" t="str">
        <f t="shared" si="1694"/>
        <v/>
      </c>
      <c r="AG1690" s="32" t="str">
        <f t="shared" si="1694"/>
        <v/>
      </c>
      <c r="AH1690" s="33"/>
    </row>
    <row r="1691" hidden="1" outlineLevel="3">
      <c r="A1691" s="16" t="b">
        <v>0</v>
      </c>
      <c r="B1691" s="17"/>
      <c r="C1691" s="18"/>
      <c r="D1691" s="19"/>
      <c r="E1691" s="20"/>
      <c r="F1691" s="21"/>
      <c r="G1691" s="22"/>
      <c r="H1691" s="22"/>
      <c r="I1691" s="23"/>
      <c r="J1691" s="22"/>
      <c r="K1691" s="23"/>
      <c r="L1691" s="22"/>
      <c r="M1691" s="23"/>
      <c r="N1691" s="23"/>
      <c r="O1691" s="24"/>
      <c r="P1691" s="16" t="b">
        <v>0</v>
      </c>
      <c r="Q1691" s="24"/>
      <c r="R1691" s="25"/>
      <c r="S1691" s="26"/>
      <c r="T1691" s="27"/>
      <c r="U1691" s="24"/>
      <c r="V1691" s="38" t="s">
        <v>29</v>
      </c>
      <c r="W1691" s="29" t="s">
        <v>22</v>
      </c>
      <c r="X1691" s="37" t="s">
        <v>738</v>
      </c>
      <c r="Y1691" s="31"/>
      <c r="Z1691" s="26" t="str">
        <f t="shared" si="5"/>
        <v/>
      </c>
      <c r="AA1691" s="26" t="str">
        <f t="shared" si="6"/>
        <v/>
      </c>
      <c r="AB1691" s="32" t="str">
        <f t="shared" si="7"/>
        <v/>
      </c>
      <c r="AC1691" s="32" t="str">
        <f t="shared" ref="AC1691:AG1691" si="1695">IF(J1691&lt;&gt;"", IF(AND($P1691=FALSE, $A1691=FALSE), -J1691, IF(AND($P1691=FALSE, $A1691=TRUE), 0, IF($P1691=TRUE, (J1691 / $R1691) * 100 * ($S1691 / 100)-J1691, ))), )</f>
        <v/>
      </c>
      <c r="AD1691" s="32" t="str">
        <f t="shared" si="1695"/>
        <v/>
      </c>
      <c r="AE1691" s="32" t="str">
        <f t="shared" si="1695"/>
        <v/>
      </c>
      <c r="AF1691" s="32" t="str">
        <f t="shared" si="1695"/>
        <v/>
      </c>
      <c r="AG1691" s="32" t="str">
        <f t="shared" si="1695"/>
        <v/>
      </c>
      <c r="AH1691" s="33"/>
    </row>
    <row r="1692" hidden="1" outlineLevel="3">
      <c r="A1692" s="16" t="b">
        <v>0</v>
      </c>
      <c r="B1692" s="17"/>
      <c r="C1692" s="18"/>
      <c r="D1692" s="19"/>
      <c r="E1692" s="20"/>
      <c r="F1692" s="21"/>
      <c r="G1692" s="22"/>
      <c r="H1692" s="22"/>
      <c r="I1692" s="23"/>
      <c r="J1692" s="22"/>
      <c r="K1692" s="23"/>
      <c r="L1692" s="22"/>
      <c r="M1692" s="23"/>
      <c r="N1692" s="23"/>
      <c r="O1692" s="24"/>
      <c r="P1692" s="16" t="b">
        <v>0</v>
      </c>
      <c r="Q1692" s="24"/>
      <c r="R1692" s="25"/>
      <c r="S1692" s="26"/>
      <c r="T1692" s="27"/>
      <c r="U1692" s="24"/>
      <c r="V1692" s="38" t="s">
        <v>29</v>
      </c>
      <c r="W1692" s="29" t="s">
        <v>22</v>
      </c>
      <c r="X1692" s="37" t="s">
        <v>740</v>
      </c>
      <c r="Y1692" s="31"/>
      <c r="Z1692" s="26" t="str">
        <f t="shared" si="5"/>
        <v/>
      </c>
      <c r="AA1692" s="26" t="str">
        <f t="shared" si="6"/>
        <v/>
      </c>
      <c r="AB1692" s="32" t="str">
        <f t="shared" si="7"/>
        <v/>
      </c>
      <c r="AC1692" s="32" t="str">
        <f t="shared" ref="AC1692:AG1692" si="1696">IF(J1692&lt;&gt;"", IF(AND($P1692=FALSE, $A1692=FALSE), -J1692, IF(AND($P1692=FALSE, $A1692=TRUE), 0, IF($P1692=TRUE, (J1692 / $R1692) * 100 * ($S1692 / 100)-J1692, ))), )</f>
        <v/>
      </c>
      <c r="AD1692" s="32" t="str">
        <f t="shared" si="1696"/>
        <v/>
      </c>
      <c r="AE1692" s="32" t="str">
        <f t="shared" si="1696"/>
        <v/>
      </c>
      <c r="AF1692" s="32" t="str">
        <f t="shared" si="1696"/>
        <v/>
      </c>
      <c r="AG1692" s="32" t="str">
        <f t="shared" si="1696"/>
        <v/>
      </c>
      <c r="AH1692" s="33"/>
    </row>
    <row r="1693" hidden="1" outlineLevel="3">
      <c r="A1693" s="16" t="b">
        <v>0</v>
      </c>
      <c r="B1693" s="17"/>
      <c r="C1693" s="18"/>
      <c r="D1693" s="19"/>
      <c r="E1693" s="20"/>
      <c r="F1693" s="21"/>
      <c r="G1693" s="22"/>
      <c r="H1693" s="22"/>
      <c r="I1693" s="23"/>
      <c r="J1693" s="22"/>
      <c r="K1693" s="23"/>
      <c r="L1693" s="22"/>
      <c r="M1693" s="23"/>
      <c r="N1693" s="23"/>
      <c r="O1693" s="24"/>
      <c r="P1693" s="16" t="b">
        <v>0</v>
      </c>
      <c r="Q1693" s="24"/>
      <c r="R1693" s="25"/>
      <c r="S1693" s="26"/>
      <c r="T1693" s="27"/>
      <c r="U1693" s="24"/>
      <c r="V1693" s="28" t="s">
        <v>29</v>
      </c>
      <c r="W1693" s="29" t="s">
        <v>22</v>
      </c>
      <c r="X1693" s="37" t="s">
        <v>1114</v>
      </c>
      <c r="Y1693" s="31"/>
      <c r="Z1693" s="26" t="str">
        <f t="shared" si="5"/>
        <v/>
      </c>
      <c r="AA1693" s="26" t="str">
        <f t="shared" si="6"/>
        <v/>
      </c>
      <c r="AB1693" s="32" t="str">
        <f t="shared" si="7"/>
        <v/>
      </c>
      <c r="AC1693" s="32" t="str">
        <f t="shared" ref="AC1693:AG1693" si="1697">IF(J1693&lt;&gt;"", IF(AND($P1693=FALSE, $A1693=FALSE), -J1693, IF(AND($P1693=FALSE, $A1693=TRUE), 0, IF($P1693=TRUE, (J1693 / $R1693) * 100 * ($S1693 / 100)-J1693, ))), )</f>
        <v/>
      </c>
      <c r="AD1693" s="32" t="str">
        <f t="shared" si="1697"/>
        <v/>
      </c>
      <c r="AE1693" s="32" t="str">
        <f t="shared" si="1697"/>
        <v/>
      </c>
      <c r="AF1693" s="32" t="str">
        <f t="shared" si="1697"/>
        <v/>
      </c>
      <c r="AG1693" s="32" t="str">
        <f t="shared" si="1697"/>
        <v/>
      </c>
      <c r="AH1693" s="33"/>
    </row>
    <row r="1694" hidden="1" outlineLevel="2">
      <c r="A1694" s="16" t="b">
        <v>0</v>
      </c>
      <c r="B1694" s="17"/>
      <c r="C1694" s="18"/>
      <c r="D1694" s="42">
        <v>45307.0</v>
      </c>
      <c r="E1694" s="80" t="s">
        <v>60</v>
      </c>
      <c r="F1694" s="53" t="s">
        <v>1003</v>
      </c>
      <c r="G1694" s="45">
        <v>2.0</v>
      </c>
      <c r="H1694" s="45">
        <v>1.0</v>
      </c>
      <c r="I1694" s="45">
        <v>2.0</v>
      </c>
      <c r="J1694" s="45"/>
      <c r="K1694" s="79"/>
      <c r="L1694" s="45"/>
      <c r="M1694" s="46"/>
      <c r="N1694" s="46"/>
      <c r="O1694" s="47"/>
      <c r="P1694" s="16" t="b">
        <v>0</v>
      </c>
      <c r="Q1694" s="24"/>
      <c r="R1694" s="48">
        <v>5.0</v>
      </c>
      <c r="S1694" s="45">
        <v>11.38</v>
      </c>
      <c r="T1694" s="49" t="s">
        <v>367</v>
      </c>
      <c r="U1694" s="47"/>
      <c r="V1694" s="28"/>
      <c r="W1694" s="29"/>
      <c r="X1694" s="30"/>
      <c r="Y1694" s="31"/>
      <c r="Z1694" s="26">
        <f t="shared" si="5"/>
        <v>-2</v>
      </c>
      <c r="AA1694" s="26">
        <f t="shared" si="6"/>
        <v>-2</v>
      </c>
      <c r="AB1694" s="32">
        <f t="shared" si="7"/>
        <v>-1</v>
      </c>
      <c r="AC1694" s="32" t="str">
        <f t="shared" ref="AC1694:AG1694" si="1698">IF(J1694&lt;&gt;"", IF(AND($P1694=FALSE, $A1694=FALSE), -J1694, IF(AND($P1694=FALSE, $A1694=TRUE), 0, IF($P1694=TRUE, (J1694 / $R1694) * 100 * ($S1694 / 100)-J1694, ))), )</f>
        <v/>
      </c>
      <c r="AD1694" s="32" t="str">
        <f t="shared" si="1698"/>
        <v/>
      </c>
      <c r="AE1694" s="32" t="str">
        <f t="shared" si="1698"/>
        <v/>
      </c>
      <c r="AF1694" s="32" t="str">
        <f t="shared" si="1698"/>
        <v/>
      </c>
      <c r="AG1694" s="32" t="str">
        <f t="shared" si="1698"/>
        <v/>
      </c>
      <c r="AH1694" s="33"/>
    </row>
    <row r="1695" hidden="1" outlineLevel="3">
      <c r="A1695" s="16" t="b">
        <v>0</v>
      </c>
      <c r="B1695" s="17"/>
      <c r="C1695" s="18"/>
      <c r="D1695" s="19"/>
      <c r="E1695" s="20"/>
      <c r="F1695" s="21"/>
      <c r="G1695" s="22"/>
      <c r="H1695" s="22"/>
      <c r="I1695" s="23"/>
      <c r="J1695" s="22"/>
      <c r="K1695" s="23"/>
      <c r="L1695" s="22"/>
      <c r="M1695" s="23"/>
      <c r="N1695" s="23"/>
      <c r="O1695" s="24"/>
      <c r="P1695" s="16" t="b">
        <v>0</v>
      </c>
      <c r="Q1695" s="24"/>
      <c r="R1695" s="25"/>
      <c r="S1695" s="26"/>
      <c r="T1695" s="27"/>
      <c r="U1695" s="24"/>
      <c r="V1695" s="66">
        <v>19.0</v>
      </c>
      <c r="W1695" s="29" t="s">
        <v>22</v>
      </c>
      <c r="X1695" s="37" t="s">
        <v>219</v>
      </c>
      <c r="Y1695" s="31"/>
      <c r="Z1695" s="26" t="str">
        <f t="shared" si="5"/>
        <v/>
      </c>
      <c r="AA1695" s="26" t="str">
        <f t="shared" si="6"/>
        <v/>
      </c>
      <c r="AB1695" s="32" t="str">
        <f t="shared" si="7"/>
        <v/>
      </c>
      <c r="AC1695" s="32" t="str">
        <f t="shared" ref="AC1695:AG1695" si="1699">IF(J1695&lt;&gt;"", IF(AND($P1695=FALSE, $A1695=FALSE), -J1695, IF(AND($P1695=FALSE, $A1695=TRUE), 0, IF($P1695=TRUE, (J1695 / $R1695) * 100 * ($S1695 / 100)-J1695, ))), )</f>
        <v/>
      </c>
      <c r="AD1695" s="32" t="str">
        <f t="shared" si="1699"/>
        <v/>
      </c>
      <c r="AE1695" s="32" t="str">
        <f t="shared" si="1699"/>
        <v/>
      </c>
      <c r="AF1695" s="32" t="str">
        <f t="shared" si="1699"/>
        <v/>
      </c>
      <c r="AG1695" s="32" t="str">
        <f t="shared" si="1699"/>
        <v/>
      </c>
      <c r="AH1695" s="33"/>
    </row>
    <row r="1696" hidden="1" outlineLevel="3">
      <c r="A1696" s="16" t="b">
        <v>0</v>
      </c>
      <c r="B1696" s="17"/>
      <c r="C1696" s="18"/>
      <c r="D1696" s="19"/>
      <c r="E1696" s="20"/>
      <c r="F1696" s="21"/>
      <c r="G1696" s="22"/>
      <c r="H1696" s="22"/>
      <c r="I1696" s="23"/>
      <c r="J1696" s="22"/>
      <c r="K1696" s="23"/>
      <c r="L1696" s="22"/>
      <c r="M1696" s="23"/>
      <c r="N1696" s="23"/>
      <c r="O1696" s="24"/>
      <c r="P1696" s="16" t="b">
        <v>0</v>
      </c>
      <c r="Q1696" s="24"/>
      <c r="R1696" s="25"/>
      <c r="S1696" s="26"/>
      <c r="T1696" s="27"/>
      <c r="U1696" s="24"/>
      <c r="V1696" s="66">
        <v>16.0</v>
      </c>
      <c r="W1696" s="29" t="s">
        <v>22</v>
      </c>
      <c r="X1696" s="37" t="s">
        <v>191</v>
      </c>
      <c r="Y1696" s="31"/>
      <c r="Z1696" s="26" t="str">
        <f t="shared" si="5"/>
        <v/>
      </c>
      <c r="AA1696" s="26" t="str">
        <f t="shared" si="6"/>
        <v/>
      </c>
      <c r="AB1696" s="32" t="str">
        <f t="shared" si="7"/>
        <v/>
      </c>
      <c r="AC1696" s="32" t="str">
        <f t="shared" ref="AC1696:AG1696" si="1700">IF(J1696&lt;&gt;"", IF(AND($P1696=FALSE, $A1696=FALSE), -J1696, IF(AND($P1696=FALSE, $A1696=TRUE), 0, IF($P1696=TRUE, (J1696 / $R1696) * 100 * ($S1696 / 100)-J1696, ))), )</f>
        <v/>
      </c>
      <c r="AD1696" s="32" t="str">
        <f t="shared" si="1700"/>
        <v/>
      </c>
      <c r="AE1696" s="32" t="str">
        <f t="shared" si="1700"/>
        <v/>
      </c>
      <c r="AF1696" s="32" t="str">
        <f t="shared" si="1700"/>
        <v/>
      </c>
      <c r="AG1696" s="32" t="str">
        <f t="shared" si="1700"/>
        <v/>
      </c>
      <c r="AH1696" s="33"/>
    </row>
    <row r="1697" hidden="1" outlineLevel="3">
      <c r="A1697" s="16" t="b">
        <v>0</v>
      </c>
      <c r="B1697" s="17"/>
      <c r="C1697" s="18"/>
      <c r="D1697" s="19"/>
      <c r="E1697" s="20"/>
      <c r="F1697" s="21"/>
      <c r="G1697" s="22"/>
      <c r="H1697" s="22"/>
      <c r="I1697" s="23"/>
      <c r="J1697" s="22"/>
      <c r="K1697" s="23"/>
      <c r="L1697" s="22"/>
      <c r="M1697" s="23"/>
      <c r="N1697" s="23"/>
      <c r="O1697" s="24"/>
      <c r="P1697" s="16" t="b">
        <v>0</v>
      </c>
      <c r="Q1697" s="24"/>
      <c r="R1697" s="25"/>
      <c r="S1697" s="26"/>
      <c r="T1697" s="27"/>
      <c r="U1697" s="24"/>
      <c r="V1697" s="28" t="s">
        <v>29</v>
      </c>
      <c r="W1697" s="29" t="s">
        <v>22</v>
      </c>
      <c r="X1697" s="37" t="s">
        <v>1115</v>
      </c>
      <c r="Y1697" s="31"/>
      <c r="Z1697" s="26" t="str">
        <f t="shared" si="5"/>
        <v/>
      </c>
      <c r="AA1697" s="26" t="str">
        <f t="shared" si="6"/>
        <v/>
      </c>
      <c r="AB1697" s="32" t="str">
        <f t="shared" si="7"/>
        <v/>
      </c>
      <c r="AC1697" s="32" t="str">
        <f t="shared" ref="AC1697:AG1697" si="1701">IF(J1697&lt;&gt;"", IF(AND($P1697=FALSE, $A1697=FALSE), -J1697, IF(AND($P1697=FALSE, $A1697=TRUE), 0, IF($P1697=TRUE, (J1697 / $R1697) * 100 * ($S1697 / 100)-J1697, ))), )</f>
        <v/>
      </c>
      <c r="AD1697" s="32" t="str">
        <f t="shared" si="1701"/>
        <v/>
      </c>
      <c r="AE1697" s="32" t="str">
        <f t="shared" si="1701"/>
        <v/>
      </c>
      <c r="AF1697" s="32" t="str">
        <f t="shared" si="1701"/>
        <v/>
      </c>
      <c r="AG1697" s="32" t="str">
        <f t="shared" si="1701"/>
        <v/>
      </c>
      <c r="AH1697" s="33"/>
    </row>
    <row r="1698" hidden="1" outlineLevel="3">
      <c r="A1698" s="16" t="b">
        <v>0</v>
      </c>
      <c r="B1698" s="17"/>
      <c r="C1698" s="18"/>
      <c r="D1698" s="19"/>
      <c r="E1698" s="20"/>
      <c r="F1698" s="21"/>
      <c r="G1698" s="22"/>
      <c r="H1698" s="22"/>
      <c r="I1698" s="23"/>
      <c r="J1698" s="22"/>
      <c r="K1698" s="23"/>
      <c r="L1698" s="22"/>
      <c r="M1698" s="23"/>
      <c r="N1698" s="23"/>
      <c r="O1698" s="24"/>
      <c r="P1698" s="16" t="b">
        <v>0</v>
      </c>
      <c r="Q1698" s="24"/>
      <c r="R1698" s="25"/>
      <c r="S1698" s="26"/>
      <c r="T1698" s="27"/>
      <c r="U1698" s="24"/>
      <c r="V1698" s="66">
        <v>16.0</v>
      </c>
      <c r="W1698" s="29" t="s">
        <v>22</v>
      </c>
      <c r="X1698" s="37" t="s">
        <v>921</v>
      </c>
      <c r="Y1698" s="31"/>
      <c r="Z1698" s="26" t="str">
        <f t="shared" si="5"/>
        <v/>
      </c>
      <c r="AA1698" s="26" t="str">
        <f t="shared" si="6"/>
        <v/>
      </c>
      <c r="AB1698" s="32" t="str">
        <f t="shared" si="7"/>
        <v/>
      </c>
      <c r="AC1698" s="32" t="str">
        <f t="shared" ref="AC1698:AG1698" si="1702">IF(J1698&lt;&gt;"", IF(AND($P1698=FALSE, $A1698=FALSE), -J1698, IF(AND($P1698=FALSE, $A1698=TRUE), 0, IF($P1698=TRUE, (J1698 / $R1698) * 100 * ($S1698 / 100)-J1698, ))), )</f>
        <v/>
      </c>
      <c r="AD1698" s="32" t="str">
        <f t="shared" si="1702"/>
        <v/>
      </c>
      <c r="AE1698" s="32" t="str">
        <f t="shared" si="1702"/>
        <v/>
      </c>
      <c r="AF1698" s="32" t="str">
        <f t="shared" si="1702"/>
        <v/>
      </c>
      <c r="AG1698" s="32" t="str">
        <f t="shared" si="1702"/>
        <v/>
      </c>
      <c r="AH1698" s="33"/>
    </row>
    <row r="1699" hidden="1" outlineLevel="1" collapsed="1">
      <c r="A1699" s="16" t="b">
        <v>0</v>
      </c>
      <c r="B1699" s="17"/>
      <c r="C1699" s="18"/>
      <c r="D1699" s="42">
        <v>45308.0</v>
      </c>
      <c r="E1699" s="80" t="s">
        <v>60</v>
      </c>
      <c r="F1699" s="53" t="s">
        <v>1003</v>
      </c>
      <c r="G1699" s="45">
        <v>2.0</v>
      </c>
      <c r="H1699" s="45">
        <v>1.0</v>
      </c>
      <c r="I1699" s="45">
        <v>3.0</v>
      </c>
      <c r="J1699" s="45"/>
      <c r="K1699" s="79"/>
      <c r="L1699" s="45"/>
      <c r="M1699" s="46"/>
      <c r="N1699" s="46"/>
      <c r="O1699" s="47"/>
      <c r="P1699" s="16" t="b">
        <v>1</v>
      </c>
      <c r="Q1699" s="24"/>
      <c r="R1699" s="48">
        <v>6.0</v>
      </c>
      <c r="S1699" s="45">
        <v>12.08</v>
      </c>
      <c r="T1699" s="49" t="s">
        <v>811</v>
      </c>
      <c r="U1699" s="47"/>
      <c r="V1699" s="28"/>
      <c r="W1699" s="29"/>
      <c r="X1699" s="30"/>
      <c r="Y1699" s="31"/>
      <c r="Z1699" s="26">
        <f t="shared" si="5"/>
        <v>2.026666667</v>
      </c>
      <c r="AA1699" s="26">
        <f t="shared" si="6"/>
        <v>3.04</v>
      </c>
      <c r="AB1699" s="32">
        <f t="shared" si="7"/>
        <v>1.013333333</v>
      </c>
      <c r="AC1699" s="32" t="str">
        <f t="shared" ref="AC1699:AG1699" si="1703">IF(J1699&lt;&gt;"", IF(AND($P1699=FALSE, $A1699=FALSE), -J1699, IF(AND($P1699=FALSE, $A1699=TRUE), 0, IF($P1699=TRUE, (J1699 / $R1699) * 100 * ($S1699 / 100)-J1699, ))), )</f>
        <v/>
      </c>
      <c r="AD1699" s="32" t="str">
        <f t="shared" si="1703"/>
        <v/>
      </c>
      <c r="AE1699" s="32" t="str">
        <f t="shared" si="1703"/>
        <v/>
      </c>
      <c r="AF1699" s="32" t="str">
        <f t="shared" si="1703"/>
        <v/>
      </c>
      <c r="AG1699" s="32" t="str">
        <f t="shared" si="1703"/>
        <v/>
      </c>
      <c r="AH1699" s="33"/>
    </row>
    <row r="1700" hidden="1" outlineLevel="3">
      <c r="A1700" s="16" t="b">
        <v>0</v>
      </c>
      <c r="B1700" s="17"/>
      <c r="C1700" s="18"/>
      <c r="D1700" s="19"/>
      <c r="E1700" s="20"/>
      <c r="F1700" s="21"/>
      <c r="G1700" s="22"/>
      <c r="H1700" s="22"/>
      <c r="I1700" s="23"/>
      <c r="J1700" s="22"/>
      <c r="K1700" s="23"/>
      <c r="L1700" s="22"/>
      <c r="M1700" s="23"/>
      <c r="N1700" s="23"/>
      <c r="O1700" s="24"/>
      <c r="P1700" s="16" t="b">
        <v>0</v>
      </c>
      <c r="Q1700" s="24"/>
      <c r="R1700" s="25"/>
      <c r="S1700" s="26"/>
      <c r="T1700" s="27"/>
      <c r="U1700" s="24"/>
      <c r="V1700" s="28" t="s">
        <v>29</v>
      </c>
      <c r="W1700" s="29" t="s">
        <v>22</v>
      </c>
      <c r="X1700" s="37" t="s">
        <v>1017</v>
      </c>
      <c r="Y1700" s="31"/>
      <c r="Z1700" s="26" t="str">
        <f t="shared" si="5"/>
        <v/>
      </c>
      <c r="AA1700" s="26" t="str">
        <f t="shared" si="6"/>
        <v/>
      </c>
      <c r="AB1700" s="32" t="str">
        <f t="shared" si="7"/>
        <v/>
      </c>
      <c r="AC1700" s="32" t="str">
        <f t="shared" ref="AC1700:AG1700" si="1704">IF(J1700&lt;&gt;"", IF(AND($P1700=FALSE, $A1700=FALSE), -J1700, IF(AND($P1700=FALSE, $A1700=TRUE), 0, IF($P1700=TRUE, (J1700 / $R1700) * 100 * ($S1700 / 100)-J1700, ))), )</f>
        <v/>
      </c>
      <c r="AD1700" s="32" t="str">
        <f t="shared" si="1704"/>
        <v/>
      </c>
      <c r="AE1700" s="32" t="str">
        <f t="shared" si="1704"/>
        <v/>
      </c>
      <c r="AF1700" s="32" t="str">
        <f t="shared" si="1704"/>
        <v/>
      </c>
      <c r="AG1700" s="32" t="str">
        <f t="shared" si="1704"/>
        <v/>
      </c>
      <c r="AH1700" s="33"/>
    </row>
    <row r="1701" hidden="1" outlineLevel="3">
      <c r="A1701" s="16" t="b">
        <v>0</v>
      </c>
      <c r="B1701" s="17"/>
      <c r="C1701" s="18"/>
      <c r="D1701" s="19"/>
      <c r="E1701" s="20"/>
      <c r="F1701" s="21"/>
      <c r="G1701" s="22"/>
      <c r="H1701" s="22"/>
      <c r="I1701" s="23"/>
      <c r="J1701" s="22"/>
      <c r="K1701" s="23"/>
      <c r="L1701" s="22"/>
      <c r="M1701" s="23"/>
      <c r="N1701" s="23"/>
      <c r="O1701" s="24"/>
      <c r="P1701" s="16" t="b">
        <v>0</v>
      </c>
      <c r="Q1701" s="24"/>
      <c r="R1701" s="25"/>
      <c r="S1701" s="26"/>
      <c r="T1701" s="27"/>
      <c r="U1701" s="24"/>
      <c r="V1701" s="28" t="s">
        <v>29</v>
      </c>
      <c r="W1701" s="29" t="s">
        <v>22</v>
      </c>
      <c r="X1701" s="37" t="s">
        <v>1116</v>
      </c>
      <c r="Y1701" s="31"/>
      <c r="Z1701" s="26" t="str">
        <f t="shared" si="5"/>
        <v/>
      </c>
      <c r="AA1701" s="26" t="str">
        <f t="shared" si="6"/>
        <v/>
      </c>
      <c r="AB1701" s="32" t="str">
        <f t="shared" si="7"/>
        <v/>
      </c>
      <c r="AC1701" s="32" t="str">
        <f t="shared" ref="AC1701:AG1701" si="1705">IF(J1701&lt;&gt;"", IF(AND($P1701=FALSE, $A1701=FALSE), -J1701, IF(AND($P1701=FALSE, $A1701=TRUE), 0, IF($P1701=TRUE, (J1701 / $R1701) * 100 * ($S1701 / 100)-J1701, ))), )</f>
        <v/>
      </c>
      <c r="AD1701" s="32" t="str">
        <f t="shared" si="1705"/>
        <v/>
      </c>
      <c r="AE1701" s="32" t="str">
        <f t="shared" si="1705"/>
        <v/>
      </c>
      <c r="AF1701" s="32" t="str">
        <f t="shared" si="1705"/>
        <v/>
      </c>
      <c r="AG1701" s="32" t="str">
        <f t="shared" si="1705"/>
        <v/>
      </c>
      <c r="AH1701" s="33"/>
    </row>
    <row r="1702" hidden="1" outlineLevel="3">
      <c r="A1702" s="16" t="b">
        <v>0</v>
      </c>
      <c r="B1702" s="17"/>
      <c r="C1702" s="18"/>
      <c r="D1702" s="19"/>
      <c r="E1702" s="20"/>
      <c r="F1702" s="21"/>
      <c r="G1702" s="22"/>
      <c r="H1702" s="22"/>
      <c r="I1702" s="23"/>
      <c r="J1702" s="22"/>
      <c r="K1702" s="23"/>
      <c r="L1702" s="22"/>
      <c r="M1702" s="23"/>
      <c r="N1702" s="23"/>
      <c r="O1702" s="24"/>
      <c r="P1702" s="16" t="b">
        <v>0</v>
      </c>
      <c r="Q1702" s="24"/>
      <c r="R1702" s="25"/>
      <c r="S1702" s="26"/>
      <c r="T1702" s="27"/>
      <c r="U1702" s="24"/>
      <c r="V1702" s="28" t="s">
        <v>29</v>
      </c>
      <c r="W1702" s="29" t="s">
        <v>22</v>
      </c>
      <c r="X1702" s="37" t="s">
        <v>1117</v>
      </c>
      <c r="Y1702" s="31"/>
      <c r="Z1702" s="26" t="str">
        <f t="shared" si="5"/>
        <v/>
      </c>
      <c r="AA1702" s="26" t="str">
        <f t="shared" si="6"/>
        <v/>
      </c>
      <c r="AB1702" s="32" t="str">
        <f t="shared" si="7"/>
        <v/>
      </c>
      <c r="AC1702" s="32" t="str">
        <f t="shared" ref="AC1702:AG1702" si="1706">IF(J1702&lt;&gt;"", IF(AND($P1702=FALSE, $A1702=FALSE), -J1702, IF(AND($P1702=FALSE, $A1702=TRUE), 0, IF($P1702=TRUE, (J1702 / $R1702) * 100 * ($S1702 / 100)-J1702, ))), )</f>
        <v/>
      </c>
      <c r="AD1702" s="32" t="str">
        <f t="shared" si="1706"/>
        <v/>
      </c>
      <c r="AE1702" s="32" t="str">
        <f t="shared" si="1706"/>
        <v/>
      </c>
      <c r="AF1702" s="32" t="str">
        <f t="shared" si="1706"/>
        <v/>
      </c>
      <c r="AG1702" s="32" t="str">
        <f t="shared" si="1706"/>
        <v/>
      </c>
      <c r="AH1702" s="33"/>
    </row>
    <row r="1703" hidden="1" outlineLevel="2">
      <c r="A1703" s="16" t="b">
        <v>0</v>
      </c>
      <c r="B1703" s="17"/>
      <c r="C1703" s="18"/>
      <c r="D1703" s="42">
        <v>45308.0</v>
      </c>
      <c r="E1703" s="80" t="s">
        <v>60</v>
      </c>
      <c r="F1703" s="53" t="s">
        <v>1003</v>
      </c>
      <c r="G1703" s="45">
        <v>2.0</v>
      </c>
      <c r="H1703" s="45">
        <v>1.0</v>
      </c>
      <c r="I1703" s="45">
        <v>3.0</v>
      </c>
      <c r="J1703" s="45"/>
      <c r="K1703" s="79"/>
      <c r="L1703" s="45"/>
      <c r="M1703" s="46"/>
      <c r="N1703" s="46"/>
      <c r="O1703" s="47"/>
      <c r="P1703" s="16" t="b">
        <v>0</v>
      </c>
      <c r="Q1703" s="24"/>
      <c r="R1703" s="48">
        <v>6.0</v>
      </c>
      <c r="S1703" s="45">
        <v>14.24</v>
      </c>
      <c r="T1703" s="49" t="s">
        <v>187</v>
      </c>
      <c r="U1703" s="47"/>
      <c r="V1703" s="28"/>
      <c r="W1703" s="29"/>
      <c r="X1703" s="30"/>
      <c r="Y1703" s="31"/>
      <c r="Z1703" s="26">
        <f t="shared" si="5"/>
        <v>-2</v>
      </c>
      <c r="AA1703" s="26">
        <f t="shared" si="6"/>
        <v>-3</v>
      </c>
      <c r="AB1703" s="32">
        <f t="shared" si="7"/>
        <v>-1</v>
      </c>
      <c r="AC1703" s="32" t="str">
        <f t="shared" ref="AC1703:AG1703" si="1707">IF(J1703&lt;&gt;"", IF(AND($P1703=FALSE, $A1703=FALSE), -J1703, IF(AND($P1703=FALSE, $A1703=TRUE), 0, IF($P1703=TRUE, (J1703 / $R1703) * 100 * ($S1703 / 100)-J1703, ))), )</f>
        <v/>
      </c>
      <c r="AD1703" s="32" t="str">
        <f t="shared" si="1707"/>
        <v/>
      </c>
      <c r="AE1703" s="32" t="str">
        <f t="shared" si="1707"/>
        <v/>
      </c>
      <c r="AF1703" s="32" t="str">
        <f t="shared" si="1707"/>
        <v/>
      </c>
      <c r="AG1703" s="32" t="str">
        <f t="shared" si="1707"/>
        <v/>
      </c>
      <c r="AH1703" s="33"/>
    </row>
    <row r="1704" hidden="1" outlineLevel="3">
      <c r="A1704" s="16" t="b">
        <v>0</v>
      </c>
      <c r="B1704" s="17"/>
      <c r="C1704" s="18"/>
      <c r="D1704" s="19"/>
      <c r="E1704" s="20"/>
      <c r="F1704" s="21"/>
      <c r="G1704" s="22"/>
      <c r="H1704" s="22"/>
      <c r="I1704" s="23"/>
      <c r="J1704" s="22"/>
      <c r="K1704" s="23"/>
      <c r="L1704" s="22"/>
      <c r="M1704" s="23"/>
      <c r="N1704" s="23"/>
      <c r="O1704" s="24"/>
      <c r="P1704" s="16" t="b">
        <v>0</v>
      </c>
      <c r="Q1704" s="24"/>
      <c r="R1704" s="25"/>
      <c r="S1704" s="26"/>
      <c r="T1704" s="27"/>
      <c r="U1704" s="24"/>
      <c r="V1704" s="28" t="s">
        <v>29</v>
      </c>
      <c r="W1704" s="29" t="s">
        <v>22</v>
      </c>
      <c r="X1704" s="37" t="s">
        <v>1118</v>
      </c>
      <c r="Y1704" s="31"/>
      <c r="Z1704" s="26" t="str">
        <f t="shared" si="5"/>
        <v/>
      </c>
      <c r="AA1704" s="26" t="str">
        <f t="shared" si="6"/>
        <v/>
      </c>
      <c r="AB1704" s="32" t="str">
        <f t="shared" si="7"/>
        <v/>
      </c>
      <c r="AC1704" s="32" t="str">
        <f t="shared" ref="AC1704:AG1704" si="1708">IF(J1704&lt;&gt;"", IF(AND($P1704=FALSE, $A1704=FALSE), -J1704, IF(AND($P1704=FALSE, $A1704=TRUE), 0, IF($P1704=TRUE, (J1704 / $R1704) * 100 * ($S1704 / 100)-J1704, ))), )</f>
        <v/>
      </c>
      <c r="AD1704" s="32" t="str">
        <f t="shared" si="1708"/>
        <v/>
      </c>
      <c r="AE1704" s="32" t="str">
        <f t="shared" si="1708"/>
        <v/>
      </c>
      <c r="AF1704" s="32" t="str">
        <f t="shared" si="1708"/>
        <v/>
      </c>
      <c r="AG1704" s="32" t="str">
        <f t="shared" si="1708"/>
        <v/>
      </c>
      <c r="AH1704" s="33"/>
    </row>
    <row r="1705" hidden="1" outlineLevel="3">
      <c r="A1705" s="16" t="b">
        <v>0</v>
      </c>
      <c r="B1705" s="17"/>
      <c r="C1705" s="18"/>
      <c r="D1705" s="19"/>
      <c r="E1705" s="20"/>
      <c r="F1705" s="21"/>
      <c r="G1705" s="22"/>
      <c r="H1705" s="22"/>
      <c r="I1705" s="23"/>
      <c r="J1705" s="22"/>
      <c r="K1705" s="23"/>
      <c r="L1705" s="22"/>
      <c r="M1705" s="23"/>
      <c r="N1705" s="23"/>
      <c r="O1705" s="24"/>
      <c r="P1705" s="16" t="b">
        <v>0</v>
      </c>
      <c r="Q1705" s="24"/>
      <c r="R1705" s="25"/>
      <c r="S1705" s="26"/>
      <c r="T1705" s="27"/>
      <c r="U1705" s="24"/>
      <c r="V1705" s="66">
        <v>5.0</v>
      </c>
      <c r="W1705" s="29" t="s">
        <v>22</v>
      </c>
      <c r="X1705" s="37" t="s">
        <v>717</v>
      </c>
      <c r="Y1705" s="31"/>
      <c r="Z1705" s="26" t="str">
        <f t="shared" si="5"/>
        <v/>
      </c>
      <c r="AA1705" s="26" t="str">
        <f t="shared" si="6"/>
        <v/>
      </c>
      <c r="AB1705" s="32" t="str">
        <f t="shared" si="7"/>
        <v/>
      </c>
      <c r="AC1705" s="32" t="str">
        <f t="shared" ref="AC1705:AG1705" si="1709">IF(J1705&lt;&gt;"", IF(AND($P1705=FALSE, $A1705=FALSE), -J1705, IF(AND($P1705=FALSE, $A1705=TRUE), 0, IF($P1705=TRUE, (J1705 / $R1705) * 100 * ($S1705 / 100)-J1705, ))), )</f>
        <v/>
      </c>
      <c r="AD1705" s="32" t="str">
        <f t="shared" si="1709"/>
        <v/>
      </c>
      <c r="AE1705" s="32" t="str">
        <f t="shared" si="1709"/>
        <v/>
      </c>
      <c r="AF1705" s="32" t="str">
        <f t="shared" si="1709"/>
        <v/>
      </c>
      <c r="AG1705" s="32" t="str">
        <f t="shared" si="1709"/>
        <v/>
      </c>
      <c r="AH1705" s="33"/>
    </row>
    <row r="1706" hidden="1" outlineLevel="3">
      <c r="A1706" s="16" t="b">
        <v>0</v>
      </c>
      <c r="B1706" s="17"/>
      <c r="C1706" s="18"/>
      <c r="D1706" s="19"/>
      <c r="E1706" s="20"/>
      <c r="F1706" s="21"/>
      <c r="G1706" s="22"/>
      <c r="H1706" s="22"/>
      <c r="I1706" s="23"/>
      <c r="J1706" s="22"/>
      <c r="K1706" s="23"/>
      <c r="L1706" s="22"/>
      <c r="M1706" s="23"/>
      <c r="N1706" s="23"/>
      <c r="O1706" s="24"/>
      <c r="P1706" s="16" t="b">
        <v>0</v>
      </c>
      <c r="Q1706" s="24"/>
      <c r="R1706" s="25"/>
      <c r="S1706" s="26"/>
      <c r="T1706" s="27"/>
      <c r="U1706" s="24"/>
      <c r="V1706" s="28" t="s">
        <v>29</v>
      </c>
      <c r="W1706" s="29" t="s">
        <v>22</v>
      </c>
      <c r="X1706" s="37" t="s">
        <v>1119</v>
      </c>
      <c r="Y1706" s="31"/>
      <c r="Z1706" s="26" t="str">
        <f t="shared" si="5"/>
        <v/>
      </c>
      <c r="AA1706" s="26" t="str">
        <f t="shared" si="6"/>
        <v/>
      </c>
      <c r="AB1706" s="32" t="str">
        <f t="shared" si="7"/>
        <v/>
      </c>
      <c r="AC1706" s="32" t="str">
        <f t="shared" ref="AC1706:AG1706" si="1710">IF(J1706&lt;&gt;"", IF(AND($P1706=FALSE, $A1706=FALSE), -J1706, IF(AND($P1706=FALSE, $A1706=TRUE), 0, IF($P1706=TRUE, (J1706 / $R1706) * 100 * ($S1706 / 100)-J1706, ))), )</f>
        <v/>
      </c>
      <c r="AD1706" s="32" t="str">
        <f t="shared" si="1710"/>
        <v/>
      </c>
      <c r="AE1706" s="32" t="str">
        <f t="shared" si="1710"/>
        <v/>
      </c>
      <c r="AF1706" s="32" t="str">
        <f t="shared" si="1710"/>
        <v/>
      </c>
      <c r="AG1706" s="32" t="str">
        <f t="shared" si="1710"/>
        <v/>
      </c>
      <c r="AH1706" s="33"/>
    </row>
    <row r="1707" hidden="1" outlineLevel="3">
      <c r="A1707" s="16" t="b">
        <v>0</v>
      </c>
      <c r="B1707" s="17"/>
      <c r="C1707" s="18"/>
      <c r="D1707" s="19"/>
      <c r="E1707" s="20"/>
      <c r="F1707" s="21"/>
      <c r="G1707" s="22"/>
      <c r="H1707" s="22"/>
      <c r="I1707" s="23"/>
      <c r="J1707" s="22"/>
      <c r="K1707" s="23"/>
      <c r="L1707" s="22"/>
      <c r="M1707" s="23"/>
      <c r="N1707" s="23"/>
      <c r="O1707" s="24"/>
      <c r="P1707" s="16" t="b">
        <v>0</v>
      </c>
      <c r="Q1707" s="24"/>
      <c r="R1707" s="25"/>
      <c r="S1707" s="26"/>
      <c r="T1707" s="27"/>
      <c r="U1707" s="24"/>
      <c r="V1707" s="28" t="s">
        <v>29</v>
      </c>
      <c r="W1707" s="29" t="s">
        <v>22</v>
      </c>
      <c r="X1707" s="37" t="s">
        <v>578</v>
      </c>
      <c r="Y1707" s="31"/>
      <c r="Z1707" s="26" t="str">
        <f t="shared" si="5"/>
        <v/>
      </c>
      <c r="AA1707" s="26" t="str">
        <f t="shared" si="6"/>
        <v/>
      </c>
      <c r="AB1707" s="32" t="str">
        <f t="shared" si="7"/>
        <v/>
      </c>
      <c r="AC1707" s="32" t="str">
        <f t="shared" ref="AC1707:AG1707" si="1711">IF(J1707&lt;&gt;"", IF(AND($P1707=FALSE, $A1707=FALSE), -J1707, IF(AND($P1707=FALSE, $A1707=TRUE), 0, IF($P1707=TRUE, (J1707 / $R1707) * 100 * ($S1707 / 100)-J1707, ))), )</f>
        <v/>
      </c>
      <c r="AD1707" s="32" t="str">
        <f t="shared" si="1711"/>
        <v/>
      </c>
      <c r="AE1707" s="32" t="str">
        <f t="shared" si="1711"/>
        <v/>
      </c>
      <c r="AF1707" s="32" t="str">
        <f t="shared" si="1711"/>
        <v/>
      </c>
      <c r="AG1707" s="32" t="str">
        <f t="shared" si="1711"/>
        <v/>
      </c>
      <c r="AH1707" s="33"/>
    </row>
    <row r="1708" hidden="1" outlineLevel="1" collapsed="1">
      <c r="A1708" s="16" t="b">
        <v>0</v>
      </c>
      <c r="B1708" s="17"/>
      <c r="C1708" s="18"/>
      <c r="D1708" s="42">
        <v>45308.0</v>
      </c>
      <c r="E1708" s="80" t="s">
        <v>60</v>
      </c>
      <c r="F1708" s="53" t="s">
        <v>1003</v>
      </c>
      <c r="G1708" s="45">
        <v>2.0</v>
      </c>
      <c r="H1708" s="45">
        <v>1.0</v>
      </c>
      <c r="I1708" s="45">
        <v>3.0</v>
      </c>
      <c r="J1708" s="45"/>
      <c r="K1708" s="79"/>
      <c r="L1708" s="45"/>
      <c r="M1708" s="46"/>
      <c r="N1708" s="46"/>
      <c r="O1708" s="47"/>
      <c r="P1708" s="16" t="b">
        <v>0</v>
      </c>
      <c r="Q1708" s="24"/>
      <c r="R1708" s="48">
        <v>6.0</v>
      </c>
      <c r="S1708" s="45">
        <v>14.53</v>
      </c>
      <c r="T1708" s="49" t="s">
        <v>417</v>
      </c>
      <c r="U1708" s="47"/>
      <c r="V1708" s="28"/>
      <c r="W1708" s="29"/>
      <c r="X1708" s="37"/>
      <c r="Y1708" s="31"/>
      <c r="Z1708" s="26">
        <f t="shared" si="5"/>
        <v>-2</v>
      </c>
      <c r="AA1708" s="26">
        <f t="shared" si="6"/>
        <v>-3</v>
      </c>
      <c r="AB1708" s="32">
        <f t="shared" si="7"/>
        <v>-1</v>
      </c>
      <c r="AC1708" s="32" t="str">
        <f t="shared" ref="AC1708:AG1708" si="1712">IF(J1708&lt;&gt;"", IF(AND($P1708=FALSE, $A1708=FALSE), -J1708, IF(AND($P1708=FALSE, $A1708=TRUE), 0, IF($P1708=TRUE, (J1708 / $R1708) * 100 * ($S1708 / 100)-J1708, ))), )</f>
        <v/>
      </c>
      <c r="AD1708" s="32" t="str">
        <f t="shared" si="1712"/>
        <v/>
      </c>
      <c r="AE1708" s="32" t="str">
        <f t="shared" si="1712"/>
        <v/>
      </c>
      <c r="AF1708" s="32" t="str">
        <f t="shared" si="1712"/>
        <v/>
      </c>
      <c r="AG1708" s="32" t="str">
        <f t="shared" si="1712"/>
        <v/>
      </c>
      <c r="AH1708" s="33"/>
    </row>
    <row r="1709" hidden="1" outlineLevel="3">
      <c r="A1709" s="16" t="b">
        <v>0</v>
      </c>
      <c r="B1709" s="17"/>
      <c r="C1709" s="18"/>
      <c r="D1709" s="19"/>
      <c r="E1709" s="20"/>
      <c r="F1709" s="21"/>
      <c r="G1709" s="22"/>
      <c r="H1709" s="22"/>
      <c r="I1709" s="23"/>
      <c r="J1709" s="22"/>
      <c r="K1709" s="23"/>
      <c r="L1709" s="22"/>
      <c r="M1709" s="23"/>
      <c r="N1709" s="23"/>
      <c r="O1709" s="24"/>
      <c r="P1709" s="16" t="b">
        <v>0</v>
      </c>
      <c r="Q1709" s="24"/>
      <c r="R1709" s="25"/>
      <c r="S1709" s="26"/>
      <c r="T1709" s="27"/>
      <c r="U1709" s="24"/>
      <c r="V1709" s="86" t="s">
        <v>1120</v>
      </c>
      <c r="W1709" s="29" t="s">
        <v>22</v>
      </c>
      <c r="X1709" s="37" t="s">
        <v>984</v>
      </c>
      <c r="Y1709" s="31"/>
      <c r="Z1709" s="26" t="str">
        <f t="shared" si="5"/>
        <v/>
      </c>
      <c r="AA1709" s="26" t="str">
        <f t="shared" si="6"/>
        <v/>
      </c>
      <c r="AB1709" s="32" t="str">
        <f t="shared" si="7"/>
        <v/>
      </c>
      <c r="AC1709" s="32" t="str">
        <f t="shared" ref="AC1709:AG1709" si="1713">IF(J1709&lt;&gt;"", IF(AND($P1709=FALSE, $A1709=FALSE), -J1709, IF(AND($P1709=FALSE, $A1709=TRUE), 0, IF($P1709=TRUE, (J1709 / $R1709) * 100 * ($S1709 / 100)-J1709, ))), )</f>
        <v/>
      </c>
      <c r="AD1709" s="32" t="str">
        <f t="shared" si="1713"/>
        <v/>
      </c>
      <c r="AE1709" s="32" t="str">
        <f t="shared" si="1713"/>
        <v/>
      </c>
      <c r="AF1709" s="32" t="str">
        <f t="shared" si="1713"/>
        <v/>
      </c>
      <c r="AG1709" s="32" t="str">
        <f t="shared" si="1713"/>
        <v/>
      </c>
      <c r="AH1709" s="33"/>
    </row>
    <row r="1710" hidden="1" outlineLevel="3">
      <c r="A1710" s="16" t="b">
        <v>0</v>
      </c>
      <c r="B1710" s="17"/>
      <c r="C1710" s="18"/>
      <c r="D1710" s="19"/>
      <c r="E1710" s="20"/>
      <c r="F1710" s="21"/>
      <c r="G1710" s="22"/>
      <c r="H1710" s="22"/>
      <c r="I1710" s="23"/>
      <c r="J1710" s="22"/>
      <c r="K1710" s="23"/>
      <c r="L1710" s="22"/>
      <c r="M1710" s="23"/>
      <c r="N1710" s="23"/>
      <c r="O1710" s="24"/>
      <c r="P1710" s="16" t="b">
        <v>0</v>
      </c>
      <c r="Q1710" s="24"/>
      <c r="R1710" s="25"/>
      <c r="S1710" s="26"/>
      <c r="T1710" s="27"/>
      <c r="U1710" s="24"/>
      <c r="V1710" s="86" t="s">
        <v>1121</v>
      </c>
      <c r="W1710" s="29" t="s">
        <v>22</v>
      </c>
      <c r="X1710" s="37" t="s">
        <v>1122</v>
      </c>
      <c r="Y1710" s="31"/>
      <c r="Z1710" s="26" t="str">
        <f t="shared" si="5"/>
        <v/>
      </c>
      <c r="AA1710" s="26" t="str">
        <f t="shared" si="6"/>
        <v/>
      </c>
      <c r="AB1710" s="32" t="str">
        <f t="shared" si="7"/>
        <v/>
      </c>
      <c r="AC1710" s="32" t="str">
        <f t="shared" ref="AC1710:AG1710" si="1714">IF(J1710&lt;&gt;"", IF(AND($P1710=FALSE, $A1710=FALSE), -J1710, IF(AND($P1710=FALSE, $A1710=TRUE), 0, IF($P1710=TRUE, (J1710 / $R1710) * 100 * ($S1710 / 100)-J1710, ))), )</f>
        <v/>
      </c>
      <c r="AD1710" s="32" t="str">
        <f t="shared" si="1714"/>
        <v/>
      </c>
      <c r="AE1710" s="32" t="str">
        <f t="shared" si="1714"/>
        <v/>
      </c>
      <c r="AF1710" s="32" t="str">
        <f t="shared" si="1714"/>
        <v/>
      </c>
      <c r="AG1710" s="32" t="str">
        <f t="shared" si="1714"/>
        <v/>
      </c>
      <c r="AH1710" s="33"/>
    </row>
    <row r="1711" hidden="1" outlineLevel="3">
      <c r="A1711" s="16" t="b">
        <v>0</v>
      </c>
      <c r="B1711" s="17"/>
      <c r="C1711" s="18"/>
      <c r="D1711" s="19"/>
      <c r="E1711" s="20"/>
      <c r="F1711" s="21"/>
      <c r="G1711" s="22"/>
      <c r="H1711" s="22"/>
      <c r="I1711" s="23"/>
      <c r="J1711" s="22"/>
      <c r="K1711" s="23"/>
      <c r="L1711" s="22"/>
      <c r="M1711" s="23"/>
      <c r="N1711" s="23"/>
      <c r="O1711" s="24"/>
      <c r="P1711" s="16" t="b">
        <v>0</v>
      </c>
      <c r="Q1711" s="24"/>
      <c r="R1711" s="25"/>
      <c r="S1711" s="26"/>
      <c r="T1711" s="27"/>
      <c r="U1711" s="24"/>
      <c r="V1711" s="86" t="s">
        <v>1123</v>
      </c>
      <c r="W1711" s="29" t="s">
        <v>22</v>
      </c>
      <c r="X1711" s="37" t="s">
        <v>932</v>
      </c>
      <c r="Y1711" s="31"/>
      <c r="Z1711" s="26" t="str">
        <f t="shared" si="5"/>
        <v/>
      </c>
      <c r="AA1711" s="26" t="str">
        <f t="shared" si="6"/>
        <v/>
      </c>
      <c r="AB1711" s="32" t="str">
        <f t="shared" si="7"/>
        <v/>
      </c>
      <c r="AC1711" s="32" t="str">
        <f t="shared" ref="AC1711:AG1711" si="1715">IF(J1711&lt;&gt;"", IF(AND($P1711=FALSE, $A1711=FALSE), -J1711, IF(AND($P1711=FALSE, $A1711=TRUE), 0, IF($P1711=TRUE, (J1711 / $R1711) * 100 * ($S1711 / 100)-J1711, ))), )</f>
        <v/>
      </c>
      <c r="AD1711" s="32" t="str">
        <f t="shared" si="1715"/>
        <v/>
      </c>
      <c r="AE1711" s="32" t="str">
        <f t="shared" si="1715"/>
        <v/>
      </c>
      <c r="AF1711" s="32" t="str">
        <f t="shared" si="1715"/>
        <v/>
      </c>
      <c r="AG1711" s="32" t="str">
        <f t="shared" si="1715"/>
        <v/>
      </c>
      <c r="AH1711" s="33"/>
    </row>
    <row r="1712" hidden="1" outlineLevel="2" collapsed="1">
      <c r="A1712" s="16" t="b">
        <v>0</v>
      </c>
      <c r="B1712" s="17"/>
      <c r="C1712" s="18"/>
      <c r="D1712" s="42">
        <v>45308.0</v>
      </c>
      <c r="E1712" s="80" t="s">
        <v>60</v>
      </c>
      <c r="F1712" s="53" t="s">
        <v>1003</v>
      </c>
      <c r="G1712" s="45">
        <v>2.0</v>
      </c>
      <c r="H1712" s="45">
        <v>1.0</v>
      </c>
      <c r="I1712" s="45">
        <v>3.0</v>
      </c>
      <c r="J1712" s="45"/>
      <c r="K1712" s="79"/>
      <c r="L1712" s="45"/>
      <c r="M1712" s="46"/>
      <c r="N1712" s="46"/>
      <c r="O1712" s="47"/>
      <c r="P1712" s="16" t="b">
        <v>1</v>
      </c>
      <c r="Q1712" s="24"/>
      <c r="R1712" s="48">
        <v>6.0</v>
      </c>
      <c r="S1712" s="45">
        <v>15.83</v>
      </c>
      <c r="T1712" s="49" t="s">
        <v>1124</v>
      </c>
      <c r="U1712" s="47"/>
      <c r="V1712" s="28"/>
      <c r="W1712" s="29"/>
      <c r="X1712" s="30"/>
      <c r="Y1712" s="31"/>
      <c r="Z1712" s="26">
        <f t="shared" si="5"/>
        <v>3.276666667</v>
      </c>
      <c r="AA1712" s="26">
        <f t="shared" si="6"/>
        <v>4.915</v>
      </c>
      <c r="AB1712" s="32">
        <f t="shared" si="7"/>
        <v>1.638333333</v>
      </c>
      <c r="AC1712" s="32" t="str">
        <f t="shared" ref="AC1712:AG1712" si="1716">IF(J1712&lt;&gt;"", IF(AND($P1712=FALSE, $A1712=FALSE), -J1712, IF(AND($P1712=FALSE, $A1712=TRUE), 0, IF($P1712=TRUE, (J1712 / $R1712) * 100 * ($S1712 / 100)-J1712, ))), )</f>
        <v/>
      </c>
      <c r="AD1712" s="32" t="str">
        <f t="shared" si="1716"/>
        <v/>
      </c>
      <c r="AE1712" s="32" t="str">
        <f t="shared" si="1716"/>
        <v/>
      </c>
      <c r="AF1712" s="32" t="str">
        <f t="shared" si="1716"/>
        <v/>
      </c>
      <c r="AG1712" s="32" t="str">
        <f t="shared" si="1716"/>
        <v/>
      </c>
      <c r="AH1712" s="33"/>
    </row>
    <row r="1713" hidden="1" outlineLevel="3">
      <c r="A1713" s="16" t="b">
        <v>0</v>
      </c>
      <c r="B1713" s="17"/>
      <c r="C1713" s="18"/>
      <c r="D1713" s="19"/>
      <c r="E1713" s="20"/>
      <c r="F1713" s="21"/>
      <c r="G1713" s="22"/>
      <c r="H1713" s="22"/>
      <c r="I1713" s="23"/>
      <c r="J1713" s="22"/>
      <c r="K1713" s="23"/>
      <c r="L1713" s="22"/>
      <c r="M1713" s="23"/>
      <c r="N1713" s="23"/>
      <c r="O1713" s="24"/>
      <c r="P1713" s="16" t="b">
        <v>0</v>
      </c>
      <c r="Q1713" s="24"/>
      <c r="R1713" s="25"/>
      <c r="S1713" s="26"/>
      <c r="T1713" s="27"/>
      <c r="U1713" s="24"/>
      <c r="V1713" s="28" t="s">
        <v>29</v>
      </c>
      <c r="W1713" s="29" t="s">
        <v>22</v>
      </c>
      <c r="X1713" s="37" t="s">
        <v>861</v>
      </c>
      <c r="Y1713" s="31"/>
      <c r="Z1713" s="26" t="str">
        <f t="shared" si="5"/>
        <v/>
      </c>
      <c r="AA1713" s="26" t="str">
        <f t="shared" si="6"/>
        <v/>
      </c>
      <c r="AB1713" s="32" t="str">
        <f t="shared" si="7"/>
        <v/>
      </c>
      <c r="AC1713" s="32" t="str">
        <f t="shared" ref="AC1713:AG1713" si="1717">IF(J1713&lt;&gt;"", IF(AND($P1713=FALSE, $A1713=FALSE), -J1713, IF(AND($P1713=FALSE, $A1713=TRUE), 0, IF($P1713=TRUE, (J1713 / $R1713) * 100 * ($S1713 / 100)-J1713, ))), )</f>
        <v/>
      </c>
      <c r="AD1713" s="32" t="str">
        <f t="shared" si="1717"/>
        <v/>
      </c>
      <c r="AE1713" s="32" t="str">
        <f t="shared" si="1717"/>
        <v/>
      </c>
      <c r="AF1713" s="32" t="str">
        <f t="shared" si="1717"/>
        <v/>
      </c>
      <c r="AG1713" s="32" t="str">
        <f t="shared" si="1717"/>
        <v/>
      </c>
      <c r="AH1713" s="33"/>
    </row>
    <row r="1714" hidden="1" outlineLevel="3">
      <c r="A1714" s="16" t="b">
        <v>0</v>
      </c>
      <c r="B1714" s="17"/>
      <c r="C1714" s="18"/>
      <c r="D1714" s="19"/>
      <c r="E1714" s="20"/>
      <c r="F1714" s="21"/>
      <c r="G1714" s="22"/>
      <c r="H1714" s="22"/>
      <c r="I1714" s="23"/>
      <c r="J1714" s="22"/>
      <c r="K1714" s="23"/>
      <c r="L1714" s="22"/>
      <c r="M1714" s="23"/>
      <c r="N1714" s="23"/>
      <c r="O1714" s="24"/>
      <c r="P1714" s="16" t="b">
        <v>0</v>
      </c>
      <c r="Q1714" s="24"/>
      <c r="R1714" s="25"/>
      <c r="S1714" s="26"/>
      <c r="T1714" s="27"/>
      <c r="U1714" s="24"/>
      <c r="V1714" s="28" t="s">
        <v>29</v>
      </c>
      <c r="W1714" s="29" t="s">
        <v>22</v>
      </c>
      <c r="X1714" s="37" t="s">
        <v>1114</v>
      </c>
      <c r="Y1714" s="31"/>
      <c r="Z1714" s="26" t="str">
        <f t="shared" si="5"/>
        <v/>
      </c>
      <c r="AA1714" s="26" t="str">
        <f t="shared" si="6"/>
        <v/>
      </c>
      <c r="AB1714" s="32" t="str">
        <f t="shared" si="7"/>
        <v/>
      </c>
      <c r="AC1714" s="32" t="str">
        <f t="shared" ref="AC1714:AG1714" si="1718">IF(J1714&lt;&gt;"", IF(AND($P1714=FALSE, $A1714=FALSE), -J1714, IF(AND($P1714=FALSE, $A1714=TRUE), 0, IF($P1714=TRUE, (J1714 / $R1714) * 100 * ($S1714 / 100)-J1714, ))), )</f>
        <v/>
      </c>
      <c r="AD1714" s="32" t="str">
        <f t="shared" si="1718"/>
        <v/>
      </c>
      <c r="AE1714" s="32" t="str">
        <f t="shared" si="1718"/>
        <v/>
      </c>
      <c r="AF1714" s="32" t="str">
        <f t="shared" si="1718"/>
        <v/>
      </c>
      <c r="AG1714" s="32" t="str">
        <f t="shared" si="1718"/>
        <v/>
      </c>
      <c r="AH1714" s="33"/>
    </row>
    <row r="1715" hidden="1" outlineLevel="3">
      <c r="A1715" s="16" t="b">
        <v>0</v>
      </c>
      <c r="B1715" s="17"/>
      <c r="C1715" s="18"/>
      <c r="D1715" s="19"/>
      <c r="E1715" s="20"/>
      <c r="F1715" s="21"/>
      <c r="G1715" s="22"/>
      <c r="H1715" s="22"/>
      <c r="I1715" s="23"/>
      <c r="J1715" s="22"/>
      <c r="K1715" s="23"/>
      <c r="L1715" s="22"/>
      <c r="M1715" s="23"/>
      <c r="N1715" s="23"/>
      <c r="O1715" s="24"/>
      <c r="P1715" s="16" t="b">
        <v>0</v>
      </c>
      <c r="Q1715" s="24"/>
      <c r="R1715" s="25"/>
      <c r="S1715" s="26"/>
      <c r="T1715" s="27"/>
      <c r="U1715" s="24"/>
      <c r="V1715" s="28" t="s">
        <v>29</v>
      </c>
      <c r="W1715" s="29" t="s">
        <v>22</v>
      </c>
      <c r="X1715" s="37" t="s">
        <v>1014</v>
      </c>
      <c r="Y1715" s="31"/>
      <c r="Z1715" s="26" t="str">
        <f t="shared" si="5"/>
        <v/>
      </c>
      <c r="AA1715" s="26" t="str">
        <f t="shared" si="6"/>
        <v/>
      </c>
      <c r="AB1715" s="32" t="str">
        <f t="shared" si="7"/>
        <v/>
      </c>
      <c r="AC1715" s="32" t="str">
        <f t="shared" ref="AC1715:AG1715" si="1719">IF(J1715&lt;&gt;"", IF(AND($P1715=FALSE, $A1715=FALSE), -J1715, IF(AND($P1715=FALSE, $A1715=TRUE), 0, IF($P1715=TRUE, (J1715 / $R1715) * 100 * ($S1715 / 100)-J1715, ))), )</f>
        <v/>
      </c>
      <c r="AD1715" s="32" t="str">
        <f t="shared" si="1719"/>
        <v/>
      </c>
      <c r="AE1715" s="32" t="str">
        <f t="shared" si="1719"/>
        <v/>
      </c>
      <c r="AF1715" s="32" t="str">
        <f t="shared" si="1719"/>
        <v/>
      </c>
      <c r="AG1715" s="32" t="str">
        <f t="shared" si="1719"/>
        <v/>
      </c>
      <c r="AH1715" s="33"/>
    </row>
    <row r="1716" hidden="1" outlineLevel="3">
      <c r="A1716" s="16" t="b">
        <v>0</v>
      </c>
      <c r="B1716" s="17"/>
      <c r="C1716" s="18"/>
      <c r="D1716" s="19"/>
      <c r="E1716" s="20"/>
      <c r="F1716" s="21"/>
      <c r="G1716" s="22"/>
      <c r="H1716" s="22"/>
      <c r="I1716" s="23"/>
      <c r="J1716" s="22"/>
      <c r="K1716" s="23"/>
      <c r="L1716" s="22"/>
      <c r="M1716" s="23"/>
      <c r="N1716" s="23"/>
      <c r="O1716" s="24"/>
      <c r="P1716" s="16" t="b">
        <v>0</v>
      </c>
      <c r="Q1716" s="24"/>
      <c r="R1716" s="25"/>
      <c r="S1716" s="26"/>
      <c r="T1716" s="27"/>
      <c r="U1716" s="24"/>
      <c r="V1716" s="28" t="s">
        <v>29</v>
      </c>
      <c r="W1716" s="29" t="s">
        <v>22</v>
      </c>
      <c r="X1716" s="37" t="s">
        <v>1125</v>
      </c>
      <c r="Y1716" s="31"/>
      <c r="Z1716" s="26" t="str">
        <f t="shared" si="5"/>
        <v/>
      </c>
      <c r="AA1716" s="26" t="str">
        <f t="shared" si="6"/>
        <v/>
      </c>
      <c r="AB1716" s="32" t="str">
        <f t="shared" si="7"/>
        <v/>
      </c>
      <c r="AC1716" s="32" t="str">
        <f t="shared" ref="AC1716:AG1716" si="1720">IF(J1716&lt;&gt;"", IF(AND($P1716=FALSE, $A1716=FALSE), -J1716, IF(AND($P1716=FALSE, $A1716=TRUE), 0, IF($P1716=TRUE, (J1716 / $R1716) * 100 * ($S1716 / 100)-J1716, ))), )</f>
        <v/>
      </c>
      <c r="AD1716" s="32" t="str">
        <f t="shared" si="1720"/>
        <v/>
      </c>
      <c r="AE1716" s="32" t="str">
        <f t="shared" si="1720"/>
        <v/>
      </c>
      <c r="AF1716" s="32" t="str">
        <f t="shared" si="1720"/>
        <v/>
      </c>
      <c r="AG1716" s="32" t="str">
        <f t="shared" si="1720"/>
        <v/>
      </c>
      <c r="AH1716" s="33"/>
    </row>
    <row r="1717" hidden="1" outlineLevel="3">
      <c r="A1717" s="16" t="b">
        <v>0</v>
      </c>
      <c r="B1717" s="17"/>
      <c r="C1717" s="18"/>
      <c r="D1717" s="19"/>
      <c r="E1717" s="20"/>
      <c r="F1717" s="21"/>
      <c r="G1717" s="22"/>
      <c r="H1717" s="22"/>
      <c r="I1717" s="23"/>
      <c r="J1717" s="22"/>
      <c r="K1717" s="23"/>
      <c r="L1717" s="22"/>
      <c r="M1717" s="23"/>
      <c r="N1717" s="23"/>
      <c r="O1717" s="24"/>
      <c r="P1717" s="16" t="b">
        <v>0</v>
      </c>
      <c r="Q1717" s="24"/>
      <c r="R1717" s="25"/>
      <c r="S1717" s="26"/>
      <c r="T1717" s="27"/>
      <c r="U1717" s="24"/>
      <c r="V1717" s="28" t="s">
        <v>29</v>
      </c>
      <c r="W1717" s="29" t="s">
        <v>22</v>
      </c>
      <c r="X1717" s="37" t="s">
        <v>1126</v>
      </c>
      <c r="Y1717" s="31"/>
      <c r="Z1717" s="26" t="str">
        <f t="shared" si="5"/>
        <v/>
      </c>
      <c r="AA1717" s="26" t="str">
        <f t="shared" si="6"/>
        <v/>
      </c>
      <c r="AB1717" s="32" t="str">
        <f t="shared" si="7"/>
        <v/>
      </c>
      <c r="AC1717" s="32" t="str">
        <f t="shared" ref="AC1717:AG1717" si="1721">IF(J1717&lt;&gt;"", IF(AND($P1717=FALSE, $A1717=FALSE), -J1717, IF(AND($P1717=FALSE, $A1717=TRUE), 0, IF($P1717=TRUE, (J1717 / $R1717) * 100 * ($S1717 / 100)-J1717, ))), )</f>
        <v/>
      </c>
      <c r="AD1717" s="32" t="str">
        <f t="shared" si="1721"/>
        <v/>
      </c>
      <c r="AE1717" s="32" t="str">
        <f t="shared" si="1721"/>
        <v/>
      </c>
      <c r="AF1717" s="32" t="str">
        <f t="shared" si="1721"/>
        <v/>
      </c>
      <c r="AG1717" s="32" t="str">
        <f t="shared" si="1721"/>
        <v/>
      </c>
      <c r="AH1717" s="33"/>
    </row>
    <row r="1718" hidden="1" outlineLevel="2" collapsed="1">
      <c r="A1718" s="16" t="b">
        <v>0</v>
      </c>
      <c r="B1718" s="17"/>
      <c r="C1718" s="18"/>
      <c r="D1718" s="42">
        <v>45308.0</v>
      </c>
      <c r="E1718" s="80" t="s">
        <v>60</v>
      </c>
      <c r="F1718" s="53" t="s">
        <v>1003</v>
      </c>
      <c r="G1718" s="45">
        <v>4.0</v>
      </c>
      <c r="H1718" s="45">
        <v>2.0</v>
      </c>
      <c r="I1718" s="45">
        <v>24.0</v>
      </c>
      <c r="J1718" s="45"/>
      <c r="K1718" s="79"/>
      <c r="L1718" s="45"/>
      <c r="M1718" s="46"/>
      <c r="N1718" s="46"/>
      <c r="O1718" s="47"/>
      <c r="P1718" s="16" t="b">
        <v>1</v>
      </c>
      <c r="Q1718" s="24"/>
      <c r="R1718" s="48">
        <v>30.0</v>
      </c>
      <c r="S1718" s="45">
        <v>60.0</v>
      </c>
      <c r="T1718" s="49">
        <v>-100.0</v>
      </c>
      <c r="U1718" s="47"/>
      <c r="V1718" s="28"/>
      <c r="W1718" s="29"/>
      <c r="X1718" s="30"/>
      <c r="Y1718" s="31"/>
      <c r="Z1718" s="26">
        <f t="shared" si="5"/>
        <v>4</v>
      </c>
      <c r="AA1718" s="26">
        <f t="shared" si="6"/>
        <v>24</v>
      </c>
      <c r="AB1718" s="32">
        <f t="shared" si="7"/>
        <v>2</v>
      </c>
      <c r="AC1718" s="32" t="str">
        <f t="shared" ref="AC1718:AG1718" si="1722">IF(J1718&lt;&gt;"", IF(AND($P1718=FALSE, $A1718=FALSE), -J1718, IF(AND($P1718=FALSE, $A1718=TRUE), 0, IF($P1718=TRUE, (J1718 / $R1718) * 100 * ($S1718 / 100)-J1718, ))), )</f>
        <v/>
      </c>
      <c r="AD1718" s="32" t="str">
        <f t="shared" si="1722"/>
        <v/>
      </c>
      <c r="AE1718" s="32" t="str">
        <f t="shared" si="1722"/>
        <v/>
      </c>
      <c r="AF1718" s="32" t="str">
        <f t="shared" si="1722"/>
        <v/>
      </c>
      <c r="AG1718" s="32" t="str">
        <f t="shared" si="1722"/>
        <v/>
      </c>
      <c r="AH1718" s="33"/>
    </row>
    <row r="1719" hidden="1" outlineLevel="3">
      <c r="A1719" s="16" t="b">
        <v>0</v>
      </c>
      <c r="B1719" s="17"/>
      <c r="C1719" s="18"/>
      <c r="D1719" s="19"/>
      <c r="E1719" s="20"/>
      <c r="F1719" s="21"/>
      <c r="G1719" s="22"/>
      <c r="H1719" s="22"/>
      <c r="I1719" s="23"/>
      <c r="J1719" s="22"/>
      <c r="K1719" s="23"/>
      <c r="L1719" s="22"/>
      <c r="M1719" s="23"/>
      <c r="N1719" s="23"/>
      <c r="O1719" s="24"/>
      <c r="P1719" s="16" t="b">
        <v>0</v>
      </c>
      <c r="Q1719" s="24"/>
      <c r="R1719" s="25"/>
      <c r="S1719" s="26"/>
      <c r="T1719" s="27"/>
      <c r="U1719" s="24"/>
      <c r="V1719" s="28" t="s">
        <v>29</v>
      </c>
      <c r="W1719" s="29" t="s">
        <v>22</v>
      </c>
      <c r="X1719" s="37" t="s">
        <v>861</v>
      </c>
      <c r="Y1719" s="31"/>
      <c r="Z1719" s="26" t="str">
        <f t="shared" si="5"/>
        <v/>
      </c>
      <c r="AA1719" s="26" t="str">
        <f t="shared" si="6"/>
        <v/>
      </c>
      <c r="AB1719" s="32" t="str">
        <f t="shared" si="7"/>
        <v/>
      </c>
      <c r="AC1719" s="32" t="str">
        <f t="shared" ref="AC1719:AG1719" si="1723">IF(J1719&lt;&gt;"", IF(AND($P1719=FALSE, $A1719=FALSE), -J1719, IF(AND($P1719=FALSE, $A1719=TRUE), 0, IF($P1719=TRUE, (J1719 / $R1719) * 100 * ($S1719 / 100)-J1719, ))), )</f>
        <v/>
      </c>
      <c r="AD1719" s="32" t="str">
        <f t="shared" si="1723"/>
        <v/>
      </c>
      <c r="AE1719" s="32" t="str">
        <f t="shared" si="1723"/>
        <v/>
      </c>
      <c r="AF1719" s="32" t="str">
        <f t="shared" si="1723"/>
        <v/>
      </c>
      <c r="AG1719" s="32" t="str">
        <f t="shared" si="1723"/>
        <v/>
      </c>
      <c r="AH1719" s="33"/>
    </row>
    <row r="1720" hidden="1" outlineLevel="3">
      <c r="A1720" s="16" t="b">
        <v>0</v>
      </c>
      <c r="B1720" s="17"/>
      <c r="C1720" s="18"/>
      <c r="D1720" s="19"/>
      <c r="E1720" s="20"/>
      <c r="F1720" s="21"/>
      <c r="G1720" s="22"/>
      <c r="H1720" s="22"/>
      <c r="I1720" s="23"/>
      <c r="J1720" s="22"/>
      <c r="K1720" s="23"/>
      <c r="L1720" s="22"/>
      <c r="M1720" s="23"/>
      <c r="N1720" s="23"/>
      <c r="O1720" s="24"/>
      <c r="P1720" s="16" t="b">
        <v>0</v>
      </c>
      <c r="Q1720" s="24"/>
      <c r="R1720" s="25"/>
      <c r="S1720" s="26"/>
      <c r="T1720" s="27"/>
      <c r="U1720" s="24"/>
      <c r="V1720" s="28" t="s">
        <v>29</v>
      </c>
      <c r="W1720" s="29" t="s">
        <v>22</v>
      </c>
      <c r="X1720" s="37" t="s">
        <v>289</v>
      </c>
      <c r="Y1720" s="31"/>
      <c r="Z1720" s="26" t="str">
        <f t="shared" si="5"/>
        <v/>
      </c>
      <c r="AA1720" s="26" t="str">
        <f t="shared" si="6"/>
        <v/>
      </c>
      <c r="AB1720" s="32" t="str">
        <f t="shared" si="7"/>
        <v/>
      </c>
      <c r="AC1720" s="32" t="str">
        <f t="shared" ref="AC1720:AG1720" si="1724">IF(J1720&lt;&gt;"", IF(AND($P1720=FALSE, $A1720=FALSE), -J1720, IF(AND($P1720=FALSE, $A1720=TRUE), 0, IF($P1720=TRUE, (J1720 / $R1720) * 100 * ($S1720 / 100)-J1720, ))), )</f>
        <v/>
      </c>
      <c r="AD1720" s="32" t="str">
        <f t="shared" si="1724"/>
        <v/>
      </c>
      <c r="AE1720" s="32" t="str">
        <f t="shared" si="1724"/>
        <v/>
      </c>
      <c r="AF1720" s="32" t="str">
        <f t="shared" si="1724"/>
        <v/>
      </c>
      <c r="AG1720" s="32" t="str">
        <f t="shared" si="1724"/>
        <v/>
      </c>
      <c r="AH1720" s="33"/>
    </row>
    <row r="1721" hidden="1" outlineLevel="3">
      <c r="A1721" s="16" t="b">
        <v>0</v>
      </c>
      <c r="B1721" s="17"/>
      <c r="C1721" s="18"/>
      <c r="D1721" s="19"/>
      <c r="E1721" s="20"/>
      <c r="F1721" s="21"/>
      <c r="G1721" s="22"/>
      <c r="H1721" s="22"/>
      <c r="I1721" s="23"/>
      <c r="J1721" s="22"/>
      <c r="K1721" s="23"/>
      <c r="L1721" s="22"/>
      <c r="M1721" s="23"/>
      <c r="N1721" s="23"/>
      <c r="O1721" s="24"/>
      <c r="P1721" s="16" t="b">
        <v>0</v>
      </c>
      <c r="Q1721" s="24"/>
      <c r="R1721" s="25"/>
      <c r="S1721" s="26"/>
      <c r="T1721" s="27"/>
      <c r="U1721" s="24"/>
      <c r="V1721" s="28" t="s">
        <v>29</v>
      </c>
      <c r="W1721" s="29" t="s">
        <v>22</v>
      </c>
      <c r="X1721" s="37" t="s">
        <v>744</v>
      </c>
      <c r="Y1721" s="31"/>
      <c r="Z1721" s="26" t="str">
        <f t="shared" si="5"/>
        <v/>
      </c>
      <c r="AA1721" s="26" t="str">
        <f t="shared" si="6"/>
        <v/>
      </c>
      <c r="AB1721" s="32" t="str">
        <f t="shared" si="7"/>
        <v/>
      </c>
      <c r="AC1721" s="32" t="str">
        <f t="shared" ref="AC1721:AG1721" si="1725">IF(J1721&lt;&gt;"", IF(AND($P1721=FALSE, $A1721=FALSE), -J1721, IF(AND($P1721=FALSE, $A1721=TRUE), 0, IF($P1721=TRUE, (J1721 / $R1721) * 100 * ($S1721 / 100)-J1721, ))), )</f>
        <v/>
      </c>
      <c r="AD1721" s="32" t="str">
        <f t="shared" si="1725"/>
        <v/>
      </c>
      <c r="AE1721" s="32" t="str">
        <f t="shared" si="1725"/>
        <v/>
      </c>
      <c r="AF1721" s="32" t="str">
        <f t="shared" si="1725"/>
        <v/>
      </c>
      <c r="AG1721" s="32" t="str">
        <f t="shared" si="1725"/>
        <v/>
      </c>
      <c r="AH1721" s="33"/>
    </row>
    <row r="1722" hidden="1" outlineLevel="3">
      <c r="A1722" s="16" t="b">
        <v>0</v>
      </c>
      <c r="B1722" s="17"/>
      <c r="C1722" s="18"/>
      <c r="D1722" s="19"/>
      <c r="E1722" s="20"/>
      <c r="F1722" s="21"/>
      <c r="G1722" s="22"/>
      <c r="H1722" s="22"/>
      <c r="I1722" s="23"/>
      <c r="J1722" s="22"/>
      <c r="K1722" s="23"/>
      <c r="L1722" s="22"/>
      <c r="M1722" s="23"/>
      <c r="N1722" s="23"/>
      <c r="O1722" s="24"/>
      <c r="P1722" s="16" t="b">
        <v>0</v>
      </c>
      <c r="Q1722" s="24"/>
      <c r="R1722" s="25"/>
      <c r="S1722" s="26"/>
      <c r="T1722" s="27"/>
      <c r="U1722" s="24"/>
      <c r="V1722" s="28" t="s">
        <v>29</v>
      </c>
      <c r="W1722" s="29" t="s">
        <v>22</v>
      </c>
      <c r="X1722" s="37" t="s">
        <v>1127</v>
      </c>
      <c r="Y1722" s="31"/>
      <c r="Z1722" s="26" t="str">
        <f t="shared" si="5"/>
        <v/>
      </c>
      <c r="AA1722" s="26" t="str">
        <f t="shared" si="6"/>
        <v/>
      </c>
      <c r="AB1722" s="32" t="str">
        <f t="shared" si="7"/>
        <v/>
      </c>
      <c r="AC1722" s="32" t="str">
        <f t="shared" ref="AC1722:AG1722" si="1726">IF(J1722&lt;&gt;"", IF(AND($P1722=FALSE, $A1722=FALSE), -J1722, IF(AND($P1722=FALSE, $A1722=TRUE), 0, IF($P1722=TRUE, (J1722 / $R1722) * 100 * ($S1722 / 100)-J1722, ))), )</f>
        <v/>
      </c>
      <c r="AD1722" s="32" t="str">
        <f t="shared" si="1726"/>
        <v/>
      </c>
      <c r="AE1722" s="32" t="str">
        <f t="shared" si="1726"/>
        <v/>
      </c>
      <c r="AF1722" s="32" t="str">
        <f t="shared" si="1726"/>
        <v/>
      </c>
      <c r="AG1722" s="32" t="str">
        <f t="shared" si="1726"/>
        <v/>
      </c>
      <c r="AH1722" s="33"/>
    </row>
    <row r="1723" hidden="1" outlineLevel="2">
      <c r="A1723" s="16" t="b">
        <v>0</v>
      </c>
      <c r="B1723" s="17"/>
      <c r="C1723" s="18"/>
      <c r="D1723" s="42">
        <v>45308.0</v>
      </c>
      <c r="E1723" s="80" t="s">
        <v>60</v>
      </c>
      <c r="F1723" s="53" t="s">
        <v>1003</v>
      </c>
      <c r="G1723" s="45">
        <v>2.0</v>
      </c>
      <c r="H1723" s="45">
        <v>1.0</v>
      </c>
      <c r="I1723" s="45">
        <v>3.0</v>
      </c>
      <c r="J1723" s="45"/>
      <c r="K1723" s="79"/>
      <c r="L1723" s="45"/>
      <c r="M1723" s="46"/>
      <c r="N1723" s="46"/>
      <c r="O1723" s="47"/>
      <c r="P1723" s="16" t="b">
        <v>0</v>
      </c>
      <c r="Q1723" s="24"/>
      <c r="R1723" s="48">
        <v>6.0</v>
      </c>
      <c r="S1723" s="45">
        <v>12.63</v>
      </c>
      <c r="T1723" s="49" t="s">
        <v>378</v>
      </c>
      <c r="U1723" s="47"/>
      <c r="V1723" s="28"/>
      <c r="W1723" s="29"/>
      <c r="X1723" s="30"/>
      <c r="Y1723" s="31"/>
      <c r="Z1723" s="26">
        <f t="shared" si="5"/>
        <v>-2</v>
      </c>
      <c r="AA1723" s="26">
        <f t="shared" si="6"/>
        <v>-3</v>
      </c>
      <c r="AB1723" s="32">
        <f t="shared" si="7"/>
        <v>-1</v>
      </c>
      <c r="AC1723" s="32" t="str">
        <f t="shared" ref="AC1723:AG1723" si="1727">IF(J1723&lt;&gt;"", IF(AND($P1723=FALSE, $A1723=FALSE), -J1723, IF(AND($P1723=FALSE, $A1723=TRUE), 0, IF($P1723=TRUE, (J1723 / $R1723) * 100 * ($S1723 / 100)-J1723, ))), )</f>
        <v/>
      </c>
      <c r="AD1723" s="32" t="str">
        <f t="shared" si="1727"/>
        <v/>
      </c>
      <c r="AE1723" s="32" t="str">
        <f t="shared" si="1727"/>
        <v/>
      </c>
      <c r="AF1723" s="32" t="str">
        <f t="shared" si="1727"/>
        <v/>
      </c>
      <c r="AG1723" s="32" t="str">
        <f t="shared" si="1727"/>
        <v/>
      </c>
      <c r="AH1723" s="33"/>
    </row>
    <row r="1724" hidden="1" outlineLevel="3">
      <c r="A1724" s="16" t="b">
        <v>0</v>
      </c>
      <c r="B1724" s="17"/>
      <c r="C1724" s="18"/>
      <c r="D1724" s="19"/>
      <c r="E1724" s="20"/>
      <c r="F1724" s="21"/>
      <c r="G1724" s="22"/>
      <c r="H1724" s="22"/>
      <c r="I1724" s="23"/>
      <c r="J1724" s="22"/>
      <c r="K1724" s="23"/>
      <c r="L1724" s="22"/>
      <c r="M1724" s="23"/>
      <c r="N1724" s="23"/>
      <c r="O1724" s="24"/>
      <c r="P1724" s="16" t="b">
        <v>0</v>
      </c>
      <c r="Q1724" s="24"/>
      <c r="R1724" s="25"/>
      <c r="S1724" s="26"/>
      <c r="T1724" s="27"/>
      <c r="U1724" s="24"/>
      <c r="V1724" s="28" t="s">
        <v>29</v>
      </c>
      <c r="W1724" s="29" t="s">
        <v>22</v>
      </c>
      <c r="X1724" s="37" t="s">
        <v>198</v>
      </c>
      <c r="Y1724" s="31"/>
      <c r="Z1724" s="26" t="str">
        <f t="shared" si="5"/>
        <v/>
      </c>
      <c r="AA1724" s="26" t="str">
        <f t="shared" si="6"/>
        <v/>
      </c>
      <c r="AB1724" s="32" t="str">
        <f t="shared" si="7"/>
        <v/>
      </c>
      <c r="AC1724" s="32" t="str">
        <f t="shared" ref="AC1724:AG1724" si="1728">IF(J1724&lt;&gt;"", IF(AND($P1724=FALSE, $A1724=FALSE), -J1724, IF(AND($P1724=FALSE, $A1724=TRUE), 0, IF($P1724=TRUE, (J1724 / $R1724) * 100 * ($S1724 / 100)-J1724, ))), )</f>
        <v/>
      </c>
      <c r="AD1724" s="32" t="str">
        <f t="shared" si="1728"/>
        <v/>
      </c>
      <c r="AE1724" s="32" t="str">
        <f t="shared" si="1728"/>
        <v/>
      </c>
      <c r="AF1724" s="32" t="str">
        <f t="shared" si="1728"/>
        <v/>
      </c>
      <c r="AG1724" s="32" t="str">
        <f t="shared" si="1728"/>
        <v/>
      </c>
      <c r="AH1724" s="33"/>
    </row>
    <row r="1725" hidden="1" outlineLevel="3">
      <c r="A1725" s="16" t="b">
        <v>0</v>
      </c>
      <c r="B1725" s="17"/>
      <c r="C1725" s="18"/>
      <c r="D1725" s="19"/>
      <c r="E1725" s="20"/>
      <c r="F1725" s="21"/>
      <c r="G1725" s="22"/>
      <c r="H1725" s="22"/>
      <c r="I1725" s="23"/>
      <c r="J1725" s="22"/>
      <c r="K1725" s="23"/>
      <c r="L1725" s="22"/>
      <c r="M1725" s="23"/>
      <c r="N1725" s="23"/>
      <c r="O1725" s="24"/>
      <c r="P1725" s="16" t="b">
        <v>0</v>
      </c>
      <c r="Q1725" s="24"/>
      <c r="R1725" s="25"/>
      <c r="S1725" s="26"/>
      <c r="T1725" s="27"/>
      <c r="U1725" s="24"/>
      <c r="V1725" s="28" t="s">
        <v>29</v>
      </c>
      <c r="W1725" s="29" t="s">
        <v>22</v>
      </c>
      <c r="X1725" s="37" t="s">
        <v>197</v>
      </c>
      <c r="Y1725" s="31"/>
      <c r="Z1725" s="26" t="str">
        <f t="shared" si="5"/>
        <v/>
      </c>
      <c r="AA1725" s="26" t="str">
        <f t="shared" si="6"/>
        <v/>
      </c>
      <c r="AB1725" s="32" t="str">
        <f t="shared" si="7"/>
        <v/>
      </c>
      <c r="AC1725" s="32" t="str">
        <f t="shared" ref="AC1725:AG1725" si="1729">IF(J1725&lt;&gt;"", IF(AND($P1725=FALSE, $A1725=FALSE), -J1725, IF(AND($P1725=FALSE, $A1725=TRUE), 0, IF($P1725=TRUE, (J1725 / $R1725) * 100 * ($S1725 / 100)-J1725, ))), )</f>
        <v/>
      </c>
      <c r="AD1725" s="32" t="str">
        <f t="shared" si="1729"/>
        <v/>
      </c>
      <c r="AE1725" s="32" t="str">
        <f t="shared" si="1729"/>
        <v/>
      </c>
      <c r="AF1725" s="32" t="str">
        <f t="shared" si="1729"/>
        <v/>
      </c>
      <c r="AG1725" s="32" t="str">
        <f t="shared" si="1729"/>
        <v/>
      </c>
      <c r="AH1725" s="33"/>
    </row>
    <row r="1726" hidden="1" outlineLevel="3">
      <c r="A1726" s="16" t="b">
        <v>0</v>
      </c>
      <c r="B1726" s="17"/>
      <c r="C1726" s="18"/>
      <c r="D1726" s="19"/>
      <c r="E1726" s="20"/>
      <c r="F1726" s="21"/>
      <c r="G1726" s="22"/>
      <c r="H1726" s="22"/>
      <c r="I1726" s="23"/>
      <c r="J1726" s="22"/>
      <c r="K1726" s="23"/>
      <c r="L1726" s="22"/>
      <c r="M1726" s="23"/>
      <c r="N1726" s="23"/>
      <c r="O1726" s="24"/>
      <c r="P1726" s="16" t="b">
        <v>0</v>
      </c>
      <c r="Q1726" s="24"/>
      <c r="R1726" s="25"/>
      <c r="S1726" s="26"/>
      <c r="T1726" s="27"/>
      <c r="U1726" s="24"/>
      <c r="V1726" s="28" t="s">
        <v>29</v>
      </c>
      <c r="W1726" s="29" t="s">
        <v>22</v>
      </c>
      <c r="X1726" s="37" t="s">
        <v>455</v>
      </c>
      <c r="Y1726" s="31"/>
      <c r="Z1726" s="26" t="str">
        <f t="shared" si="5"/>
        <v/>
      </c>
      <c r="AA1726" s="26" t="str">
        <f t="shared" si="6"/>
        <v/>
      </c>
      <c r="AB1726" s="32" t="str">
        <f t="shared" si="7"/>
        <v/>
      </c>
      <c r="AC1726" s="32" t="str">
        <f t="shared" ref="AC1726:AG1726" si="1730">IF(J1726&lt;&gt;"", IF(AND($P1726=FALSE, $A1726=FALSE), -J1726, IF(AND($P1726=FALSE, $A1726=TRUE), 0, IF($P1726=TRUE, (J1726 / $R1726) * 100 * ($S1726 / 100)-J1726, ))), )</f>
        <v/>
      </c>
      <c r="AD1726" s="32" t="str">
        <f t="shared" si="1730"/>
        <v/>
      </c>
      <c r="AE1726" s="32" t="str">
        <f t="shared" si="1730"/>
        <v/>
      </c>
      <c r="AF1726" s="32" t="str">
        <f t="shared" si="1730"/>
        <v/>
      </c>
      <c r="AG1726" s="32" t="str">
        <f t="shared" si="1730"/>
        <v/>
      </c>
      <c r="AH1726" s="33"/>
    </row>
    <row r="1727" hidden="1" outlineLevel="3">
      <c r="A1727" s="16" t="b">
        <v>0</v>
      </c>
      <c r="B1727" s="17"/>
      <c r="C1727" s="18"/>
      <c r="D1727" s="19"/>
      <c r="E1727" s="20"/>
      <c r="F1727" s="21"/>
      <c r="G1727" s="22"/>
      <c r="H1727" s="22"/>
      <c r="I1727" s="23"/>
      <c r="J1727" s="22"/>
      <c r="K1727" s="23"/>
      <c r="L1727" s="22"/>
      <c r="M1727" s="23"/>
      <c r="N1727" s="23"/>
      <c r="O1727" s="24"/>
      <c r="P1727" s="16" t="b">
        <v>0</v>
      </c>
      <c r="Q1727" s="24"/>
      <c r="R1727" s="25"/>
      <c r="S1727" s="26"/>
      <c r="T1727" s="27"/>
      <c r="U1727" s="24"/>
      <c r="V1727" s="66">
        <v>7.0</v>
      </c>
      <c r="W1727" s="29" t="s">
        <v>22</v>
      </c>
      <c r="X1727" s="37" t="s">
        <v>740</v>
      </c>
      <c r="Y1727" s="31"/>
      <c r="Z1727" s="26" t="str">
        <f t="shared" si="5"/>
        <v/>
      </c>
      <c r="AA1727" s="26" t="str">
        <f t="shared" si="6"/>
        <v/>
      </c>
      <c r="AB1727" s="32" t="str">
        <f t="shared" si="7"/>
        <v/>
      </c>
      <c r="AC1727" s="32" t="str">
        <f t="shared" ref="AC1727:AG1727" si="1731">IF(J1727&lt;&gt;"", IF(AND($P1727=FALSE, $A1727=FALSE), -J1727, IF(AND($P1727=FALSE, $A1727=TRUE), 0, IF($P1727=TRUE, (J1727 / $R1727) * 100 * ($S1727 / 100)-J1727, ))), )</f>
        <v/>
      </c>
      <c r="AD1727" s="32" t="str">
        <f t="shared" si="1731"/>
        <v/>
      </c>
      <c r="AE1727" s="32" t="str">
        <f t="shared" si="1731"/>
        <v/>
      </c>
      <c r="AF1727" s="32" t="str">
        <f t="shared" si="1731"/>
        <v/>
      </c>
      <c r="AG1727" s="32" t="str">
        <f t="shared" si="1731"/>
        <v/>
      </c>
      <c r="AH1727" s="33"/>
    </row>
    <row r="1728" hidden="1" outlineLevel="1" collapsed="1">
      <c r="A1728" s="16" t="b">
        <v>0</v>
      </c>
      <c r="B1728" s="17"/>
      <c r="C1728" s="18"/>
      <c r="D1728" s="42">
        <v>45311.0</v>
      </c>
      <c r="E1728" s="43" t="s">
        <v>24</v>
      </c>
      <c r="F1728" s="53" t="s">
        <v>1128</v>
      </c>
      <c r="G1728" s="45">
        <v>4.0</v>
      </c>
      <c r="H1728" s="45">
        <v>2.0</v>
      </c>
      <c r="I1728" s="45">
        <v>10.0</v>
      </c>
      <c r="J1728" s="46"/>
      <c r="K1728" s="46"/>
      <c r="L1728" s="45"/>
      <c r="M1728" s="46"/>
      <c r="N1728" s="46"/>
      <c r="O1728" s="47"/>
      <c r="P1728" s="16" t="b">
        <v>0</v>
      </c>
      <c r="Q1728" s="24"/>
      <c r="R1728" s="48">
        <v>16.0</v>
      </c>
      <c r="S1728" s="45">
        <v>35.2</v>
      </c>
      <c r="T1728" s="49" t="s">
        <v>221</v>
      </c>
      <c r="U1728" s="47"/>
      <c r="V1728" s="28"/>
      <c r="W1728" s="29"/>
      <c r="X1728" s="30"/>
      <c r="Y1728" s="31"/>
      <c r="Z1728" s="26">
        <f t="shared" si="5"/>
        <v>-4</v>
      </c>
      <c r="AA1728" s="26">
        <f t="shared" si="6"/>
        <v>-10</v>
      </c>
      <c r="AB1728" s="32">
        <f t="shared" si="7"/>
        <v>-2</v>
      </c>
      <c r="AC1728" s="32" t="str">
        <f t="shared" ref="AC1728:AG1728" si="1732">IF(J1728&lt;&gt;"", IF(AND($P1728=FALSE, $A1728=FALSE), -J1728, IF(AND($P1728=FALSE, $A1728=TRUE), 0, IF($P1728=TRUE, (J1728 / $R1728) * 100 * ($S1728 / 100)-J1728, ))), )</f>
        <v/>
      </c>
      <c r="AD1728" s="32" t="str">
        <f t="shared" si="1732"/>
        <v/>
      </c>
      <c r="AE1728" s="32" t="str">
        <f t="shared" si="1732"/>
        <v/>
      </c>
      <c r="AF1728" s="32" t="str">
        <f t="shared" si="1732"/>
        <v/>
      </c>
      <c r="AG1728" s="32" t="str">
        <f t="shared" si="1732"/>
        <v/>
      </c>
      <c r="AH1728" s="33"/>
    </row>
    <row r="1729" hidden="1" outlineLevel="3">
      <c r="A1729" s="16" t="b">
        <v>0</v>
      </c>
      <c r="B1729" s="17"/>
      <c r="C1729" s="18"/>
      <c r="D1729" s="19"/>
      <c r="E1729" s="20"/>
      <c r="F1729" s="21"/>
      <c r="G1729" s="22"/>
      <c r="H1729" s="22"/>
      <c r="I1729" s="23"/>
      <c r="J1729" s="22"/>
      <c r="K1729" s="23"/>
      <c r="L1729" s="22"/>
      <c r="M1729" s="23"/>
      <c r="N1729" s="23"/>
      <c r="O1729" s="24"/>
      <c r="P1729" s="16" t="b">
        <v>0</v>
      </c>
      <c r="Q1729" s="24"/>
      <c r="R1729" s="25"/>
      <c r="S1729" s="26"/>
      <c r="T1729" s="27"/>
      <c r="U1729" s="24"/>
      <c r="V1729" s="66">
        <v>29.0</v>
      </c>
      <c r="W1729" s="29" t="s">
        <v>22</v>
      </c>
      <c r="X1729" s="37" t="s">
        <v>1129</v>
      </c>
      <c r="Y1729" s="31"/>
      <c r="Z1729" s="26" t="str">
        <f t="shared" si="5"/>
        <v/>
      </c>
      <c r="AA1729" s="26" t="str">
        <f t="shared" si="6"/>
        <v/>
      </c>
      <c r="AB1729" s="32" t="str">
        <f t="shared" si="7"/>
        <v/>
      </c>
      <c r="AC1729" s="32" t="str">
        <f t="shared" ref="AC1729:AG1729" si="1733">IF(J1729&lt;&gt;"", IF(AND($P1729=FALSE, $A1729=FALSE), -J1729, IF(AND($P1729=FALSE, $A1729=TRUE), 0, IF($P1729=TRUE, (J1729 / $R1729) * 100 * ($S1729 / 100)-J1729, ))), )</f>
        <v/>
      </c>
      <c r="AD1729" s="32" t="str">
        <f t="shared" si="1733"/>
        <v/>
      </c>
      <c r="AE1729" s="32" t="str">
        <f t="shared" si="1733"/>
        <v/>
      </c>
      <c r="AF1729" s="32" t="str">
        <f t="shared" si="1733"/>
        <v/>
      </c>
      <c r="AG1729" s="32" t="str">
        <f t="shared" si="1733"/>
        <v/>
      </c>
      <c r="AH1729" s="33"/>
    </row>
    <row r="1730" hidden="1" outlineLevel="3">
      <c r="A1730" s="16" t="b">
        <v>0</v>
      </c>
      <c r="B1730" s="17"/>
      <c r="C1730" s="18"/>
      <c r="D1730" s="19"/>
      <c r="E1730" s="20"/>
      <c r="F1730" s="21"/>
      <c r="G1730" s="22"/>
      <c r="H1730" s="22"/>
      <c r="I1730" s="23"/>
      <c r="J1730" s="22"/>
      <c r="K1730" s="23"/>
      <c r="L1730" s="22"/>
      <c r="M1730" s="23"/>
      <c r="N1730" s="23"/>
      <c r="O1730" s="24"/>
      <c r="P1730" s="16" t="b">
        <v>0</v>
      </c>
      <c r="Q1730" s="24"/>
      <c r="R1730" s="25"/>
      <c r="S1730" s="26"/>
      <c r="T1730" s="27"/>
      <c r="U1730" s="24"/>
      <c r="V1730" s="28" t="s">
        <v>29</v>
      </c>
      <c r="W1730" s="29" t="s">
        <v>22</v>
      </c>
      <c r="X1730" s="37" t="s">
        <v>1130</v>
      </c>
      <c r="Y1730" s="31"/>
      <c r="Z1730" s="26" t="str">
        <f t="shared" si="5"/>
        <v/>
      </c>
      <c r="AA1730" s="26" t="str">
        <f t="shared" si="6"/>
        <v/>
      </c>
      <c r="AB1730" s="32" t="str">
        <f t="shared" si="7"/>
        <v/>
      </c>
      <c r="AC1730" s="32" t="str">
        <f t="shared" ref="AC1730:AG1730" si="1734">IF(J1730&lt;&gt;"", IF(AND($P1730=FALSE, $A1730=FALSE), -J1730, IF(AND($P1730=FALSE, $A1730=TRUE), 0, IF($P1730=TRUE, (J1730 / $R1730) * 100 * ($S1730 / 100)-J1730, ))), )</f>
        <v/>
      </c>
      <c r="AD1730" s="32" t="str">
        <f t="shared" si="1734"/>
        <v/>
      </c>
      <c r="AE1730" s="32" t="str">
        <f t="shared" si="1734"/>
        <v/>
      </c>
      <c r="AF1730" s="32" t="str">
        <f t="shared" si="1734"/>
        <v/>
      </c>
      <c r="AG1730" s="32" t="str">
        <f t="shared" si="1734"/>
        <v/>
      </c>
      <c r="AH1730" s="33"/>
    </row>
    <row r="1731" hidden="1" outlineLevel="2" collapsed="1">
      <c r="A1731" s="16" t="b">
        <v>0</v>
      </c>
      <c r="B1731" s="17"/>
      <c r="C1731" s="18"/>
      <c r="D1731" s="42">
        <v>45311.0</v>
      </c>
      <c r="E1731" s="43" t="s">
        <v>24</v>
      </c>
      <c r="F1731" s="53" t="s">
        <v>1128</v>
      </c>
      <c r="G1731" s="45">
        <v>0.02</v>
      </c>
      <c r="H1731" s="45">
        <v>0.01</v>
      </c>
      <c r="I1731" s="45">
        <v>0.02</v>
      </c>
      <c r="J1731" s="46"/>
      <c r="K1731" s="46"/>
      <c r="L1731" s="45"/>
      <c r="M1731" s="46"/>
      <c r="N1731" s="46"/>
      <c r="O1731" s="47"/>
      <c r="P1731" s="16" t="b">
        <v>1</v>
      </c>
      <c r="Q1731" s="24"/>
      <c r="R1731" s="48">
        <v>0.05</v>
      </c>
      <c r="S1731" s="45">
        <v>9.7</v>
      </c>
      <c r="T1731" s="49" t="s">
        <v>1131</v>
      </c>
      <c r="U1731" s="47"/>
      <c r="V1731" s="28"/>
      <c r="W1731" s="29"/>
      <c r="X1731" s="30"/>
      <c r="Y1731" s="31"/>
      <c r="Z1731" s="26">
        <f t="shared" si="5"/>
        <v>3.86</v>
      </c>
      <c r="AA1731" s="26">
        <f t="shared" si="6"/>
        <v>3.86</v>
      </c>
      <c r="AB1731" s="32">
        <f t="shared" si="7"/>
        <v>1.93</v>
      </c>
      <c r="AC1731" s="32" t="str">
        <f t="shared" ref="AC1731:AG1731" si="1735">IF(J1731&lt;&gt;"", IF(AND($P1731=FALSE, $A1731=FALSE), -J1731, IF(AND($P1731=FALSE, $A1731=TRUE), 0, IF($P1731=TRUE, (J1731 / $R1731) * 100 * ($S1731 / 100)-J1731, ))), )</f>
        <v/>
      </c>
      <c r="AD1731" s="32" t="str">
        <f t="shared" si="1735"/>
        <v/>
      </c>
      <c r="AE1731" s="32" t="str">
        <f t="shared" si="1735"/>
        <v/>
      </c>
      <c r="AF1731" s="32" t="str">
        <f t="shared" si="1735"/>
        <v/>
      </c>
      <c r="AG1731" s="32" t="str">
        <f t="shared" si="1735"/>
        <v/>
      </c>
      <c r="AH1731" s="33"/>
    </row>
    <row r="1732" hidden="1" outlineLevel="3">
      <c r="A1732" s="16" t="b">
        <v>0</v>
      </c>
      <c r="B1732" s="17"/>
      <c r="C1732" s="18"/>
      <c r="D1732" s="19"/>
      <c r="E1732" s="20"/>
      <c r="F1732" s="21"/>
      <c r="G1732" s="22"/>
      <c r="H1732" s="22"/>
      <c r="I1732" s="23"/>
      <c r="J1732" s="22"/>
      <c r="K1732" s="23"/>
      <c r="L1732" s="22"/>
      <c r="M1732" s="23"/>
      <c r="N1732" s="23"/>
      <c r="O1732" s="24"/>
      <c r="P1732" s="16" t="b">
        <v>0</v>
      </c>
      <c r="Q1732" s="24"/>
      <c r="R1732" s="25"/>
      <c r="S1732" s="26"/>
      <c r="T1732" s="27"/>
      <c r="U1732" s="24"/>
      <c r="V1732" s="28" t="s">
        <v>29</v>
      </c>
      <c r="W1732" s="29" t="s">
        <v>22</v>
      </c>
      <c r="X1732" s="37" t="s">
        <v>766</v>
      </c>
      <c r="Y1732" s="31"/>
      <c r="Z1732" s="26" t="str">
        <f t="shared" si="5"/>
        <v/>
      </c>
      <c r="AA1732" s="26" t="str">
        <f t="shared" si="6"/>
        <v/>
      </c>
      <c r="AB1732" s="32" t="str">
        <f t="shared" si="7"/>
        <v/>
      </c>
      <c r="AC1732" s="32" t="str">
        <f t="shared" ref="AC1732:AG1732" si="1736">IF(J1732&lt;&gt;"", IF(AND($P1732=FALSE, $A1732=FALSE), -J1732, IF(AND($P1732=FALSE, $A1732=TRUE), 0, IF($P1732=TRUE, (J1732 / $R1732) * 100 * ($S1732 / 100)-J1732, ))), )</f>
        <v/>
      </c>
      <c r="AD1732" s="32" t="str">
        <f t="shared" si="1736"/>
        <v/>
      </c>
      <c r="AE1732" s="32" t="str">
        <f t="shared" si="1736"/>
        <v/>
      </c>
      <c r="AF1732" s="32" t="str">
        <f t="shared" si="1736"/>
        <v/>
      </c>
      <c r="AG1732" s="32" t="str">
        <f t="shared" si="1736"/>
        <v/>
      </c>
      <c r="AH1732" s="33"/>
    </row>
    <row r="1733" hidden="1" outlineLevel="3">
      <c r="A1733" s="16" t="b">
        <v>0</v>
      </c>
      <c r="B1733" s="17"/>
      <c r="C1733" s="18"/>
      <c r="D1733" s="19"/>
      <c r="E1733" s="20"/>
      <c r="F1733" s="21"/>
      <c r="G1733" s="22"/>
      <c r="H1733" s="22"/>
      <c r="I1733" s="23"/>
      <c r="J1733" s="22"/>
      <c r="K1733" s="23"/>
      <c r="L1733" s="22"/>
      <c r="M1733" s="23"/>
      <c r="N1733" s="23"/>
      <c r="O1733" s="24"/>
      <c r="P1733" s="16" t="b">
        <v>0</v>
      </c>
      <c r="Q1733" s="24"/>
      <c r="R1733" s="25"/>
      <c r="S1733" s="26"/>
      <c r="T1733" s="27"/>
      <c r="U1733" s="24"/>
      <c r="V1733" s="28" t="s">
        <v>29</v>
      </c>
      <c r="W1733" s="29" t="s">
        <v>22</v>
      </c>
      <c r="X1733" s="37" t="s">
        <v>1036</v>
      </c>
      <c r="Y1733" s="31"/>
      <c r="Z1733" s="26" t="str">
        <f t="shared" si="5"/>
        <v/>
      </c>
      <c r="AA1733" s="26" t="str">
        <f t="shared" si="6"/>
        <v/>
      </c>
      <c r="AB1733" s="32" t="str">
        <f t="shared" si="7"/>
        <v/>
      </c>
      <c r="AC1733" s="32" t="str">
        <f t="shared" ref="AC1733:AG1733" si="1737">IF(J1733&lt;&gt;"", IF(AND($P1733=FALSE, $A1733=FALSE), -J1733, IF(AND($P1733=FALSE, $A1733=TRUE), 0, IF($P1733=TRUE, (J1733 / $R1733) * 100 * ($S1733 / 100)-J1733, ))), )</f>
        <v/>
      </c>
      <c r="AD1733" s="32" t="str">
        <f t="shared" si="1737"/>
        <v/>
      </c>
      <c r="AE1733" s="32" t="str">
        <f t="shared" si="1737"/>
        <v/>
      </c>
      <c r="AF1733" s="32" t="str">
        <f t="shared" si="1737"/>
        <v/>
      </c>
      <c r="AG1733" s="32" t="str">
        <f t="shared" si="1737"/>
        <v/>
      </c>
      <c r="AH1733" s="33"/>
    </row>
    <row r="1734" hidden="1" outlineLevel="3">
      <c r="A1734" s="16" t="b">
        <v>0</v>
      </c>
      <c r="B1734" s="17"/>
      <c r="C1734" s="18"/>
      <c r="D1734" s="19"/>
      <c r="E1734" s="20"/>
      <c r="F1734" s="21"/>
      <c r="G1734" s="22"/>
      <c r="H1734" s="22"/>
      <c r="I1734" s="23"/>
      <c r="J1734" s="22"/>
      <c r="K1734" s="23"/>
      <c r="L1734" s="22"/>
      <c r="M1734" s="23"/>
      <c r="N1734" s="23"/>
      <c r="O1734" s="24"/>
      <c r="P1734" s="16" t="b">
        <v>0</v>
      </c>
      <c r="Q1734" s="24"/>
      <c r="R1734" s="25"/>
      <c r="S1734" s="26"/>
      <c r="T1734" s="27"/>
      <c r="U1734" s="24"/>
      <c r="V1734" s="28" t="s">
        <v>29</v>
      </c>
      <c r="W1734" s="29" t="s">
        <v>22</v>
      </c>
      <c r="X1734" s="37" t="s">
        <v>1132</v>
      </c>
      <c r="Y1734" s="31"/>
      <c r="Z1734" s="26" t="str">
        <f t="shared" si="5"/>
        <v/>
      </c>
      <c r="AA1734" s="26" t="str">
        <f t="shared" si="6"/>
        <v/>
      </c>
      <c r="AB1734" s="32" t="str">
        <f t="shared" si="7"/>
        <v/>
      </c>
      <c r="AC1734" s="32" t="str">
        <f t="shared" ref="AC1734:AG1734" si="1738">IF(J1734&lt;&gt;"", IF(AND($P1734=FALSE, $A1734=FALSE), -J1734, IF(AND($P1734=FALSE, $A1734=TRUE), 0, IF($P1734=TRUE, (J1734 / $R1734) * 100 * ($S1734 / 100)-J1734, ))), )</f>
        <v/>
      </c>
      <c r="AD1734" s="32" t="str">
        <f t="shared" si="1738"/>
        <v/>
      </c>
      <c r="AE1734" s="32" t="str">
        <f t="shared" si="1738"/>
        <v/>
      </c>
      <c r="AF1734" s="32" t="str">
        <f t="shared" si="1738"/>
        <v/>
      </c>
      <c r="AG1734" s="32" t="str">
        <f t="shared" si="1738"/>
        <v/>
      </c>
      <c r="AH1734" s="33"/>
    </row>
    <row r="1735" hidden="1" outlineLevel="3">
      <c r="A1735" s="16" t="b">
        <v>0</v>
      </c>
      <c r="B1735" s="17"/>
      <c r="C1735" s="18"/>
      <c r="D1735" s="19"/>
      <c r="E1735" s="20"/>
      <c r="F1735" s="21"/>
      <c r="G1735" s="22"/>
      <c r="H1735" s="22"/>
      <c r="I1735" s="23"/>
      <c r="J1735" s="22"/>
      <c r="K1735" s="23"/>
      <c r="L1735" s="22"/>
      <c r="M1735" s="23"/>
      <c r="N1735" s="23"/>
      <c r="O1735" s="24"/>
      <c r="P1735" s="16" t="b">
        <v>0</v>
      </c>
      <c r="Q1735" s="24"/>
      <c r="R1735" s="25"/>
      <c r="S1735" s="26"/>
      <c r="T1735" s="27"/>
      <c r="U1735" s="24"/>
      <c r="V1735" s="28" t="s">
        <v>29</v>
      </c>
      <c r="W1735" s="29" t="s">
        <v>22</v>
      </c>
      <c r="X1735" s="37" t="s">
        <v>1133</v>
      </c>
      <c r="Y1735" s="31"/>
      <c r="Z1735" s="26" t="str">
        <f t="shared" si="5"/>
        <v/>
      </c>
      <c r="AA1735" s="26" t="str">
        <f t="shared" si="6"/>
        <v/>
      </c>
      <c r="AB1735" s="32" t="str">
        <f t="shared" si="7"/>
        <v/>
      </c>
      <c r="AC1735" s="32" t="str">
        <f t="shared" ref="AC1735:AG1735" si="1739">IF(J1735&lt;&gt;"", IF(AND($P1735=FALSE, $A1735=FALSE), -J1735, IF(AND($P1735=FALSE, $A1735=TRUE), 0, IF($P1735=TRUE, (J1735 / $R1735) * 100 * ($S1735 / 100)-J1735, ))), )</f>
        <v/>
      </c>
      <c r="AD1735" s="32" t="str">
        <f t="shared" si="1739"/>
        <v/>
      </c>
      <c r="AE1735" s="32" t="str">
        <f t="shared" si="1739"/>
        <v/>
      </c>
      <c r="AF1735" s="32" t="str">
        <f t="shared" si="1739"/>
        <v/>
      </c>
      <c r="AG1735" s="32" t="str">
        <f t="shared" si="1739"/>
        <v/>
      </c>
      <c r="AH1735" s="33"/>
    </row>
    <row r="1736" hidden="1" outlineLevel="2" collapsed="1">
      <c r="A1736" s="16" t="b">
        <v>0</v>
      </c>
      <c r="B1736" s="17"/>
      <c r="C1736" s="18"/>
      <c r="D1736" s="42">
        <v>45311.0</v>
      </c>
      <c r="E1736" s="43" t="s">
        <v>24</v>
      </c>
      <c r="F1736" s="53" t="s">
        <v>1128</v>
      </c>
      <c r="G1736" s="45">
        <v>2.0</v>
      </c>
      <c r="H1736" s="45">
        <v>1.0</v>
      </c>
      <c r="I1736" s="45">
        <v>5.0</v>
      </c>
      <c r="J1736" s="46"/>
      <c r="K1736" s="46"/>
      <c r="L1736" s="45"/>
      <c r="M1736" s="46"/>
      <c r="N1736" s="46"/>
      <c r="O1736" s="47"/>
      <c r="P1736" s="16" t="b">
        <v>0</v>
      </c>
      <c r="Q1736" s="24"/>
      <c r="R1736" s="48">
        <v>8.0</v>
      </c>
      <c r="S1736" s="45">
        <v>26.67</v>
      </c>
      <c r="T1736" s="49" t="s">
        <v>467</v>
      </c>
      <c r="U1736" s="47"/>
      <c r="V1736" s="28"/>
      <c r="W1736" s="29"/>
      <c r="X1736" s="30"/>
      <c r="Y1736" s="31"/>
      <c r="Z1736" s="26">
        <f t="shared" si="5"/>
        <v>-2</v>
      </c>
      <c r="AA1736" s="26">
        <f t="shared" si="6"/>
        <v>-5</v>
      </c>
      <c r="AB1736" s="32">
        <f t="shared" si="7"/>
        <v>-1</v>
      </c>
      <c r="AC1736" s="32" t="str">
        <f t="shared" ref="AC1736:AG1736" si="1740">IF(J1736&lt;&gt;"", IF(AND($P1736=FALSE, $A1736=FALSE), -J1736, IF(AND($P1736=FALSE, $A1736=TRUE), 0, IF($P1736=TRUE, (J1736 / $R1736) * 100 * ($S1736 / 100)-J1736, ))), )</f>
        <v/>
      </c>
      <c r="AD1736" s="32" t="str">
        <f t="shared" si="1740"/>
        <v/>
      </c>
      <c r="AE1736" s="32" t="str">
        <f t="shared" si="1740"/>
        <v/>
      </c>
      <c r="AF1736" s="32" t="str">
        <f t="shared" si="1740"/>
        <v/>
      </c>
      <c r="AG1736" s="32" t="str">
        <f t="shared" si="1740"/>
        <v/>
      </c>
      <c r="AH1736" s="33"/>
    </row>
    <row r="1737" hidden="1" outlineLevel="3">
      <c r="A1737" s="16" t="b">
        <v>0</v>
      </c>
      <c r="B1737" s="17"/>
      <c r="C1737" s="18"/>
      <c r="D1737" s="19"/>
      <c r="E1737" s="20"/>
      <c r="F1737" s="21"/>
      <c r="G1737" s="22"/>
      <c r="H1737" s="22"/>
      <c r="I1737" s="23"/>
      <c r="J1737" s="22"/>
      <c r="K1737" s="23"/>
      <c r="L1737" s="22"/>
      <c r="M1737" s="23"/>
      <c r="N1737" s="23"/>
      <c r="O1737" s="24"/>
      <c r="P1737" s="16" t="b">
        <v>0</v>
      </c>
      <c r="Q1737" s="24"/>
      <c r="R1737" s="25"/>
      <c r="S1737" s="26"/>
      <c r="T1737" s="27"/>
      <c r="U1737" s="24"/>
      <c r="V1737" s="66">
        <v>152.0</v>
      </c>
      <c r="W1737" s="29" t="s">
        <v>22</v>
      </c>
      <c r="X1737" s="37" t="s">
        <v>908</v>
      </c>
      <c r="Y1737" s="31"/>
      <c r="Z1737" s="26" t="str">
        <f t="shared" si="5"/>
        <v/>
      </c>
      <c r="AA1737" s="26" t="str">
        <f t="shared" si="6"/>
        <v/>
      </c>
      <c r="AB1737" s="32" t="str">
        <f t="shared" si="7"/>
        <v/>
      </c>
      <c r="AC1737" s="32" t="str">
        <f t="shared" ref="AC1737:AG1737" si="1741">IF(J1737&lt;&gt;"", IF(AND($P1737=FALSE, $A1737=FALSE), -J1737, IF(AND($P1737=FALSE, $A1737=TRUE), 0, IF($P1737=TRUE, (J1737 / $R1737) * 100 * ($S1737 / 100)-J1737, ))), )</f>
        <v/>
      </c>
      <c r="AD1737" s="32" t="str">
        <f t="shared" si="1741"/>
        <v/>
      </c>
      <c r="AE1737" s="32" t="str">
        <f t="shared" si="1741"/>
        <v/>
      </c>
      <c r="AF1737" s="32" t="str">
        <f t="shared" si="1741"/>
        <v/>
      </c>
      <c r="AG1737" s="32" t="str">
        <f t="shared" si="1741"/>
        <v/>
      </c>
      <c r="AH1737" s="33"/>
    </row>
    <row r="1738" hidden="1" outlineLevel="3">
      <c r="A1738" s="16" t="b">
        <v>0</v>
      </c>
      <c r="B1738" s="17"/>
      <c r="C1738" s="18"/>
      <c r="D1738" s="19"/>
      <c r="E1738" s="20"/>
      <c r="F1738" s="21"/>
      <c r="G1738" s="22"/>
      <c r="H1738" s="22"/>
      <c r="I1738" s="23"/>
      <c r="J1738" s="22"/>
      <c r="K1738" s="23"/>
      <c r="L1738" s="22"/>
      <c r="M1738" s="23"/>
      <c r="N1738" s="23"/>
      <c r="O1738" s="24"/>
      <c r="P1738" s="16" t="b">
        <v>0</v>
      </c>
      <c r="Q1738" s="24"/>
      <c r="R1738" s="25"/>
      <c r="S1738" s="26"/>
      <c r="T1738" s="27"/>
      <c r="U1738" s="24"/>
      <c r="V1738" s="66">
        <v>175.0</v>
      </c>
      <c r="W1738" s="29" t="s">
        <v>22</v>
      </c>
      <c r="X1738" s="37" t="s">
        <v>682</v>
      </c>
      <c r="Y1738" s="31"/>
      <c r="Z1738" s="26" t="str">
        <f t="shared" si="5"/>
        <v/>
      </c>
      <c r="AA1738" s="26" t="str">
        <f t="shared" si="6"/>
        <v/>
      </c>
      <c r="AB1738" s="32" t="str">
        <f t="shared" si="7"/>
        <v/>
      </c>
      <c r="AC1738" s="32" t="str">
        <f t="shared" ref="AC1738:AG1738" si="1742">IF(J1738&lt;&gt;"", IF(AND($P1738=FALSE, $A1738=FALSE), -J1738, IF(AND($P1738=FALSE, $A1738=TRUE), 0, IF($P1738=TRUE, (J1738 / $R1738) * 100 * ($S1738 / 100)-J1738, ))), )</f>
        <v/>
      </c>
      <c r="AD1738" s="32" t="str">
        <f t="shared" si="1742"/>
        <v/>
      </c>
      <c r="AE1738" s="32" t="str">
        <f t="shared" si="1742"/>
        <v/>
      </c>
      <c r="AF1738" s="32" t="str">
        <f t="shared" si="1742"/>
        <v/>
      </c>
      <c r="AG1738" s="32" t="str">
        <f t="shared" si="1742"/>
        <v/>
      </c>
      <c r="AH1738" s="33"/>
    </row>
    <row r="1739" hidden="1" outlineLevel="3">
      <c r="A1739" s="16" t="b">
        <v>0</v>
      </c>
      <c r="B1739" s="17"/>
      <c r="C1739" s="18"/>
      <c r="D1739" s="19"/>
      <c r="E1739" s="20"/>
      <c r="F1739" s="21"/>
      <c r="G1739" s="22"/>
      <c r="H1739" s="22"/>
      <c r="I1739" s="23"/>
      <c r="J1739" s="22"/>
      <c r="K1739" s="23"/>
      <c r="L1739" s="22"/>
      <c r="M1739" s="23"/>
      <c r="N1739" s="23"/>
      <c r="O1739" s="24"/>
      <c r="P1739" s="16" t="b">
        <v>0</v>
      </c>
      <c r="Q1739" s="24"/>
      <c r="R1739" s="25"/>
      <c r="S1739" s="26"/>
      <c r="T1739" s="27"/>
      <c r="U1739" s="24"/>
      <c r="V1739" s="28" t="s">
        <v>1070</v>
      </c>
      <c r="W1739" s="29" t="s">
        <v>22</v>
      </c>
      <c r="X1739" s="37" t="s">
        <v>1134</v>
      </c>
      <c r="Y1739" s="31"/>
      <c r="Z1739" s="26" t="str">
        <f t="shared" si="5"/>
        <v/>
      </c>
      <c r="AA1739" s="26" t="str">
        <f t="shared" si="6"/>
        <v/>
      </c>
      <c r="AB1739" s="32" t="str">
        <f t="shared" si="7"/>
        <v/>
      </c>
      <c r="AC1739" s="32" t="str">
        <f t="shared" ref="AC1739:AG1739" si="1743">IF(J1739&lt;&gt;"", IF(AND($P1739=FALSE, $A1739=FALSE), -J1739, IF(AND($P1739=FALSE, $A1739=TRUE), 0, IF($P1739=TRUE, (J1739 / $R1739) * 100 * ($S1739 / 100)-J1739, ))), )</f>
        <v/>
      </c>
      <c r="AD1739" s="32" t="str">
        <f t="shared" si="1743"/>
        <v/>
      </c>
      <c r="AE1739" s="32" t="str">
        <f t="shared" si="1743"/>
        <v/>
      </c>
      <c r="AF1739" s="32" t="str">
        <f t="shared" si="1743"/>
        <v/>
      </c>
      <c r="AG1739" s="32" t="str">
        <f t="shared" si="1743"/>
        <v/>
      </c>
      <c r="AH1739" s="33"/>
    </row>
    <row r="1740" hidden="1" outlineLevel="3">
      <c r="A1740" s="16" t="b">
        <v>0</v>
      </c>
      <c r="B1740" s="17"/>
      <c r="C1740" s="18"/>
      <c r="D1740" s="19"/>
      <c r="E1740" s="20"/>
      <c r="F1740" s="21"/>
      <c r="G1740" s="22"/>
      <c r="H1740" s="22"/>
      <c r="I1740" s="23"/>
      <c r="J1740" s="22"/>
      <c r="K1740" s="23"/>
      <c r="L1740" s="22"/>
      <c r="M1740" s="23"/>
      <c r="N1740" s="23"/>
      <c r="O1740" s="24"/>
      <c r="P1740" s="16" t="b">
        <v>0</v>
      </c>
      <c r="Q1740" s="24"/>
      <c r="R1740" s="25"/>
      <c r="S1740" s="26"/>
      <c r="T1740" s="27"/>
      <c r="U1740" s="24"/>
      <c r="V1740" s="28" t="s">
        <v>29</v>
      </c>
      <c r="W1740" s="29" t="s">
        <v>22</v>
      </c>
      <c r="X1740" s="37" t="s">
        <v>1135</v>
      </c>
      <c r="Y1740" s="31"/>
      <c r="Z1740" s="26" t="str">
        <f t="shared" si="5"/>
        <v/>
      </c>
      <c r="AA1740" s="26" t="str">
        <f t="shared" si="6"/>
        <v/>
      </c>
      <c r="AB1740" s="32" t="str">
        <f t="shared" si="7"/>
        <v/>
      </c>
      <c r="AC1740" s="32" t="str">
        <f t="shared" ref="AC1740:AG1740" si="1744">IF(J1740&lt;&gt;"", IF(AND($P1740=FALSE, $A1740=FALSE), -J1740, IF(AND($P1740=FALSE, $A1740=TRUE), 0, IF($P1740=TRUE, (J1740 / $R1740) * 100 * ($S1740 / 100)-J1740, ))), )</f>
        <v/>
      </c>
      <c r="AD1740" s="32" t="str">
        <f t="shared" si="1744"/>
        <v/>
      </c>
      <c r="AE1740" s="32" t="str">
        <f t="shared" si="1744"/>
        <v/>
      </c>
      <c r="AF1740" s="32" t="str">
        <f t="shared" si="1744"/>
        <v/>
      </c>
      <c r="AG1740" s="32" t="str">
        <f t="shared" si="1744"/>
        <v/>
      </c>
      <c r="AH1740" s="33"/>
    </row>
    <row r="1741" hidden="1" outlineLevel="2" collapsed="1">
      <c r="A1741" s="16" t="b">
        <v>0</v>
      </c>
      <c r="B1741" s="17"/>
      <c r="C1741" s="18"/>
      <c r="D1741" s="42">
        <v>45311.0</v>
      </c>
      <c r="E1741" s="43" t="s">
        <v>24</v>
      </c>
      <c r="F1741" s="53" t="s">
        <v>1128</v>
      </c>
      <c r="G1741" s="45">
        <v>1.0</v>
      </c>
      <c r="H1741" s="45">
        <v>0.5</v>
      </c>
      <c r="I1741" s="45"/>
      <c r="J1741" s="46"/>
      <c r="K1741" s="46"/>
      <c r="L1741" s="45"/>
      <c r="M1741" s="46"/>
      <c r="N1741" s="46"/>
      <c r="O1741" s="47"/>
      <c r="P1741" s="16" t="b">
        <v>1</v>
      </c>
      <c r="Q1741" s="24"/>
      <c r="R1741" s="48">
        <v>1.5</v>
      </c>
      <c r="S1741" s="45">
        <v>4.28</v>
      </c>
      <c r="T1741" s="49" t="s">
        <v>235</v>
      </c>
      <c r="U1741" s="47"/>
      <c r="V1741" s="28"/>
      <c r="W1741" s="29"/>
      <c r="X1741" s="30"/>
      <c r="Y1741" s="31"/>
      <c r="Z1741" s="26">
        <f t="shared" si="5"/>
        <v>1.853333333</v>
      </c>
      <c r="AA1741" s="26" t="str">
        <f t="shared" si="6"/>
        <v/>
      </c>
      <c r="AB1741" s="32">
        <f t="shared" si="7"/>
        <v>0.9266666667</v>
      </c>
      <c r="AC1741" s="32" t="str">
        <f t="shared" ref="AC1741:AG1741" si="1745">IF(J1741&lt;&gt;"", IF(AND($P1741=FALSE, $A1741=FALSE), -J1741, IF(AND($P1741=FALSE, $A1741=TRUE), 0, IF($P1741=TRUE, (J1741 / $R1741) * 100 * ($S1741 / 100)-J1741, ))), )</f>
        <v/>
      </c>
      <c r="AD1741" s="32" t="str">
        <f t="shared" si="1745"/>
        <v/>
      </c>
      <c r="AE1741" s="32" t="str">
        <f t="shared" si="1745"/>
        <v/>
      </c>
      <c r="AF1741" s="32" t="str">
        <f t="shared" si="1745"/>
        <v/>
      </c>
      <c r="AG1741" s="32" t="str">
        <f t="shared" si="1745"/>
        <v/>
      </c>
      <c r="AH1741" s="33"/>
    </row>
    <row r="1742" hidden="1" outlineLevel="3">
      <c r="A1742" s="16" t="b">
        <v>0</v>
      </c>
      <c r="B1742" s="17"/>
      <c r="C1742" s="18"/>
      <c r="D1742" s="19"/>
      <c r="E1742" s="20"/>
      <c r="F1742" s="21"/>
      <c r="G1742" s="22"/>
      <c r="H1742" s="22"/>
      <c r="I1742" s="23"/>
      <c r="J1742" s="22"/>
      <c r="K1742" s="23"/>
      <c r="L1742" s="22"/>
      <c r="M1742" s="23"/>
      <c r="N1742" s="23"/>
      <c r="O1742" s="24"/>
      <c r="P1742" s="16" t="b">
        <v>0</v>
      </c>
      <c r="Q1742" s="24"/>
      <c r="R1742" s="25"/>
      <c r="S1742" s="26"/>
      <c r="T1742" s="27"/>
      <c r="U1742" s="24"/>
      <c r="V1742" s="28" t="s">
        <v>29</v>
      </c>
      <c r="W1742" s="29" t="s">
        <v>22</v>
      </c>
      <c r="X1742" s="37" t="s">
        <v>1136</v>
      </c>
      <c r="Y1742" s="31"/>
      <c r="Z1742" s="26" t="str">
        <f t="shared" si="5"/>
        <v/>
      </c>
      <c r="AA1742" s="26" t="str">
        <f t="shared" si="6"/>
        <v/>
      </c>
      <c r="AB1742" s="32" t="str">
        <f t="shared" si="7"/>
        <v/>
      </c>
      <c r="AC1742" s="32" t="str">
        <f t="shared" ref="AC1742:AG1742" si="1746">IF(J1742&lt;&gt;"", IF(AND($P1742=FALSE, $A1742=FALSE), -J1742, IF(AND($P1742=FALSE, $A1742=TRUE), 0, IF($P1742=TRUE, (J1742 / $R1742) * 100 * ($S1742 / 100)-J1742, ))), )</f>
        <v/>
      </c>
      <c r="AD1742" s="32" t="str">
        <f t="shared" si="1746"/>
        <v/>
      </c>
      <c r="AE1742" s="32" t="str">
        <f t="shared" si="1746"/>
        <v/>
      </c>
      <c r="AF1742" s="32" t="str">
        <f t="shared" si="1746"/>
        <v/>
      </c>
      <c r="AG1742" s="32" t="str">
        <f t="shared" si="1746"/>
        <v/>
      </c>
      <c r="AH1742" s="33"/>
    </row>
    <row r="1743" hidden="1" outlineLevel="2" collapsed="1">
      <c r="A1743" s="16" t="b">
        <v>0</v>
      </c>
      <c r="B1743" s="17"/>
      <c r="C1743" s="18"/>
      <c r="D1743" s="42">
        <v>45311.0</v>
      </c>
      <c r="E1743" s="43" t="s">
        <v>24</v>
      </c>
      <c r="F1743" s="53" t="s">
        <v>1128</v>
      </c>
      <c r="G1743" s="45">
        <v>2.0</v>
      </c>
      <c r="H1743" s="45">
        <v>1.0</v>
      </c>
      <c r="I1743" s="45">
        <v>7.0</v>
      </c>
      <c r="J1743" s="46"/>
      <c r="K1743" s="46"/>
      <c r="L1743" s="45"/>
      <c r="M1743" s="46"/>
      <c r="N1743" s="46"/>
      <c r="O1743" s="47"/>
      <c r="P1743" s="16" t="b">
        <v>0</v>
      </c>
      <c r="Q1743" s="24"/>
      <c r="R1743" s="48">
        <v>10.0</v>
      </c>
      <c r="S1743" s="45">
        <v>19.9</v>
      </c>
      <c r="T1743" s="49">
        <v>-101.0</v>
      </c>
      <c r="U1743" s="47"/>
      <c r="V1743" s="28"/>
      <c r="W1743" s="29"/>
      <c r="X1743" s="30"/>
      <c r="Y1743" s="31"/>
      <c r="Z1743" s="26">
        <f t="shared" si="5"/>
        <v>-2</v>
      </c>
      <c r="AA1743" s="26">
        <f t="shared" si="6"/>
        <v>-7</v>
      </c>
      <c r="AB1743" s="32">
        <f t="shared" si="7"/>
        <v>-1</v>
      </c>
      <c r="AC1743" s="32" t="str">
        <f t="shared" ref="AC1743:AG1743" si="1747">IF(J1743&lt;&gt;"", IF(AND($P1743=FALSE, $A1743=FALSE), -J1743, IF(AND($P1743=FALSE, $A1743=TRUE), 0, IF($P1743=TRUE, (J1743 / $R1743) * 100 * ($S1743 / 100)-J1743, ))), )</f>
        <v/>
      </c>
      <c r="AD1743" s="32" t="str">
        <f t="shared" si="1747"/>
        <v/>
      </c>
      <c r="AE1743" s="32" t="str">
        <f t="shared" si="1747"/>
        <v/>
      </c>
      <c r="AF1743" s="32" t="str">
        <f t="shared" si="1747"/>
        <v/>
      </c>
      <c r="AG1743" s="32" t="str">
        <f t="shared" si="1747"/>
        <v/>
      </c>
      <c r="AH1743" s="33"/>
    </row>
    <row r="1744" hidden="1" outlineLevel="3">
      <c r="A1744" s="16" t="b">
        <v>0</v>
      </c>
      <c r="B1744" s="17"/>
      <c r="C1744" s="18"/>
      <c r="D1744" s="19"/>
      <c r="E1744" s="20"/>
      <c r="F1744" s="21"/>
      <c r="G1744" s="22"/>
      <c r="H1744" s="22"/>
      <c r="I1744" s="23"/>
      <c r="J1744" s="22"/>
      <c r="K1744" s="23"/>
      <c r="L1744" s="22"/>
      <c r="M1744" s="23"/>
      <c r="N1744" s="23"/>
      <c r="O1744" s="24"/>
      <c r="P1744" s="16" t="b">
        <v>0</v>
      </c>
      <c r="Q1744" s="24"/>
      <c r="R1744" s="25"/>
      <c r="S1744" s="26"/>
      <c r="T1744" s="27"/>
      <c r="U1744" s="24"/>
      <c r="V1744" s="86" t="s">
        <v>1137</v>
      </c>
      <c r="W1744" s="29" t="s">
        <v>22</v>
      </c>
      <c r="X1744" s="37" t="s">
        <v>1138</v>
      </c>
      <c r="Y1744" s="31"/>
      <c r="Z1744" s="26" t="str">
        <f t="shared" si="5"/>
        <v/>
      </c>
      <c r="AA1744" s="26" t="str">
        <f t="shared" si="6"/>
        <v/>
      </c>
      <c r="AB1744" s="32" t="str">
        <f t="shared" si="7"/>
        <v/>
      </c>
      <c r="AC1744" s="32" t="str">
        <f t="shared" ref="AC1744:AG1744" si="1748">IF(J1744&lt;&gt;"", IF(AND($P1744=FALSE, $A1744=FALSE), -J1744, IF(AND($P1744=FALSE, $A1744=TRUE), 0, IF($P1744=TRUE, (J1744 / $R1744) * 100 * ($S1744 / 100)-J1744, ))), )</f>
        <v/>
      </c>
      <c r="AD1744" s="32" t="str">
        <f t="shared" si="1748"/>
        <v/>
      </c>
      <c r="AE1744" s="32" t="str">
        <f t="shared" si="1748"/>
        <v/>
      </c>
      <c r="AF1744" s="32" t="str">
        <f t="shared" si="1748"/>
        <v/>
      </c>
      <c r="AG1744" s="32" t="str">
        <f t="shared" si="1748"/>
        <v/>
      </c>
      <c r="AH1744" s="33"/>
    </row>
    <row r="1745" hidden="1" outlineLevel="2" collapsed="1">
      <c r="A1745" s="16" t="b">
        <v>0</v>
      </c>
      <c r="B1745" s="17"/>
      <c r="C1745" s="18"/>
      <c r="D1745" s="42">
        <v>45311.0</v>
      </c>
      <c r="E1745" s="43" t="s">
        <v>24</v>
      </c>
      <c r="F1745" s="53" t="s">
        <v>1128</v>
      </c>
      <c r="G1745" s="45">
        <v>4.0</v>
      </c>
      <c r="H1745" s="45">
        <v>2.0</v>
      </c>
      <c r="I1745" s="45">
        <v>4.0</v>
      </c>
      <c r="J1745" s="46"/>
      <c r="K1745" s="46"/>
      <c r="L1745" s="45"/>
      <c r="M1745" s="46"/>
      <c r="N1745" s="46"/>
      <c r="O1745" s="47"/>
      <c r="P1745" s="16" t="b">
        <v>0</v>
      </c>
      <c r="Q1745" s="24"/>
      <c r="R1745" s="48">
        <v>10.0</v>
      </c>
      <c r="S1745" s="45">
        <v>134.28</v>
      </c>
      <c r="T1745" s="49" t="s">
        <v>1139</v>
      </c>
      <c r="U1745" s="47"/>
      <c r="V1745" s="28"/>
      <c r="W1745" s="29"/>
      <c r="X1745" s="37"/>
      <c r="Y1745" s="31"/>
      <c r="Z1745" s="26">
        <f t="shared" si="5"/>
        <v>-4</v>
      </c>
      <c r="AA1745" s="26">
        <f t="shared" si="6"/>
        <v>-4</v>
      </c>
      <c r="AB1745" s="32">
        <f t="shared" si="7"/>
        <v>-2</v>
      </c>
      <c r="AC1745" s="32" t="str">
        <f t="shared" ref="AC1745:AG1745" si="1749">IF(J1745&lt;&gt;"", IF(AND($P1745=FALSE, $A1745=FALSE), -J1745, IF(AND($P1745=FALSE, $A1745=TRUE), 0, IF($P1745=TRUE, (J1745 / $R1745) * 100 * ($S1745 / 100)-J1745, ))), )</f>
        <v/>
      </c>
      <c r="AD1745" s="32" t="str">
        <f t="shared" si="1749"/>
        <v/>
      </c>
      <c r="AE1745" s="32" t="str">
        <f t="shared" si="1749"/>
        <v/>
      </c>
      <c r="AF1745" s="32" t="str">
        <f t="shared" si="1749"/>
        <v/>
      </c>
      <c r="AG1745" s="32" t="str">
        <f t="shared" si="1749"/>
        <v/>
      </c>
      <c r="AH1745" s="33"/>
    </row>
    <row r="1746" hidden="1" outlineLevel="3">
      <c r="A1746" s="16" t="b">
        <v>0</v>
      </c>
      <c r="B1746" s="17"/>
      <c r="C1746" s="18"/>
      <c r="D1746" s="19"/>
      <c r="E1746" s="20"/>
      <c r="F1746" s="21"/>
      <c r="G1746" s="22"/>
      <c r="H1746" s="22"/>
      <c r="I1746" s="23"/>
      <c r="J1746" s="22"/>
      <c r="K1746" s="23"/>
      <c r="L1746" s="22"/>
      <c r="M1746" s="23"/>
      <c r="N1746" s="23"/>
      <c r="O1746" s="24"/>
      <c r="P1746" s="16" t="b">
        <v>0</v>
      </c>
      <c r="Q1746" s="24"/>
      <c r="R1746" s="25"/>
      <c r="S1746" s="26"/>
      <c r="T1746" s="27"/>
      <c r="U1746" s="24"/>
      <c r="V1746" s="28" t="s">
        <v>29</v>
      </c>
      <c r="W1746" s="29" t="s">
        <v>22</v>
      </c>
      <c r="X1746" s="37" t="s">
        <v>777</v>
      </c>
      <c r="Y1746" s="31"/>
      <c r="Z1746" s="26" t="str">
        <f t="shared" si="5"/>
        <v/>
      </c>
      <c r="AA1746" s="26" t="str">
        <f t="shared" si="6"/>
        <v/>
      </c>
      <c r="AB1746" s="32" t="str">
        <f t="shared" si="7"/>
        <v/>
      </c>
      <c r="AC1746" s="32" t="str">
        <f t="shared" ref="AC1746:AG1746" si="1750">IF(J1746&lt;&gt;"", IF(AND($P1746=FALSE, $A1746=FALSE), -J1746, IF(AND($P1746=FALSE, $A1746=TRUE), 0, IF($P1746=TRUE, (J1746 / $R1746) * 100 * ($S1746 / 100)-J1746, ))), )</f>
        <v/>
      </c>
      <c r="AD1746" s="32" t="str">
        <f t="shared" si="1750"/>
        <v/>
      </c>
      <c r="AE1746" s="32" t="str">
        <f t="shared" si="1750"/>
        <v/>
      </c>
      <c r="AF1746" s="32" t="str">
        <f t="shared" si="1750"/>
        <v/>
      </c>
      <c r="AG1746" s="32" t="str">
        <f t="shared" si="1750"/>
        <v/>
      </c>
      <c r="AH1746" s="33"/>
    </row>
    <row r="1747" hidden="1" outlineLevel="3">
      <c r="A1747" s="16" t="b">
        <v>0</v>
      </c>
      <c r="B1747" s="17"/>
      <c r="C1747" s="18"/>
      <c r="D1747" s="19"/>
      <c r="E1747" s="20"/>
      <c r="F1747" s="21"/>
      <c r="G1747" s="22"/>
      <c r="H1747" s="22"/>
      <c r="I1747" s="23"/>
      <c r="J1747" s="22"/>
      <c r="K1747" s="23"/>
      <c r="L1747" s="22"/>
      <c r="M1747" s="23"/>
      <c r="N1747" s="23"/>
      <c r="O1747" s="24"/>
      <c r="P1747" s="16" t="b">
        <v>0</v>
      </c>
      <c r="Q1747" s="24"/>
      <c r="R1747" s="25"/>
      <c r="S1747" s="26"/>
      <c r="T1747" s="27"/>
      <c r="U1747" s="24"/>
      <c r="V1747" s="28" t="s">
        <v>1070</v>
      </c>
      <c r="W1747" s="29" t="s">
        <v>22</v>
      </c>
      <c r="X1747" s="37" t="s">
        <v>964</v>
      </c>
      <c r="Y1747" s="31"/>
      <c r="Z1747" s="26" t="str">
        <f t="shared" si="5"/>
        <v/>
      </c>
      <c r="AA1747" s="26" t="str">
        <f t="shared" si="6"/>
        <v/>
      </c>
      <c r="AB1747" s="32" t="str">
        <f t="shared" si="7"/>
        <v/>
      </c>
      <c r="AC1747" s="32" t="str">
        <f t="shared" ref="AC1747:AG1747" si="1751">IF(J1747&lt;&gt;"", IF(AND($P1747=FALSE, $A1747=FALSE), -J1747, IF(AND($P1747=FALSE, $A1747=TRUE), 0, IF($P1747=TRUE, (J1747 / $R1747) * 100 * ($S1747 / 100)-J1747, ))), )</f>
        <v/>
      </c>
      <c r="AD1747" s="32" t="str">
        <f t="shared" si="1751"/>
        <v/>
      </c>
      <c r="AE1747" s="32" t="str">
        <f t="shared" si="1751"/>
        <v/>
      </c>
      <c r="AF1747" s="32" t="str">
        <f t="shared" si="1751"/>
        <v/>
      </c>
      <c r="AG1747" s="32" t="str">
        <f t="shared" si="1751"/>
        <v/>
      </c>
      <c r="AH1747" s="33"/>
    </row>
    <row r="1748" hidden="1" outlineLevel="3">
      <c r="A1748" s="16" t="b">
        <v>0</v>
      </c>
      <c r="B1748" s="17"/>
      <c r="C1748" s="18"/>
      <c r="D1748" s="19"/>
      <c r="E1748" s="20"/>
      <c r="F1748" s="21"/>
      <c r="G1748" s="22"/>
      <c r="H1748" s="22"/>
      <c r="I1748" s="23"/>
      <c r="J1748" s="22"/>
      <c r="K1748" s="23"/>
      <c r="L1748" s="22"/>
      <c r="M1748" s="23"/>
      <c r="N1748" s="23"/>
      <c r="O1748" s="24"/>
      <c r="P1748" s="16" t="b">
        <v>0</v>
      </c>
      <c r="Q1748" s="24"/>
      <c r="R1748" s="25"/>
      <c r="S1748" s="26"/>
      <c r="T1748" s="27"/>
      <c r="U1748" s="24"/>
      <c r="V1748" s="28" t="s">
        <v>29</v>
      </c>
      <c r="W1748" s="29" t="s">
        <v>22</v>
      </c>
      <c r="X1748" s="37" t="s">
        <v>899</v>
      </c>
      <c r="Y1748" s="31"/>
      <c r="Z1748" s="26" t="str">
        <f t="shared" si="5"/>
        <v/>
      </c>
      <c r="AA1748" s="26" t="str">
        <f t="shared" si="6"/>
        <v/>
      </c>
      <c r="AB1748" s="32" t="str">
        <f t="shared" si="7"/>
        <v/>
      </c>
      <c r="AC1748" s="32" t="str">
        <f t="shared" ref="AC1748:AG1748" si="1752">IF(J1748&lt;&gt;"", IF(AND($P1748=FALSE, $A1748=FALSE), -J1748, IF(AND($P1748=FALSE, $A1748=TRUE), 0, IF($P1748=TRUE, (J1748 / $R1748) * 100 * ($S1748 / 100)-J1748, ))), )</f>
        <v/>
      </c>
      <c r="AD1748" s="32" t="str">
        <f t="shared" si="1752"/>
        <v/>
      </c>
      <c r="AE1748" s="32" t="str">
        <f t="shared" si="1752"/>
        <v/>
      </c>
      <c r="AF1748" s="32" t="str">
        <f t="shared" si="1752"/>
        <v/>
      </c>
      <c r="AG1748" s="32" t="str">
        <f t="shared" si="1752"/>
        <v/>
      </c>
      <c r="AH1748" s="33"/>
    </row>
    <row r="1749" hidden="1" outlineLevel="3">
      <c r="A1749" s="16" t="b">
        <v>0</v>
      </c>
      <c r="B1749" s="17"/>
      <c r="C1749" s="18"/>
      <c r="D1749" s="19"/>
      <c r="E1749" s="20"/>
      <c r="F1749" s="21"/>
      <c r="G1749" s="22"/>
      <c r="H1749" s="22"/>
      <c r="I1749" s="23"/>
      <c r="J1749" s="22"/>
      <c r="K1749" s="23"/>
      <c r="L1749" s="22"/>
      <c r="M1749" s="23"/>
      <c r="N1749" s="23"/>
      <c r="O1749" s="24"/>
      <c r="P1749" s="16" t="b">
        <v>0</v>
      </c>
      <c r="Q1749" s="24"/>
      <c r="R1749" s="25"/>
      <c r="S1749" s="26"/>
      <c r="T1749" s="27"/>
      <c r="U1749" s="24"/>
      <c r="V1749" s="28" t="s">
        <v>29</v>
      </c>
      <c r="W1749" s="29" t="s">
        <v>22</v>
      </c>
      <c r="X1749" s="37" t="s">
        <v>312</v>
      </c>
      <c r="Y1749" s="31"/>
      <c r="Z1749" s="26" t="str">
        <f t="shared" si="5"/>
        <v/>
      </c>
      <c r="AA1749" s="26" t="str">
        <f t="shared" si="6"/>
        <v/>
      </c>
      <c r="AB1749" s="32" t="str">
        <f t="shared" si="7"/>
        <v/>
      </c>
      <c r="AC1749" s="32" t="str">
        <f t="shared" ref="AC1749:AG1749" si="1753">IF(J1749&lt;&gt;"", IF(AND($P1749=FALSE, $A1749=FALSE), -J1749, IF(AND($P1749=FALSE, $A1749=TRUE), 0, IF($P1749=TRUE, (J1749 / $R1749) * 100 * ($S1749 / 100)-J1749, ))), )</f>
        <v/>
      </c>
      <c r="AD1749" s="32" t="str">
        <f t="shared" si="1753"/>
        <v/>
      </c>
      <c r="AE1749" s="32" t="str">
        <f t="shared" si="1753"/>
        <v/>
      </c>
      <c r="AF1749" s="32" t="str">
        <f t="shared" si="1753"/>
        <v/>
      </c>
      <c r="AG1749" s="32" t="str">
        <f t="shared" si="1753"/>
        <v/>
      </c>
      <c r="AH1749" s="33"/>
    </row>
    <row r="1750" hidden="1" outlineLevel="3">
      <c r="A1750" s="16" t="b">
        <v>0</v>
      </c>
      <c r="B1750" s="17"/>
      <c r="C1750" s="18"/>
      <c r="D1750" s="19"/>
      <c r="E1750" s="20"/>
      <c r="F1750" s="21"/>
      <c r="G1750" s="22"/>
      <c r="H1750" s="22"/>
      <c r="I1750" s="23"/>
      <c r="J1750" s="22"/>
      <c r="K1750" s="23"/>
      <c r="L1750" s="22"/>
      <c r="M1750" s="23"/>
      <c r="N1750" s="23"/>
      <c r="O1750" s="24"/>
      <c r="P1750" s="16" t="b">
        <v>0</v>
      </c>
      <c r="Q1750" s="24"/>
      <c r="R1750" s="25"/>
      <c r="S1750" s="26"/>
      <c r="T1750" s="27"/>
      <c r="U1750" s="24"/>
      <c r="V1750" s="28" t="s">
        <v>29</v>
      </c>
      <c r="W1750" s="29" t="s">
        <v>22</v>
      </c>
      <c r="X1750" s="37" t="s">
        <v>1140</v>
      </c>
      <c r="Y1750" s="31"/>
      <c r="Z1750" s="26" t="str">
        <f t="shared" si="5"/>
        <v/>
      </c>
      <c r="AA1750" s="26" t="str">
        <f t="shared" si="6"/>
        <v/>
      </c>
      <c r="AB1750" s="32" t="str">
        <f t="shared" si="7"/>
        <v/>
      </c>
      <c r="AC1750" s="32" t="str">
        <f t="shared" ref="AC1750:AG1750" si="1754">IF(J1750&lt;&gt;"", IF(AND($P1750=FALSE, $A1750=FALSE), -J1750, IF(AND($P1750=FALSE, $A1750=TRUE), 0, IF($P1750=TRUE, (J1750 / $R1750) * 100 * ($S1750 / 100)-J1750, ))), )</f>
        <v/>
      </c>
      <c r="AD1750" s="32" t="str">
        <f t="shared" si="1754"/>
        <v/>
      </c>
      <c r="AE1750" s="32" t="str">
        <f t="shared" si="1754"/>
        <v/>
      </c>
      <c r="AF1750" s="32" t="str">
        <f t="shared" si="1754"/>
        <v/>
      </c>
      <c r="AG1750" s="32" t="str">
        <f t="shared" si="1754"/>
        <v/>
      </c>
      <c r="AH1750" s="33"/>
    </row>
    <row r="1751" hidden="1" outlineLevel="3">
      <c r="A1751" s="16" t="b">
        <v>0</v>
      </c>
      <c r="B1751" s="17"/>
      <c r="C1751" s="18"/>
      <c r="D1751" s="19"/>
      <c r="E1751" s="20"/>
      <c r="F1751" s="21"/>
      <c r="G1751" s="22"/>
      <c r="H1751" s="22"/>
      <c r="I1751" s="23"/>
      <c r="J1751" s="22"/>
      <c r="K1751" s="23"/>
      <c r="L1751" s="22"/>
      <c r="M1751" s="23"/>
      <c r="N1751" s="23"/>
      <c r="O1751" s="24"/>
      <c r="P1751" s="16" t="b">
        <v>0</v>
      </c>
      <c r="Q1751" s="24"/>
      <c r="R1751" s="25"/>
      <c r="S1751" s="26"/>
      <c r="T1751" s="27"/>
      <c r="U1751" s="24"/>
      <c r="V1751" s="66">
        <v>24.0</v>
      </c>
      <c r="W1751" s="29" t="s">
        <v>22</v>
      </c>
      <c r="X1751" s="37" t="s">
        <v>894</v>
      </c>
      <c r="Y1751" s="31"/>
      <c r="Z1751" s="26" t="str">
        <f t="shared" si="5"/>
        <v/>
      </c>
      <c r="AA1751" s="26" t="str">
        <f t="shared" si="6"/>
        <v/>
      </c>
      <c r="AB1751" s="32" t="str">
        <f t="shared" si="7"/>
        <v/>
      </c>
      <c r="AC1751" s="32" t="str">
        <f t="shared" ref="AC1751:AG1751" si="1755">IF(J1751&lt;&gt;"", IF(AND($P1751=FALSE, $A1751=FALSE), -J1751, IF(AND($P1751=FALSE, $A1751=TRUE), 0, IF($P1751=TRUE, (J1751 / $R1751) * 100 * ($S1751 / 100)-J1751, ))), )</f>
        <v/>
      </c>
      <c r="AD1751" s="32" t="str">
        <f t="shared" si="1755"/>
        <v/>
      </c>
      <c r="AE1751" s="32" t="str">
        <f t="shared" si="1755"/>
        <v/>
      </c>
      <c r="AF1751" s="32" t="str">
        <f t="shared" si="1755"/>
        <v/>
      </c>
      <c r="AG1751" s="32" t="str">
        <f t="shared" si="1755"/>
        <v/>
      </c>
      <c r="AH1751" s="33"/>
    </row>
    <row r="1752" hidden="1" outlineLevel="3">
      <c r="A1752" s="16" t="b">
        <v>0</v>
      </c>
      <c r="B1752" s="17"/>
      <c r="C1752" s="18"/>
      <c r="D1752" s="19"/>
      <c r="E1752" s="20"/>
      <c r="F1752" s="21"/>
      <c r="G1752" s="22"/>
      <c r="H1752" s="22"/>
      <c r="I1752" s="23"/>
      <c r="J1752" s="22"/>
      <c r="K1752" s="23"/>
      <c r="L1752" s="22"/>
      <c r="M1752" s="23"/>
      <c r="N1752" s="23"/>
      <c r="O1752" s="24"/>
      <c r="P1752" s="16" t="b">
        <v>0</v>
      </c>
      <c r="Q1752" s="24"/>
      <c r="R1752" s="25"/>
      <c r="S1752" s="26"/>
      <c r="T1752" s="27"/>
      <c r="U1752" s="24"/>
      <c r="V1752" s="28" t="s">
        <v>29</v>
      </c>
      <c r="W1752" s="29" t="s">
        <v>22</v>
      </c>
      <c r="X1752" s="37" t="s">
        <v>1141</v>
      </c>
      <c r="Y1752" s="31"/>
      <c r="Z1752" s="26" t="str">
        <f t="shared" si="5"/>
        <v/>
      </c>
      <c r="AA1752" s="26" t="str">
        <f t="shared" si="6"/>
        <v/>
      </c>
      <c r="AB1752" s="32" t="str">
        <f t="shared" si="7"/>
        <v/>
      </c>
      <c r="AC1752" s="32" t="str">
        <f t="shared" ref="AC1752:AG1752" si="1756">IF(J1752&lt;&gt;"", IF(AND($P1752=FALSE, $A1752=FALSE), -J1752, IF(AND($P1752=FALSE, $A1752=TRUE), 0, IF($P1752=TRUE, (J1752 / $R1752) * 100 * ($S1752 / 100)-J1752, ))), )</f>
        <v/>
      </c>
      <c r="AD1752" s="32" t="str">
        <f t="shared" si="1756"/>
        <v/>
      </c>
      <c r="AE1752" s="32" t="str">
        <f t="shared" si="1756"/>
        <v/>
      </c>
      <c r="AF1752" s="32" t="str">
        <f t="shared" si="1756"/>
        <v/>
      </c>
      <c r="AG1752" s="32" t="str">
        <f t="shared" si="1756"/>
        <v/>
      </c>
      <c r="AH1752" s="33"/>
    </row>
    <row r="1753" hidden="1" outlineLevel="3">
      <c r="A1753" s="16" t="b">
        <v>0</v>
      </c>
      <c r="B1753" s="17"/>
      <c r="C1753" s="18"/>
      <c r="D1753" s="19"/>
      <c r="E1753" s="20"/>
      <c r="F1753" s="21"/>
      <c r="G1753" s="22"/>
      <c r="H1753" s="22"/>
      <c r="I1753" s="23"/>
      <c r="J1753" s="22"/>
      <c r="K1753" s="23"/>
      <c r="L1753" s="22"/>
      <c r="M1753" s="23"/>
      <c r="N1753" s="23"/>
      <c r="O1753" s="24"/>
      <c r="P1753" s="16" t="b">
        <v>0</v>
      </c>
      <c r="Q1753" s="24"/>
      <c r="R1753" s="25"/>
      <c r="S1753" s="26"/>
      <c r="T1753" s="27"/>
      <c r="U1753" s="24"/>
      <c r="V1753" s="28" t="s">
        <v>29</v>
      </c>
      <c r="W1753" s="29" t="s">
        <v>22</v>
      </c>
      <c r="X1753" s="37" t="s">
        <v>1142</v>
      </c>
      <c r="Y1753" s="31"/>
      <c r="Z1753" s="26" t="str">
        <f t="shared" si="5"/>
        <v/>
      </c>
      <c r="AA1753" s="26" t="str">
        <f t="shared" si="6"/>
        <v/>
      </c>
      <c r="AB1753" s="32" t="str">
        <f t="shared" si="7"/>
        <v/>
      </c>
      <c r="AC1753" s="32" t="str">
        <f t="shared" ref="AC1753:AG1753" si="1757">IF(J1753&lt;&gt;"", IF(AND($P1753=FALSE, $A1753=FALSE), -J1753, IF(AND($P1753=FALSE, $A1753=TRUE), 0, IF($P1753=TRUE, (J1753 / $R1753) * 100 * ($S1753 / 100)-J1753, ))), )</f>
        <v/>
      </c>
      <c r="AD1753" s="32" t="str">
        <f t="shared" si="1757"/>
        <v/>
      </c>
      <c r="AE1753" s="32" t="str">
        <f t="shared" si="1757"/>
        <v/>
      </c>
      <c r="AF1753" s="32" t="str">
        <f t="shared" si="1757"/>
        <v/>
      </c>
      <c r="AG1753" s="32" t="str">
        <f t="shared" si="1757"/>
        <v/>
      </c>
      <c r="AH1753" s="33"/>
    </row>
    <row r="1754" hidden="1" outlineLevel="3">
      <c r="A1754" s="16" t="b">
        <v>0</v>
      </c>
      <c r="B1754" s="17"/>
      <c r="C1754" s="18"/>
      <c r="D1754" s="19"/>
      <c r="E1754" s="20"/>
      <c r="F1754" s="21"/>
      <c r="G1754" s="22"/>
      <c r="H1754" s="22"/>
      <c r="I1754" s="23"/>
      <c r="J1754" s="22"/>
      <c r="K1754" s="23"/>
      <c r="L1754" s="22"/>
      <c r="M1754" s="23"/>
      <c r="N1754" s="23"/>
      <c r="O1754" s="24"/>
      <c r="P1754" s="16" t="b">
        <v>0</v>
      </c>
      <c r="Q1754" s="24"/>
      <c r="R1754" s="25"/>
      <c r="S1754" s="26"/>
      <c r="T1754" s="27"/>
      <c r="U1754" s="24"/>
      <c r="V1754" s="66">
        <v>-3.0</v>
      </c>
      <c r="W1754" s="29" t="s">
        <v>22</v>
      </c>
      <c r="X1754" s="37" t="s">
        <v>1143</v>
      </c>
      <c r="Y1754" s="31"/>
      <c r="Z1754" s="26" t="str">
        <f t="shared" si="5"/>
        <v/>
      </c>
      <c r="AA1754" s="26" t="str">
        <f t="shared" si="6"/>
        <v/>
      </c>
      <c r="AB1754" s="32" t="str">
        <f t="shared" si="7"/>
        <v/>
      </c>
      <c r="AC1754" s="32" t="str">
        <f t="shared" ref="AC1754:AG1754" si="1758">IF(J1754&lt;&gt;"", IF(AND($P1754=FALSE, $A1754=FALSE), -J1754, IF(AND($P1754=FALSE, $A1754=TRUE), 0, IF($P1754=TRUE, (J1754 / $R1754) * 100 * ($S1754 / 100)-J1754, ))), )</f>
        <v/>
      </c>
      <c r="AD1754" s="32" t="str">
        <f t="shared" si="1758"/>
        <v/>
      </c>
      <c r="AE1754" s="32" t="str">
        <f t="shared" si="1758"/>
        <v/>
      </c>
      <c r="AF1754" s="32" t="str">
        <f t="shared" si="1758"/>
        <v/>
      </c>
      <c r="AG1754" s="32" t="str">
        <f t="shared" si="1758"/>
        <v/>
      </c>
      <c r="AH1754" s="33"/>
    </row>
    <row r="1755" hidden="1" outlineLevel="2" collapsed="1">
      <c r="A1755" s="16" t="b">
        <v>0</v>
      </c>
      <c r="B1755" s="17"/>
      <c r="C1755" s="18"/>
      <c r="D1755" s="42">
        <v>45311.0</v>
      </c>
      <c r="E1755" s="43" t="s">
        <v>24</v>
      </c>
      <c r="F1755" s="53" t="s">
        <v>1128</v>
      </c>
      <c r="G1755" s="45">
        <v>3.0</v>
      </c>
      <c r="H1755" s="45">
        <v>1.5</v>
      </c>
      <c r="I1755" s="45">
        <v>3.0</v>
      </c>
      <c r="J1755" s="46"/>
      <c r="K1755" s="46"/>
      <c r="L1755" s="45"/>
      <c r="M1755" s="46"/>
      <c r="N1755" s="46"/>
      <c r="O1755" s="47"/>
      <c r="P1755" s="16" t="b">
        <v>0</v>
      </c>
      <c r="Q1755" s="24"/>
      <c r="R1755" s="48">
        <v>7.5</v>
      </c>
      <c r="S1755" s="45">
        <v>15.95</v>
      </c>
      <c r="T1755" s="49" t="s">
        <v>567</v>
      </c>
      <c r="U1755" s="47"/>
      <c r="V1755" s="28"/>
      <c r="W1755" s="29"/>
      <c r="X1755" s="30"/>
      <c r="Y1755" s="31"/>
      <c r="Z1755" s="26">
        <f t="shared" si="5"/>
        <v>-3</v>
      </c>
      <c r="AA1755" s="26">
        <f t="shared" si="6"/>
        <v>-3</v>
      </c>
      <c r="AB1755" s="32">
        <f t="shared" si="7"/>
        <v>-1.5</v>
      </c>
      <c r="AC1755" s="32" t="str">
        <f t="shared" ref="AC1755:AG1755" si="1759">IF(J1755&lt;&gt;"", IF(AND($P1755=FALSE, $A1755=FALSE), -J1755, IF(AND($P1755=FALSE, $A1755=TRUE), 0, IF($P1755=TRUE, (J1755 / $R1755) * 100 * ($S1755 / 100)-J1755, ))), )</f>
        <v/>
      </c>
      <c r="AD1755" s="32" t="str">
        <f t="shared" si="1759"/>
        <v/>
      </c>
      <c r="AE1755" s="32" t="str">
        <f t="shared" si="1759"/>
        <v/>
      </c>
      <c r="AF1755" s="32" t="str">
        <f t="shared" si="1759"/>
        <v/>
      </c>
      <c r="AG1755" s="32" t="str">
        <f t="shared" si="1759"/>
        <v/>
      </c>
      <c r="AH1755" s="33"/>
    </row>
    <row r="1756" hidden="1" outlineLevel="3">
      <c r="A1756" s="16" t="b">
        <v>0</v>
      </c>
      <c r="B1756" s="17"/>
      <c r="C1756" s="18"/>
      <c r="D1756" s="19"/>
      <c r="E1756" s="20"/>
      <c r="F1756" s="21"/>
      <c r="G1756" s="22"/>
      <c r="H1756" s="22"/>
      <c r="I1756" s="23"/>
      <c r="J1756" s="22"/>
      <c r="K1756" s="23"/>
      <c r="L1756" s="22"/>
      <c r="M1756" s="23"/>
      <c r="N1756" s="23"/>
      <c r="O1756" s="24"/>
      <c r="P1756" s="16" t="b">
        <v>0</v>
      </c>
      <c r="Q1756" s="24"/>
      <c r="R1756" s="25"/>
      <c r="S1756" s="26"/>
      <c r="T1756" s="27"/>
      <c r="U1756" s="24"/>
      <c r="V1756" s="28" t="s">
        <v>29</v>
      </c>
      <c r="W1756" s="29" t="s">
        <v>22</v>
      </c>
      <c r="X1756" s="37" t="s">
        <v>399</v>
      </c>
      <c r="Y1756" s="31"/>
      <c r="Z1756" s="26" t="str">
        <f t="shared" si="5"/>
        <v/>
      </c>
      <c r="AA1756" s="26" t="str">
        <f t="shared" si="6"/>
        <v/>
      </c>
      <c r="AB1756" s="32" t="str">
        <f t="shared" si="7"/>
        <v/>
      </c>
      <c r="AC1756" s="32" t="str">
        <f t="shared" ref="AC1756:AG1756" si="1760">IF(J1756&lt;&gt;"", IF(AND($P1756=FALSE, $A1756=FALSE), -J1756, IF(AND($P1756=FALSE, $A1756=TRUE), 0, IF($P1756=TRUE, (J1756 / $R1756) * 100 * ($S1756 / 100)-J1756, ))), )</f>
        <v/>
      </c>
      <c r="AD1756" s="32" t="str">
        <f t="shared" si="1760"/>
        <v/>
      </c>
      <c r="AE1756" s="32" t="str">
        <f t="shared" si="1760"/>
        <v/>
      </c>
      <c r="AF1756" s="32" t="str">
        <f t="shared" si="1760"/>
        <v/>
      </c>
      <c r="AG1756" s="32" t="str">
        <f t="shared" si="1760"/>
        <v/>
      </c>
      <c r="AH1756" s="33"/>
    </row>
    <row r="1757" hidden="1" outlineLevel="3">
      <c r="A1757" s="16" t="b">
        <v>0</v>
      </c>
      <c r="B1757" s="17"/>
      <c r="C1757" s="18"/>
      <c r="D1757" s="19"/>
      <c r="E1757" s="20"/>
      <c r="F1757" s="21"/>
      <c r="G1757" s="22"/>
      <c r="H1757" s="22"/>
      <c r="I1757" s="23"/>
      <c r="J1757" s="22"/>
      <c r="K1757" s="23"/>
      <c r="L1757" s="22"/>
      <c r="M1757" s="23"/>
      <c r="N1757" s="23"/>
      <c r="O1757" s="24"/>
      <c r="P1757" s="16" t="b">
        <v>0</v>
      </c>
      <c r="Q1757" s="24"/>
      <c r="R1757" s="25"/>
      <c r="S1757" s="26"/>
      <c r="T1757" s="27"/>
      <c r="U1757" s="24"/>
      <c r="V1757" s="28" t="s">
        <v>29</v>
      </c>
      <c r="W1757" s="29" t="s">
        <v>22</v>
      </c>
      <c r="X1757" s="37" t="s">
        <v>683</v>
      </c>
      <c r="Y1757" s="31"/>
      <c r="Z1757" s="26" t="str">
        <f t="shared" si="5"/>
        <v/>
      </c>
      <c r="AA1757" s="26" t="str">
        <f t="shared" si="6"/>
        <v/>
      </c>
      <c r="AB1757" s="32" t="str">
        <f t="shared" si="7"/>
        <v/>
      </c>
      <c r="AC1757" s="32" t="str">
        <f t="shared" ref="AC1757:AG1757" si="1761">IF(J1757&lt;&gt;"", IF(AND($P1757=FALSE, $A1757=FALSE), -J1757, IF(AND($P1757=FALSE, $A1757=TRUE), 0, IF($P1757=TRUE, (J1757 / $R1757) * 100 * ($S1757 / 100)-J1757, ))), )</f>
        <v/>
      </c>
      <c r="AD1757" s="32" t="str">
        <f t="shared" si="1761"/>
        <v/>
      </c>
      <c r="AE1757" s="32" t="str">
        <f t="shared" si="1761"/>
        <v/>
      </c>
      <c r="AF1757" s="32" t="str">
        <f t="shared" si="1761"/>
        <v/>
      </c>
      <c r="AG1757" s="32" t="str">
        <f t="shared" si="1761"/>
        <v/>
      </c>
      <c r="AH1757" s="33"/>
    </row>
    <row r="1758" hidden="1" outlineLevel="3">
      <c r="A1758" s="16" t="b">
        <v>0</v>
      </c>
      <c r="B1758" s="17"/>
      <c r="C1758" s="18"/>
      <c r="D1758" s="19"/>
      <c r="E1758" s="20"/>
      <c r="F1758" s="21"/>
      <c r="G1758" s="22"/>
      <c r="H1758" s="22"/>
      <c r="I1758" s="23"/>
      <c r="J1758" s="22"/>
      <c r="K1758" s="23"/>
      <c r="L1758" s="22"/>
      <c r="M1758" s="23"/>
      <c r="N1758" s="23"/>
      <c r="O1758" s="24"/>
      <c r="P1758" s="16" t="b">
        <v>0</v>
      </c>
      <c r="Q1758" s="24"/>
      <c r="R1758" s="25"/>
      <c r="S1758" s="26"/>
      <c r="T1758" s="27"/>
      <c r="U1758" s="24"/>
      <c r="V1758" s="66">
        <v>24.0</v>
      </c>
      <c r="W1758" s="29" t="s">
        <v>22</v>
      </c>
      <c r="X1758" s="37" t="s">
        <v>313</v>
      </c>
      <c r="Y1758" s="31"/>
      <c r="Z1758" s="26" t="str">
        <f t="shared" si="5"/>
        <v/>
      </c>
      <c r="AA1758" s="26" t="str">
        <f t="shared" si="6"/>
        <v/>
      </c>
      <c r="AB1758" s="32" t="str">
        <f t="shared" si="7"/>
        <v/>
      </c>
      <c r="AC1758" s="32" t="str">
        <f t="shared" ref="AC1758:AG1758" si="1762">IF(J1758&lt;&gt;"", IF(AND($P1758=FALSE, $A1758=FALSE), -J1758, IF(AND($P1758=FALSE, $A1758=TRUE), 0, IF($P1758=TRUE, (J1758 / $R1758) * 100 * ($S1758 / 100)-J1758, ))), )</f>
        <v/>
      </c>
      <c r="AD1758" s="32" t="str">
        <f t="shared" si="1762"/>
        <v/>
      </c>
      <c r="AE1758" s="32" t="str">
        <f t="shared" si="1762"/>
        <v/>
      </c>
      <c r="AF1758" s="32" t="str">
        <f t="shared" si="1762"/>
        <v/>
      </c>
      <c r="AG1758" s="32" t="str">
        <f t="shared" si="1762"/>
        <v/>
      </c>
      <c r="AH1758" s="33"/>
    </row>
    <row r="1759" hidden="1" outlineLevel="3">
      <c r="A1759" s="16" t="b">
        <v>0</v>
      </c>
      <c r="B1759" s="17"/>
      <c r="C1759" s="18"/>
      <c r="D1759" s="19"/>
      <c r="E1759" s="20"/>
      <c r="F1759" s="21"/>
      <c r="G1759" s="22"/>
      <c r="H1759" s="22"/>
      <c r="I1759" s="23"/>
      <c r="J1759" s="22"/>
      <c r="K1759" s="23"/>
      <c r="L1759" s="22"/>
      <c r="M1759" s="23"/>
      <c r="N1759" s="23"/>
      <c r="O1759" s="24"/>
      <c r="P1759" s="16" t="b">
        <v>0</v>
      </c>
      <c r="Q1759" s="24"/>
      <c r="R1759" s="25"/>
      <c r="S1759" s="26"/>
      <c r="T1759" s="27"/>
      <c r="U1759" s="24"/>
      <c r="V1759" s="28" t="s">
        <v>29</v>
      </c>
      <c r="W1759" s="29" t="s">
        <v>22</v>
      </c>
      <c r="X1759" s="37" t="s">
        <v>1002</v>
      </c>
      <c r="Y1759" s="31"/>
      <c r="Z1759" s="26" t="str">
        <f t="shared" si="5"/>
        <v/>
      </c>
      <c r="AA1759" s="26" t="str">
        <f t="shared" si="6"/>
        <v/>
      </c>
      <c r="AB1759" s="32" t="str">
        <f t="shared" si="7"/>
        <v/>
      </c>
      <c r="AC1759" s="32" t="str">
        <f t="shared" ref="AC1759:AG1759" si="1763">IF(J1759&lt;&gt;"", IF(AND($P1759=FALSE, $A1759=FALSE), -J1759, IF(AND($P1759=FALSE, $A1759=TRUE), 0, IF($P1759=TRUE, (J1759 / $R1759) * 100 * ($S1759 / 100)-J1759, ))), )</f>
        <v/>
      </c>
      <c r="AD1759" s="32" t="str">
        <f t="shared" si="1763"/>
        <v/>
      </c>
      <c r="AE1759" s="32" t="str">
        <f t="shared" si="1763"/>
        <v/>
      </c>
      <c r="AF1759" s="32" t="str">
        <f t="shared" si="1763"/>
        <v/>
      </c>
      <c r="AG1759" s="32" t="str">
        <f t="shared" si="1763"/>
        <v/>
      </c>
      <c r="AH1759" s="33"/>
    </row>
    <row r="1760" hidden="1" outlineLevel="3">
      <c r="A1760" s="16" t="b">
        <v>0</v>
      </c>
      <c r="B1760" s="17"/>
      <c r="C1760" s="18"/>
      <c r="D1760" s="19"/>
      <c r="E1760" s="20"/>
      <c r="F1760" s="21"/>
      <c r="G1760" s="22"/>
      <c r="H1760" s="22"/>
      <c r="I1760" s="23"/>
      <c r="J1760" s="22"/>
      <c r="K1760" s="23"/>
      <c r="L1760" s="22"/>
      <c r="M1760" s="23"/>
      <c r="N1760" s="23"/>
      <c r="O1760" s="24"/>
      <c r="P1760" s="16" t="b">
        <v>0</v>
      </c>
      <c r="Q1760" s="24"/>
      <c r="R1760" s="25"/>
      <c r="S1760" s="26"/>
      <c r="T1760" s="27"/>
      <c r="U1760" s="24"/>
      <c r="V1760" s="28" t="s">
        <v>29</v>
      </c>
      <c r="W1760" s="29" t="s">
        <v>22</v>
      </c>
      <c r="X1760" s="37" t="s">
        <v>1144</v>
      </c>
      <c r="Y1760" s="31"/>
      <c r="Z1760" s="26" t="str">
        <f t="shared" si="5"/>
        <v/>
      </c>
      <c r="AA1760" s="26" t="str">
        <f t="shared" si="6"/>
        <v/>
      </c>
      <c r="AB1760" s="32" t="str">
        <f t="shared" si="7"/>
        <v/>
      </c>
      <c r="AC1760" s="32" t="str">
        <f t="shared" ref="AC1760:AG1760" si="1764">IF(J1760&lt;&gt;"", IF(AND($P1760=FALSE, $A1760=FALSE), -J1760, IF(AND($P1760=FALSE, $A1760=TRUE), 0, IF($P1760=TRUE, (J1760 / $R1760) * 100 * ($S1760 / 100)-J1760, ))), )</f>
        <v/>
      </c>
      <c r="AD1760" s="32" t="str">
        <f t="shared" si="1764"/>
        <v/>
      </c>
      <c r="AE1760" s="32" t="str">
        <f t="shared" si="1764"/>
        <v/>
      </c>
      <c r="AF1760" s="32" t="str">
        <f t="shared" si="1764"/>
        <v/>
      </c>
      <c r="AG1760" s="32" t="str">
        <f t="shared" si="1764"/>
        <v/>
      </c>
      <c r="AH1760" s="33"/>
    </row>
    <row r="1761" hidden="1" outlineLevel="2" collapsed="1">
      <c r="A1761" s="16" t="b">
        <v>0</v>
      </c>
      <c r="B1761" s="17"/>
      <c r="C1761" s="18"/>
      <c r="D1761" s="42">
        <v>45308.0</v>
      </c>
      <c r="E1761" s="80" t="s">
        <v>60</v>
      </c>
      <c r="F1761" s="53" t="s">
        <v>1003</v>
      </c>
      <c r="G1761" s="45">
        <v>2.0</v>
      </c>
      <c r="H1761" s="45">
        <v>1.0</v>
      </c>
      <c r="I1761" s="45"/>
      <c r="J1761" s="45"/>
      <c r="K1761" s="79"/>
      <c r="L1761" s="45"/>
      <c r="M1761" s="46"/>
      <c r="N1761" s="46"/>
      <c r="O1761" s="47"/>
      <c r="P1761" s="16" t="b">
        <v>0</v>
      </c>
      <c r="Q1761" s="24"/>
      <c r="R1761" s="48">
        <v>3.0</v>
      </c>
      <c r="S1761" s="45">
        <v>6.43</v>
      </c>
      <c r="T1761" s="49" t="s">
        <v>327</v>
      </c>
      <c r="U1761" s="47"/>
      <c r="V1761" s="28"/>
      <c r="W1761" s="29"/>
      <c r="X1761" s="30"/>
      <c r="Y1761" s="31"/>
      <c r="Z1761" s="26">
        <f t="shared" si="5"/>
        <v>-2</v>
      </c>
      <c r="AA1761" s="26" t="str">
        <f t="shared" si="6"/>
        <v/>
      </c>
      <c r="AB1761" s="32">
        <f t="shared" si="7"/>
        <v>-1</v>
      </c>
      <c r="AC1761" s="32" t="str">
        <f t="shared" ref="AC1761:AG1761" si="1765">IF(J1761&lt;&gt;"", IF(AND($P1761=FALSE, $A1761=FALSE), -J1761, IF(AND($P1761=FALSE, $A1761=TRUE), 0, IF($P1761=TRUE, (J1761 / $R1761) * 100 * ($S1761 / 100)-J1761, ))), )</f>
        <v/>
      </c>
      <c r="AD1761" s="32" t="str">
        <f t="shared" si="1765"/>
        <v/>
      </c>
      <c r="AE1761" s="32" t="str">
        <f t="shared" si="1765"/>
        <v/>
      </c>
      <c r="AF1761" s="32" t="str">
        <f t="shared" si="1765"/>
        <v/>
      </c>
      <c r="AG1761" s="32" t="str">
        <f t="shared" si="1765"/>
        <v/>
      </c>
      <c r="AH1761" s="33"/>
    </row>
    <row r="1762" hidden="1" outlineLevel="3">
      <c r="A1762" s="16" t="b">
        <v>0</v>
      </c>
      <c r="B1762" s="17"/>
      <c r="C1762" s="18"/>
      <c r="D1762" s="19"/>
      <c r="E1762" s="20"/>
      <c r="F1762" s="21"/>
      <c r="G1762" s="22"/>
      <c r="H1762" s="22"/>
      <c r="I1762" s="23"/>
      <c r="J1762" s="22"/>
      <c r="K1762" s="23"/>
      <c r="L1762" s="22"/>
      <c r="M1762" s="23"/>
      <c r="N1762" s="23"/>
      <c r="O1762" s="24"/>
      <c r="P1762" s="16" t="b">
        <v>0</v>
      </c>
      <c r="Q1762" s="24"/>
      <c r="R1762" s="25"/>
      <c r="S1762" s="26"/>
      <c r="T1762" s="27"/>
      <c r="U1762" s="24"/>
      <c r="V1762" s="28" t="s">
        <v>29</v>
      </c>
      <c r="W1762" s="29" t="s">
        <v>22</v>
      </c>
      <c r="X1762" s="37" t="s">
        <v>455</v>
      </c>
      <c r="Y1762" s="31"/>
      <c r="Z1762" s="26" t="str">
        <f t="shared" si="5"/>
        <v/>
      </c>
      <c r="AA1762" s="26" t="str">
        <f t="shared" si="6"/>
        <v/>
      </c>
      <c r="AB1762" s="32" t="str">
        <f t="shared" si="7"/>
        <v/>
      </c>
      <c r="AC1762" s="32" t="str">
        <f t="shared" ref="AC1762:AG1762" si="1766">IF(J1762&lt;&gt;"", IF(AND($P1762=FALSE, $A1762=FALSE), -J1762, IF(AND($P1762=FALSE, $A1762=TRUE), 0, IF($P1762=TRUE, (J1762 / $R1762) * 100 * ($S1762 / 100)-J1762, ))), )</f>
        <v/>
      </c>
      <c r="AD1762" s="32" t="str">
        <f t="shared" si="1766"/>
        <v/>
      </c>
      <c r="AE1762" s="32" t="str">
        <f t="shared" si="1766"/>
        <v/>
      </c>
      <c r="AF1762" s="32" t="str">
        <f t="shared" si="1766"/>
        <v/>
      </c>
      <c r="AG1762" s="32" t="str">
        <f t="shared" si="1766"/>
        <v/>
      </c>
      <c r="AH1762" s="33"/>
    </row>
    <row r="1763" hidden="1" outlineLevel="3">
      <c r="A1763" s="16" t="b">
        <v>0</v>
      </c>
      <c r="B1763" s="17"/>
      <c r="C1763" s="18"/>
      <c r="D1763" s="19"/>
      <c r="E1763" s="20"/>
      <c r="F1763" s="21"/>
      <c r="G1763" s="22"/>
      <c r="H1763" s="22"/>
      <c r="I1763" s="23"/>
      <c r="J1763" s="22"/>
      <c r="K1763" s="23"/>
      <c r="L1763" s="22"/>
      <c r="M1763" s="23"/>
      <c r="N1763" s="23"/>
      <c r="O1763" s="24"/>
      <c r="P1763" s="16" t="b">
        <v>0</v>
      </c>
      <c r="Q1763" s="24"/>
      <c r="R1763" s="25"/>
      <c r="S1763" s="26"/>
      <c r="T1763" s="27"/>
      <c r="U1763" s="24"/>
      <c r="V1763" s="66">
        <v>9.0</v>
      </c>
      <c r="W1763" s="29" t="s">
        <v>22</v>
      </c>
      <c r="X1763" s="37" t="s">
        <v>1145</v>
      </c>
      <c r="Y1763" s="31"/>
      <c r="Z1763" s="26" t="str">
        <f t="shared" si="5"/>
        <v/>
      </c>
      <c r="AA1763" s="26" t="str">
        <f t="shared" si="6"/>
        <v/>
      </c>
      <c r="AB1763" s="32" t="str">
        <f t="shared" si="7"/>
        <v/>
      </c>
      <c r="AC1763" s="32" t="str">
        <f t="shared" ref="AC1763:AG1763" si="1767">IF(J1763&lt;&gt;"", IF(AND($P1763=FALSE, $A1763=FALSE), -J1763, IF(AND($P1763=FALSE, $A1763=TRUE), 0, IF($P1763=TRUE, (J1763 / $R1763) * 100 * ($S1763 / 100)-J1763, ))), )</f>
        <v/>
      </c>
      <c r="AD1763" s="32" t="str">
        <f t="shared" si="1767"/>
        <v/>
      </c>
      <c r="AE1763" s="32" t="str">
        <f t="shared" si="1767"/>
        <v/>
      </c>
      <c r="AF1763" s="32" t="str">
        <f t="shared" si="1767"/>
        <v/>
      </c>
      <c r="AG1763" s="32" t="str">
        <f t="shared" si="1767"/>
        <v/>
      </c>
      <c r="AH1763" s="33"/>
    </row>
    <row r="1764" hidden="1" outlineLevel="3">
      <c r="A1764" s="16" t="b">
        <v>0</v>
      </c>
      <c r="B1764" s="17"/>
      <c r="C1764" s="18"/>
      <c r="D1764" s="19"/>
      <c r="E1764" s="20"/>
      <c r="F1764" s="21"/>
      <c r="G1764" s="22"/>
      <c r="H1764" s="22"/>
      <c r="I1764" s="23"/>
      <c r="J1764" s="22"/>
      <c r="K1764" s="23"/>
      <c r="L1764" s="22"/>
      <c r="M1764" s="23"/>
      <c r="N1764" s="23"/>
      <c r="O1764" s="24"/>
      <c r="P1764" s="16" t="b">
        <v>0</v>
      </c>
      <c r="Q1764" s="24"/>
      <c r="R1764" s="25"/>
      <c r="S1764" s="26"/>
      <c r="T1764" s="27"/>
      <c r="U1764" s="24"/>
      <c r="V1764" s="28" t="s">
        <v>29</v>
      </c>
      <c r="W1764" s="29" t="s">
        <v>22</v>
      </c>
      <c r="X1764" s="37" t="s">
        <v>219</v>
      </c>
      <c r="Y1764" s="31"/>
      <c r="Z1764" s="26" t="str">
        <f t="shared" si="5"/>
        <v/>
      </c>
      <c r="AA1764" s="26" t="str">
        <f t="shared" si="6"/>
        <v/>
      </c>
      <c r="AB1764" s="32" t="str">
        <f t="shared" si="7"/>
        <v/>
      </c>
      <c r="AC1764" s="32" t="str">
        <f t="shared" ref="AC1764:AG1764" si="1768">IF(J1764&lt;&gt;"", IF(AND($P1764=FALSE, $A1764=FALSE), -J1764, IF(AND($P1764=FALSE, $A1764=TRUE), 0, IF($P1764=TRUE, (J1764 / $R1764) * 100 * ($S1764 / 100)-J1764, ))), )</f>
        <v/>
      </c>
      <c r="AD1764" s="32" t="str">
        <f t="shared" si="1768"/>
        <v/>
      </c>
      <c r="AE1764" s="32" t="str">
        <f t="shared" si="1768"/>
        <v/>
      </c>
      <c r="AF1764" s="32" t="str">
        <f t="shared" si="1768"/>
        <v/>
      </c>
      <c r="AG1764" s="32" t="str">
        <f t="shared" si="1768"/>
        <v/>
      </c>
      <c r="AH1764" s="33"/>
    </row>
    <row r="1765" hidden="1" outlineLevel="3">
      <c r="A1765" s="16" t="b">
        <v>0</v>
      </c>
      <c r="B1765" s="17"/>
      <c r="C1765" s="18"/>
      <c r="D1765" s="19"/>
      <c r="E1765" s="20"/>
      <c r="F1765" s="21"/>
      <c r="G1765" s="22"/>
      <c r="H1765" s="22"/>
      <c r="I1765" s="23"/>
      <c r="J1765" s="22"/>
      <c r="K1765" s="23"/>
      <c r="L1765" s="22"/>
      <c r="M1765" s="23"/>
      <c r="N1765" s="23"/>
      <c r="O1765" s="24"/>
      <c r="P1765" s="16" t="b">
        <v>0</v>
      </c>
      <c r="Q1765" s="24"/>
      <c r="R1765" s="25"/>
      <c r="S1765" s="26"/>
      <c r="T1765" s="27"/>
      <c r="U1765" s="24"/>
      <c r="V1765" s="66">
        <v>18.0</v>
      </c>
      <c r="W1765" s="29" t="s">
        <v>22</v>
      </c>
      <c r="X1765" s="37" t="s">
        <v>426</v>
      </c>
      <c r="Y1765" s="31"/>
      <c r="Z1765" s="26" t="str">
        <f t="shared" si="5"/>
        <v/>
      </c>
      <c r="AA1765" s="26" t="str">
        <f t="shared" si="6"/>
        <v/>
      </c>
      <c r="AB1765" s="32" t="str">
        <f t="shared" si="7"/>
        <v/>
      </c>
      <c r="AC1765" s="32" t="str">
        <f t="shared" ref="AC1765:AG1765" si="1769">IF(J1765&lt;&gt;"", IF(AND($P1765=FALSE, $A1765=FALSE), -J1765, IF(AND($P1765=FALSE, $A1765=TRUE), 0, IF($P1765=TRUE, (J1765 / $R1765) * 100 * ($S1765 / 100)-J1765, ))), )</f>
        <v/>
      </c>
      <c r="AD1765" s="32" t="str">
        <f t="shared" si="1769"/>
        <v/>
      </c>
      <c r="AE1765" s="32" t="str">
        <f t="shared" si="1769"/>
        <v/>
      </c>
      <c r="AF1765" s="32" t="str">
        <f t="shared" si="1769"/>
        <v/>
      </c>
      <c r="AG1765" s="32" t="str">
        <f t="shared" si="1769"/>
        <v/>
      </c>
      <c r="AH1765" s="33"/>
    </row>
    <row r="1766" hidden="1" outlineLevel="2">
      <c r="A1766" s="16" t="b">
        <v>0</v>
      </c>
      <c r="B1766" s="17"/>
      <c r="C1766" s="18"/>
      <c r="D1766" s="42">
        <v>45308.0</v>
      </c>
      <c r="E1766" s="80" t="s">
        <v>60</v>
      </c>
      <c r="F1766" s="53" t="s">
        <v>1003</v>
      </c>
      <c r="G1766" s="45">
        <v>2.0</v>
      </c>
      <c r="H1766" s="45">
        <v>1.0</v>
      </c>
      <c r="I1766" s="45"/>
      <c r="J1766" s="45"/>
      <c r="K1766" s="79"/>
      <c r="L1766" s="45"/>
      <c r="M1766" s="46"/>
      <c r="N1766" s="46"/>
      <c r="O1766" s="47"/>
      <c r="P1766" s="16" t="b">
        <v>1</v>
      </c>
      <c r="Q1766" s="24"/>
      <c r="R1766" s="48">
        <v>3.0</v>
      </c>
      <c r="S1766" s="45">
        <v>6.55</v>
      </c>
      <c r="T1766" s="49" t="s">
        <v>210</v>
      </c>
      <c r="U1766" s="47"/>
      <c r="V1766" s="28"/>
      <c r="W1766" s="29"/>
      <c r="X1766" s="30"/>
      <c r="Y1766" s="31"/>
      <c r="Z1766" s="26">
        <f t="shared" si="5"/>
        <v>2.366666667</v>
      </c>
      <c r="AA1766" s="26" t="str">
        <f t="shared" si="6"/>
        <v/>
      </c>
      <c r="AB1766" s="32">
        <f t="shared" si="7"/>
        <v>1.183333333</v>
      </c>
      <c r="AC1766" s="32" t="str">
        <f t="shared" ref="AC1766:AG1766" si="1770">IF(J1766&lt;&gt;"", IF(AND($P1766=FALSE, $A1766=FALSE), -J1766, IF(AND($P1766=FALSE, $A1766=TRUE), 0, IF($P1766=TRUE, (J1766 / $R1766) * 100 * ($S1766 / 100)-J1766, ))), )</f>
        <v/>
      </c>
      <c r="AD1766" s="32" t="str">
        <f t="shared" si="1770"/>
        <v/>
      </c>
      <c r="AE1766" s="32" t="str">
        <f t="shared" si="1770"/>
        <v/>
      </c>
      <c r="AF1766" s="32" t="str">
        <f t="shared" si="1770"/>
        <v/>
      </c>
      <c r="AG1766" s="32" t="str">
        <f t="shared" si="1770"/>
        <v/>
      </c>
      <c r="AH1766" s="33"/>
    </row>
    <row r="1767" hidden="1" outlineLevel="3">
      <c r="A1767" s="16" t="b">
        <v>0</v>
      </c>
      <c r="B1767" s="17"/>
      <c r="C1767" s="18"/>
      <c r="D1767" s="19"/>
      <c r="E1767" s="20"/>
      <c r="F1767" s="21"/>
      <c r="G1767" s="22"/>
      <c r="H1767" s="22"/>
      <c r="I1767" s="23"/>
      <c r="J1767" s="22"/>
      <c r="K1767" s="23"/>
      <c r="L1767" s="22"/>
      <c r="M1767" s="23"/>
      <c r="N1767" s="23"/>
      <c r="O1767" s="24"/>
      <c r="P1767" s="16" t="b">
        <v>0</v>
      </c>
      <c r="Q1767" s="24"/>
      <c r="R1767" s="25"/>
      <c r="S1767" s="26"/>
      <c r="T1767" s="27"/>
      <c r="U1767" s="24"/>
      <c r="V1767" s="28" t="s">
        <v>29</v>
      </c>
      <c r="W1767" s="29" t="s">
        <v>22</v>
      </c>
      <c r="X1767" s="37" t="s">
        <v>1146</v>
      </c>
      <c r="Y1767" s="31"/>
      <c r="Z1767" s="26" t="str">
        <f t="shared" si="5"/>
        <v/>
      </c>
      <c r="AA1767" s="26" t="str">
        <f t="shared" si="6"/>
        <v/>
      </c>
      <c r="AB1767" s="32" t="str">
        <f t="shared" si="7"/>
        <v/>
      </c>
      <c r="AC1767" s="32" t="str">
        <f t="shared" ref="AC1767:AG1767" si="1771">IF(J1767&lt;&gt;"", IF(AND($P1767=FALSE, $A1767=FALSE), -J1767, IF(AND($P1767=FALSE, $A1767=TRUE), 0, IF($P1767=TRUE, (J1767 / $R1767) * 100 * ($S1767 / 100)-J1767, ))), )</f>
        <v/>
      </c>
      <c r="AD1767" s="32" t="str">
        <f t="shared" si="1771"/>
        <v/>
      </c>
      <c r="AE1767" s="32" t="str">
        <f t="shared" si="1771"/>
        <v/>
      </c>
      <c r="AF1767" s="32" t="str">
        <f t="shared" si="1771"/>
        <v/>
      </c>
      <c r="AG1767" s="32" t="str">
        <f t="shared" si="1771"/>
        <v/>
      </c>
      <c r="AH1767" s="33"/>
    </row>
    <row r="1768" hidden="1" outlineLevel="3">
      <c r="A1768" s="16" t="b">
        <v>0</v>
      </c>
      <c r="B1768" s="17"/>
      <c r="C1768" s="18"/>
      <c r="D1768" s="19"/>
      <c r="E1768" s="20"/>
      <c r="F1768" s="21"/>
      <c r="G1768" s="22"/>
      <c r="H1768" s="22"/>
      <c r="I1768" s="23"/>
      <c r="J1768" s="22"/>
      <c r="K1768" s="23"/>
      <c r="L1768" s="22"/>
      <c r="M1768" s="23"/>
      <c r="N1768" s="23"/>
      <c r="O1768" s="24"/>
      <c r="P1768" s="16" t="b">
        <v>0</v>
      </c>
      <c r="Q1768" s="24"/>
      <c r="R1768" s="25"/>
      <c r="S1768" s="26"/>
      <c r="T1768" s="27"/>
      <c r="U1768" s="24"/>
      <c r="V1768" s="28" t="s">
        <v>29</v>
      </c>
      <c r="W1768" s="29" t="s">
        <v>22</v>
      </c>
      <c r="X1768" s="37" t="s">
        <v>255</v>
      </c>
      <c r="Y1768" s="31"/>
      <c r="Z1768" s="26" t="str">
        <f t="shared" si="5"/>
        <v/>
      </c>
      <c r="AA1768" s="26" t="str">
        <f t="shared" si="6"/>
        <v/>
      </c>
      <c r="AB1768" s="32" t="str">
        <f t="shared" si="7"/>
        <v/>
      </c>
      <c r="AC1768" s="32" t="str">
        <f t="shared" ref="AC1768:AG1768" si="1772">IF(J1768&lt;&gt;"", IF(AND($P1768=FALSE, $A1768=FALSE), -J1768, IF(AND($P1768=FALSE, $A1768=TRUE), 0, IF($P1768=TRUE, (J1768 / $R1768) * 100 * ($S1768 / 100)-J1768, ))), )</f>
        <v/>
      </c>
      <c r="AD1768" s="32" t="str">
        <f t="shared" si="1772"/>
        <v/>
      </c>
      <c r="AE1768" s="32" t="str">
        <f t="shared" si="1772"/>
        <v/>
      </c>
      <c r="AF1768" s="32" t="str">
        <f t="shared" si="1772"/>
        <v/>
      </c>
      <c r="AG1768" s="32" t="str">
        <f t="shared" si="1772"/>
        <v/>
      </c>
      <c r="AH1768" s="33"/>
    </row>
    <row r="1769" hidden="1" outlineLevel="3">
      <c r="A1769" s="16" t="b">
        <v>0</v>
      </c>
      <c r="B1769" s="17"/>
      <c r="C1769" s="18"/>
      <c r="D1769" s="19"/>
      <c r="E1769" s="20"/>
      <c r="F1769" s="21"/>
      <c r="G1769" s="22"/>
      <c r="H1769" s="22"/>
      <c r="I1769" s="23"/>
      <c r="J1769" s="22"/>
      <c r="K1769" s="23"/>
      <c r="L1769" s="22"/>
      <c r="M1769" s="23"/>
      <c r="N1769" s="23"/>
      <c r="O1769" s="24"/>
      <c r="P1769" s="16" t="b">
        <v>0</v>
      </c>
      <c r="Q1769" s="24"/>
      <c r="R1769" s="25"/>
      <c r="S1769" s="26"/>
      <c r="T1769" s="27"/>
      <c r="U1769" s="24"/>
      <c r="V1769" s="28" t="s">
        <v>29</v>
      </c>
      <c r="W1769" s="29" t="s">
        <v>22</v>
      </c>
      <c r="X1769" s="37" t="s">
        <v>1043</v>
      </c>
      <c r="Y1769" s="31"/>
      <c r="Z1769" s="26" t="str">
        <f t="shared" si="5"/>
        <v/>
      </c>
      <c r="AA1769" s="26" t="str">
        <f t="shared" si="6"/>
        <v/>
      </c>
      <c r="AB1769" s="32" t="str">
        <f t="shared" si="7"/>
        <v/>
      </c>
      <c r="AC1769" s="32" t="str">
        <f t="shared" ref="AC1769:AG1769" si="1773">IF(J1769&lt;&gt;"", IF(AND($P1769=FALSE, $A1769=FALSE), -J1769, IF(AND($P1769=FALSE, $A1769=TRUE), 0, IF($P1769=TRUE, (J1769 / $R1769) * 100 * ($S1769 / 100)-J1769, ))), )</f>
        <v/>
      </c>
      <c r="AD1769" s="32" t="str">
        <f t="shared" si="1773"/>
        <v/>
      </c>
      <c r="AE1769" s="32" t="str">
        <f t="shared" si="1773"/>
        <v/>
      </c>
      <c r="AF1769" s="32" t="str">
        <f t="shared" si="1773"/>
        <v/>
      </c>
      <c r="AG1769" s="32" t="str">
        <f t="shared" si="1773"/>
        <v/>
      </c>
      <c r="AH1769" s="33"/>
    </row>
    <row r="1770" hidden="1" outlineLevel="1" collapsed="1">
      <c r="A1770" s="16" t="b">
        <v>0</v>
      </c>
      <c r="B1770" s="17"/>
      <c r="C1770" s="18"/>
      <c r="D1770" s="42">
        <v>45312.0</v>
      </c>
      <c r="E1770" s="43" t="s">
        <v>24</v>
      </c>
      <c r="F1770" s="53" t="s">
        <v>1128</v>
      </c>
      <c r="G1770" s="45">
        <v>1.5</v>
      </c>
      <c r="H1770" s="45">
        <v>0.75</v>
      </c>
      <c r="I1770" s="45">
        <v>1.75</v>
      </c>
      <c r="J1770" s="46"/>
      <c r="K1770" s="46"/>
      <c r="L1770" s="45"/>
      <c r="M1770" s="46"/>
      <c r="N1770" s="46"/>
      <c r="O1770" s="47"/>
      <c r="P1770" s="16" t="b">
        <v>0</v>
      </c>
      <c r="Q1770" s="24"/>
      <c r="R1770" s="48">
        <v>4.0</v>
      </c>
      <c r="S1770" s="45">
        <v>17.86</v>
      </c>
      <c r="T1770" s="49" t="s">
        <v>1147</v>
      </c>
      <c r="U1770" s="47"/>
      <c r="V1770" s="28"/>
      <c r="W1770" s="29"/>
      <c r="X1770" s="30"/>
      <c r="Y1770" s="31"/>
      <c r="Z1770" s="26">
        <f t="shared" si="5"/>
        <v>-1.5</v>
      </c>
      <c r="AA1770" s="26">
        <f t="shared" si="6"/>
        <v>-1.75</v>
      </c>
      <c r="AB1770" s="32">
        <f t="shared" si="7"/>
        <v>-0.75</v>
      </c>
      <c r="AC1770" s="32" t="str">
        <f t="shared" ref="AC1770:AG1770" si="1774">IF(J1770&lt;&gt;"", IF(AND($P1770=FALSE, $A1770=FALSE), -J1770, IF(AND($P1770=FALSE, $A1770=TRUE), 0, IF($P1770=TRUE, (J1770 / $R1770) * 100 * ($S1770 / 100)-J1770, ))), )</f>
        <v/>
      </c>
      <c r="AD1770" s="32" t="str">
        <f t="shared" si="1774"/>
        <v/>
      </c>
      <c r="AE1770" s="32" t="str">
        <f t="shared" si="1774"/>
        <v/>
      </c>
      <c r="AF1770" s="32" t="str">
        <f t="shared" si="1774"/>
        <v/>
      </c>
      <c r="AG1770" s="32" t="str">
        <f t="shared" si="1774"/>
        <v/>
      </c>
      <c r="AH1770" s="33"/>
    </row>
    <row r="1771" hidden="1" outlineLevel="3">
      <c r="A1771" s="16" t="b">
        <v>0</v>
      </c>
      <c r="B1771" s="17"/>
      <c r="C1771" s="18"/>
      <c r="D1771" s="19"/>
      <c r="E1771" s="20"/>
      <c r="F1771" s="21"/>
      <c r="G1771" s="22"/>
      <c r="H1771" s="22"/>
      <c r="I1771" s="23"/>
      <c r="J1771" s="22"/>
      <c r="K1771" s="23"/>
      <c r="L1771" s="22"/>
      <c r="M1771" s="23"/>
      <c r="N1771" s="23"/>
      <c r="O1771" s="24"/>
      <c r="P1771" s="16" t="b">
        <v>0</v>
      </c>
      <c r="Q1771" s="24"/>
      <c r="R1771" s="25"/>
      <c r="S1771" s="26"/>
      <c r="T1771" s="27"/>
      <c r="U1771" s="24"/>
      <c r="V1771" s="28" t="s">
        <v>29</v>
      </c>
      <c r="W1771" s="29" t="s">
        <v>22</v>
      </c>
      <c r="X1771" s="37" t="s">
        <v>777</v>
      </c>
      <c r="Y1771" s="31"/>
      <c r="Z1771" s="26" t="str">
        <f t="shared" si="5"/>
        <v/>
      </c>
      <c r="AA1771" s="26" t="str">
        <f t="shared" si="6"/>
        <v/>
      </c>
      <c r="AB1771" s="32" t="str">
        <f t="shared" si="7"/>
        <v/>
      </c>
      <c r="AC1771" s="32" t="str">
        <f t="shared" ref="AC1771:AG1771" si="1775">IF(J1771&lt;&gt;"", IF(AND($P1771=FALSE, $A1771=FALSE), -J1771, IF(AND($P1771=FALSE, $A1771=TRUE), 0, IF($P1771=TRUE, (J1771 / $R1771) * 100 * ($S1771 / 100)-J1771, ))), )</f>
        <v/>
      </c>
      <c r="AD1771" s="32" t="str">
        <f t="shared" si="1775"/>
        <v/>
      </c>
      <c r="AE1771" s="32" t="str">
        <f t="shared" si="1775"/>
        <v/>
      </c>
      <c r="AF1771" s="32" t="str">
        <f t="shared" si="1775"/>
        <v/>
      </c>
      <c r="AG1771" s="32" t="str">
        <f t="shared" si="1775"/>
        <v/>
      </c>
      <c r="AH1771" s="33"/>
    </row>
    <row r="1772" hidden="1" outlineLevel="3">
      <c r="A1772" s="16" t="b">
        <v>0</v>
      </c>
      <c r="B1772" s="17"/>
      <c r="C1772" s="18"/>
      <c r="D1772" s="19"/>
      <c r="E1772" s="20"/>
      <c r="F1772" s="21"/>
      <c r="G1772" s="22"/>
      <c r="H1772" s="22"/>
      <c r="I1772" s="23"/>
      <c r="J1772" s="22"/>
      <c r="K1772" s="23"/>
      <c r="L1772" s="22"/>
      <c r="M1772" s="23"/>
      <c r="N1772" s="23"/>
      <c r="O1772" s="24"/>
      <c r="P1772" s="16" t="b">
        <v>0</v>
      </c>
      <c r="Q1772" s="24"/>
      <c r="R1772" s="25"/>
      <c r="S1772" s="26"/>
      <c r="T1772" s="27"/>
      <c r="U1772" s="24"/>
      <c r="V1772" s="28" t="s">
        <v>1070</v>
      </c>
      <c r="W1772" s="29" t="s">
        <v>22</v>
      </c>
      <c r="X1772" s="37" t="s">
        <v>379</v>
      </c>
      <c r="Y1772" s="31"/>
      <c r="Z1772" s="26" t="str">
        <f t="shared" si="5"/>
        <v/>
      </c>
      <c r="AA1772" s="26" t="str">
        <f t="shared" si="6"/>
        <v/>
      </c>
      <c r="AB1772" s="32" t="str">
        <f t="shared" si="7"/>
        <v/>
      </c>
      <c r="AC1772" s="32" t="str">
        <f t="shared" ref="AC1772:AG1772" si="1776">IF(J1772&lt;&gt;"", IF(AND($P1772=FALSE, $A1772=FALSE), -J1772, IF(AND($P1772=FALSE, $A1772=TRUE), 0, IF($P1772=TRUE, (J1772 / $R1772) * 100 * ($S1772 / 100)-J1772, ))), )</f>
        <v/>
      </c>
      <c r="AD1772" s="32" t="str">
        <f t="shared" si="1776"/>
        <v/>
      </c>
      <c r="AE1772" s="32" t="str">
        <f t="shared" si="1776"/>
        <v/>
      </c>
      <c r="AF1772" s="32" t="str">
        <f t="shared" si="1776"/>
        <v/>
      </c>
      <c r="AG1772" s="32" t="str">
        <f t="shared" si="1776"/>
        <v/>
      </c>
      <c r="AH1772" s="33"/>
    </row>
    <row r="1773" hidden="1" outlineLevel="3">
      <c r="A1773" s="16" t="b">
        <v>0</v>
      </c>
      <c r="B1773" s="17"/>
      <c r="C1773" s="18"/>
      <c r="D1773" s="19"/>
      <c r="E1773" s="20"/>
      <c r="F1773" s="21"/>
      <c r="G1773" s="22"/>
      <c r="H1773" s="22"/>
      <c r="I1773" s="23"/>
      <c r="J1773" s="22"/>
      <c r="K1773" s="23"/>
      <c r="L1773" s="22"/>
      <c r="M1773" s="23"/>
      <c r="N1773" s="23"/>
      <c r="O1773" s="24"/>
      <c r="P1773" s="16" t="b">
        <v>0</v>
      </c>
      <c r="Q1773" s="24"/>
      <c r="R1773" s="25"/>
      <c r="S1773" s="26"/>
      <c r="T1773" s="27"/>
      <c r="U1773" s="24"/>
      <c r="V1773" s="28" t="s">
        <v>29</v>
      </c>
      <c r="W1773" s="29" t="s">
        <v>22</v>
      </c>
      <c r="X1773" s="37" t="s">
        <v>1148</v>
      </c>
      <c r="Y1773" s="31"/>
      <c r="Z1773" s="26" t="str">
        <f t="shared" si="5"/>
        <v/>
      </c>
      <c r="AA1773" s="26" t="str">
        <f t="shared" si="6"/>
        <v/>
      </c>
      <c r="AB1773" s="32" t="str">
        <f t="shared" si="7"/>
        <v/>
      </c>
      <c r="AC1773" s="32" t="str">
        <f t="shared" ref="AC1773:AG1773" si="1777">IF(J1773&lt;&gt;"", IF(AND($P1773=FALSE, $A1773=FALSE), -J1773, IF(AND($P1773=FALSE, $A1773=TRUE), 0, IF($P1773=TRUE, (J1773 / $R1773) * 100 * ($S1773 / 100)-J1773, ))), )</f>
        <v/>
      </c>
      <c r="AD1773" s="32" t="str">
        <f t="shared" si="1777"/>
        <v/>
      </c>
      <c r="AE1773" s="32" t="str">
        <f t="shared" si="1777"/>
        <v/>
      </c>
      <c r="AF1773" s="32" t="str">
        <f t="shared" si="1777"/>
        <v/>
      </c>
      <c r="AG1773" s="32" t="str">
        <f t="shared" si="1777"/>
        <v/>
      </c>
      <c r="AH1773" s="33"/>
    </row>
    <row r="1774" hidden="1" outlineLevel="2" collapsed="1">
      <c r="A1774" s="16" t="b">
        <v>0</v>
      </c>
      <c r="B1774" s="17"/>
      <c r="C1774" s="18"/>
      <c r="D1774" s="42">
        <v>45312.0</v>
      </c>
      <c r="E1774" s="43" t="s">
        <v>24</v>
      </c>
      <c r="F1774" s="53" t="s">
        <v>1128</v>
      </c>
      <c r="G1774" s="45">
        <v>0.5</v>
      </c>
      <c r="H1774" s="45">
        <v>0.25</v>
      </c>
      <c r="I1774" s="45"/>
      <c r="J1774" s="46"/>
      <c r="K1774" s="46"/>
      <c r="L1774" s="45"/>
      <c r="M1774" s="46"/>
      <c r="N1774" s="46"/>
      <c r="O1774" s="47"/>
      <c r="P1774" s="16" t="b">
        <v>0</v>
      </c>
      <c r="Q1774" s="24"/>
      <c r="R1774" s="48">
        <v>0.75</v>
      </c>
      <c r="S1774" s="45">
        <v>4.35</v>
      </c>
      <c r="T1774" s="49" t="s">
        <v>303</v>
      </c>
      <c r="U1774" s="47"/>
      <c r="V1774" s="28"/>
      <c r="W1774" s="29"/>
      <c r="X1774" s="30"/>
      <c r="Y1774" s="31"/>
      <c r="Z1774" s="26">
        <f t="shared" si="5"/>
        <v>-0.5</v>
      </c>
      <c r="AA1774" s="26" t="str">
        <f t="shared" si="6"/>
        <v/>
      </c>
      <c r="AB1774" s="32">
        <f t="shared" si="7"/>
        <v>-0.25</v>
      </c>
      <c r="AC1774" s="32" t="str">
        <f t="shared" ref="AC1774:AG1774" si="1778">IF(J1774&lt;&gt;"", IF(AND($P1774=FALSE, $A1774=FALSE), -J1774, IF(AND($P1774=FALSE, $A1774=TRUE), 0, IF($P1774=TRUE, (J1774 / $R1774) * 100 * ($S1774 / 100)-J1774, ))), )</f>
        <v/>
      </c>
      <c r="AD1774" s="32" t="str">
        <f t="shared" si="1778"/>
        <v/>
      </c>
      <c r="AE1774" s="32" t="str">
        <f t="shared" si="1778"/>
        <v/>
      </c>
      <c r="AF1774" s="32" t="str">
        <f t="shared" si="1778"/>
        <v/>
      </c>
      <c r="AG1774" s="32" t="str">
        <f t="shared" si="1778"/>
        <v/>
      </c>
      <c r="AH1774" s="33"/>
    </row>
    <row r="1775" hidden="1" outlineLevel="3">
      <c r="A1775" s="16" t="b">
        <v>0</v>
      </c>
      <c r="B1775" s="17"/>
      <c r="C1775" s="18"/>
      <c r="D1775" s="19"/>
      <c r="E1775" s="20"/>
      <c r="F1775" s="21"/>
      <c r="G1775" s="22"/>
      <c r="H1775" s="22"/>
      <c r="I1775" s="23"/>
      <c r="J1775" s="22"/>
      <c r="K1775" s="23"/>
      <c r="L1775" s="22"/>
      <c r="M1775" s="23"/>
      <c r="N1775" s="23"/>
      <c r="O1775" s="24"/>
      <c r="P1775" s="16" t="b">
        <v>0</v>
      </c>
      <c r="Q1775" s="24"/>
      <c r="R1775" s="25"/>
      <c r="S1775" s="26"/>
      <c r="T1775" s="27"/>
      <c r="U1775" s="24"/>
      <c r="V1775" s="28" t="s">
        <v>1070</v>
      </c>
      <c r="W1775" s="29" t="s">
        <v>22</v>
      </c>
      <c r="X1775" s="37" t="s">
        <v>1149</v>
      </c>
      <c r="Y1775" s="31"/>
      <c r="Z1775" s="26" t="str">
        <f t="shared" si="5"/>
        <v/>
      </c>
      <c r="AA1775" s="26" t="str">
        <f t="shared" si="6"/>
        <v/>
      </c>
      <c r="AB1775" s="32" t="str">
        <f t="shared" si="7"/>
        <v/>
      </c>
      <c r="AC1775" s="32" t="str">
        <f t="shared" ref="AC1775:AG1775" si="1779">IF(J1775&lt;&gt;"", IF(AND($P1775=FALSE, $A1775=FALSE), -J1775, IF(AND($P1775=FALSE, $A1775=TRUE), 0, IF($P1775=TRUE, (J1775 / $R1775) * 100 * ($S1775 / 100)-J1775, ))), )</f>
        <v/>
      </c>
      <c r="AD1775" s="32" t="str">
        <f t="shared" si="1779"/>
        <v/>
      </c>
      <c r="AE1775" s="32" t="str">
        <f t="shared" si="1779"/>
        <v/>
      </c>
      <c r="AF1775" s="32" t="str">
        <f t="shared" si="1779"/>
        <v/>
      </c>
      <c r="AG1775" s="32" t="str">
        <f t="shared" si="1779"/>
        <v/>
      </c>
      <c r="AH1775" s="33"/>
    </row>
    <row r="1776" hidden="1" outlineLevel="2" collapsed="1">
      <c r="A1776" s="16" t="b">
        <v>0</v>
      </c>
      <c r="B1776" s="17"/>
      <c r="C1776" s="18"/>
      <c r="D1776" s="42">
        <v>45312.0</v>
      </c>
      <c r="E1776" s="43" t="s">
        <v>24</v>
      </c>
      <c r="F1776" s="53" t="s">
        <v>1128</v>
      </c>
      <c r="G1776" s="45">
        <v>0.02</v>
      </c>
      <c r="H1776" s="45">
        <v>0.01</v>
      </c>
      <c r="I1776" s="45">
        <v>0.02</v>
      </c>
      <c r="J1776" s="46"/>
      <c r="K1776" s="46"/>
      <c r="L1776" s="45"/>
      <c r="M1776" s="46"/>
      <c r="N1776" s="46"/>
      <c r="O1776" s="47"/>
      <c r="P1776" s="16" t="b">
        <v>1</v>
      </c>
      <c r="Q1776" s="24"/>
      <c r="R1776" s="48">
        <v>0.05</v>
      </c>
      <c r="S1776" s="45">
        <v>10.8</v>
      </c>
      <c r="T1776" s="49" t="s">
        <v>1150</v>
      </c>
      <c r="U1776" s="47"/>
      <c r="V1776" s="28"/>
      <c r="W1776" s="29"/>
      <c r="X1776" s="30"/>
      <c r="Y1776" s="31"/>
      <c r="Z1776" s="26">
        <f t="shared" si="5"/>
        <v>4.3</v>
      </c>
      <c r="AA1776" s="26">
        <f t="shared" si="6"/>
        <v>4.3</v>
      </c>
      <c r="AB1776" s="32">
        <f t="shared" si="7"/>
        <v>2.15</v>
      </c>
      <c r="AC1776" s="32" t="str">
        <f t="shared" ref="AC1776:AG1776" si="1780">IF(J1776&lt;&gt;"", IF(AND($P1776=FALSE, $A1776=FALSE), -J1776, IF(AND($P1776=FALSE, $A1776=TRUE), 0, IF($P1776=TRUE, (J1776 / $R1776) * 100 * ($S1776 / 100)-J1776, ))), )</f>
        <v/>
      </c>
      <c r="AD1776" s="32" t="str">
        <f t="shared" si="1780"/>
        <v/>
      </c>
      <c r="AE1776" s="32" t="str">
        <f t="shared" si="1780"/>
        <v/>
      </c>
      <c r="AF1776" s="32" t="str">
        <f t="shared" si="1780"/>
        <v/>
      </c>
      <c r="AG1776" s="32" t="str">
        <f t="shared" si="1780"/>
        <v/>
      </c>
      <c r="AH1776" s="33"/>
    </row>
    <row r="1777" hidden="1" outlineLevel="3">
      <c r="A1777" s="16" t="b">
        <v>0</v>
      </c>
      <c r="B1777" s="17"/>
      <c r="C1777" s="18"/>
      <c r="D1777" s="19"/>
      <c r="E1777" s="20"/>
      <c r="F1777" s="21"/>
      <c r="G1777" s="22"/>
      <c r="H1777" s="22"/>
      <c r="I1777" s="23"/>
      <c r="J1777" s="22"/>
      <c r="K1777" s="23"/>
      <c r="L1777" s="22"/>
      <c r="M1777" s="23"/>
      <c r="N1777" s="23"/>
      <c r="O1777" s="24"/>
      <c r="P1777" s="16" t="b">
        <v>0</v>
      </c>
      <c r="Q1777" s="24"/>
      <c r="R1777" s="25"/>
      <c r="S1777" s="26"/>
      <c r="T1777" s="27"/>
      <c r="U1777" s="24"/>
      <c r="V1777" s="28" t="s">
        <v>29</v>
      </c>
      <c r="W1777" s="29" t="s">
        <v>22</v>
      </c>
      <c r="X1777" s="37" t="s">
        <v>331</v>
      </c>
      <c r="Y1777" s="31"/>
      <c r="Z1777" s="26" t="str">
        <f t="shared" si="5"/>
        <v/>
      </c>
      <c r="AA1777" s="26" t="str">
        <f t="shared" si="6"/>
        <v/>
      </c>
      <c r="AB1777" s="32" t="str">
        <f t="shared" si="7"/>
        <v/>
      </c>
      <c r="AC1777" s="32" t="str">
        <f t="shared" ref="AC1777:AG1777" si="1781">IF(J1777&lt;&gt;"", IF(AND($P1777=FALSE, $A1777=FALSE), -J1777, IF(AND($P1777=FALSE, $A1777=TRUE), 0, IF($P1777=TRUE, (J1777 / $R1777) * 100 * ($S1777 / 100)-J1777, ))), )</f>
        <v/>
      </c>
      <c r="AD1777" s="32" t="str">
        <f t="shared" si="1781"/>
        <v/>
      </c>
      <c r="AE1777" s="32" t="str">
        <f t="shared" si="1781"/>
        <v/>
      </c>
      <c r="AF1777" s="32" t="str">
        <f t="shared" si="1781"/>
        <v/>
      </c>
      <c r="AG1777" s="32" t="str">
        <f t="shared" si="1781"/>
        <v/>
      </c>
      <c r="AH1777" s="33"/>
    </row>
    <row r="1778" hidden="1" outlineLevel="3">
      <c r="A1778" s="16" t="b">
        <v>0</v>
      </c>
      <c r="B1778" s="17"/>
      <c r="C1778" s="18"/>
      <c r="D1778" s="19"/>
      <c r="E1778" s="20"/>
      <c r="F1778" s="21"/>
      <c r="G1778" s="22"/>
      <c r="H1778" s="22"/>
      <c r="I1778" s="23"/>
      <c r="J1778" s="22"/>
      <c r="K1778" s="23"/>
      <c r="L1778" s="22"/>
      <c r="M1778" s="23"/>
      <c r="N1778" s="23"/>
      <c r="O1778" s="24"/>
      <c r="P1778" s="16" t="b">
        <v>0</v>
      </c>
      <c r="Q1778" s="24"/>
      <c r="R1778" s="25"/>
      <c r="S1778" s="26"/>
      <c r="T1778" s="27"/>
      <c r="U1778" s="24"/>
      <c r="V1778" s="28" t="s">
        <v>29</v>
      </c>
      <c r="W1778" s="29" t="s">
        <v>22</v>
      </c>
      <c r="X1778" s="37" t="s">
        <v>90</v>
      </c>
      <c r="Y1778" s="31"/>
      <c r="Z1778" s="26" t="str">
        <f t="shared" si="5"/>
        <v/>
      </c>
      <c r="AA1778" s="26" t="str">
        <f t="shared" si="6"/>
        <v/>
      </c>
      <c r="AB1778" s="32" t="str">
        <f t="shared" si="7"/>
        <v/>
      </c>
      <c r="AC1778" s="32" t="str">
        <f t="shared" ref="AC1778:AG1778" si="1782">IF(J1778&lt;&gt;"", IF(AND($P1778=FALSE, $A1778=FALSE), -J1778, IF(AND($P1778=FALSE, $A1778=TRUE), 0, IF($P1778=TRUE, (J1778 / $R1778) * 100 * ($S1778 / 100)-J1778, ))), )</f>
        <v/>
      </c>
      <c r="AD1778" s="32" t="str">
        <f t="shared" si="1782"/>
        <v/>
      </c>
      <c r="AE1778" s="32" t="str">
        <f t="shared" si="1782"/>
        <v/>
      </c>
      <c r="AF1778" s="32" t="str">
        <f t="shared" si="1782"/>
        <v/>
      </c>
      <c r="AG1778" s="32" t="str">
        <f t="shared" si="1782"/>
        <v/>
      </c>
      <c r="AH1778" s="33"/>
    </row>
    <row r="1779" hidden="1" outlineLevel="3">
      <c r="A1779" s="16" t="b">
        <v>0</v>
      </c>
      <c r="B1779" s="17"/>
      <c r="C1779" s="18"/>
      <c r="D1779" s="19"/>
      <c r="E1779" s="20"/>
      <c r="F1779" s="21"/>
      <c r="G1779" s="22"/>
      <c r="H1779" s="22"/>
      <c r="I1779" s="23"/>
      <c r="J1779" s="22"/>
      <c r="K1779" s="23"/>
      <c r="L1779" s="22"/>
      <c r="M1779" s="23"/>
      <c r="N1779" s="23"/>
      <c r="O1779" s="24"/>
      <c r="P1779" s="16" t="b">
        <v>0</v>
      </c>
      <c r="Q1779" s="24"/>
      <c r="R1779" s="25"/>
      <c r="S1779" s="26"/>
      <c r="T1779" s="27"/>
      <c r="U1779" s="24"/>
      <c r="V1779" s="28" t="s">
        <v>29</v>
      </c>
      <c r="W1779" s="29" t="s">
        <v>22</v>
      </c>
      <c r="X1779" s="37" t="s">
        <v>332</v>
      </c>
      <c r="Y1779" s="31"/>
      <c r="Z1779" s="26" t="str">
        <f t="shared" si="5"/>
        <v/>
      </c>
      <c r="AA1779" s="26" t="str">
        <f t="shared" si="6"/>
        <v/>
      </c>
      <c r="AB1779" s="32" t="str">
        <f t="shared" si="7"/>
        <v/>
      </c>
      <c r="AC1779" s="32" t="str">
        <f t="shared" ref="AC1779:AG1779" si="1783">IF(J1779&lt;&gt;"", IF(AND($P1779=FALSE, $A1779=FALSE), -J1779, IF(AND($P1779=FALSE, $A1779=TRUE), 0, IF($P1779=TRUE, (J1779 / $R1779) * 100 * ($S1779 / 100)-J1779, ))), )</f>
        <v/>
      </c>
      <c r="AD1779" s="32" t="str">
        <f t="shared" si="1783"/>
        <v/>
      </c>
      <c r="AE1779" s="32" t="str">
        <f t="shared" si="1783"/>
        <v/>
      </c>
      <c r="AF1779" s="32" t="str">
        <f t="shared" si="1783"/>
        <v/>
      </c>
      <c r="AG1779" s="32" t="str">
        <f t="shared" si="1783"/>
        <v/>
      </c>
      <c r="AH1779" s="33"/>
    </row>
    <row r="1780" hidden="1" outlineLevel="3">
      <c r="A1780" s="16" t="b">
        <v>0</v>
      </c>
      <c r="B1780" s="17"/>
      <c r="C1780" s="18"/>
      <c r="D1780" s="19"/>
      <c r="E1780" s="20"/>
      <c r="F1780" s="21"/>
      <c r="G1780" s="22"/>
      <c r="H1780" s="22"/>
      <c r="I1780" s="23"/>
      <c r="J1780" s="22"/>
      <c r="K1780" s="23"/>
      <c r="L1780" s="22"/>
      <c r="M1780" s="23"/>
      <c r="N1780" s="23"/>
      <c r="O1780" s="24"/>
      <c r="P1780" s="16" t="b">
        <v>0</v>
      </c>
      <c r="Q1780" s="24"/>
      <c r="R1780" s="25"/>
      <c r="S1780" s="26"/>
      <c r="T1780" s="27"/>
      <c r="U1780" s="24"/>
      <c r="V1780" s="28" t="s">
        <v>29</v>
      </c>
      <c r="W1780" s="29" t="s">
        <v>22</v>
      </c>
      <c r="X1780" s="37" t="s">
        <v>1151</v>
      </c>
      <c r="Y1780" s="31"/>
      <c r="Z1780" s="26" t="str">
        <f t="shared" si="5"/>
        <v/>
      </c>
      <c r="AA1780" s="26" t="str">
        <f t="shared" si="6"/>
        <v/>
      </c>
      <c r="AB1780" s="32" t="str">
        <f t="shared" si="7"/>
        <v/>
      </c>
      <c r="AC1780" s="32" t="str">
        <f t="shared" ref="AC1780:AG1780" si="1784">IF(J1780&lt;&gt;"", IF(AND($P1780=FALSE, $A1780=FALSE), -J1780, IF(AND($P1780=FALSE, $A1780=TRUE), 0, IF($P1780=TRUE, (J1780 / $R1780) * 100 * ($S1780 / 100)-J1780, ))), )</f>
        <v/>
      </c>
      <c r="AD1780" s="32" t="str">
        <f t="shared" si="1784"/>
        <v/>
      </c>
      <c r="AE1780" s="32" t="str">
        <f t="shared" si="1784"/>
        <v/>
      </c>
      <c r="AF1780" s="32" t="str">
        <f t="shared" si="1784"/>
        <v/>
      </c>
      <c r="AG1780" s="32" t="str">
        <f t="shared" si="1784"/>
        <v/>
      </c>
      <c r="AH1780" s="33"/>
    </row>
    <row r="1781" hidden="1" outlineLevel="2" collapsed="1">
      <c r="A1781" s="16" t="b">
        <v>0</v>
      </c>
      <c r="B1781" s="17"/>
      <c r="C1781" s="18"/>
      <c r="D1781" s="42">
        <v>45312.0</v>
      </c>
      <c r="E1781" s="43" t="s">
        <v>24</v>
      </c>
      <c r="F1781" s="53" t="s">
        <v>1128</v>
      </c>
      <c r="G1781" s="45">
        <v>4.0</v>
      </c>
      <c r="H1781" s="45">
        <v>2.0</v>
      </c>
      <c r="I1781" s="45">
        <v>10.0</v>
      </c>
      <c r="J1781" s="46"/>
      <c r="K1781" s="46"/>
      <c r="L1781" s="45"/>
      <c r="M1781" s="46"/>
      <c r="N1781" s="46"/>
      <c r="O1781" s="47"/>
      <c r="P1781" s="16" t="b">
        <v>1</v>
      </c>
      <c r="Q1781" s="24"/>
      <c r="R1781" s="48">
        <v>16.0</v>
      </c>
      <c r="S1781" s="45">
        <v>32.0</v>
      </c>
      <c r="T1781" s="49">
        <v>-100.0</v>
      </c>
      <c r="U1781" s="47"/>
      <c r="V1781" s="28"/>
      <c r="W1781" s="29"/>
      <c r="X1781" s="30"/>
      <c r="Y1781" s="31"/>
      <c r="Z1781" s="26">
        <f t="shared" si="5"/>
        <v>4</v>
      </c>
      <c r="AA1781" s="26">
        <f t="shared" si="6"/>
        <v>10</v>
      </c>
      <c r="AB1781" s="32">
        <f t="shared" si="7"/>
        <v>2</v>
      </c>
      <c r="AC1781" s="32" t="str">
        <f t="shared" ref="AC1781:AG1781" si="1785">IF(J1781&lt;&gt;"", IF(AND($P1781=FALSE, $A1781=FALSE), -J1781, IF(AND($P1781=FALSE, $A1781=TRUE), 0, IF($P1781=TRUE, (J1781 / $R1781) * 100 * ($S1781 / 100)-J1781, ))), )</f>
        <v/>
      </c>
      <c r="AD1781" s="32" t="str">
        <f t="shared" si="1785"/>
        <v/>
      </c>
      <c r="AE1781" s="32" t="str">
        <f t="shared" si="1785"/>
        <v/>
      </c>
      <c r="AF1781" s="32" t="str">
        <f t="shared" si="1785"/>
        <v/>
      </c>
      <c r="AG1781" s="32" t="str">
        <f t="shared" si="1785"/>
        <v/>
      </c>
      <c r="AH1781" s="33"/>
    </row>
    <row r="1782" hidden="1" outlineLevel="3">
      <c r="A1782" s="16" t="b">
        <v>0</v>
      </c>
      <c r="B1782" s="17"/>
      <c r="C1782" s="18"/>
      <c r="D1782" s="19"/>
      <c r="E1782" s="20"/>
      <c r="F1782" s="21"/>
      <c r="G1782" s="22"/>
      <c r="H1782" s="22"/>
      <c r="I1782" s="23"/>
      <c r="J1782" s="22"/>
      <c r="K1782" s="23"/>
      <c r="L1782" s="22"/>
      <c r="M1782" s="23"/>
      <c r="N1782" s="23"/>
      <c r="O1782" s="24"/>
      <c r="P1782" s="16" t="b">
        <v>0</v>
      </c>
      <c r="Q1782" s="24"/>
      <c r="R1782" s="25"/>
      <c r="S1782" s="26"/>
      <c r="T1782" s="27"/>
      <c r="U1782" s="24"/>
      <c r="V1782" s="28" t="s">
        <v>29</v>
      </c>
      <c r="W1782" s="29" t="s">
        <v>22</v>
      </c>
      <c r="X1782" s="37" t="s">
        <v>1152</v>
      </c>
      <c r="Y1782" s="31"/>
      <c r="Z1782" s="26" t="str">
        <f t="shared" si="5"/>
        <v/>
      </c>
      <c r="AA1782" s="26" t="str">
        <f t="shared" si="6"/>
        <v/>
      </c>
      <c r="AB1782" s="32" t="str">
        <f t="shared" si="7"/>
        <v/>
      </c>
      <c r="AC1782" s="32" t="str">
        <f t="shared" ref="AC1782:AG1782" si="1786">IF(J1782&lt;&gt;"", IF(AND($P1782=FALSE, $A1782=FALSE), -J1782, IF(AND($P1782=FALSE, $A1782=TRUE), 0, IF($P1782=TRUE, (J1782 / $R1782) * 100 * ($S1782 / 100)-J1782, ))), )</f>
        <v/>
      </c>
      <c r="AD1782" s="32" t="str">
        <f t="shared" si="1786"/>
        <v/>
      </c>
      <c r="AE1782" s="32" t="str">
        <f t="shared" si="1786"/>
        <v/>
      </c>
      <c r="AF1782" s="32" t="str">
        <f t="shared" si="1786"/>
        <v/>
      </c>
      <c r="AG1782" s="32" t="str">
        <f t="shared" si="1786"/>
        <v/>
      </c>
      <c r="AH1782" s="33"/>
    </row>
    <row r="1783" hidden="1" outlineLevel="2" collapsed="1">
      <c r="A1783" s="16" t="b">
        <v>0</v>
      </c>
      <c r="B1783" s="17"/>
      <c r="C1783" s="18"/>
      <c r="D1783" s="42">
        <v>45312.0</v>
      </c>
      <c r="E1783" s="43" t="s">
        <v>24</v>
      </c>
      <c r="F1783" s="53" t="s">
        <v>1128</v>
      </c>
      <c r="G1783" s="45">
        <v>4.0</v>
      </c>
      <c r="H1783" s="45">
        <v>2.0</v>
      </c>
      <c r="I1783" s="45">
        <v>4.0</v>
      </c>
      <c r="J1783" s="46"/>
      <c r="K1783" s="46"/>
      <c r="L1783" s="45"/>
      <c r="M1783" s="46"/>
      <c r="N1783" s="46"/>
      <c r="O1783" s="47"/>
      <c r="P1783" s="16" t="b">
        <v>0</v>
      </c>
      <c r="Q1783" s="24"/>
      <c r="R1783" s="48">
        <v>10.0</v>
      </c>
      <c r="S1783" s="45">
        <v>188.59</v>
      </c>
      <c r="T1783" s="49" t="s">
        <v>1153</v>
      </c>
      <c r="U1783" s="47"/>
      <c r="V1783" s="28"/>
      <c r="W1783" s="29"/>
      <c r="X1783" s="30"/>
      <c r="Y1783" s="31"/>
      <c r="Z1783" s="26">
        <f t="shared" si="5"/>
        <v>-4</v>
      </c>
      <c r="AA1783" s="26">
        <f t="shared" si="6"/>
        <v>-4</v>
      </c>
      <c r="AB1783" s="32">
        <f t="shared" si="7"/>
        <v>-2</v>
      </c>
      <c r="AC1783" s="32" t="str">
        <f t="shared" ref="AC1783:AG1783" si="1787">IF(J1783&lt;&gt;"", IF(AND($P1783=FALSE, $A1783=FALSE), -J1783, IF(AND($P1783=FALSE, $A1783=TRUE), 0, IF($P1783=TRUE, (J1783 / $R1783) * 100 * ($S1783 / 100)-J1783, ))), )</f>
        <v/>
      </c>
      <c r="AD1783" s="32" t="str">
        <f t="shared" si="1787"/>
        <v/>
      </c>
      <c r="AE1783" s="32" t="str">
        <f t="shared" si="1787"/>
        <v/>
      </c>
      <c r="AF1783" s="32" t="str">
        <f t="shared" si="1787"/>
        <v/>
      </c>
      <c r="AG1783" s="32" t="str">
        <f t="shared" si="1787"/>
        <v/>
      </c>
      <c r="AH1783" s="33"/>
    </row>
    <row r="1784" hidden="1" outlineLevel="3">
      <c r="A1784" s="16" t="b">
        <v>0</v>
      </c>
      <c r="B1784" s="17"/>
      <c r="C1784" s="18"/>
      <c r="D1784" s="19"/>
      <c r="E1784" s="20"/>
      <c r="F1784" s="21"/>
      <c r="G1784" s="22"/>
      <c r="H1784" s="22"/>
      <c r="I1784" s="23"/>
      <c r="J1784" s="22"/>
      <c r="K1784" s="23"/>
      <c r="L1784" s="22"/>
      <c r="M1784" s="23"/>
      <c r="N1784" s="23"/>
      <c r="O1784" s="24"/>
      <c r="P1784" s="16" t="b">
        <v>0</v>
      </c>
      <c r="Q1784" s="24"/>
      <c r="R1784" s="25"/>
      <c r="S1784" s="26"/>
      <c r="T1784" s="27"/>
      <c r="U1784" s="24"/>
      <c r="V1784" s="66">
        <v>215.0</v>
      </c>
      <c r="W1784" s="29" t="s">
        <v>22</v>
      </c>
      <c r="X1784" s="37" t="s">
        <v>1154</v>
      </c>
      <c r="Y1784" s="31"/>
      <c r="Z1784" s="26" t="str">
        <f t="shared" si="5"/>
        <v/>
      </c>
      <c r="AA1784" s="26" t="str">
        <f t="shared" si="6"/>
        <v/>
      </c>
      <c r="AB1784" s="32" t="str">
        <f t="shared" si="7"/>
        <v/>
      </c>
      <c r="AC1784" s="32" t="str">
        <f t="shared" ref="AC1784:AG1784" si="1788">IF(J1784&lt;&gt;"", IF(AND($P1784=FALSE, $A1784=FALSE), -J1784, IF(AND($P1784=FALSE, $A1784=TRUE), 0, IF($P1784=TRUE, (J1784 / $R1784) * 100 * ($S1784 / 100)-J1784, ))), )</f>
        <v/>
      </c>
      <c r="AD1784" s="32" t="str">
        <f t="shared" si="1788"/>
        <v/>
      </c>
      <c r="AE1784" s="32" t="str">
        <f t="shared" si="1788"/>
        <v/>
      </c>
      <c r="AF1784" s="32" t="str">
        <f t="shared" si="1788"/>
        <v/>
      </c>
      <c r="AG1784" s="32" t="str">
        <f t="shared" si="1788"/>
        <v/>
      </c>
      <c r="AH1784" s="33"/>
    </row>
    <row r="1785" hidden="1" outlineLevel="3">
      <c r="A1785" s="16" t="b">
        <v>0</v>
      </c>
      <c r="B1785" s="17"/>
      <c r="C1785" s="18"/>
      <c r="D1785" s="19"/>
      <c r="E1785" s="20"/>
      <c r="F1785" s="21"/>
      <c r="G1785" s="22"/>
      <c r="H1785" s="22"/>
      <c r="I1785" s="23"/>
      <c r="J1785" s="22"/>
      <c r="K1785" s="23"/>
      <c r="L1785" s="22"/>
      <c r="M1785" s="23"/>
      <c r="N1785" s="23"/>
      <c r="O1785" s="24"/>
      <c r="P1785" s="16" t="b">
        <v>0</v>
      </c>
      <c r="Q1785" s="24"/>
      <c r="R1785" s="25"/>
      <c r="S1785" s="26"/>
      <c r="T1785" s="27"/>
      <c r="U1785" s="24"/>
      <c r="V1785" s="28" t="s">
        <v>29</v>
      </c>
      <c r="W1785" s="29" t="s">
        <v>22</v>
      </c>
      <c r="X1785" s="37" t="s">
        <v>1155</v>
      </c>
      <c r="Y1785" s="31"/>
      <c r="Z1785" s="26" t="str">
        <f t="shared" si="5"/>
        <v/>
      </c>
      <c r="AA1785" s="26" t="str">
        <f t="shared" si="6"/>
        <v/>
      </c>
      <c r="AB1785" s="32" t="str">
        <f t="shared" si="7"/>
        <v/>
      </c>
      <c r="AC1785" s="32" t="str">
        <f t="shared" ref="AC1785:AG1785" si="1789">IF(J1785&lt;&gt;"", IF(AND($P1785=FALSE, $A1785=FALSE), -J1785, IF(AND($P1785=FALSE, $A1785=TRUE), 0, IF($P1785=TRUE, (J1785 / $R1785) * 100 * ($S1785 / 100)-J1785, ))), )</f>
        <v/>
      </c>
      <c r="AD1785" s="32" t="str">
        <f t="shared" si="1789"/>
        <v/>
      </c>
      <c r="AE1785" s="32" t="str">
        <f t="shared" si="1789"/>
        <v/>
      </c>
      <c r="AF1785" s="32" t="str">
        <f t="shared" si="1789"/>
        <v/>
      </c>
      <c r="AG1785" s="32" t="str">
        <f t="shared" si="1789"/>
        <v/>
      </c>
      <c r="AH1785" s="33"/>
    </row>
    <row r="1786" hidden="1" outlineLevel="3">
      <c r="A1786" s="16" t="b">
        <v>0</v>
      </c>
      <c r="B1786" s="17"/>
      <c r="C1786" s="18"/>
      <c r="D1786" s="19"/>
      <c r="E1786" s="20"/>
      <c r="F1786" s="21"/>
      <c r="G1786" s="22"/>
      <c r="H1786" s="22"/>
      <c r="I1786" s="23"/>
      <c r="J1786" s="22"/>
      <c r="K1786" s="23"/>
      <c r="L1786" s="22"/>
      <c r="M1786" s="23"/>
      <c r="N1786" s="23"/>
      <c r="O1786" s="24"/>
      <c r="P1786" s="16" t="b">
        <v>0</v>
      </c>
      <c r="Q1786" s="24"/>
      <c r="R1786" s="25"/>
      <c r="S1786" s="26"/>
      <c r="T1786" s="27"/>
      <c r="U1786" s="24"/>
      <c r="V1786" s="66">
        <v>47.0</v>
      </c>
      <c r="W1786" s="29" t="s">
        <v>22</v>
      </c>
      <c r="X1786" s="37" t="s">
        <v>1156</v>
      </c>
      <c r="Y1786" s="31"/>
      <c r="Z1786" s="26" t="str">
        <f t="shared" si="5"/>
        <v/>
      </c>
      <c r="AA1786" s="26" t="str">
        <f t="shared" si="6"/>
        <v/>
      </c>
      <c r="AB1786" s="32" t="str">
        <f t="shared" si="7"/>
        <v/>
      </c>
      <c r="AC1786" s="32" t="str">
        <f t="shared" ref="AC1786:AG1786" si="1790">IF(J1786&lt;&gt;"", IF(AND($P1786=FALSE, $A1786=FALSE), -J1786, IF(AND($P1786=FALSE, $A1786=TRUE), 0, IF($P1786=TRUE, (J1786 / $R1786) * 100 * ($S1786 / 100)-J1786, ))), )</f>
        <v/>
      </c>
      <c r="AD1786" s="32" t="str">
        <f t="shared" si="1790"/>
        <v/>
      </c>
      <c r="AE1786" s="32" t="str">
        <f t="shared" si="1790"/>
        <v/>
      </c>
      <c r="AF1786" s="32" t="str">
        <f t="shared" si="1790"/>
        <v/>
      </c>
      <c r="AG1786" s="32" t="str">
        <f t="shared" si="1790"/>
        <v/>
      </c>
      <c r="AH1786" s="33"/>
    </row>
    <row r="1787" hidden="1" outlineLevel="3">
      <c r="A1787" s="16" t="b">
        <v>0</v>
      </c>
      <c r="B1787" s="17"/>
      <c r="C1787" s="18"/>
      <c r="D1787" s="19"/>
      <c r="E1787" s="20"/>
      <c r="F1787" s="21"/>
      <c r="G1787" s="22"/>
      <c r="H1787" s="22"/>
      <c r="I1787" s="23"/>
      <c r="J1787" s="22"/>
      <c r="K1787" s="23"/>
      <c r="L1787" s="22"/>
      <c r="M1787" s="23"/>
      <c r="N1787" s="23"/>
      <c r="O1787" s="24"/>
      <c r="P1787" s="16" t="b">
        <v>0</v>
      </c>
      <c r="Q1787" s="24"/>
      <c r="R1787" s="25"/>
      <c r="S1787" s="26"/>
      <c r="T1787" s="27"/>
      <c r="U1787" s="24"/>
      <c r="V1787" s="28" t="s">
        <v>29</v>
      </c>
      <c r="W1787" s="29" t="s">
        <v>22</v>
      </c>
      <c r="X1787" s="37" t="s">
        <v>1157</v>
      </c>
      <c r="Y1787" s="31"/>
      <c r="Z1787" s="26" t="str">
        <f t="shared" si="5"/>
        <v/>
      </c>
      <c r="AA1787" s="26" t="str">
        <f t="shared" si="6"/>
        <v/>
      </c>
      <c r="AB1787" s="32" t="str">
        <f t="shared" si="7"/>
        <v/>
      </c>
      <c r="AC1787" s="32" t="str">
        <f t="shared" ref="AC1787:AG1787" si="1791">IF(J1787&lt;&gt;"", IF(AND($P1787=FALSE, $A1787=FALSE), -J1787, IF(AND($P1787=FALSE, $A1787=TRUE), 0, IF($P1787=TRUE, (J1787 / $R1787) * 100 * ($S1787 / 100)-J1787, ))), )</f>
        <v/>
      </c>
      <c r="AD1787" s="32" t="str">
        <f t="shared" si="1791"/>
        <v/>
      </c>
      <c r="AE1787" s="32" t="str">
        <f t="shared" si="1791"/>
        <v/>
      </c>
      <c r="AF1787" s="32" t="str">
        <f t="shared" si="1791"/>
        <v/>
      </c>
      <c r="AG1787" s="32" t="str">
        <f t="shared" si="1791"/>
        <v/>
      </c>
      <c r="AH1787" s="33"/>
    </row>
    <row r="1788" hidden="1" outlineLevel="3">
      <c r="A1788" s="16" t="b">
        <v>0</v>
      </c>
      <c r="B1788" s="17"/>
      <c r="C1788" s="18"/>
      <c r="D1788" s="19"/>
      <c r="E1788" s="20"/>
      <c r="F1788" s="21"/>
      <c r="G1788" s="22"/>
      <c r="H1788" s="22"/>
      <c r="I1788" s="23"/>
      <c r="J1788" s="22"/>
      <c r="K1788" s="23"/>
      <c r="L1788" s="22"/>
      <c r="M1788" s="23"/>
      <c r="N1788" s="23"/>
      <c r="O1788" s="24"/>
      <c r="P1788" s="16" t="b">
        <v>0</v>
      </c>
      <c r="Q1788" s="24"/>
      <c r="R1788" s="25"/>
      <c r="S1788" s="26"/>
      <c r="T1788" s="27"/>
      <c r="U1788" s="24"/>
      <c r="V1788" s="66">
        <v>178.0</v>
      </c>
      <c r="W1788" s="29" t="s">
        <v>22</v>
      </c>
      <c r="X1788" s="37" t="s">
        <v>783</v>
      </c>
      <c r="Y1788" s="31"/>
      <c r="Z1788" s="26" t="str">
        <f t="shared" si="5"/>
        <v/>
      </c>
      <c r="AA1788" s="26" t="str">
        <f t="shared" si="6"/>
        <v/>
      </c>
      <c r="AB1788" s="32" t="str">
        <f t="shared" si="7"/>
        <v/>
      </c>
      <c r="AC1788" s="32" t="str">
        <f t="shared" ref="AC1788:AG1788" si="1792">IF(J1788&lt;&gt;"", IF(AND($P1788=FALSE, $A1788=FALSE), -J1788, IF(AND($P1788=FALSE, $A1788=TRUE), 0, IF($P1788=TRUE, (J1788 / $R1788) * 100 * ($S1788 / 100)-J1788, ))), )</f>
        <v/>
      </c>
      <c r="AD1788" s="32" t="str">
        <f t="shared" si="1792"/>
        <v/>
      </c>
      <c r="AE1788" s="32" t="str">
        <f t="shared" si="1792"/>
        <v/>
      </c>
      <c r="AF1788" s="32" t="str">
        <f t="shared" si="1792"/>
        <v/>
      </c>
      <c r="AG1788" s="32" t="str">
        <f t="shared" si="1792"/>
        <v/>
      </c>
      <c r="AH1788" s="33"/>
    </row>
    <row r="1789" hidden="1" outlineLevel="3">
      <c r="A1789" s="16" t="b">
        <v>0</v>
      </c>
      <c r="B1789" s="17"/>
      <c r="C1789" s="18"/>
      <c r="D1789" s="19"/>
      <c r="E1789" s="20"/>
      <c r="F1789" s="21"/>
      <c r="G1789" s="22"/>
      <c r="H1789" s="22"/>
      <c r="I1789" s="23"/>
      <c r="J1789" s="22"/>
      <c r="K1789" s="23"/>
      <c r="L1789" s="22"/>
      <c r="M1789" s="23"/>
      <c r="N1789" s="23"/>
      <c r="O1789" s="24"/>
      <c r="P1789" s="16" t="b">
        <v>0</v>
      </c>
      <c r="Q1789" s="24"/>
      <c r="R1789" s="25"/>
      <c r="S1789" s="26"/>
      <c r="T1789" s="27"/>
      <c r="U1789" s="24"/>
      <c r="V1789" s="28" t="s">
        <v>29</v>
      </c>
      <c r="W1789" s="29" t="s">
        <v>22</v>
      </c>
      <c r="X1789" s="37" t="s">
        <v>1158</v>
      </c>
      <c r="Y1789" s="31"/>
      <c r="Z1789" s="26" t="str">
        <f t="shared" si="5"/>
        <v/>
      </c>
      <c r="AA1789" s="26" t="str">
        <f t="shared" si="6"/>
        <v/>
      </c>
      <c r="AB1789" s="32" t="str">
        <f t="shared" si="7"/>
        <v/>
      </c>
      <c r="AC1789" s="32" t="str">
        <f t="shared" ref="AC1789:AG1789" si="1793">IF(J1789&lt;&gt;"", IF(AND($P1789=FALSE, $A1789=FALSE), -J1789, IF(AND($P1789=FALSE, $A1789=TRUE), 0, IF($P1789=TRUE, (J1789 / $R1789) * 100 * ($S1789 / 100)-J1789, ))), )</f>
        <v/>
      </c>
      <c r="AD1789" s="32" t="str">
        <f t="shared" si="1793"/>
        <v/>
      </c>
      <c r="AE1789" s="32" t="str">
        <f t="shared" si="1793"/>
        <v/>
      </c>
      <c r="AF1789" s="32" t="str">
        <f t="shared" si="1793"/>
        <v/>
      </c>
      <c r="AG1789" s="32" t="str">
        <f t="shared" si="1793"/>
        <v/>
      </c>
      <c r="AH1789" s="33"/>
    </row>
    <row r="1790" hidden="1" outlineLevel="3">
      <c r="A1790" s="16" t="b">
        <v>0</v>
      </c>
      <c r="B1790" s="17"/>
      <c r="C1790" s="18"/>
      <c r="D1790" s="19"/>
      <c r="E1790" s="20"/>
      <c r="F1790" s="21"/>
      <c r="G1790" s="22"/>
      <c r="H1790" s="22"/>
      <c r="I1790" s="23"/>
      <c r="J1790" s="22"/>
      <c r="K1790" s="23"/>
      <c r="L1790" s="22"/>
      <c r="M1790" s="23"/>
      <c r="N1790" s="23"/>
      <c r="O1790" s="24"/>
      <c r="P1790" s="16" t="b">
        <v>0</v>
      </c>
      <c r="Q1790" s="24"/>
      <c r="R1790" s="25"/>
      <c r="S1790" s="26"/>
      <c r="T1790" s="27"/>
      <c r="U1790" s="24"/>
      <c r="V1790" s="28" t="s">
        <v>29</v>
      </c>
      <c r="W1790" s="29" t="s">
        <v>22</v>
      </c>
      <c r="X1790" s="37" t="s">
        <v>148</v>
      </c>
      <c r="Y1790" s="31"/>
      <c r="Z1790" s="26" t="str">
        <f t="shared" si="5"/>
        <v/>
      </c>
      <c r="AA1790" s="26" t="str">
        <f t="shared" si="6"/>
        <v/>
      </c>
      <c r="AB1790" s="32" t="str">
        <f t="shared" si="7"/>
        <v/>
      </c>
      <c r="AC1790" s="32" t="str">
        <f t="shared" ref="AC1790:AG1790" si="1794">IF(J1790&lt;&gt;"", IF(AND($P1790=FALSE, $A1790=FALSE), -J1790, IF(AND($P1790=FALSE, $A1790=TRUE), 0, IF($P1790=TRUE, (J1790 / $R1790) * 100 * ($S1790 / 100)-J1790, ))), )</f>
        <v/>
      </c>
      <c r="AD1790" s="32" t="str">
        <f t="shared" si="1794"/>
        <v/>
      </c>
      <c r="AE1790" s="32" t="str">
        <f t="shared" si="1794"/>
        <v/>
      </c>
      <c r="AF1790" s="32" t="str">
        <f t="shared" si="1794"/>
        <v/>
      </c>
      <c r="AG1790" s="32" t="str">
        <f t="shared" si="1794"/>
        <v/>
      </c>
      <c r="AH1790" s="33"/>
    </row>
    <row r="1791" hidden="1" outlineLevel="3">
      <c r="A1791" s="16" t="b">
        <v>0</v>
      </c>
      <c r="B1791" s="17"/>
      <c r="C1791" s="18"/>
      <c r="D1791" s="19"/>
      <c r="E1791" s="20"/>
      <c r="F1791" s="21"/>
      <c r="G1791" s="22"/>
      <c r="H1791" s="22"/>
      <c r="I1791" s="23"/>
      <c r="J1791" s="22"/>
      <c r="K1791" s="23"/>
      <c r="L1791" s="22"/>
      <c r="M1791" s="23"/>
      <c r="N1791" s="23"/>
      <c r="O1791" s="24"/>
      <c r="P1791" s="16" t="b">
        <v>0</v>
      </c>
      <c r="Q1791" s="24"/>
      <c r="R1791" s="25"/>
      <c r="S1791" s="26"/>
      <c r="T1791" s="27"/>
      <c r="U1791" s="24"/>
      <c r="V1791" s="66">
        <v>21.0</v>
      </c>
      <c r="W1791" s="29" t="s">
        <v>22</v>
      </c>
      <c r="X1791" s="37" t="s">
        <v>1159</v>
      </c>
      <c r="Y1791" s="31"/>
      <c r="Z1791" s="26" t="str">
        <f t="shared" si="5"/>
        <v/>
      </c>
      <c r="AA1791" s="26" t="str">
        <f t="shared" si="6"/>
        <v/>
      </c>
      <c r="AB1791" s="32" t="str">
        <f t="shared" si="7"/>
        <v/>
      </c>
      <c r="AC1791" s="32" t="str">
        <f t="shared" ref="AC1791:AG1791" si="1795">IF(J1791&lt;&gt;"", IF(AND($P1791=FALSE, $A1791=FALSE), -J1791, IF(AND($P1791=FALSE, $A1791=TRUE), 0, IF($P1791=TRUE, (J1791 / $R1791) * 100 * ($S1791 / 100)-J1791, ))), )</f>
        <v/>
      </c>
      <c r="AD1791" s="32" t="str">
        <f t="shared" si="1795"/>
        <v/>
      </c>
      <c r="AE1791" s="32" t="str">
        <f t="shared" si="1795"/>
        <v/>
      </c>
      <c r="AF1791" s="32" t="str">
        <f t="shared" si="1795"/>
        <v/>
      </c>
      <c r="AG1791" s="32" t="str">
        <f t="shared" si="1795"/>
        <v/>
      </c>
      <c r="AH1791" s="33"/>
    </row>
    <row r="1792" hidden="1" outlineLevel="3">
      <c r="A1792" s="16" t="b">
        <v>0</v>
      </c>
      <c r="B1792" s="17"/>
      <c r="C1792" s="18"/>
      <c r="D1792" s="19"/>
      <c r="E1792" s="20"/>
      <c r="F1792" s="21"/>
      <c r="G1792" s="22"/>
      <c r="H1792" s="22"/>
      <c r="I1792" s="23"/>
      <c r="J1792" s="22"/>
      <c r="K1792" s="23"/>
      <c r="L1792" s="22"/>
      <c r="M1792" s="23"/>
      <c r="N1792" s="23"/>
      <c r="O1792" s="24"/>
      <c r="P1792" s="16" t="b">
        <v>0</v>
      </c>
      <c r="Q1792" s="24"/>
      <c r="R1792" s="25"/>
      <c r="S1792" s="26"/>
      <c r="T1792" s="27"/>
      <c r="U1792" s="24"/>
      <c r="V1792" s="28" t="s">
        <v>29</v>
      </c>
      <c r="W1792" s="29" t="s">
        <v>22</v>
      </c>
      <c r="X1792" s="37" t="s">
        <v>138</v>
      </c>
      <c r="Y1792" s="31"/>
      <c r="Z1792" s="26" t="str">
        <f t="shared" si="5"/>
        <v/>
      </c>
      <c r="AA1792" s="26" t="str">
        <f t="shared" si="6"/>
        <v/>
      </c>
      <c r="AB1792" s="32" t="str">
        <f t="shared" si="7"/>
        <v/>
      </c>
      <c r="AC1792" s="32" t="str">
        <f t="shared" ref="AC1792:AG1792" si="1796">IF(J1792&lt;&gt;"", IF(AND($P1792=FALSE, $A1792=FALSE), -J1792, IF(AND($P1792=FALSE, $A1792=TRUE), 0, IF($P1792=TRUE, (J1792 / $R1792) * 100 * ($S1792 / 100)-J1792, ))), )</f>
        <v/>
      </c>
      <c r="AD1792" s="32" t="str">
        <f t="shared" si="1796"/>
        <v/>
      </c>
      <c r="AE1792" s="32" t="str">
        <f t="shared" si="1796"/>
        <v/>
      </c>
      <c r="AF1792" s="32" t="str">
        <f t="shared" si="1796"/>
        <v/>
      </c>
      <c r="AG1792" s="32" t="str">
        <f t="shared" si="1796"/>
        <v/>
      </c>
      <c r="AH1792" s="33"/>
    </row>
    <row r="1793" hidden="1" outlineLevel="2" collapsed="1">
      <c r="A1793" s="16" t="b">
        <v>0</v>
      </c>
      <c r="B1793" s="17"/>
      <c r="C1793" s="18"/>
      <c r="D1793" s="42">
        <v>45312.0</v>
      </c>
      <c r="E1793" s="43" t="s">
        <v>24</v>
      </c>
      <c r="F1793" s="53" t="s">
        <v>1128</v>
      </c>
      <c r="G1793" s="45">
        <v>2.0</v>
      </c>
      <c r="H1793" s="45">
        <v>1.0</v>
      </c>
      <c r="I1793" s="45">
        <v>2.0</v>
      </c>
      <c r="J1793" s="46"/>
      <c r="K1793" s="46"/>
      <c r="L1793" s="45"/>
      <c r="M1793" s="46"/>
      <c r="N1793" s="46"/>
      <c r="O1793" s="47"/>
      <c r="P1793" s="16" t="b">
        <v>0</v>
      </c>
      <c r="Q1793" s="24"/>
      <c r="R1793" s="48">
        <v>5.0</v>
      </c>
      <c r="S1793" s="45">
        <v>11.53</v>
      </c>
      <c r="T1793" s="49" t="s">
        <v>525</v>
      </c>
      <c r="U1793" s="47"/>
      <c r="V1793" s="28"/>
      <c r="W1793" s="29"/>
      <c r="X1793" s="30"/>
      <c r="Y1793" s="31"/>
      <c r="Z1793" s="26">
        <f t="shared" si="5"/>
        <v>-2</v>
      </c>
      <c r="AA1793" s="26">
        <f t="shared" si="6"/>
        <v>-2</v>
      </c>
      <c r="AB1793" s="32">
        <f t="shared" si="7"/>
        <v>-1</v>
      </c>
      <c r="AC1793" s="32" t="str">
        <f t="shared" ref="AC1793:AG1793" si="1797">IF(J1793&lt;&gt;"", IF(AND($P1793=FALSE, $A1793=FALSE), -J1793, IF(AND($P1793=FALSE, $A1793=TRUE), 0, IF($P1793=TRUE, (J1793 / $R1793) * 100 * ($S1793 / 100)-J1793, ))), )</f>
        <v/>
      </c>
      <c r="AD1793" s="32" t="str">
        <f t="shared" si="1797"/>
        <v/>
      </c>
      <c r="AE1793" s="32" t="str">
        <f t="shared" si="1797"/>
        <v/>
      </c>
      <c r="AF1793" s="32" t="str">
        <f t="shared" si="1797"/>
        <v/>
      </c>
      <c r="AG1793" s="32" t="str">
        <f t="shared" si="1797"/>
        <v/>
      </c>
      <c r="AH1793" s="33"/>
    </row>
    <row r="1794" hidden="1" outlineLevel="3">
      <c r="A1794" s="16" t="b">
        <v>0</v>
      </c>
      <c r="B1794" s="17"/>
      <c r="C1794" s="18"/>
      <c r="D1794" s="19"/>
      <c r="E1794" s="20"/>
      <c r="F1794" s="21"/>
      <c r="G1794" s="22"/>
      <c r="H1794" s="22"/>
      <c r="I1794" s="23"/>
      <c r="J1794" s="22"/>
      <c r="K1794" s="23"/>
      <c r="L1794" s="22"/>
      <c r="M1794" s="23"/>
      <c r="N1794" s="23"/>
      <c r="O1794" s="24"/>
      <c r="P1794" s="16" t="b">
        <v>0</v>
      </c>
      <c r="Q1794" s="24"/>
      <c r="R1794" s="25"/>
      <c r="S1794" s="26"/>
      <c r="T1794" s="27"/>
      <c r="U1794" s="24"/>
      <c r="V1794" s="28" t="s">
        <v>29</v>
      </c>
      <c r="W1794" s="29" t="s">
        <v>22</v>
      </c>
      <c r="X1794" s="37" t="s">
        <v>1160</v>
      </c>
      <c r="Y1794" s="31"/>
      <c r="Z1794" s="26" t="str">
        <f t="shared" si="5"/>
        <v/>
      </c>
      <c r="AA1794" s="26" t="str">
        <f t="shared" si="6"/>
        <v/>
      </c>
      <c r="AB1794" s="32" t="str">
        <f t="shared" si="7"/>
        <v/>
      </c>
      <c r="AC1794" s="32" t="str">
        <f t="shared" ref="AC1794:AG1794" si="1798">IF(J1794&lt;&gt;"", IF(AND($P1794=FALSE, $A1794=FALSE), -J1794, IF(AND($P1794=FALSE, $A1794=TRUE), 0, IF($P1794=TRUE, (J1794 / $R1794) * 100 * ($S1794 / 100)-J1794, ))), )</f>
        <v/>
      </c>
      <c r="AD1794" s="32" t="str">
        <f t="shared" si="1798"/>
        <v/>
      </c>
      <c r="AE1794" s="32" t="str">
        <f t="shared" si="1798"/>
        <v/>
      </c>
      <c r="AF1794" s="32" t="str">
        <f t="shared" si="1798"/>
        <v/>
      </c>
      <c r="AG1794" s="32" t="str">
        <f t="shared" si="1798"/>
        <v/>
      </c>
      <c r="AH1794" s="33"/>
    </row>
    <row r="1795" hidden="1" outlineLevel="3">
      <c r="A1795" s="16" t="b">
        <v>0</v>
      </c>
      <c r="B1795" s="17"/>
      <c r="C1795" s="18"/>
      <c r="D1795" s="19"/>
      <c r="E1795" s="20"/>
      <c r="F1795" s="21"/>
      <c r="G1795" s="22"/>
      <c r="H1795" s="22"/>
      <c r="I1795" s="23"/>
      <c r="J1795" s="22"/>
      <c r="K1795" s="23"/>
      <c r="L1795" s="22"/>
      <c r="M1795" s="23"/>
      <c r="N1795" s="23"/>
      <c r="O1795" s="24"/>
      <c r="P1795" s="16" t="b">
        <v>0</v>
      </c>
      <c r="Q1795" s="24"/>
      <c r="R1795" s="25"/>
      <c r="S1795" s="26"/>
      <c r="T1795" s="27"/>
      <c r="U1795" s="24"/>
      <c r="V1795" s="28" t="s">
        <v>29</v>
      </c>
      <c r="W1795" s="29" t="s">
        <v>22</v>
      </c>
      <c r="X1795" s="37" t="s">
        <v>1104</v>
      </c>
      <c r="Y1795" s="31"/>
      <c r="Z1795" s="26" t="str">
        <f t="shared" si="5"/>
        <v/>
      </c>
      <c r="AA1795" s="26" t="str">
        <f t="shared" si="6"/>
        <v/>
      </c>
      <c r="AB1795" s="32" t="str">
        <f t="shared" si="7"/>
        <v/>
      </c>
      <c r="AC1795" s="32" t="str">
        <f t="shared" ref="AC1795:AG1795" si="1799">IF(J1795&lt;&gt;"", IF(AND($P1795=FALSE, $A1795=FALSE), -J1795, IF(AND($P1795=FALSE, $A1795=TRUE), 0, IF($P1795=TRUE, (J1795 / $R1795) * 100 * ($S1795 / 100)-J1795, ))), )</f>
        <v/>
      </c>
      <c r="AD1795" s="32" t="str">
        <f t="shared" si="1799"/>
        <v/>
      </c>
      <c r="AE1795" s="32" t="str">
        <f t="shared" si="1799"/>
        <v/>
      </c>
      <c r="AF1795" s="32" t="str">
        <f t="shared" si="1799"/>
        <v/>
      </c>
      <c r="AG1795" s="32" t="str">
        <f t="shared" si="1799"/>
        <v/>
      </c>
      <c r="AH1795" s="33"/>
    </row>
    <row r="1796" hidden="1" outlineLevel="3">
      <c r="A1796" s="16" t="b">
        <v>0</v>
      </c>
      <c r="B1796" s="17"/>
      <c r="C1796" s="18"/>
      <c r="D1796" s="19"/>
      <c r="E1796" s="20"/>
      <c r="F1796" s="21"/>
      <c r="G1796" s="22"/>
      <c r="H1796" s="22"/>
      <c r="I1796" s="23"/>
      <c r="J1796" s="22"/>
      <c r="K1796" s="23"/>
      <c r="L1796" s="22"/>
      <c r="M1796" s="23"/>
      <c r="N1796" s="23"/>
      <c r="O1796" s="24"/>
      <c r="P1796" s="16" t="b">
        <v>0</v>
      </c>
      <c r="Q1796" s="24"/>
      <c r="R1796" s="25"/>
      <c r="S1796" s="26"/>
      <c r="T1796" s="27"/>
      <c r="U1796" s="24"/>
      <c r="V1796" s="28" t="s">
        <v>29</v>
      </c>
      <c r="W1796" s="29" t="s">
        <v>22</v>
      </c>
      <c r="X1796" s="37" t="s">
        <v>1161</v>
      </c>
      <c r="Y1796" s="31"/>
      <c r="Z1796" s="26" t="str">
        <f t="shared" si="5"/>
        <v/>
      </c>
      <c r="AA1796" s="26" t="str">
        <f t="shared" si="6"/>
        <v/>
      </c>
      <c r="AB1796" s="32" t="str">
        <f t="shared" si="7"/>
        <v/>
      </c>
      <c r="AC1796" s="32" t="str">
        <f t="shared" ref="AC1796:AG1796" si="1800">IF(J1796&lt;&gt;"", IF(AND($P1796=FALSE, $A1796=FALSE), -J1796, IF(AND($P1796=FALSE, $A1796=TRUE), 0, IF($P1796=TRUE, (J1796 / $R1796) * 100 * ($S1796 / 100)-J1796, ))), )</f>
        <v/>
      </c>
      <c r="AD1796" s="32" t="str">
        <f t="shared" si="1800"/>
        <v/>
      </c>
      <c r="AE1796" s="32" t="str">
        <f t="shared" si="1800"/>
        <v/>
      </c>
      <c r="AF1796" s="32" t="str">
        <f t="shared" si="1800"/>
        <v/>
      </c>
      <c r="AG1796" s="32" t="str">
        <f t="shared" si="1800"/>
        <v/>
      </c>
      <c r="AH1796" s="33"/>
    </row>
    <row r="1797" hidden="1" outlineLevel="3">
      <c r="A1797" s="16" t="b">
        <v>0</v>
      </c>
      <c r="B1797" s="17"/>
      <c r="C1797" s="18"/>
      <c r="D1797" s="19"/>
      <c r="E1797" s="20"/>
      <c r="F1797" s="21"/>
      <c r="G1797" s="22"/>
      <c r="H1797" s="22"/>
      <c r="I1797" s="23"/>
      <c r="J1797" s="22"/>
      <c r="K1797" s="23"/>
      <c r="L1797" s="22"/>
      <c r="M1797" s="23"/>
      <c r="N1797" s="23"/>
      <c r="O1797" s="24"/>
      <c r="P1797" s="16" t="b">
        <v>0</v>
      </c>
      <c r="Q1797" s="24"/>
      <c r="R1797" s="25"/>
      <c r="S1797" s="26"/>
      <c r="T1797" s="27"/>
      <c r="U1797" s="24"/>
      <c r="V1797" s="66">
        <v>3.0</v>
      </c>
      <c r="W1797" s="29" t="s">
        <v>22</v>
      </c>
      <c r="X1797" s="37" t="s">
        <v>1162</v>
      </c>
      <c r="Y1797" s="31"/>
      <c r="Z1797" s="26" t="str">
        <f t="shared" si="5"/>
        <v/>
      </c>
      <c r="AA1797" s="26" t="str">
        <f t="shared" si="6"/>
        <v/>
      </c>
      <c r="AB1797" s="32" t="str">
        <f t="shared" si="7"/>
        <v/>
      </c>
      <c r="AC1797" s="32" t="str">
        <f t="shared" ref="AC1797:AG1797" si="1801">IF(J1797&lt;&gt;"", IF(AND($P1797=FALSE, $A1797=FALSE), -J1797, IF(AND($P1797=FALSE, $A1797=TRUE), 0, IF($P1797=TRUE, (J1797 / $R1797) * 100 * ($S1797 / 100)-J1797, ))), )</f>
        <v/>
      </c>
      <c r="AD1797" s="32" t="str">
        <f t="shared" si="1801"/>
        <v/>
      </c>
      <c r="AE1797" s="32" t="str">
        <f t="shared" si="1801"/>
        <v/>
      </c>
      <c r="AF1797" s="32" t="str">
        <f t="shared" si="1801"/>
        <v/>
      </c>
      <c r="AG1797" s="32" t="str">
        <f t="shared" si="1801"/>
        <v/>
      </c>
      <c r="AH1797" s="33"/>
    </row>
    <row r="1798" hidden="1" outlineLevel="3">
      <c r="A1798" s="16" t="b">
        <v>0</v>
      </c>
      <c r="B1798" s="17"/>
      <c r="C1798" s="18"/>
      <c r="D1798" s="19"/>
      <c r="E1798" s="20"/>
      <c r="F1798" s="21"/>
      <c r="G1798" s="22"/>
      <c r="H1798" s="22"/>
      <c r="I1798" s="23"/>
      <c r="J1798" s="22"/>
      <c r="K1798" s="23"/>
      <c r="L1798" s="22"/>
      <c r="M1798" s="23"/>
      <c r="N1798" s="23"/>
      <c r="O1798" s="24"/>
      <c r="P1798" s="16" t="b">
        <v>0</v>
      </c>
      <c r="Q1798" s="24"/>
      <c r="R1798" s="25"/>
      <c r="S1798" s="26"/>
      <c r="T1798" s="27"/>
      <c r="U1798" s="24"/>
      <c r="V1798" s="28" t="s">
        <v>29</v>
      </c>
      <c r="W1798" s="29" t="s">
        <v>22</v>
      </c>
      <c r="X1798" s="37" t="s">
        <v>73</v>
      </c>
      <c r="Y1798" s="31"/>
      <c r="Z1798" s="26" t="str">
        <f t="shared" si="5"/>
        <v/>
      </c>
      <c r="AA1798" s="26" t="str">
        <f t="shared" si="6"/>
        <v/>
      </c>
      <c r="AB1798" s="32" t="str">
        <f t="shared" si="7"/>
        <v/>
      </c>
      <c r="AC1798" s="32" t="str">
        <f t="shared" ref="AC1798:AG1798" si="1802">IF(J1798&lt;&gt;"", IF(AND($P1798=FALSE, $A1798=FALSE), -J1798, IF(AND($P1798=FALSE, $A1798=TRUE), 0, IF($P1798=TRUE, (J1798 / $R1798) * 100 * ($S1798 / 100)-J1798, ))), )</f>
        <v/>
      </c>
      <c r="AD1798" s="32" t="str">
        <f t="shared" si="1802"/>
        <v/>
      </c>
      <c r="AE1798" s="32" t="str">
        <f t="shared" si="1802"/>
        <v/>
      </c>
      <c r="AF1798" s="32" t="str">
        <f t="shared" si="1802"/>
        <v/>
      </c>
      <c r="AG1798" s="32" t="str">
        <f t="shared" si="1802"/>
        <v/>
      </c>
      <c r="AH1798" s="33"/>
    </row>
    <row r="1799" hidden="1" outlineLevel="3">
      <c r="A1799" s="16" t="b">
        <v>0</v>
      </c>
      <c r="B1799" s="17"/>
      <c r="C1799" s="18"/>
      <c r="D1799" s="19"/>
      <c r="E1799" s="20"/>
      <c r="F1799" s="21"/>
      <c r="G1799" s="22"/>
      <c r="H1799" s="22"/>
      <c r="I1799" s="23"/>
      <c r="J1799" s="22"/>
      <c r="K1799" s="23"/>
      <c r="L1799" s="22"/>
      <c r="M1799" s="23"/>
      <c r="N1799" s="23"/>
      <c r="O1799" s="24"/>
      <c r="P1799" s="16" t="b">
        <v>0</v>
      </c>
      <c r="Q1799" s="24"/>
      <c r="R1799" s="25"/>
      <c r="S1799" s="26"/>
      <c r="T1799" s="27"/>
      <c r="U1799" s="24"/>
      <c r="V1799" s="28" t="s">
        <v>29</v>
      </c>
      <c r="W1799" s="29" t="s">
        <v>22</v>
      </c>
      <c r="X1799" s="37" t="s">
        <v>1163</v>
      </c>
      <c r="Y1799" s="31"/>
      <c r="Z1799" s="26" t="str">
        <f t="shared" si="5"/>
        <v/>
      </c>
      <c r="AA1799" s="26" t="str">
        <f t="shared" si="6"/>
        <v/>
      </c>
      <c r="AB1799" s="32" t="str">
        <f t="shared" si="7"/>
        <v/>
      </c>
      <c r="AC1799" s="32" t="str">
        <f t="shared" ref="AC1799:AG1799" si="1803">IF(J1799&lt;&gt;"", IF(AND($P1799=FALSE, $A1799=FALSE), -J1799, IF(AND($P1799=FALSE, $A1799=TRUE), 0, IF($P1799=TRUE, (J1799 / $R1799) * 100 * ($S1799 / 100)-J1799, ))), )</f>
        <v/>
      </c>
      <c r="AD1799" s="32" t="str">
        <f t="shared" si="1803"/>
        <v/>
      </c>
      <c r="AE1799" s="32" t="str">
        <f t="shared" si="1803"/>
        <v/>
      </c>
      <c r="AF1799" s="32" t="str">
        <f t="shared" si="1803"/>
        <v/>
      </c>
      <c r="AG1799" s="32" t="str">
        <f t="shared" si="1803"/>
        <v/>
      </c>
      <c r="AH1799" s="33"/>
    </row>
    <row r="1800" hidden="1" outlineLevel="2" collapsed="1">
      <c r="A1800" s="16" t="b">
        <v>0</v>
      </c>
      <c r="B1800" s="17"/>
      <c r="C1800" s="18"/>
      <c r="D1800" s="42">
        <v>45312.0</v>
      </c>
      <c r="E1800" s="43" t="s">
        <v>24</v>
      </c>
      <c r="F1800" s="53" t="s">
        <v>1128</v>
      </c>
      <c r="G1800" s="45">
        <v>4.0</v>
      </c>
      <c r="H1800" s="45">
        <v>2.0</v>
      </c>
      <c r="I1800" s="45">
        <v>44.0</v>
      </c>
      <c r="J1800" s="46"/>
      <c r="K1800" s="46"/>
      <c r="L1800" s="45"/>
      <c r="M1800" s="46"/>
      <c r="N1800" s="46"/>
      <c r="O1800" s="47"/>
      <c r="P1800" s="16" t="b">
        <v>1</v>
      </c>
      <c r="Q1800" s="24"/>
      <c r="R1800" s="48">
        <v>50.0</v>
      </c>
      <c r="S1800" s="45">
        <v>100.0</v>
      </c>
      <c r="T1800" s="49">
        <v>-100.0</v>
      </c>
      <c r="U1800" s="47"/>
      <c r="V1800" s="28"/>
      <c r="W1800" s="29"/>
      <c r="X1800" s="30"/>
      <c r="Y1800" s="31"/>
      <c r="Z1800" s="26">
        <f t="shared" si="5"/>
        <v>4</v>
      </c>
      <c r="AA1800" s="26">
        <f t="shared" si="6"/>
        <v>44</v>
      </c>
      <c r="AB1800" s="32">
        <f t="shared" si="7"/>
        <v>2</v>
      </c>
      <c r="AC1800" s="32" t="str">
        <f t="shared" ref="AC1800:AG1800" si="1804">IF(J1800&lt;&gt;"", IF(AND($P1800=FALSE, $A1800=FALSE), -J1800, IF(AND($P1800=FALSE, $A1800=TRUE), 0, IF($P1800=TRUE, (J1800 / $R1800) * 100 * ($S1800 / 100)-J1800, ))), )</f>
        <v/>
      </c>
      <c r="AD1800" s="32" t="str">
        <f t="shared" si="1804"/>
        <v/>
      </c>
      <c r="AE1800" s="32" t="str">
        <f t="shared" si="1804"/>
        <v/>
      </c>
      <c r="AF1800" s="32" t="str">
        <f t="shared" si="1804"/>
        <v/>
      </c>
      <c r="AG1800" s="32" t="str">
        <f t="shared" si="1804"/>
        <v/>
      </c>
      <c r="AH1800" s="33"/>
    </row>
    <row r="1801" hidden="1" outlineLevel="3">
      <c r="A1801" s="16" t="b">
        <v>0</v>
      </c>
      <c r="B1801" s="17"/>
      <c r="C1801" s="18"/>
      <c r="D1801" s="19"/>
      <c r="E1801" s="20"/>
      <c r="F1801" s="21"/>
      <c r="G1801" s="22"/>
      <c r="H1801" s="22"/>
      <c r="I1801" s="23"/>
      <c r="J1801" s="22"/>
      <c r="K1801" s="23"/>
      <c r="L1801" s="22"/>
      <c r="M1801" s="23"/>
      <c r="N1801" s="23"/>
      <c r="O1801" s="24"/>
      <c r="P1801" s="16" t="b">
        <v>0</v>
      </c>
      <c r="Q1801" s="24"/>
      <c r="R1801" s="25"/>
      <c r="S1801" s="26"/>
      <c r="T1801" s="27"/>
      <c r="U1801" s="24"/>
      <c r="V1801" s="28" t="s">
        <v>29</v>
      </c>
      <c r="W1801" s="29" t="s">
        <v>22</v>
      </c>
      <c r="X1801" s="37" t="s">
        <v>1164</v>
      </c>
      <c r="Y1801" s="31"/>
      <c r="Z1801" s="26" t="str">
        <f t="shared" si="5"/>
        <v/>
      </c>
      <c r="AA1801" s="26" t="str">
        <f t="shared" si="6"/>
        <v/>
      </c>
      <c r="AB1801" s="32" t="str">
        <f t="shared" si="7"/>
        <v/>
      </c>
      <c r="AC1801" s="32" t="str">
        <f t="shared" ref="AC1801:AG1801" si="1805">IF(J1801&lt;&gt;"", IF(AND($P1801=FALSE, $A1801=FALSE), -J1801, IF(AND($P1801=FALSE, $A1801=TRUE), 0, IF($P1801=TRUE, (J1801 / $R1801) * 100 * ($S1801 / 100)-J1801, ))), )</f>
        <v/>
      </c>
      <c r="AD1801" s="32" t="str">
        <f t="shared" si="1805"/>
        <v/>
      </c>
      <c r="AE1801" s="32" t="str">
        <f t="shared" si="1805"/>
        <v/>
      </c>
      <c r="AF1801" s="32" t="str">
        <f t="shared" si="1805"/>
        <v/>
      </c>
      <c r="AG1801" s="32" t="str">
        <f t="shared" si="1805"/>
        <v/>
      </c>
      <c r="AH1801" s="33"/>
    </row>
    <row r="1802" hidden="1" outlineLevel="2" collapsed="1">
      <c r="A1802" s="16" t="b">
        <v>0</v>
      </c>
      <c r="B1802" s="17"/>
      <c r="C1802" s="18"/>
      <c r="D1802" s="42">
        <v>45312.0</v>
      </c>
      <c r="E1802" s="80" t="s">
        <v>60</v>
      </c>
      <c r="F1802" s="53" t="s">
        <v>1003</v>
      </c>
      <c r="G1802" s="45">
        <v>2.0</v>
      </c>
      <c r="H1802" s="45">
        <v>1.0</v>
      </c>
      <c r="I1802" s="45"/>
      <c r="J1802" s="45"/>
      <c r="K1802" s="79"/>
      <c r="L1802" s="45"/>
      <c r="M1802" s="46"/>
      <c r="N1802" s="46"/>
      <c r="O1802" s="47"/>
      <c r="P1802" s="16" t="b">
        <v>1</v>
      </c>
      <c r="Q1802" s="24"/>
      <c r="R1802" s="48">
        <v>3.0</v>
      </c>
      <c r="S1802" s="45">
        <v>6.88</v>
      </c>
      <c r="T1802" s="49" t="s">
        <v>245</v>
      </c>
      <c r="U1802" s="47"/>
      <c r="V1802" s="28"/>
      <c r="W1802" s="29"/>
      <c r="X1802" s="30"/>
      <c r="Y1802" s="31"/>
      <c r="Z1802" s="26">
        <f t="shared" si="5"/>
        <v>2.586666667</v>
      </c>
      <c r="AA1802" s="26" t="str">
        <f t="shared" si="6"/>
        <v/>
      </c>
      <c r="AB1802" s="32">
        <f t="shared" si="7"/>
        <v>1.293333333</v>
      </c>
      <c r="AC1802" s="32" t="str">
        <f t="shared" ref="AC1802:AG1802" si="1806">IF(J1802&lt;&gt;"", IF(AND($P1802=FALSE, $A1802=FALSE), -J1802, IF(AND($P1802=FALSE, $A1802=TRUE), 0, IF($P1802=TRUE, (J1802 / $R1802) * 100 * ($S1802 / 100)-J1802, ))), )</f>
        <v/>
      </c>
      <c r="AD1802" s="32" t="str">
        <f t="shared" si="1806"/>
        <v/>
      </c>
      <c r="AE1802" s="32" t="str">
        <f t="shared" si="1806"/>
        <v/>
      </c>
      <c r="AF1802" s="32" t="str">
        <f t="shared" si="1806"/>
        <v/>
      </c>
      <c r="AG1802" s="32" t="str">
        <f t="shared" si="1806"/>
        <v/>
      </c>
      <c r="AH1802" s="33"/>
    </row>
    <row r="1803" hidden="1" outlineLevel="3">
      <c r="A1803" s="16" t="b">
        <v>0</v>
      </c>
      <c r="B1803" s="17"/>
      <c r="C1803" s="18"/>
      <c r="D1803" s="19"/>
      <c r="E1803" s="20"/>
      <c r="F1803" s="21"/>
      <c r="G1803" s="22"/>
      <c r="H1803" s="22"/>
      <c r="I1803" s="23"/>
      <c r="J1803" s="22"/>
      <c r="K1803" s="23"/>
      <c r="L1803" s="22"/>
      <c r="M1803" s="23"/>
      <c r="N1803" s="23"/>
      <c r="O1803" s="24"/>
      <c r="P1803" s="16" t="b">
        <v>0</v>
      </c>
      <c r="Q1803" s="24"/>
      <c r="R1803" s="25"/>
      <c r="S1803" s="26"/>
      <c r="T1803" s="27"/>
      <c r="U1803" s="24"/>
      <c r="V1803" s="28" t="s">
        <v>29</v>
      </c>
      <c r="W1803" s="29" t="s">
        <v>22</v>
      </c>
      <c r="X1803" s="37" t="s">
        <v>1122</v>
      </c>
      <c r="Y1803" s="31"/>
      <c r="Z1803" s="26" t="str">
        <f t="shared" si="5"/>
        <v/>
      </c>
      <c r="AA1803" s="26" t="str">
        <f t="shared" si="6"/>
        <v/>
      </c>
      <c r="AB1803" s="32" t="str">
        <f t="shared" si="7"/>
        <v/>
      </c>
      <c r="AC1803" s="32" t="str">
        <f t="shared" ref="AC1803:AG1803" si="1807">IF(J1803&lt;&gt;"", IF(AND($P1803=FALSE, $A1803=FALSE), -J1803, IF(AND($P1803=FALSE, $A1803=TRUE), 0, IF($P1803=TRUE, (J1803 / $R1803) * 100 * ($S1803 / 100)-J1803, ))), )</f>
        <v/>
      </c>
      <c r="AD1803" s="32" t="str">
        <f t="shared" si="1807"/>
        <v/>
      </c>
      <c r="AE1803" s="32" t="str">
        <f t="shared" si="1807"/>
        <v/>
      </c>
      <c r="AF1803" s="32" t="str">
        <f t="shared" si="1807"/>
        <v/>
      </c>
      <c r="AG1803" s="32" t="str">
        <f t="shared" si="1807"/>
        <v/>
      </c>
      <c r="AH1803" s="33"/>
    </row>
    <row r="1804" hidden="1" outlineLevel="3">
      <c r="A1804" s="16" t="b">
        <v>0</v>
      </c>
      <c r="B1804" s="17"/>
      <c r="C1804" s="18"/>
      <c r="D1804" s="19"/>
      <c r="E1804" s="20"/>
      <c r="F1804" s="21"/>
      <c r="G1804" s="22"/>
      <c r="H1804" s="22"/>
      <c r="I1804" s="23"/>
      <c r="J1804" s="22"/>
      <c r="K1804" s="23"/>
      <c r="L1804" s="22"/>
      <c r="M1804" s="23"/>
      <c r="N1804" s="23"/>
      <c r="O1804" s="24"/>
      <c r="P1804" s="16" t="b">
        <v>0</v>
      </c>
      <c r="Q1804" s="24"/>
      <c r="R1804" s="25"/>
      <c r="S1804" s="26"/>
      <c r="T1804" s="27"/>
      <c r="U1804" s="24"/>
      <c r="V1804" s="28" t="s">
        <v>29</v>
      </c>
      <c r="W1804" s="29" t="s">
        <v>22</v>
      </c>
      <c r="X1804" s="37" t="s">
        <v>1165</v>
      </c>
      <c r="Y1804" s="31"/>
      <c r="Z1804" s="26" t="str">
        <f t="shared" si="5"/>
        <v/>
      </c>
      <c r="AA1804" s="26" t="str">
        <f t="shared" si="6"/>
        <v/>
      </c>
      <c r="AB1804" s="32" t="str">
        <f t="shared" si="7"/>
        <v/>
      </c>
      <c r="AC1804" s="32" t="str">
        <f t="shared" ref="AC1804:AG1804" si="1808">IF(J1804&lt;&gt;"", IF(AND($P1804=FALSE, $A1804=FALSE), -J1804, IF(AND($P1804=FALSE, $A1804=TRUE), 0, IF($P1804=TRUE, (J1804 / $R1804) * 100 * ($S1804 / 100)-J1804, ))), )</f>
        <v/>
      </c>
      <c r="AD1804" s="32" t="str">
        <f t="shared" si="1808"/>
        <v/>
      </c>
      <c r="AE1804" s="32" t="str">
        <f t="shared" si="1808"/>
        <v/>
      </c>
      <c r="AF1804" s="32" t="str">
        <f t="shared" si="1808"/>
        <v/>
      </c>
      <c r="AG1804" s="32" t="str">
        <f t="shared" si="1808"/>
        <v/>
      </c>
      <c r="AH1804" s="33"/>
    </row>
    <row r="1805" hidden="1" outlineLevel="3">
      <c r="A1805" s="16" t="b">
        <v>0</v>
      </c>
      <c r="B1805" s="17"/>
      <c r="C1805" s="18"/>
      <c r="D1805" s="19"/>
      <c r="E1805" s="20"/>
      <c r="F1805" s="21"/>
      <c r="G1805" s="22"/>
      <c r="H1805" s="22"/>
      <c r="I1805" s="23"/>
      <c r="J1805" s="22"/>
      <c r="K1805" s="23"/>
      <c r="L1805" s="22"/>
      <c r="M1805" s="23"/>
      <c r="N1805" s="23"/>
      <c r="O1805" s="24"/>
      <c r="P1805" s="16" t="b">
        <v>0</v>
      </c>
      <c r="Q1805" s="24"/>
      <c r="R1805" s="25"/>
      <c r="S1805" s="26"/>
      <c r="T1805" s="27"/>
      <c r="U1805" s="24"/>
      <c r="V1805" s="28" t="s">
        <v>29</v>
      </c>
      <c r="W1805" s="29" t="s">
        <v>22</v>
      </c>
      <c r="X1805" s="37" t="s">
        <v>1166</v>
      </c>
      <c r="Y1805" s="31"/>
      <c r="Z1805" s="26" t="str">
        <f t="shared" si="5"/>
        <v/>
      </c>
      <c r="AA1805" s="26" t="str">
        <f t="shared" si="6"/>
        <v/>
      </c>
      <c r="AB1805" s="32" t="str">
        <f t="shared" si="7"/>
        <v/>
      </c>
      <c r="AC1805" s="32" t="str">
        <f t="shared" ref="AC1805:AG1805" si="1809">IF(J1805&lt;&gt;"", IF(AND($P1805=FALSE, $A1805=FALSE), -J1805, IF(AND($P1805=FALSE, $A1805=TRUE), 0, IF($P1805=TRUE, (J1805 / $R1805) * 100 * ($S1805 / 100)-J1805, ))), )</f>
        <v/>
      </c>
      <c r="AD1805" s="32" t="str">
        <f t="shared" si="1809"/>
        <v/>
      </c>
      <c r="AE1805" s="32" t="str">
        <f t="shared" si="1809"/>
        <v/>
      </c>
      <c r="AF1805" s="32" t="str">
        <f t="shared" si="1809"/>
        <v/>
      </c>
      <c r="AG1805" s="32" t="str">
        <f t="shared" si="1809"/>
        <v/>
      </c>
      <c r="AH1805" s="33"/>
    </row>
    <row r="1806" hidden="1" outlineLevel="2">
      <c r="A1806" s="16" t="b">
        <v>0</v>
      </c>
      <c r="B1806" s="17"/>
      <c r="C1806" s="18"/>
      <c r="D1806" s="42">
        <v>45312.0</v>
      </c>
      <c r="E1806" s="80" t="s">
        <v>60</v>
      </c>
      <c r="F1806" s="53" t="s">
        <v>1003</v>
      </c>
      <c r="G1806" s="45">
        <v>2.0</v>
      </c>
      <c r="H1806" s="45">
        <v>1.0</v>
      </c>
      <c r="I1806" s="45"/>
      <c r="J1806" s="45"/>
      <c r="K1806" s="79"/>
      <c r="L1806" s="45"/>
      <c r="M1806" s="46"/>
      <c r="N1806" s="46"/>
      <c r="O1806" s="47"/>
      <c r="P1806" s="16" t="b">
        <v>0</v>
      </c>
      <c r="Q1806" s="24"/>
      <c r="R1806" s="48">
        <v>3.0</v>
      </c>
      <c r="S1806" s="45">
        <v>6.56</v>
      </c>
      <c r="T1806" s="49" t="s">
        <v>1055</v>
      </c>
      <c r="U1806" s="47"/>
      <c r="V1806" s="28"/>
      <c r="W1806" s="29"/>
      <c r="X1806" s="30"/>
      <c r="Y1806" s="31"/>
      <c r="Z1806" s="26">
        <f t="shared" si="5"/>
        <v>-2</v>
      </c>
      <c r="AA1806" s="26" t="str">
        <f t="shared" si="6"/>
        <v/>
      </c>
      <c r="AB1806" s="32">
        <f t="shared" si="7"/>
        <v>-1</v>
      </c>
      <c r="AC1806" s="32" t="str">
        <f t="shared" ref="AC1806:AG1806" si="1810">IF(J1806&lt;&gt;"", IF(AND($P1806=FALSE, $A1806=FALSE), -J1806, IF(AND($P1806=FALSE, $A1806=TRUE), 0, IF($P1806=TRUE, (J1806 / $R1806) * 100 * ($S1806 / 100)-J1806, ))), )</f>
        <v/>
      </c>
      <c r="AD1806" s="32" t="str">
        <f t="shared" si="1810"/>
        <v/>
      </c>
      <c r="AE1806" s="32" t="str">
        <f t="shared" si="1810"/>
        <v/>
      </c>
      <c r="AF1806" s="32" t="str">
        <f t="shared" si="1810"/>
        <v/>
      </c>
      <c r="AG1806" s="32" t="str">
        <f t="shared" si="1810"/>
        <v/>
      </c>
      <c r="AH1806" s="33"/>
    </row>
    <row r="1807" hidden="1" outlineLevel="3">
      <c r="A1807" s="16" t="b">
        <v>0</v>
      </c>
      <c r="B1807" s="17"/>
      <c r="C1807" s="18"/>
      <c r="D1807" s="19"/>
      <c r="E1807" s="20"/>
      <c r="F1807" s="21"/>
      <c r="G1807" s="22"/>
      <c r="H1807" s="22"/>
      <c r="I1807" s="23"/>
      <c r="J1807" s="22"/>
      <c r="K1807" s="23"/>
      <c r="L1807" s="22"/>
      <c r="M1807" s="23"/>
      <c r="N1807" s="23"/>
      <c r="O1807" s="24"/>
      <c r="P1807" s="16" t="b">
        <v>0</v>
      </c>
      <c r="Q1807" s="24"/>
      <c r="R1807" s="25"/>
      <c r="S1807" s="26"/>
      <c r="T1807" s="27"/>
      <c r="U1807" s="24"/>
      <c r="V1807" s="66">
        <v>14.0</v>
      </c>
      <c r="W1807" s="29" t="s">
        <v>22</v>
      </c>
      <c r="X1807" s="37" t="s">
        <v>197</v>
      </c>
      <c r="Y1807" s="31"/>
      <c r="Z1807" s="26" t="str">
        <f t="shared" si="5"/>
        <v/>
      </c>
      <c r="AA1807" s="26" t="str">
        <f t="shared" si="6"/>
        <v/>
      </c>
      <c r="AB1807" s="32" t="str">
        <f t="shared" si="7"/>
        <v/>
      </c>
      <c r="AC1807" s="32" t="str">
        <f t="shared" ref="AC1807:AG1807" si="1811">IF(J1807&lt;&gt;"", IF(AND($P1807=FALSE, $A1807=FALSE), -J1807, IF(AND($P1807=FALSE, $A1807=TRUE), 0, IF($P1807=TRUE, (J1807 / $R1807) * 100 * ($S1807 / 100)-J1807, ))), )</f>
        <v/>
      </c>
      <c r="AD1807" s="32" t="str">
        <f t="shared" si="1811"/>
        <v/>
      </c>
      <c r="AE1807" s="32" t="str">
        <f t="shared" si="1811"/>
        <v/>
      </c>
      <c r="AF1807" s="32" t="str">
        <f t="shared" si="1811"/>
        <v/>
      </c>
      <c r="AG1807" s="32" t="str">
        <f t="shared" si="1811"/>
        <v/>
      </c>
      <c r="AH1807" s="33"/>
    </row>
    <row r="1808" hidden="1" outlineLevel="3">
      <c r="A1808" s="16" t="b">
        <v>0</v>
      </c>
      <c r="B1808" s="17"/>
      <c r="C1808" s="18"/>
      <c r="D1808" s="19"/>
      <c r="E1808" s="20"/>
      <c r="F1808" s="21"/>
      <c r="G1808" s="22"/>
      <c r="H1808" s="22"/>
      <c r="I1808" s="23"/>
      <c r="J1808" s="22"/>
      <c r="K1808" s="23"/>
      <c r="L1808" s="22"/>
      <c r="M1808" s="23"/>
      <c r="N1808" s="23"/>
      <c r="O1808" s="24"/>
      <c r="P1808" s="16" t="b">
        <v>0</v>
      </c>
      <c r="Q1808" s="24"/>
      <c r="R1808" s="25"/>
      <c r="S1808" s="26"/>
      <c r="T1808" s="27"/>
      <c r="U1808" s="24"/>
      <c r="V1808" s="28" t="s">
        <v>29</v>
      </c>
      <c r="W1808" s="29" t="s">
        <v>22</v>
      </c>
      <c r="X1808" s="37" t="s">
        <v>198</v>
      </c>
      <c r="Y1808" s="31"/>
      <c r="Z1808" s="26" t="str">
        <f t="shared" si="5"/>
        <v/>
      </c>
      <c r="AA1808" s="26" t="str">
        <f t="shared" si="6"/>
        <v/>
      </c>
      <c r="AB1808" s="32" t="str">
        <f t="shared" si="7"/>
        <v/>
      </c>
      <c r="AC1808" s="32" t="str">
        <f t="shared" ref="AC1808:AG1808" si="1812">IF(J1808&lt;&gt;"", IF(AND($P1808=FALSE, $A1808=FALSE), -J1808, IF(AND($P1808=FALSE, $A1808=TRUE), 0, IF($P1808=TRUE, (J1808 / $R1808) * 100 * ($S1808 / 100)-J1808, ))), )</f>
        <v/>
      </c>
      <c r="AD1808" s="32" t="str">
        <f t="shared" si="1812"/>
        <v/>
      </c>
      <c r="AE1808" s="32" t="str">
        <f t="shared" si="1812"/>
        <v/>
      </c>
      <c r="AF1808" s="32" t="str">
        <f t="shared" si="1812"/>
        <v/>
      </c>
      <c r="AG1808" s="32" t="str">
        <f t="shared" si="1812"/>
        <v/>
      </c>
      <c r="AH1808" s="33"/>
    </row>
    <row r="1809" hidden="1" outlineLevel="3">
      <c r="A1809" s="16" t="b">
        <v>0</v>
      </c>
      <c r="B1809" s="17"/>
      <c r="C1809" s="18"/>
      <c r="D1809" s="19"/>
      <c r="E1809" s="20"/>
      <c r="F1809" s="21"/>
      <c r="G1809" s="22"/>
      <c r="H1809" s="22"/>
      <c r="I1809" s="23"/>
      <c r="J1809" s="22"/>
      <c r="K1809" s="23"/>
      <c r="L1809" s="22"/>
      <c r="M1809" s="23"/>
      <c r="N1809" s="23"/>
      <c r="O1809" s="24"/>
      <c r="P1809" s="16" t="b">
        <v>0</v>
      </c>
      <c r="Q1809" s="24"/>
      <c r="R1809" s="25"/>
      <c r="S1809" s="26"/>
      <c r="T1809" s="27"/>
      <c r="U1809" s="24"/>
      <c r="V1809" s="66">
        <v>18.0</v>
      </c>
      <c r="W1809" s="29" t="s">
        <v>22</v>
      </c>
      <c r="X1809" s="37" t="s">
        <v>1023</v>
      </c>
      <c r="Y1809" s="31"/>
      <c r="Z1809" s="26" t="str">
        <f t="shared" si="5"/>
        <v/>
      </c>
      <c r="AA1809" s="26" t="str">
        <f t="shared" si="6"/>
        <v/>
      </c>
      <c r="AB1809" s="32" t="str">
        <f t="shared" si="7"/>
        <v/>
      </c>
      <c r="AC1809" s="32" t="str">
        <f t="shared" ref="AC1809:AG1809" si="1813">IF(J1809&lt;&gt;"", IF(AND($P1809=FALSE, $A1809=FALSE), -J1809, IF(AND($P1809=FALSE, $A1809=TRUE), 0, IF($P1809=TRUE, (J1809 / $R1809) * 100 * ($S1809 / 100)-J1809, ))), )</f>
        <v/>
      </c>
      <c r="AD1809" s="32" t="str">
        <f t="shared" si="1813"/>
        <v/>
      </c>
      <c r="AE1809" s="32" t="str">
        <f t="shared" si="1813"/>
        <v/>
      </c>
      <c r="AF1809" s="32" t="str">
        <f t="shared" si="1813"/>
        <v/>
      </c>
      <c r="AG1809" s="32" t="str">
        <f t="shared" si="1813"/>
        <v/>
      </c>
      <c r="AH1809" s="33"/>
    </row>
    <row r="1810" hidden="1" outlineLevel="3">
      <c r="A1810" s="16" t="b">
        <v>0</v>
      </c>
      <c r="B1810" s="17"/>
      <c r="C1810" s="18"/>
      <c r="D1810" s="19"/>
      <c r="E1810" s="20"/>
      <c r="F1810" s="21"/>
      <c r="G1810" s="22"/>
      <c r="H1810" s="22"/>
      <c r="I1810" s="23"/>
      <c r="J1810" s="22"/>
      <c r="K1810" s="23"/>
      <c r="L1810" s="22"/>
      <c r="M1810" s="23"/>
      <c r="N1810" s="23"/>
      <c r="O1810" s="24"/>
      <c r="P1810" s="16" t="b">
        <v>0</v>
      </c>
      <c r="Q1810" s="24"/>
      <c r="R1810" s="25"/>
      <c r="S1810" s="26"/>
      <c r="T1810" s="27"/>
      <c r="U1810" s="24"/>
      <c r="V1810" s="28" t="s">
        <v>29</v>
      </c>
      <c r="W1810" s="29" t="s">
        <v>22</v>
      </c>
      <c r="X1810" s="37" t="s">
        <v>1167</v>
      </c>
      <c r="Y1810" s="31"/>
      <c r="Z1810" s="26" t="str">
        <f t="shared" si="5"/>
        <v/>
      </c>
      <c r="AA1810" s="26" t="str">
        <f t="shared" si="6"/>
        <v/>
      </c>
      <c r="AB1810" s="32" t="str">
        <f t="shared" si="7"/>
        <v/>
      </c>
      <c r="AC1810" s="32" t="str">
        <f t="shared" ref="AC1810:AG1810" si="1814">IF(J1810&lt;&gt;"", IF(AND($P1810=FALSE, $A1810=FALSE), -J1810, IF(AND($P1810=FALSE, $A1810=TRUE), 0, IF($P1810=TRUE, (J1810 / $R1810) * 100 * ($S1810 / 100)-J1810, ))), )</f>
        <v/>
      </c>
      <c r="AD1810" s="32" t="str">
        <f t="shared" si="1814"/>
        <v/>
      </c>
      <c r="AE1810" s="32" t="str">
        <f t="shared" si="1814"/>
        <v/>
      </c>
      <c r="AF1810" s="32" t="str">
        <f t="shared" si="1814"/>
        <v/>
      </c>
      <c r="AG1810" s="32" t="str">
        <f t="shared" si="1814"/>
        <v/>
      </c>
      <c r="AH1810" s="33"/>
    </row>
    <row r="1811" hidden="1" outlineLevel="1" collapsed="1">
      <c r="A1811" s="16" t="b">
        <v>0</v>
      </c>
      <c r="B1811" s="17"/>
      <c r="C1811" s="18"/>
      <c r="D1811" s="42">
        <v>45313.0</v>
      </c>
      <c r="E1811" s="80" t="s">
        <v>60</v>
      </c>
      <c r="F1811" s="53" t="s">
        <v>1003</v>
      </c>
      <c r="G1811" s="45">
        <v>2.0</v>
      </c>
      <c r="H1811" s="45">
        <v>1.0</v>
      </c>
      <c r="I1811" s="45">
        <v>2.0</v>
      </c>
      <c r="J1811" s="45"/>
      <c r="K1811" s="79"/>
      <c r="L1811" s="45"/>
      <c r="M1811" s="46"/>
      <c r="N1811" s="46"/>
      <c r="O1811" s="47"/>
      <c r="P1811" s="16" t="b">
        <v>1</v>
      </c>
      <c r="Q1811" s="24"/>
      <c r="R1811" s="48">
        <v>5.0</v>
      </c>
      <c r="S1811" s="45">
        <v>10.51</v>
      </c>
      <c r="T1811" s="49" t="s">
        <v>529</v>
      </c>
      <c r="U1811" s="47"/>
      <c r="V1811" s="28"/>
      <c r="W1811" s="29"/>
      <c r="X1811" s="30"/>
      <c r="Y1811" s="31"/>
      <c r="Z1811" s="26">
        <f t="shared" si="5"/>
        <v>2.204</v>
      </c>
      <c r="AA1811" s="26">
        <f t="shared" si="6"/>
        <v>2.204</v>
      </c>
      <c r="AB1811" s="32">
        <f t="shared" si="7"/>
        <v>1.102</v>
      </c>
      <c r="AC1811" s="32" t="str">
        <f t="shared" ref="AC1811:AG1811" si="1815">IF(J1811&lt;&gt;"", IF(AND($P1811=FALSE, $A1811=FALSE), -J1811, IF(AND($P1811=FALSE, $A1811=TRUE), 0, IF($P1811=TRUE, (J1811 / $R1811) * 100 * ($S1811 / 100)-J1811, ))), )</f>
        <v/>
      </c>
      <c r="AD1811" s="32" t="str">
        <f t="shared" si="1815"/>
        <v/>
      </c>
      <c r="AE1811" s="32" t="str">
        <f t="shared" si="1815"/>
        <v/>
      </c>
      <c r="AF1811" s="32" t="str">
        <f t="shared" si="1815"/>
        <v/>
      </c>
      <c r="AG1811" s="32" t="str">
        <f t="shared" si="1815"/>
        <v/>
      </c>
      <c r="AH1811" s="33"/>
    </row>
    <row r="1812" hidden="1" outlineLevel="3">
      <c r="A1812" s="16" t="b">
        <v>0</v>
      </c>
      <c r="B1812" s="17"/>
      <c r="C1812" s="18"/>
      <c r="D1812" s="19"/>
      <c r="E1812" s="20"/>
      <c r="F1812" s="21"/>
      <c r="G1812" s="22"/>
      <c r="H1812" s="22"/>
      <c r="I1812" s="23"/>
      <c r="J1812" s="22"/>
      <c r="K1812" s="23"/>
      <c r="L1812" s="22"/>
      <c r="M1812" s="23"/>
      <c r="N1812" s="23"/>
      <c r="O1812" s="24"/>
      <c r="P1812" s="16" t="b">
        <v>0</v>
      </c>
      <c r="Q1812" s="24"/>
      <c r="R1812" s="25"/>
      <c r="S1812" s="26"/>
      <c r="T1812" s="27"/>
      <c r="U1812" s="24"/>
      <c r="V1812" s="28" t="s">
        <v>29</v>
      </c>
      <c r="W1812" s="29" t="s">
        <v>22</v>
      </c>
      <c r="X1812" s="37" t="s">
        <v>1011</v>
      </c>
      <c r="Y1812" s="31"/>
      <c r="Z1812" s="26" t="str">
        <f t="shared" si="5"/>
        <v/>
      </c>
      <c r="AA1812" s="26" t="str">
        <f t="shared" si="6"/>
        <v/>
      </c>
      <c r="AB1812" s="32" t="str">
        <f t="shared" si="7"/>
        <v/>
      </c>
      <c r="AC1812" s="32" t="str">
        <f t="shared" ref="AC1812:AG1812" si="1816">IF(J1812&lt;&gt;"", IF(AND($P1812=FALSE, $A1812=FALSE), -J1812, IF(AND($P1812=FALSE, $A1812=TRUE), 0, IF($P1812=TRUE, (J1812 / $R1812) * 100 * ($S1812 / 100)-J1812, ))), )</f>
        <v/>
      </c>
      <c r="AD1812" s="32" t="str">
        <f t="shared" si="1816"/>
        <v/>
      </c>
      <c r="AE1812" s="32" t="str">
        <f t="shared" si="1816"/>
        <v/>
      </c>
      <c r="AF1812" s="32" t="str">
        <f t="shared" si="1816"/>
        <v/>
      </c>
      <c r="AG1812" s="32" t="str">
        <f t="shared" si="1816"/>
        <v/>
      </c>
      <c r="AH1812" s="33"/>
    </row>
    <row r="1813" hidden="1" outlineLevel="3">
      <c r="A1813" s="16" t="b">
        <v>0</v>
      </c>
      <c r="B1813" s="17"/>
      <c r="C1813" s="18"/>
      <c r="D1813" s="19"/>
      <c r="E1813" s="20"/>
      <c r="F1813" s="21"/>
      <c r="G1813" s="22"/>
      <c r="H1813" s="22"/>
      <c r="I1813" s="23"/>
      <c r="J1813" s="22"/>
      <c r="K1813" s="23"/>
      <c r="L1813" s="22"/>
      <c r="M1813" s="23"/>
      <c r="N1813" s="23"/>
      <c r="O1813" s="24"/>
      <c r="P1813" s="16" t="b">
        <v>0</v>
      </c>
      <c r="Q1813" s="24"/>
      <c r="R1813" s="25"/>
      <c r="S1813" s="26"/>
      <c r="T1813" s="27"/>
      <c r="U1813" s="24"/>
      <c r="V1813" s="28" t="s">
        <v>29</v>
      </c>
      <c r="W1813" s="29" t="s">
        <v>22</v>
      </c>
      <c r="X1813" s="37" t="s">
        <v>1168</v>
      </c>
      <c r="Y1813" s="31"/>
      <c r="Z1813" s="26" t="str">
        <f t="shared" si="5"/>
        <v/>
      </c>
      <c r="AA1813" s="26" t="str">
        <f t="shared" si="6"/>
        <v/>
      </c>
      <c r="AB1813" s="32" t="str">
        <f t="shared" si="7"/>
        <v/>
      </c>
      <c r="AC1813" s="32" t="str">
        <f t="shared" ref="AC1813:AG1813" si="1817">IF(J1813&lt;&gt;"", IF(AND($P1813=FALSE, $A1813=FALSE), -J1813, IF(AND($P1813=FALSE, $A1813=TRUE), 0, IF($P1813=TRUE, (J1813 / $R1813) * 100 * ($S1813 / 100)-J1813, ))), )</f>
        <v/>
      </c>
      <c r="AD1813" s="32" t="str">
        <f t="shared" si="1817"/>
        <v/>
      </c>
      <c r="AE1813" s="32" t="str">
        <f t="shared" si="1817"/>
        <v/>
      </c>
      <c r="AF1813" s="32" t="str">
        <f t="shared" si="1817"/>
        <v/>
      </c>
      <c r="AG1813" s="32" t="str">
        <f t="shared" si="1817"/>
        <v/>
      </c>
      <c r="AH1813" s="33"/>
    </row>
    <row r="1814" hidden="1" outlineLevel="3">
      <c r="A1814" s="16" t="b">
        <v>0</v>
      </c>
      <c r="B1814" s="17"/>
      <c r="C1814" s="18"/>
      <c r="D1814" s="19"/>
      <c r="E1814" s="20"/>
      <c r="F1814" s="21"/>
      <c r="G1814" s="22"/>
      <c r="H1814" s="22"/>
      <c r="I1814" s="23"/>
      <c r="J1814" s="22"/>
      <c r="K1814" s="23"/>
      <c r="L1814" s="22"/>
      <c r="M1814" s="23"/>
      <c r="N1814" s="23"/>
      <c r="O1814" s="24"/>
      <c r="P1814" s="16" t="b">
        <v>0</v>
      </c>
      <c r="Q1814" s="24"/>
      <c r="R1814" s="25"/>
      <c r="S1814" s="26"/>
      <c r="T1814" s="27"/>
      <c r="U1814" s="24"/>
      <c r="V1814" s="28" t="s">
        <v>29</v>
      </c>
      <c r="W1814" s="29" t="s">
        <v>22</v>
      </c>
      <c r="X1814" s="37" t="s">
        <v>1169</v>
      </c>
      <c r="Y1814" s="31"/>
      <c r="Z1814" s="26" t="str">
        <f t="shared" si="5"/>
        <v/>
      </c>
      <c r="AA1814" s="26" t="str">
        <f t="shared" si="6"/>
        <v/>
      </c>
      <c r="AB1814" s="32" t="str">
        <f t="shared" si="7"/>
        <v/>
      </c>
      <c r="AC1814" s="32" t="str">
        <f t="shared" ref="AC1814:AG1814" si="1818">IF(J1814&lt;&gt;"", IF(AND($P1814=FALSE, $A1814=FALSE), -J1814, IF(AND($P1814=FALSE, $A1814=TRUE), 0, IF($P1814=TRUE, (J1814 / $R1814) * 100 * ($S1814 / 100)-J1814, ))), )</f>
        <v/>
      </c>
      <c r="AD1814" s="32" t="str">
        <f t="shared" si="1818"/>
        <v/>
      </c>
      <c r="AE1814" s="32" t="str">
        <f t="shared" si="1818"/>
        <v/>
      </c>
      <c r="AF1814" s="32" t="str">
        <f t="shared" si="1818"/>
        <v/>
      </c>
      <c r="AG1814" s="32" t="str">
        <f t="shared" si="1818"/>
        <v/>
      </c>
      <c r="AH1814" s="33"/>
    </row>
    <row r="1815" hidden="1" outlineLevel="2">
      <c r="A1815" s="16" t="b">
        <v>0</v>
      </c>
      <c r="B1815" s="17"/>
      <c r="C1815" s="18"/>
      <c r="D1815" s="42">
        <v>45313.0</v>
      </c>
      <c r="E1815" s="80" t="s">
        <v>60</v>
      </c>
      <c r="F1815" s="53" t="s">
        <v>1003</v>
      </c>
      <c r="G1815" s="45">
        <v>2.0</v>
      </c>
      <c r="H1815" s="45">
        <v>1.0</v>
      </c>
      <c r="I1815" s="45">
        <v>2.0</v>
      </c>
      <c r="J1815" s="45"/>
      <c r="K1815" s="79"/>
      <c r="L1815" s="45"/>
      <c r="M1815" s="46"/>
      <c r="N1815" s="46"/>
      <c r="O1815" s="47"/>
      <c r="P1815" s="16" t="b">
        <v>1</v>
      </c>
      <c r="Q1815" s="24"/>
      <c r="R1815" s="48">
        <v>5.0</v>
      </c>
      <c r="S1815" s="45">
        <v>11.78</v>
      </c>
      <c r="T1815" s="49" t="s">
        <v>243</v>
      </c>
      <c r="U1815" s="47"/>
      <c r="V1815" s="28"/>
      <c r="W1815" s="29"/>
      <c r="X1815" s="30"/>
      <c r="Y1815" s="31"/>
      <c r="Z1815" s="26">
        <f t="shared" si="5"/>
        <v>2.712</v>
      </c>
      <c r="AA1815" s="26">
        <f t="shared" si="6"/>
        <v>2.712</v>
      </c>
      <c r="AB1815" s="32">
        <f t="shared" si="7"/>
        <v>1.356</v>
      </c>
      <c r="AC1815" s="32" t="str">
        <f t="shared" ref="AC1815:AG1815" si="1819">IF(J1815&lt;&gt;"", IF(AND($P1815=FALSE, $A1815=FALSE), -J1815, IF(AND($P1815=FALSE, $A1815=TRUE), 0, IF($P1815=TRUE, (J1815 / $R1815) * 100 * ($S1815 / 100)-J1815, ))), )</f>
        <v/>
      </c>
      <c r="AD1815" s="32" t="str">
        <f t="shared" si="1819"/>
        <v/>
      </c>
      <c r="AE1815" s="32" t="str">
        <f t="shared" si="1819"/>
        <v/>
      </c>
      <c r="AF1815" s="32" t="str">
        <f t="shared" si="1819"/>
        <v/>
      </c>
      <c r="AG1815" s="32" t="str">
        <f t="shared" si="1819"/>
        <v/>
      </c>
      <c r="AH1815" s="33"/>
    </row>
    <row r="1816" hidden="1" outlineLevel="3">
      <c r="A1816" s="16" t="b">
        <v>0</v>
      </c>
      <c r="B1816" s="17"/>
      <c r="C1816" s="18"/>
      <c r="D1816" s="19"/>
      <c r="E1816" s="20"/>
      <c r="F1816" s="21"/>
      <c r="G1816" s="22"/>
      <c r="H1816" s="22"/>
      <c r="I1816" s="23"/>
      <c r="J1816" s="22"/>
      <c r="K1816" s="23"/>
      <c r="L1816" s="22"/>
      <c r="M1816" s="23"/>
      <c r="N1816" s="23"/>
      <c r="O1816" s="24"/>
      <c r="P1816" s="16" t="b">
        <v>0</v>
      </c>
      <c r="Q1816" s="24"/>
      <c r="R1816" s="25"/>
      <c r="S1816" s="26"/>
      <c r="T1816" s="27"/>
      <c r="U1816" s="24"/>
      <c r="V1816" s="28" t="s">
        <v>29</v>
      </c>
      <c r="W1816" s="29" t="s">
        <v>22</v>
      </c>
      <c r="X1816" s="37" t="s">
        <v>1170</v>
      </c>
      <c r="Y1816" s="31"/>
      <c r="Z1816" s="26" t="str">
        <f t="shared" si="5"/>
        <v/>
      </c>
      <c r="AA1816" s="26" t="str">
        <f t="shared" si="6"/>
        <v/>
      </c>
      <c r="AB1816" s="32" t="str">
        <f t="shared" si="7"/>
        <v/>
      </c>
      <c r="AC1816" s="32" t="str">
        <f t="shared" ref="AC1816:AG1816" si="1820">IF(J1816&lt;&gt;"", IF(AND($P1816=FALSE, $A1816=FALSE), -J1816, IF(AND($P1816=FALSE, $A1816=TRUE), 0, IF($P1816=TRUE, (J1816 / $R1816) * 100 * ($S1816 / 100)-J1816, ))), )</f>
        <v/>
      </c>
      <c r="AD1816" s="32" t="str">
        <f t="shared" si="1820"/>
        <v/>
      </c>
      <c r="AE1816" s="32" t="str">
        <f t="shared" si="1820"/>
        <v/>
      </c>
      <c r="AF1816" s="32" t="str">
        <f t="shared" si="1820"/>
        <v/>
      </c>
      <c r="AG1816" s="32" t="str">
        <f t="shared" si="1820"/>
        <v/>
      </c>
      <c r="AH1816" s="33"/>
    </row>
    <row r="1817" hidden="1" outlineLevel="3">
      <c r="A1817" s="16" t="b">
        <v>0</v>
      </c>
      <c r="B1817" s="17"/>
      <c r="C1817" s="18"/>
      <c r="D1817" s="19"/>
      <c r="E1817" s="20"/>
      <c r="F1817" s="21"/>
      <c r="G1817" s="22"/>
      <c r="H1817" s="22"/>
      <c r="I1817" s="23"/>
      <c r="J1817" s="22"/>
      <c r="K1817" s="23"/>
      <c r="L1817" s="22"/>
      <c r="M1817" s="23"/>
      <c r="N1817" s="23"/>
      <c r="O1817" s="24"/>
      <c r="P1817" s="16" t="b">
        <v>0</v>
      </c>
      <c r="Q1817" s="24"/>
      <c r="R1817" s="25"/>
      <c r="S1817" s="26"/>
      <c r="T1817" s="27"/>
      <c r="U1817" s="24"/>
      <c r="V1817" s="28" t="s">
        <v>29</v>
      </c>
      <c r="W1817" s="29" t="s">
        <v>22</v>
      </c>
      <c r="X1817" s="37" t="s">
        <v>1171</v>
      </c>
      <c r="Y1817" s="31"/>
      <c r="Z1817" s="26" t="str">
        <f t="shared" si="5"/>
        <v/>
      </c>
      <c r="AA1817" s="26" t="str">
        <f t="shared" si="6"/>
        <v/>
      </c>
      <c r="AB1817" s="32" t="str">
        <f t="shared" si="7"/>
        <v/>
      </c>
      <c r="AC1817" s="32" t="str">
        <f t="shared" ref="AC1817:AG1817" si="1821">IF(J1817&lt;&gt;"", IF(AND($P1817=FALSE, $A1817=FALSE), -J1817, IF(AND($P1817=FALSE, $A1817=TRUE), 0, IF($P1817=TRUE, (J1817 / $R1817) * 100 * ($S1817 / 100)-J1817, ))), )</f>
        <v/>
      </c>
      <c r="AD1817" s="32" t="str">
        <f t="shared" si="1821"/>
        <v/>
      </c>
      <c r="AE1817" s="32" t="str">
        <f t="shared" si="1821"/>
        <v/>
      </c>
      <c r="AF1817" s="32" t="str">
        <f t="shared" si="1821"/>
        <v/>
      </c>
      <c r="AG1817" s="32" t="str">
        <f t="shared" si="1821"/>
        <v/>
      </c>
      <c r="AH1817" s="33"/>
    </row>
    <row r="1818" hidden="1" outlineLevel="3">
      <c r="A1818" s="16" t="b">
        <v>0</v>
      </c>
      <c r="B1818" s="17"/>
      <c r="C1818" s="18"/>
      <c r="D1818" s="19"/>
      <c r="E1818" s="20"/>
      <c r="F1818" s="21"/>
      <c r="G1818" s="22"/>
      <c r="H1818" s="22"/>
      <c r="I1818" s="23"/>
      <c r="J1818" s="22"/>
      <c r="K1818" s="23"/>
      <c r="L1818" s="22"/>
      <c r="M1818" s="23"/>
      <c r="N1818" s="23"/>
      <c r="O1818" s="24"/>
      <c r="P1818" s="16" t="b">
        <v>0</v>
      </c>
      <c r="Q1818" s="24"/>
      <c r="R1818" s="25"/>
      <c r="S1818" s="26"/>
      <c r="T1818" s="27"/>
      <c r="U1818" s="24"/>
      <c r="V1818" s="28" t="s">
        <v>29</v>
      </c>
      <c r="W1818" s="29" t="s">
        <v>22</v>
      </c>
      <c r="X1818" s="37" t="s">
        <v>920</v>
      </c>
      <c r="Y1818" s="31"/>
      <c r="Z1818" s="26" t="str">
        <f t="shared" si="5"/>
        <v/>
      </c>
      <c r="AA1818" s="26" t="str">
        <f t="shared" si="6"/>
        <v/>
      </c>
      <c r="AB1818" s="32" t="str">
        <f t="shared" si="7"/>
        <v/>
      </c>
      <c r="AC1818" s="32" t="str">
        <f t="shared" ref="AC1818:AG1818" si="1822">IF(J1818&lt;&gt;"", IF(AND($P1818=FALSE, $A1818=FALSE), -J1818, IF(AND($P1818=FALSE, $A1818=TRUE), 0, IF($P1818=TRUE, (J1818 / $R1818) * 100 * ($S1818 / 100)-J1818, ))), )</f>
        <v/>
      </c>
      <c r="AD1818" s="32" t="str">
        <f t="shared" si="1822"/>
        <v/>
      </c>
      <c r="AE1818" s="32" t="str">
        <f t="shared" si="1822"/>
        <v/>
      </c>
      <c r="AF1818" s="32" t="str">
        <f t="shared" si="1822"/>
        <v/>
      </c>
      <c r="AG1818" s="32" t="str">
        <f t="shared" si="1822"/>
        <v/>
      </c>
      <c r="AH1818" s="33"/>
    </row>
    <row r="1819" hidden="1" outlineLevel="3">
      <c r="A1819" s="16" t="b">
        <v>0</v>
      </c>
      <c r="B1819" s="17"/>
      <c r="C1819" s="18"/>
      <c r="D1819" s="19"/>
      <c r="E1819" s="20"/>
      <c r="F1819" s="21"/>
      <c r="G1819" s="22"/>
      <c r="H1819" s="22"/>
      <c r="I1819" s="23"/>
      <c r="J1819" s="22"/>
      <c r="K1819" s="23"/>
      <c r="L1819" s="22"/>
      <c r="M1819" s="23"/>
      <c r="N1819" s="23"/>
      <c r="O1819" s="24"/>
      <c r="P1819" s="16" t="b">
        <v>0</v>
      </c>
      <c r="Q1819" s="24"/>
      <c r="R1819" s="25"/>
      <c r="S1819" s="26"/>
      <c r="T1819" s="27"/>
      <c r="U1819" s="24"/>
      <c r="V1819" s="28" t="s">
        <v>29</v>
      </c>
      <c r="W1819" s="29" t="s">
        <v>22</v>
      </c>
      <c r="X1819" s="37" t="s">
        <v>1172</v>
      </c>
      <c r="Y1819" s="31"/>
      <c r="Z1819" s="26" t="str">
        <f t="shared" si="5"/>
        <v/>
      </c>
      <c r="AA1819" s="26" t="str">
        <f t="shared" si="6"/>
        <v/>
      </c>
      <c r="AB1819" s="32" t="str">
        <f t="shared" si="7"/>
        <v/>
      </c>
      <c r="AC1819" s="32" t="str">
        <f t="shared" ref="AC1819:AG1819" si="1823">IF(J1819&lt;&gt;"", IF(AND($P1819=FALSE, $A1819=FALSE), -J1819, IF(AND($P1819=FALSE, $A1819=TRUE), 0, IF($P1819=TRUE, (J1819 / $R1819) * 100 * ($S1819 / 100)-J1819, ))), )</f>
        <v/>
      </c>
      <c r="AD1819" s="32" t="str">
        <f t="shared" si="1823"/>
        <v/>
      </c>
      <c r="AE1819" s="32" t="str">
        <f t="shared" si="1823"/>
        <v/>
      </c>
      <c r="AF1819" s="32" t="str">
        <f t="shared" si="1823"/>
        <v/>
      </c>
      <c r="AG1819" s="32" t="str">
        <f t="shared" si="1823"/>
        <v/>
      </c>
      <c r="AH1819" s="33"/>
    </row>
    <row r="1820" hidden="1" outlineLevel="1" collapsed="1">
      <c r="A1820" s="16" t="b">
        <v>0</v>
      </c>
      <c r="B1820" s="17"/>
      <c r="C1820" s="18"/>
      <c r="D1820" s="42">
        <v>45314.0</v>
      </c>
      <c r="E1820" s="80" t="s">
        <v>60</v>
      </c>
      <c r="F1820" s="53" t="s">
        <v>1003</v>
      </c>
      <c r="G1820" s="45">
        <v>2.0</v>
      </c>
      <c r="H1820" s="45">
        <v>1.0</v>
      </c>
      <c r="I1820" s="45"/>
      <c r="J1820" s="45"/>
      <c r="K1820" s="79"/>
      <c r="L1820" s="45"/>
      <c r="M1820" s="46"/>
      <c r="N1820" s="46"/>
      <c r="O1820" s="47"/>
      <c r="P1820" s="16" t="b">
        <v>0</v>
      </c>
      <c r="Q1820" s="24"/>
      <c r="R1820" s="48">
        <v>3.0</v>
      </c>
      <c r="S1820" s="45">
        <v>6.82</v>
      </c>
      <c r="T1820" s="49" t="s">
        <v>275</v>
      </c>
      <c r="U1820" s="47"/>
      <c r="V1820" s="28"/>
      <c r="W1820" s="29"/>
      <c r="X1820" s="30"/>
      <c r="Y1820" s="31"/>
      <c r="Z1820" s="26">
        <f t="shared" si="5"/>
        <v>-2</v>
      </c>
      <c r="AA1820" s="26" t="str">
        <f t="shared" si="6"/>
        <v/>
      </c>
      <c r="AB1820" s="32">
        <f t="shared" si="7"/>
        <v>-1</v>
      </c>
      <c r="AC1820" s="32" t="str">
        <f t="shared" ref="AC1820:AG1820" si="1824">IF(J1820&lt;&gt;"", IF(AND($P1820=FALSE, $A1820=FALSE), -J1820, IF(AND($P1820=FALSE, $A1820=TRUE), 0, IF($P1820=TRUE, (J1820 / $R1820) * 100 * ($S1820 / 100)-J1820, ))), )</f>
        <v/>
      </c>
      <c r="AD1820" s="32" t="str">
        <f t="shared" si="1824"/>
        <v/>
      </c>
      <c r="AE1820" s="32" t="str">
        <f t="shared" si="1824"/>
        <v/>
      </c>
      <c r="AF1820" s="32" t="str">
        <f t="shared" si="1824"/>
        <v/>
      </c>
      <c r="AG1820" s="32" t="str">
        <f t="shared" si="1824"/>
        <v/>
      </c>
      <c r="AH1820" s="33"/>
    </row>
    <row r="1821" hidden="1" outlineLevel="3">
      <c r="A1821" s="16" t="b">
        <v>0</v>
      </c>
      <c r="B1821" s="17"/>
      <c r="C1821" s="18"/>
      <c r="D1821" s="19"/>
      <c r="E1821" s="20"/>
      <c r="F1821" s="21"/>
      <c r="G1821" s="22"/>
      <c r="H1821" s="22"/>
      <c r="I1821" s="23"/>
      <c r="J1821" s="22"/>
      <c r="K1821" s="23"/>
      <c r="L1821" s="22"/>
      <c r="M1821" s="23"/>
      <c r="N1821" s="23"/>
      <c r="O1821" s="24"/>
      <c r="P1821" s="16" t="b">
        <v>0</v>
      </c>
      <c r="Q1821" s="24"/>
      <c r="R1821" s="25"/>
      <c r="S1821" s="26"/>
      <c r="T1821" s="27"/>
      <c r="U1821" s="24"/>
      <c r="V1821" s="28" t="s">
        <v>29</v>
      </c>
      <c r="W1821" s="29" t="s">
        <v>22</v>
      </c>
      <c r="X1821" s="37" t="s">
        <v>832</v>
      </c>
      <c r="Y1821" s="31"/>
      <c r="Z1821" s="26" t="str">
        <f t="shared" si="5"/>
        <v/>
      </c>
      <c r="AA1821" s="26" t="str">
        <f t="shared" si="6"/>
        <v/>
      </c>
      <c r="AB1821" s="32" t="str">
        <f t="shared" si="7"/>
        <v/>
      </c>
      <c r="AC1821" s="32" t="str">
        <f t="shared" ref="AC1821:AG1821" si="1825">IF(J1821&lt;&gt;"", IF(AND($P1821=FALSE, $A1821=FALSE), -J1821, IF(AND($P1821=FALSE, $A1821=TRUE), 0, IF($P1821=TRUE, (J1821 / $R1821) * 100 * ($S1821 / 100)-J1821, ))), )</f>
        <v/>
      </c>
      <c r="AD1821" s="32" t="str">
        <f t="shared" si="1825"/>
        <v/>
      </c>
      <c r="AE1821" s="32" t="str">
        <f t="shared" si="1825"/>
        <v/>
      </c>
      <c r="AF1821" s="32" t="str">
        <f t="shared" si="1825"/>
        <v/>
      </c>
      <c r="AG1821" s="32" t="str">
        <f t="shared" si="1825"/>
        <v/>
      </c>
      <c r="AH1821" s="33"/>
    </row>
    <row r="1822" hidden="1" outlineLevel="3">
      <c r="A1822" s="16" t="b">
        <v>0</v>
      </c>
      <c r="B1822" s="17"/>
      <c r="C1822" s="18"/>
      <c r="D1822" s="19"/>
      <c r="E1822" s="20"/>
      <c r="F1822" s="21"/>
      <c r="G1822" s="22"/>
      <c r="H1822" s="22"/>
      <c r="I1822" s="23"/>
      <c r="J1822" s="22"/>
      <c r="K1822" s="23"/>
      <c r="L1822" s="22"/>
      <c r="M1822" s="23"/>
      <c r="N1822" s="23"/>
      <c r="O1822" s="24"/>
      <c r="P1822" s="16" t="b">
        <v>0</v>
      </c>
      <c r="Q1822" s="24"/>
      <c r="R1822" s="25"/>
      <c r="S1822" s="26"/>
      <c r="T1822" s="27"/>
      <c r="U1822" s="24"/>
      <c r="V1822" s="66">
        <v>-2.0</v>
      </c>
      <c r="W1822" s="29" t="s">
        <v>22</v>
      </c>
      <c r="X1822" s="37" t="s">
        <v>1173</v>
      </c>
      <c r="Y1822" s="31"/>
      <c r="Z1822" s="26" t="str">
        <f t="shared" si="5"/>
        <v/>
      </c>
      <c r="AA1822" s="26" t="str">
        <f t="shared" si="6"/>
        <v/>
      </c>
      <c r="AB1822" s="32" t="str">
        <f t="shared" si="7"/>
        <v/>
      </c>
      <c r="AC1822" s="32" t="str">
        <f t="shared" ref="AC1822:AG1822" si="1826">IF(J1822&lt;&gt;"", IF(AND($P1822=FALSE, $A1822=FALSE), -J1822, IF(AND($P1822=FALSE, $A1822=TRUE), 0, IF($P1822=TRUE, (J1822 / $R1822) * 100 * ($S1822 / 100)-J1822, ))), )</f>
        <v/>
      </c>
      <c r="AD1822" s="32" t="str">
        <f t="shared" si="1826"/>
        <v/>
      </c>
      <c r="AE1822" s="32" t="str">
        <f t="shared" si="1826"/>
        <v/>
      </c>
      <c r="AF1822" s="32" t="str">
        <f t="shared" si="1826"/>
        <v/>
      </c>
      <c r="AG1822" s="32" t="str">
        <f t="shared" si="1826"/>
        <v/>
      </c>
      <c r="AH1822" s="33"/>
    </row>
    <row r="1823" hidden="1" outlineLevel="3">
      <c r="A1823" s="16" t="b">
        <v>0</v>
      </c>
      <c r="B1823" s="17"/>
      <c r="C1823" s="18"/>
      <c r="D1823" s="19"/>
      <c r="E1823" s="20"/>
      <c r="F1823" s="21"/>
      <c r="G1823" s="22"/>
      <c r="H1823" s="22"/>
      <c r="I1823" s="23"/>
      <c r="J1823" s="22"/>
      <c r="K1823" s="23"/>
      <c r="L1823" s="22"/>
      <c r="M1823" s="23"/>
      <c r="N1823" s="23"/>
      <c r="O1823" s="24"/>
      <c r="P1823" s="16" t="b">
        <v>0</v>
      </c>
      <c r="Q1823" s="24"/>
      <c r="R1823" s="25"/>
      <c r="S1823" s="26"/>
      <c r="T1823" s="27"/>
      <c r="U1823" s="24"/>
      <c r="V1823" s="28" t="s">
        <v>29</v>
      </c>
      <c r="W1823" s="29" t="s">
        <v>22</v>
      </c>
      <c r="X1823" s="37" t="s">
        <v>1010</v>
      </c>
      <c r="Y1823" s="31"/>
      <c r="Z1823" s="26" t="str">
        <f t="shared" si="5"/>
        <v/>
      </c>
      <c r="AA1823" s="26" t="str">
        <f t="shared" si="6"/>
        <v/>
      </c>
      <c r="AB1823" s="32" t="str">
        <f t="shared" si="7"/>
        <v/>
      </c>
      <c r="AC1823" s="32" t="str">
        <f t="shared" ref="AC1823:AG1823" si="1827">IF(J1823&lt;&gt;"", IF(AND($P1823=FALSE, $A1823=FALSE), -J1823, IF(AND($P1823=FALSE, $A1823=TRUE), 0, IF($P1823=TRUE, (J1823 / $R1823) * 100 * ($S1823 / 100)-J1823, ))), )</f>
        <v/>
      </c>
      <c r="AD1823" s="32" t="str">
        <f t="shared" si="1827"/>
        <v/>
      </c>
      <c r="AE1823" s="32" t="str">
        <f t="shared" si="1827"/>
        <v/>
      </c>
      <c r="AF1823" s="32" t="str">
        <f t="shared" si="1827"/>
        <v/>
      </c>
      <c r="AG1823" s="32" t="str">
        <f t="shared" si="1827"/>
        <v/>
      </c>
      <c r="AH1823" s="33"/>
    </row>
    <row r="1824" hidden="1" outlineLevel="2" collapsed="1">
      <c r="A1824" s="16" t="b">
        <v>0</v>
      </c>
      <c r="B1824" s="17"/>
      <c r="C1824" s="18"/>
      <c r="D1824" s="42">
        <v>45314.0</v>
      </c>
      <c r="E1824" s="80" t="s">
        <v>60</v>
      </c>
      <c r="F1824" s="53" t="s">
        <v>1003</v>
      </c>
      <c r="G1824" s="45">
        <v>2.0</v>
      </c>
      <c r="H1824" s="45">
        <v>1.0</v>
      </c>
      <c r="I1824" s="45">
        <v>3.0</v>
      </c>
      <c r="J1824" s="45"/>
      <c r="K1824" s="79"/>
      <c r="L1824" s="45"/>
      <c r="M1824" s="46"/>
      <c r="N1824" s="46"/>
      <c r="O1824" s="47"/>
      <c r="P1824" s="16" t="b">
        <v>1</v>
      </c>
      <c r="Q1824" s="24"/>
      <c r="R1824" s="48">
        <v>6.0</v>
      </c>
      <c r="S1824" s="45">
        <v>12.78</v>
      </c>
      <c r="T1824" s="49" t="s">
        <v>567</v>
      </c>
      <c r="U1824" s="47"/>
      <c r="V1824" s="28"/>
      <c r="W1824" s="29"/>
      <c r="X1824" s="30"/>
      <c r="Y1824" s="31"/>
      <c r="Z1824" s="26">
        <f t="shared" si="5"/>
        <v>2.26</v>
      </c>
      <c r="AA1824" s="26">
        <f t="shared" si="6"/>
        <v>3.39</v>
      </c>
      <c r="AB1824" s="32">
        <f t="shared" si="7"/>
        <v>1.13</v>
      </c>
      <c r="AC1824" s="32" t="str">
        <f t="shared" ref="AC1824:AG1824" si="1828">IF(J1824&lt;&gt;"", IF(AND($P1824=FALSE, $A1824=FALSE), -J1824, IF(AND($P1824=FALSE, $A1824=TRUE), 0, IF($P1824=TRUE, (J1824 / $R1824) * 100 * ($S1824 / 100)-J1824, ))), )</f>
        <v/>
      </c>
      <c r="AD1824" s="32" t="str">
        <f t="shared" si="1828"/>
        <v/>
      </c>
      <c r="AE1824" s="32" t="str">
        <f t="shared" si="1828"/>
        <v/>
      </c>
      <c r="AF1824" s="32" t="str">
        <f t="shared" si="1828"/>
        <v/>
      </c>
      <c r="AG1824" s="32" t="str">
        <f t="shared" si="1828"/>
        <v/>
      </c>
      <c r="AH1824" s="33"/>
    </row>
    <row r="1825" hidden="1" outlineLevel="3">
      <c r="A1825" s="16" t="b">
        <v>0</v>
      </c>
      <c r="B1825" s="17"/>
      <c r="C1825" s="18"/>
      <c r="D1825" s="19"/>
      <c r="E1825" s="20"/>
      <c r="F1825" s="21"/>
      <c r="G1825" s="22"/>
      <c r="H1825" s="22"/>
      <c r="I1825" s="23"/>
      <c r="J1825" s="22"/>
      <c r="K1825" s="23"/>
      <c r="L1825" s="22"/>
      <c r="M1825" s="23"/>
      <c r="N1825" s="23"/>
      <c r="O1825" s="24"/>
      <c r="P1825" s="16" t="b">
        <v>0</v>
      </c>
      <c r="Q1825" s="24"/>
      <c r="R1825" s="25"/>
      <c r="S1825" s="26"/>
      <c r="T1825" s="27"/>
      <c r="U1825" s="24"/>
      <c r="V1825" s="28" t="s">
        <v>29</v>
      </c>
      <c r="W1825" s="29" t="s">
        <v>22</v>
      </c>
      <c r="X1825" s="37" t="s">
        <v>1015</v>
      </c>
      <c r="Y1825" s="31"/>
      <c r="Z1825" s="26" t="str">
        <f t="shared" si="5"/>
        <v/>
      </c>
      <c r="AA1825" s="26" t="str">
        <f t="shared" si="6"/>
        <v/>
      </c>
      <c r="AB1825" s="32" t="str">
        <f t="shared" si="7"/>
        <v/>
      </c>
      <c r="AC1825" s="32" t="str">
        <f t="shared" ref="AC1825:AG1825" si="1829">IF(J1825&lt;&gt;"", IF(AND($P1825=FALSE, $A1825=FALSE), -J1825, IF(AND($P1825=FALSE, $A1825=TRUE), 0, IF($P1825=TRUE, (J1825 / $R1825) * 100 * ($S1825 / 100)-J1825, ))), )</f>
        <v/>
      </c>
      <c r="AD1825" s="32" t="str">
        <f t="shared" si="1829"/>
        <v/>
      </c>
      <c r="AE1825" s="32" t="str">
        <f t="shared" si="1829"/>
        <v/>
      </c>
      <c r="AF1825" s="32" t="str">
        <f t="shared" si="1829"/>
        <v/>
      </c>
      <c r="AG1825" s="32" t="str">
        <f t="shared" si="1829"/>
        <v/>
      </c>
      <c r="AH1825" s="33"/>
    </row>
    <row r="1826" hidden="1" outlineLevel="3">
      <c r="A1826" s="16" t="b">
        <v>0</v>
      </c>
      <c r="B1826" s="17"/>
      <c r="C1826" s="18"/>
      <c r="D1826" s="19"/>
      <c r="E1826" s="20"/>
      <c r="F1826" s="21"/>
      <c r="G1826" s="22"/>
      <c r="H1826" s="22"/>
      <c r="I1826" s="23"/>
      <c r="J1826" s="22"/>
      <c r="K1826" s="23"/>
      <c r="L1826" s="22"/>
      <c r="M1826" s="23"/>
      <c r="N1826" s="23"/>
      <c r="O1826" s="24"/>
      <c r="P1826" s="16" t="b">
        <v>0</v>
      </c>
      <c r="Q1826" s="24"/>
      <c r="R1826" s="25"/>
      <c r="S1826" s="26"/>
      <c r="T1826" s="27"/>
      <c r="U1826" s="24"/>
      <c r="V1826" s="28" t="s">
        <v>29</v>
      </c>
      <c r="W1826" s="29" t="s">
        <v>22</v>
      </c>
      <c r="X1826" s="37" t="s">
        <v>216</v>
      </c>
      <c r="Y1826" s="31"/>
      <c r="Z1826" s="26" t="str">
        <f t="shared" si="5"/>
        <v/>
      </c>
      <c r="AA1826" s="26" t="str">
        <f t="shared" si="6"/>
        <v/>
      </c>
      <c r="AB1826" s="32" t="str">
        <f t="shared" si="7"/>
        <v/>
      </c>
      <c r="AC1826" s="32" t="str">
        <f t="shared" ref="AC1826:AG1826" si="1830">IF(J1826&lt;&gt;"", IF(AND($P1826=FALSE, $A1826=FALSE), -J1826, IF(AND($P1826=FALSE, $A1826=TRUE), 0, IF($P1826=TRUE, (J1826 / $R1826) * 100 * ($S1826 / 100)-J1826, ))), )</f>
        <v/>
      </c>
      <c r="AD1826" s="32" t="str">
        <f t="shared" si="1830"/>
        <v/>
      </c>
      <c r="AE1826" s="32" t="str">
        <f t="shared" si="1830"/>
        <v/>
      </c>
      <c r="AF1826" s="32" t="str">
        <f t="shared" si="1830"/>
        <v/>
      </c>
      <c r="AG1826" s="32" t="str">
        <f t="shared" si="1830"/>
        <v/>
      </c>
      <c r="AH1826" s="33"/>
    </row>
    <row r="1827" hidden="1" outlineLevel="3">
      <c r="A1827" s="16" t="b">
        <v>0</v>
      </c>
      <c r="B1827" s="17"/>
      <c r="C1827" s="18"/>
      <c r="D1827" s="19"/>
      <c r="E1827" s="20"/>
      <c r="F1827" s="21"/>
      <c r="G1827" s="22"/>
      <c r="H1827" s="22"/>
      <c r="I1827" s="23"/>
      <c r="J1827" s="22"/>
      <c r="K1827" s="23"/>
      <c r="L1827" s="22"/>
      <c r="M1827" s="23"/>
      <c r="N1827" s="23"/>
      <c r="O1827" s="24"/>
      <c r="P1827" s="16" t="b">
        <v>0</v>
      </c>
      <c r="Q1827" s="24"/>
      <c r="R1827" s="25"/>
      <c r="S1827" s="26"/>
      <c r="T1827" s="27"/>
      <c r="U1827" s="24"/>
      <c r="V1827" s="28" t="s">
        <v>29</v>
      </c>
      <c r="W1827" s="29" t="s">
        <v>22</v>
      </c>
      <c r="X1827" s="37" t="s">
        <v>722</v>
      </c>
      <c r="Y1827" s="31"/>
      <c r="Z1827" s="26" t="str">
        <f t="shared" si="5"/>
        <v/>
      </c>
      <c r="AA1827" s="26" t="str">
        <f t="shared" si="6"/>
        <v/>
      </c>
      <c r="AB1827" s="32" t="str">
        <f t="shared" si="7"/>
        <v/>
      </c>
      <c r="AC1827" s="32" t="str">
        <f t="shared" ref="AC1827:AG1827" si="1831">IF(J1827&lt;&gt;"", IF(AND($P1827=FALSE, $A1827=FALSE), -J1827, IF(AND($P1827=FALSE, $A1827=TRUE), 0, IF($P1827=TRUE, (J1827 / $R1827) * 100 * ($S1827 / 100)-J1827, ))), )</f>
        <v/>
      </c>
      <c r="AD1827" s="32" t="str">
        <f t="shared" si="1831"/>
        <v/>
      </c>
      <c r="AE1827" s="32" t="str">
        <f t="shared" si="1831"/>
        <v/>
      </c>
      <c r="AF1827" s="32" t="str">
        <f t="shared" si="1831"/>
        <v/>
      </c>
      <c r="AG1827" s="32" t="str">
        <f t="shared" si="1831"/>
        <v/>
      </c>
      <c r="AH1827" s="33"/>
    </row>
    <row r="1828" hidden="1" outlineLevel="2">
      <c r="A1828" s="16" t="b">
        <v>0</v>
      </c>
      <c r="B1828" s="17"/>
      <c r="C1828" s="18"/>
      <c r="D1828" s="42">
        <v>45314.0</v>
      </c>
      <c r="E1828" s="80" t="s">
        <v>60</v>
      </c>
      <c r="F1828" s="53" t="s">
        <v>1003</v>
      </c>
      <c r="G1828" s="45">
        <v>2.0</v>
      </c>
      <c r="H1828" s="45">
        <v>1.0</v>
      </c>
      <c r="I1828" s="45">
        <v>3.0</v>
      </c>
      <c r="J1828" s="45"/>
      <c r="K1828" s="79"/>
      <c r="L1828" s="45"/>
      <c r="M1828" s="46"/>
      <c r="N1828" s="46"/>
      <c r="O1828" s="47"/>
      <c r="P1828" s="16" t="b">
        <v>1</v>
      </c>
      <c r="Q1828" s="24"/>
      <c r="R1828" s="48">
        <v>6.0</v>
      </c>
      <c r="S1828" s="45">
        <v>13.88</v>
      </c>
      <c r="T1828" s="49" t="s">
        <v>525</v>
      </c>
      <c r="U1828" s="47"/>
      <c r="V1828" s="28"/>
      <c r="W1828" s="29"/>
      <c r="X1828" s="30"/>
      <c r="Y1828" s="31"/>
      <c r="Z1828" s="26">
        <f t="shared" si="5"/>
        <v>2.626666667</v>
      </c>
      <c r="AA1828" s="26">
        <f t="shared" si="6"/>
        <v>3.94</v>
      </c>
      <c r="AB1828" s="32">
        <f t="shared" si="7"/>
        <v>1.313333333</v>
      </c>
      <c r="AC1828" s="32" t="str">
        <f t="shared" ref="AC1828:AG1828" si="1832">IF(J1828&lt;&gt;"", IF(AND($P1828=FALSE, $A1828=FALSE), -J1828, IF(AND($P1828=FALSE, $A1828=TRUE), 0, IF($P1828=TRUE, (J1828 / $R1828) * 100 * ($S1828 / 100)-J1828, ))), )</f>
        <v/>
      </c>
      <c r="AD1828" s="32" t="str">
        <f t="shared" si="1832"/>
        <v/>
      </c>
      <c r="AE1828" s="32" t="str">
        <f t="shared" si="1832"/>
        <v/>
      </c>
      <c r="AF1828" s="32" t="str">
        <f t="shared" si="1832"/>
        <v/>
      </c>
      <c r="AG1828" s="32" t="str">
        <f t="shared" si="1832"/>
        <v/>
      </c>
      <c r="AH1828" s="33"/>
    </row>
    <row r="1829" hidden="1" outlineLevel="3">
      <c r="A1829" s="16" t="b">
        <v>0</v>
      </c>
      <c r="B1829" s="17"/>
      <c r="C1829" s="18"/>
      <c r="D1829" s="19"/>
      <c r="E1829" s="20"/>
      <c r="F1829" s="21"/>
      <c r="G1829" s="22"/>
      <c r="H1829" s="22"/>
      <c r="I1829" s="45"/>
      <c r="J1829" s="22"/>
      <c r="K1829" s="23"/>
      <c r="L1829" s="22"/>
      <c r="M1829" s="23"/>
      <c r="N1829" s="23"/>
      <c r="O1829" s="24"/>
      <c r="P1829" s="16" t="b">
        <v>0</v>
      </c>
      <c r="Q1829" s="24"/>
      <c r="R1829" s="25"/>
      <c r="S1829" s="26"/>
      <c r="T1829" s="27"/>
      <c r="U1829" s="24"/>
      <c r="V1829" s="28" t="s">
        <v>29</v>
      </c>
      <c r="W1829" s="29" t="s">
        <v>22</v>
      </c>
      <c r="X1829" s="37" t="s">
        <v>1174</v>
      </c>
      <c r="Y1829" s="31"/>
      <c r="Z1829" s="26" t="str">
        <f t="shared" si="5"/>
        <v/>
      </c>
      <c r="AA1829" s="26" t="str">
        <f t="shared" si="6"/>
        <v/>
      </c>
      <c r="AB1829" s="32" t="str">
        <f t="shared" si="7"/>
        <v/>
      </c>
      <c r="AC1829" s="32" t="str">
        <f t="shared" ref="AC1829:AG1829" si="1833">IF(J1829&lt;&gt;"", IF(AND($P1829=FALSE, $A1829=FALSE), -J1829, IF(AND($P1829=FALSE, $A1829=TRUE), 0, IF($P1829=TRUE, (J1829 / $R1829) * 100 * ($S1829 / 100)-J1829, ))), )</f>
        <v/>
      </c>
      <c r="AD1829" s="32" t="str">
        <f t="shared" si="1833"/>
        <v/>
      </c>
      <c r="AE1829" s="32" t="str">
        <f t="shared" si="1833"/>
        <v/>
      </c>
      <c r="AF1829" s="32" t="str">
        <f t="shared" si="1833"/>
        <v/>
      </c>
      <c r="AG1829" s="32" t="str">
        <f t="shared" si="1833"/>
        <v/>
      </c>
      <c r="AH1829" s="33"/>
    </row>
    <row r="1830" hidden="1" outlineLevel="3">
      <c r="A1830" s="16" t="b">
        <v>0</v>
      </c>
      <c r="B1830" s="17"/>
      <c r="C1830" s="18"/>
      <c r="D1830" s="19"/>
      <c r="E1830" s="20"/>
      <c r="F1830" s="21"/>
      <c r="G1830" s="22"/>
      <c r="H1830" s="22"/>
      <c r="I1830" s="45"/>
      <c r="J1830" s="22"/>
      <c r="K1830" s="23"/>
      <c r="L1830" s="22"/>
      <c r="M1830" s="23"/>
      <c r="N1830" s="23"/>
      <c r="O1830" s="24"/>
      <c r="P1830" s="16" t="b">
        <v>0</v>
      </c>
      <c r="Q1830" s="24"/>
      <c r="R1830" s="25"/>
      <c r="S1830" s="26"/>
      <c r="T1830" s="27"/>
      <c r="U1830" s="24"/>
      <c r="V1830" s="28" t="s">
        <v>29</v>
      </c>
      <c r="W1830" s="29" t="s">
        <v>22</v>
      </c>
      <c r="X1830" s="37" t="s">
        <v>1175</v>
      </c>
      <c r="Y1830" s="31"/>
      <c r="Z1830" s="26" t="str">
        <f t="shared" si="5"/>
        <v/>
      </c>
      <c r="AA1830" s="26" t="str">
        <f t="shared" si="6"/>
        <v/>
      </c>
      <c r="AB1830" s="32" t="str">
        <f t="shared" si="7"/>
        <v/>
      </c>
      <c r="AC1830" s="32" t="str">
        <f t="shared" ref="AC1830:AG1830" si="1834">IF(J1830&lt;&gt;"", IF(AND($P1830=FALSE, $A1830=FALSE), -J1830, IF(AND($P1830=FALSE, $A1830=TRUE), 0, IF($P1830=TRUE, (J1830 / $R1830) * 100 * ($S1830 / 100)-J1830, ))), )</f>
        <v/>
      </c>
      <c r="AD1830" s="32" t="str">
        <f t="shared" si="1834"/>
        <v/>
      </c>
      <c r="AE1830" s="32" t="str">
        <f t="shared" si="1834"/>
        <v/>
      </c>
      <c r="AF1830" s="32" t="str">
        <f t="shared" si="1834"/>
        <v/>
      </c>
      <c r="AG1830" s="32" t="str">
        <f t="shared" si="1834"/>
        <v/>
      </c>
      <c r="AH1830" s="33"/>
    </row>
    <row r="1831" hidden="1" outlineLevel="3">
      <c r="A1831" s="16" t="b">
        <v>0</v>
      </c>
      <c r="B1831" s="17"/>
      <c r="C1831" s="18"/>
      <c r="D1831" s="19"/>
      <c r="E1831" s="20"/>
      <c r="F1831" s="21"/>
      <c r="G1831" s="22"/>
      <c r="H1831" s="22"/>
      <c r="I1831" s="45"/>
      <c r="J1831" s="22"/>
      <c r="K1831" s="23"/>
      <c r="L1831" s="22"/>
      <c r="M1831" s="23"/>
      <c r="N1831" s="23"/>
      <c r="O1831" s="24"/>
      <c r="P1831" s="16" t="b">
        <v>0</v>
      </c>
      <c r="Q1831" s="24"/>
      <c r="R1831" s="25"/>
      <c r="S1831" s="26"/>
      <c r="T1831" s="27"/>
      <c r="U1831" s="24"/>
      <c r="V1831" s="28" t="s">
        <v>29</v>
      </c>
      <c r="W1831" s="29" t="s">
        <v>22</v>
      </c>
      <c r="X1831" s="37" t="s">
        <v>219</v>
      </c>
      <c r="Y1831" s="31"/>
      <c r="Z1831" s="26" t="str">
        <f t="shared" si="5"/>
        <v/>
      </c>
      <c r="AA1831" s="26" t="str">
        <f t="shared" si="6"/>
        <v/>
      </c>
      <c r="AB1831" s="32" t="str">
        <f t="shared" si="7"/>
        <v/>
      </c>
      <c r="AC1831" s="32" t="str">
        <f t="shared" ref="AC1831:AG1831" si="1835">IF(J1831&lt;&gt;"", IF(AND($P1831=FALSE, $A1831=FALSE), -J1831, IF(AND($P1831=FALSE, $A1831=TRUE), 0, IF($P1831=TRUE, (J1831 / $R1831) * 100 * ($S1831 / 100)-J1831, ))), )</f>
        <v/>
      </c>
      <c r="AD1831" s="32" t="str">
        <f t="shared" si="1835"/>
        <v/>
      </c>
      <c r="AE1831" s="32" t="str">
        <f t="shared" si="1835"/>
        <v/>
      </c>
      <c r="AF1831" s="32" t="str">
        <f t="shared" si="1835"/>
        <v/>
      </c>
      <c r="AG1831" s="32" t="str">
        <f t="shared" si="1835"/>
        <v/>
      </c>
      <c r="AH1831" s="33"/>
    </row>
    <row r="1832" hidden="1" outlineLevel="3">
      <c r="A1832" s="16" t="b">
        <v>0</v>
      </c>
      <c r="B1832" s="17"/>
      <c r="C1832" s="18"/>
      <c r="D1832" s="19"/>
      <c r="E1832" s="20"/>
      <c r="F1832" s="21"/>
      <c r="G1832" s="22"/>
      <c r="H1832" s="22"/>
      <c r="I1832" s="45"/>
      <c r="J1832" s="22"/>
      <c r="K1832" s="23"/>
      <c r="L1832" s="22"/>
      <c r="M1832" s="23"/>
      <c r="N1832" s="23"/>
      <c r="O1832" s="24"/>
      <c r="P1832" s="16" t="b">
        <v>0</v>
      </c>
      <c r="Q1832" s="24"/>
      <c r="R1832" s="25"/>
      <c r="S1832" s="26"/>
      <c r="T1832" s="27"/>
      <c r="U1832" s="24"/>
      <c r="V1832" s="28" t="s">
        <v>29</v>
      </c>
      <c r="W1832" s="29" t="s">
        <v>22</v>
      </c>
      <c r="X1832" s="37" t="s">
        <v>1176</v>
      </c>
      <c r="Y1832" s="31"/>
      <c r="Z1832" s="26" t="str">
        <f t="shared" si="5"/>
        <v/>
      </c>
      <c r="AA1832" s="26" t="str">
        <f t="shared" si="6"/>
        <v/>
      </c>
      <c r="AB1832" s="32" t="str">
        <f t="shared" si="7"/>
        <v/>
      </c>
      <c r="AC1832" s="32" t="str">
        <f t="shared" ref="AC1832:AG1832" si="1836">IF(J1832&lt;&gt;"", IF(AND($P1832=FALSE, $A1832=FALSE), -J1832, IF(AND($P1832=FALSE, $A1832=TRUE), 0, IF($P1832=TRUE, (J1832 / $R1832) * 100 * ($S1832 / 100)-J1832, ))), )</f>
        <v/>
      </c>
      <c r="AD1832" s="32" t="str">
        <f t="shared" si="1836"/>
        <v/>
      </c>
      <c r="AE1832" s="32" t="str">
        <f t="shared" si="1836"/>
        <v/>
      </c>
      <c r="AF1832" s="32" t="str">
        <f t="shared" si="1836"/>
        <v/>
      </c>
      <c r="AG1832" s="32" t="str">
        <f t="shared" si="1836"/>
        <v/>
      </c>
      <c r="AH1832" s="33"/>
    </row>
    <row r="1833" hidden="1" outlineLevel="3">
      <c r="A1833" s="16" t="b">
        <v>0</v>
      </c>
      <c r="B1833" s="17"/>
      <c r="C1833" s="18"/>
      <c r="D1833" s="19"/>
      <c r="E1833" s="20"/>
      <c r="F1833" s="21"/>
      <c r="G1833" s="22"/>
      <c r="H1833" s="22"/>
      <c r="I1833" s="45"/>
      <c r="J1833" s="22"/>
      <c r="K1833" s="23"/>
      <c r="L1833" s="22"/>
      <c r="M1833" s="23"/>
      <c r="N1833" s="23"/>
      <c r="O1833" s="24"/>
      <c r="P1833" s="16" t="b">
        <v>0</v>
      </c>
      <c r="Q1833" s="24"/>
      <c r="R1833" s="25"/>
      <c r="S1833" s="26"/>
      <c r="T1833" s="27"/>
      <c r="U1833" s="24"/>
      <c r="V1833" s="28" t="s">
        <v>29</v>
      </c>
      <c r="W1833" s="29" t="s">
        <v>22</v>
      </c>
      <c r="X1833" s="37" t="s">
        <v>198</v>
      </c>
      <c r="Y1833" s="31"/>
      <c r="Z1833" s="26" t="str">
        <f t="shared" si="5"/>
        <v/>
      </c>
      <c r="AA1833" s="26" t="str">
        <f t="shared" si="6"/>
        <v/>
      </c>
      <c r="AB1833" s="32" t="str">
        <f t="shared" si="7"/>
        <v/>
      </c>
      <c r="AC1833" s="32" t="str">
        <f t="shared" ref="AC1833:AG1833" si="1837">IF(J1833&lt;&gt;"", IF(AND($P1833=FALSE, $A1833=FALSE), -J1833, IF(AND($P1833=FALSE, $A1833=TRUE), 0, IF($P1833=TRUE, (J1833 / $R1833) * 100 * ($S1833 / 100)-J1833, ))), )</f>
        <v/>
      </c>
      <c r="AD1833" s="32" t="str">
        <f t="shared" si="1837"/>
        <v/>
      </c>
      <c r="AE1833" s="32" t="str">
        <f t="shared" si="1837"/>
        <v/>
      </c>
      <c r="AF1833" s="32" t="str">
        <f t="shared" si="1837"/>
        <v/>
      </c>
      <c r="AG1833" s="32" t="str">
        <f t="shared" si="1837"/>
        <v/>
      </c>
      <c r="AH1833" s="33"/>
    </row>
    <row r="1834" hidden="1" outlineLevel="1" collapsed="1">
      <c r="A1834" s="16" t="b">
        <v>0</v>
      </c>
      <c r="B1834" s="17"/>
      <c r="C1834" s="18"/>
      <c r="D1834" s="42">
        <v>45316.0</v>
      </c>
      <c r="E1834" s="80" t="s">
        <v>60</v>
      </c>
      <c r="F1834" s="53" t="s">
        <v>1003</v>
      </c>
      <c r="G1834" s="45">
        <v>2.0</v>
      </c>
      <c r="H1834" s="45">
        <v>1.0</v>
      </c>
      <c r="I1834" s="45"/>
      <c r="J1834" s="45"/>
      <c r="K1834" s="79"/>
      <c r="L1834" s="45"/>
      <c r="M1834" s="46"/>
      <c r="N1834" s="46"/>
      <c r="O1834" s="47"/>
      <c r="P1834" s="16" t="b">
        <v>0</v>
      </c>
      <c r="Q1834" s="24"/>
      <c r="R1834" s="48">
        <v>3.0</v>
      </c>
      <c r="S1834" s="45">
        <v>8.24</v>
      </c>
      <c r="T1834" s="49" t="s">
        <v>110</v>
      </c>
      <c r="U1834" s="47"/>
      <c r="V1834" s="28"/>
      <c r="W1834" s="29"/>
      <c r="X1834" s="30"/>
      <c r="Y1834" s="31"/>
      <c r="Z1834" s="26">
        <f t="shared" si="5"/>
        <v>-2</v>
      </c>
      <c r="AA1834" s="26" t="str">
        <f t="shared" si="6"/>
        <v/>
      </c>
      <c r="AB1834" s="32">
        <f t="shared" si="7"/>
        <v>-1</v>
      </c>
      <c r="AC1834" s="32" t="str">
        <f t="shared" ref="AC1834:AG1834" si="1838">IF(J1834&lt;&gt;"", IF(AND($P1834=FALSE, $A1834=FALSE), -J1834, IF(AND($P1834=FALSE, $A1834=TRUE), 0, IF($P1834=TRUE, (J1834 / $R1834) * 100 * ($S1834 / 100)-J1834, ))), )</f>
        <v/>
      </c>
      <c r="AD1834" s="32" t="str">
        <f t="shared" si="1838"/>
        <v/>
      </c>
      <c r="AE1834" s="32" t="str">
        <f t="shared" si="1838"/>
        <v/>
      </c>
      <c r="AF1834" s="32" t="str">
        <f t="shared" si="1838"/>
        <v/>
      </c>
      <c r="AG1834" s="32" t="str">
        <f t="shared" si="1838"/>
        <v/>
      </c>
      <c r="AH1834" s="33"/>
    </row>
    <row r="1835" hidden="1" outlineLevel="3">
      <c r="A1835" s="16" t="b">
        <v>0</v>
      </c>
      <c r="B1835" s="17"/>
      <c r="C1835" s="18"/>
      <c r="D1835" s="19"/>
      <c r="E1835" s="20"/>
      <c r="F1835" s="21"/>
      <c r="G1835" s="22"/>
      <c r="H1835" s="22"/>
      <c r="I1835" s="45"/>
      <c r="J1835" s="22"/>
      <c r="K1835" s="23"/>
      <c r="L1835" s="22"/>
      <c r="M1835" s="23"/>
      <c r="N1835" s="23"/>
      <c r="O1835" s="24"/>
      <c r="P1835" s="16" t="b">
        <v>0</v>
      </c>
      <c r="Q1835" s="24"/>
      <c r="R1835" s="25"/>
      <c r="S1835" s="26"/>
      <c r="T1835" s="27"/>
      <c r="U1835" s="24"/>
      <c r="V1835" s="28" t="s">
        <v>29</v>
      </c>
      <c r="W1835" s="29" t="s">
        <v>22</v>
      </c>
      <c r="X1835" s="37" t="s">
        <v>1006</v>
      </c>
      <c r="Y1835" s="31"/>
      <c r="Z1835" s="26" t="str">
        <f t="shared" si="5"/>
        <v/>
      </c>
      <c r="AA1835" s="26" t="str">
        <f t="shared" si="6"/>
        <v/>
      </c>
      <c r="AB1835" s="32" t="str">
        <f t="shared" si="7"/>
        <v/>
      </c>
      <c r="AC1835" s="32" t="str">
        <f t="shared" ref="AC1835:AG1835" si="1839">IF(J1835&lt;&gt;"", IF(AND($P1835=FALSE, $A1835=FALSE), -J1835, IF(AND($P1835=FALSE, $A1835=TRUE), 0, IF($P1835=TRUE, (J1835 / $R1835) * 100 * ($S1835 / 100)-J1835, ))), )</f>
        <v/>
      </c>
      <c r="AD1835" s="32" t="str">
        <f t="shared" si="1839"/>
        <v/>
      </c>
      <c r="AE1835" s="32" t="str">
        <f t="shared" si="1839"/>
        <v/>
      </c>
      <c r="AF1835" s="32" t="str">
        <f t="shared" si="1839"/>
        <v/>
      </c>
      <c r="AG1835" s="32" t="str">
        <f t="shared" si="1839"/>
        <v/>
      </c>
      <c r="AH1835" s="33"/>
    </row>
    <row r="1836" hidden="1" outlineLevel="3">
      <c r="A1836" s="16" t="b">
        <v>0</v>
      </c>
      <c r="B1836" s="17"/>
      <c r="C1836" s="18"/>
      <c r="D1836" s="19"/>
      <c r="E1836" s="20"/>
      <c r="F1836" s="21"/>
      <c r="G1836" s="22"/>
      <c r="H1836" s="22"/>
      <c r="I1836" s="45"/>
      <c r="J1836" s="22"/>
      <c r="K1836" s="23"/>
      <c r="L1836" s="22"/>
      <c r="M1836" s="23"/>
      <c r="N1836" s="23"/>
      <c r="O1836" s="24"/>
      <c r="P1836" s="16" t="b">
        <v>0</v>
      </c>
      <c r="Q1836" s="24"/>
      <c r="R1836" s="25"/>
      <c r="S1836" s="26"/>
      <c r="T1836" s="27"/>
      <c r="U1836" s="24"/>
      <c r="V1836" s="28" t="s">
        <v>29</v>
      </c>
      <c r="W1836" s="29" t="s">
        <v>22</v>
      </c>
      <c r="X1836" s="37" t="s">
        <v>984</v>
      </c>
      <c r="Y1836" s="31"/>
      <c r="Z1836" s="26" t="str">
        <f t="shared" si="5"/>
        <v/>
      </c>
      <c r="AA1836" s="26" t="str">
        <f t="shared" si="6"/>
        <v/>
      </c>
      <c r="AB1836" s="32" t="str">
        <f t="shared" si="7"/>
        <v/>
      </c>
      <c r="AC1836" s="32" t="str">
        <f t="shared" ref="AC1836:AG1836" si="1840">IF(J1836&lt;&gt;"", IF(AND($P1836=FALSE, $A1836=FALSE), -J1836, IF(AND($P1836=FALSE, $A1836=TRUE), 0, IF($P1836=TRUE, (J1836 / $R1836) * 100 * ($S1836 / 100)-J1836, ))), )</f>
        <v/>
      </c>
      <c r="AD1836" s="32" t="str">
        <f t="shared" si="1840"/>
        <v/>
      </c>
      <c r="AE1836" s="32" t="str">
        <f t="shared" si="1840"/>
        <v/>
      </c>
      <c r="AF1836" s="32" t="str">
        <f t="shared" si="1840"/>
        <v/>
      </c>
      <c r="AG1836" s="32" t="str">
        <f t="shared" si="1840"/>
        <v/>
      </c>
      <c r="AH1836" s="33"/>
    </row>
    <row r="1837" hidden="1" outlineLevel="3">
      <c r="A1837" s="16" t="b">
        <v>0</v>
      </c>
      <c r="B1837" s="17"/>
      <c r="C1837" s="18"/>
      <c r="D1837" s="19"/>
      <c r="E1837" s="20"/>
      <c r="F1837" s="21"/>
      <c r="G1837" s="22"/>
      <c r="H1837" s="22"/>
      <c r="I1837" s="45"/>
      <c r="J1837" s="22"/>
      <c r="K1837" s="23"/>
      <c r="L1837" s="22"/>
      <c r="M1837" s="23"/>
      <c r="N1837" s="23"/>
      <c r="O1837" s="24"/>
      <c r="P1837" s="16" t="b">
        <v>0</v>
      </c>
      <c r="Q1837" s="24"/>
      <c r="R1837" s="25"/>
      <c r="S1837" s="26"/>
      <c r="T1837" s="27"/>
      <c r="U1837" s="24"/>
      <c r="V1837" s="86" t="s">
        <v>1177</v>
      </c>
      <c r="W1837" s="29" t="s">
        <v>22</v>
      </c>
      <c r="X1837" s="37" t="s">
        <v>1178</v>
      </c>
      <c r="Y1837" s="31"/>
      <c r="Z1837" s="26" t="str">
        <f t="shared" si="5"/>
        <v/>
      </c>
      <c r="AA1837" s="26" t="str">
        <f t="shared" si="6"/>
        <v/>
      </c>
      <c r="AB1837" s="32" t="str">
        <f t="shared" si="7"/>
        <v/>
      </c>
      <c r="AC1837" s="32" t="str">
        <f t="shared" ref="AC1837:AG1837" si="1841">IF(J1837&lt;&gt;"", IF(AND($P1837=FALSE, $A1837=FALSE), -J1837, IF(AND($P1837=FALSE, $A1837=TRUE), 0, IF($P1837=TRUE, (J1837 / $R1837) * 100 * ($S1837 / 100)-J1837, ))), )</f>
        <v/>
      </c>
      <c r="AD1837" s="32" t="str">
        <f t="shared" si="1841"/>
        <v/>
      </c>
      <c r="AE1837" s="32" t="str">
        <f t="shared" si="1841"/>
        <v/>
      </c>
      <c r="AF1837" s="32" t="str">
        <f t="shared" si="1841"/>
        <v/>
      </c>
      <c r="AG1837" s="32" t="str">
        <f t="shared" si="1841"/>
        <v/>
      </c>
      <c r="AH1837" s="33"/>
    </row>
    <row r="1838" hidden="1" outlineLevel="2" collapsed="1">
      <c r="A1838" s="81" t="b">
        <v>0</v>
      </c>
      <c r="B1838" s="17"/>
      <c r="C1838" s="18"/>
      <c r="D1838" s="67">
        <v>45316.0</v>
      </c>
      <c r="E1838" s="43" t="s">
        <v>60</v>
      </c>
      <c r="F1838" s="53" t="s">
        <v>1003</v>
      </c>
      <c r="G1838" s="48">
        <v>2.0</v>
      </c>
      <c r="H1838" s="48">
        <v>1.0</v>
      </c>
      <c r="I1838" s="45">
        <v>3.0</v>
      </c>
      <c r="J1838" s="79"/>
      <c r="K1838" s="79"/>
      <c r="L1838" s="79"/>
      <c r="M1838" s="79"/>
      <c r="N1838" s="79"/>
      <c r="O1838" s="47"/>
      <c r="P1838" s="20" t="b">
        <v>0</v>
      </c>
      <c r="Q1838" s="24"/>
      <c r="R1838" s="48">
        <v>6.0</v>
      </c>
      <c r="S1838" s="45">
        <v>11.71</v>
      </c>
      <c r="T1838" s="49">
        <v>-105.0</v>
      </c>
      <c r="U1838" s="47"/>
      <c r="V1838" s="28"/>
      <c r="W1838" s="29"/>
      <c r="X1838" s="30"/>
      <c r="Y1838" s="84"/>
      <c r="Z1838" s="26">
        <f t="shared" si="5"/>
        <v>-2</v>
      </c>
      <c r="AA1838" s="26">
        <f t="shared" si="6"/>
        <v>-3</v>
      </c>
      <c r="AB1838" s="32">
        <f t="shared" si="7"/>
        <v>-1</v>
      </c>
      <c r="AC1838" s="32" t="str">
        <f t="shared" ref="AC1838:AG1838" si="1842">IF(J1838&lt;&gt;"", IF(AND($P1838=FALSE, $A1838=FALSE), -J1838, IF(AND($P1838=FALSE, $A1838=TRUE), 0, IF($P1838=TRUE, (J1838 / $R1838) * 100 * ($S1838 / 100)-J1838, ))), )</f>
        <v/>
      </c>
      <c r="AD1838" s="32" t="str">
        <f t="shared" si="1842"/>
        <v/>
      </c>
      <c r="AE1838" s="32" t="str">
        <f t="shared" si="1842"/>
        <v/>
      </c>
      <c r="AF1838" s="32" t="str">
        <f t="shared" si="1842"/>
        <v/>
      </c>
      <c r="AG1838" s="32" t="str">
        <f t="shared" si="1842"/>
        <v/>
      </c>
      <c r="AH1838" s="33"/>
    </row>
    <row r="1839" hidden="1" outlineLevel="3">
      <c r="A1839" s="16" t="b">
        <v>0</v>
      </c>
      <c r="B1839" s="17"/>
      <c r="C1839" s="18"/>
      <c r="D1839" s="19"/>
      <c r="E1839" s="20"/>
      <c r="F1839" s="21"/>
      <c r="G1839" s="22"/>
      <c r="H1839" s="22"/>
      <c r="I1839" s="45"/>
      <c r="J1839" s="22"/>
      <c r="K1839" s="23"/>
      <c r="L1839" s="22"/>
      <c r="M1839" s="23"/>
      <c r="N1839" s="23"/>
      <c r="O1839" s="24"/>
      <c r="P1839" s="16" t="b">
        <v>0</v>
      </c>
      <c r="Q1839" s="24"/>
      <c r="R1839" s="25"/>
      <c r="S1839" s="26"/>
      <c r="T1839" s="27"/>
      <c r="U1839" s="24"/>
      <c r="V1839" s="66">
        <v>18.0</v>
      </c>
      <c r="W1839" s="29" t="s">
        <v>22</v>
      </c>
      <c r="X1839" s="37" t="s">
        <v>1179</v>
      </c>
      <c r="Y1839" s="31"/>
      <c r="Z1839" s="26" t="str">
        <f t="shared" si="5"/>
        <v/>
      </c>
      <c r="AA1839" s="26" t="str">
        <f t="shared" si="6"/>
        <v/>
      </c>
      <c r="AB1839" s="32" t="str">
        <f t="shared" si="7"/>
        <v/>
      </c>
      <c r="AC1839" s="32" t="str">
        <f t="shared" ref="AC1839:AG1839" si="1843">IF(J1839&lt;&gt;"", IF(AND($P1839=FALSE, $A1839=FALSE), -J1839, IF(AND($P1839=FALSE, $A1839=TRUE), 0, IF($P1839=TRUE, (J1839 / $R1839) * 100 * ($S1839 / 100)-J1839, ))), )</f>
        <v/>
      </c>
      <c r="AD1839" s="32" t="str">
        <f t="shared" si="1843"/>
        <v/>
      </c>
      <c r="AE1839" s="32" t="str">
        <f t="shared" si="1843"/>
        <v/>
      </c>
      <c r="AF1839" s="32" t="str">
        <f t="shared" si="1843"/>
        <v/>
      </c>
      <c r="AG1839" s="32" t="str">
        <f t="shared" si="1843"/>
        <v/>
      </c>
      <c r="AH1839" s="33"/>
    </row>
    <row r="1840" hidden="1" outlineLevel="3">
      <c r="A1840" s="16" t="b">
        <v>0</v>
      </c>
      <c r="B1840" s="17"/>
      <c r="C1840" s="18"/>
      <c r="D1840" s="19"/>
      <c r="E1840" s="20"/>
      <c r="F1840" s="21"/>
      <c r="G1840" s="22"/>
      <c r="H1840" s="22"/>
      <c r="I1840" s="45"/>
      <c r="J1840" s="22"/>
      <c r="K1840" s="23"/>
      <c r="L1840" s="22"/>
      <c r="M1840" s="23"/>
      <c r="N1840" s="23"/>
      <c r="O1840" s="24"/>
      <c r="P1840" s="16" t="b">
        <v>0</v>
      </c>
      <c r="Q1840" s="24"/>
      <c r="R1840" s="25"/>
      <c r="S1840" s="26"/>
      <c r="T1840" s="27"/>
      <c r="U1840" s="24"/>
      <c r="V1840" s="66">
        <v>5.0</v>
      </c>
      <c r="W1840" s="29" t="s">
        <v>22</v>
      </c>
      <c r="X1840" s="37" t="s">
        <v>470</v>
      </c>
      <c r="Y1840" s="31"/>
      <c r="Z1840" s="26" t="str">
        <f t="shared" si="5"/>
        <v/>
      </c>
      <c r="AA1840" s="26" t="str">
        <f t="shared" si="6"/>
        <v/>
      </c>
      <c r="AB1840" s="32" t="str">
        <f t="shared" si="7"/>
        <v/>
      </c>
      <c r="AC1840" s="32" t="str">
        <f t="shared" ref="AC1840:AG1840" si="1844">IF(J1840&lt;&gt;"", IF(AND($P1840=FALSE, $A1840=FALSE), -J1840, IF(AND($P1840=FALSE, $A1840=TRUE), 0, IF($P1840=TRUE, (J1840 / $R1840) * 100 * ($S1840 / 100)-J1840, ))), )</f>
        <v/>
      </c>
      <c r="AD1840" s="32" t="str">
        <f t="shared" si="1844"/>
        <v/>
      </c>
      <c r="AE1840" s="32" t="str">
        <f t="shared" si="1844"/>
        <v/>
      </c>
      <c r="AF1840" s="32" t="str">
        <f t="shared" si="1844"/>
        <v/>
      </c>
      <c r="AG1840" s="32" t="str">
        <f t="shared" si="1844"/>
        <v/>
      </c>
      <c r="AH1840" s="33"/>
    </row>
    <row r="1841" hidden="1" outlineLevel="3">
      <c r="A1841" s="16" t="b">
        <v>0</v>
      </c>
      <c r="B1841" s="17"/>
      <c r="C1841" s="18"/>
      <c r="D1841" s="19"/>
      <c r="E1841" s="20"/>
      <c r="F1841" s="21"/>
      <c r="G1841" s="22"/>
      <c r="H1841" s="22"/>
      <c r="I1841" s="45"/>
      <c r="J1841" s="22"/>
      <c r="K1841" s="23"/>
      <c r="L1841" s="22"/>
      <c r="M1841" s="23"/>
      <c r="N1841" s="23"/>
      <c r="O1841" s="24"/>
      <c r="P1841" s="16" t="b">
        <v>0</v>
      </c>
      <c r="Q1841" s="24"/>
      <c r="R1841" s="25"/>
      <c r="S1841" s="26"/>
      <c r="T1841" s="27"/>
      <c r="U1841" s="24"/>
      <c r="V1841" s="28" t="s">
        <v>29</v>
      </c>
      <c r="W1841" s="29" t="s">
        <v>22</v>
      </c>
      <c r="X1841" s="37" t="s">
        <v>1180</v>
      </c>
      <c r="Y1841" s="31"/>
      <c r="Z1841" s="26" t="str">
        <f t="shared" si="5"/>
        <v/>
      </c>
      <c r="AA1841" s="26" t="str">
        <f t="shared" si="6"/>
        <v/>
      </c>
      <c r="AB1841" s="32" t="str">
        <f t="shared" si="7"/>
        <v/>
      </c>
      <c r="AC1841" s="32" t="str">
        <f t="shared" ref="AC1841:AG1841" si="1845">IF(J1841&lt;&gt;"", IF(AND($P1841=FALSE, $A1841=FALSE), -J1841, IF(AND($P1841=FALSE, $A1841=TRUE), 0, IF($P1841=TRUE, (J1841 / $R1841) * 100 * ($S1841 / 100)-J1841, ))), )</f>
        <v/>
      </c>
      <c r="AD1841" s="32" t="str">
        <f t="shared" si="1845"/>
        <v/>
      </c>
      <c r="AE1841" s="32" t="str">
        <f t="shared" si="1845"/>
        <v/>
      </c>
      <c r="AF1841" s="32" t="str">
        <f t="shared" si="1845"/>
        <v/>
      </c>
      <c r="AG1841" s="32" t="str">
        <f t="shared" si="1845"/>
        <v/>
      </c>
      <c r="AH1841" s="33"/>
    </row>
    <row r="1842" hidden="1" outlineLevel="2">
      <c r="A1842" s="81" t="b">
        <v>0</v>
      </c>
      <c r="B1842" s="17"/>
      <c r="C1842" s="18"/>
      <c r="D1842" s="67">
        <v>45316.0</v>
      </c>
      <c r="E1842" s="43" t="s">
        <v>60</v>
      </c>
      <c r="F1842" s="53" t="s">
        <v>1003</v>
      </c>
      <c r="G1842" s="48">
        <v>2.0</v>
      </c>
      <c r="H1842" s="48">
        <v>1.0</v>
      </c>
      <c r="I1842" s="45">
        <v>3.0</v>
      </c>
      <c r="J1842" s="79"/>
      <c r="K1842" s="79"/>
      <c r="L1842" s="79"/>
      <c r="M1842" s="79"/>
      <c r="N1842" s="79"/>
      <c r="O1842" s="47"/>
      <c r="P1842" s="20" t="b">
        <v>0</v>
      </c>
      <c r="Q1842" s="24"/>
      <c r="R1842" s="48">
        <v>6.0</v>
      </c>
      <c r="S1842" s="45">
        <v>12.65</v>
      </c>
      <c r="T1842" s="49" t="s">
        <v>378</v>
      </c>
      <c r="U1842" s="47"/>
      <c r="V1842" s="28"/>
      <c r="W1842" s="29"/>
      <c r="X1842" s="30"/>
      <c r="Y1842" s="84"/>
      <c r="Z1842" s="26">
        <f t="shared" si="5"/>
        <v>-2</v>
      </c>
      <c r="AA1842" s="26">
        <f t="shared" si="6"/>
        <v>-3</v>
      </c>
      <c r="AB1842" s="32">
        <f t="shared" si="7"/>
        <v>-1</v>
      </c>
      <c r="AC1842" s="32" t="str">
        <f t="shared" ref="AC1842:AG1842" si="1846">IF(J1842&lt;&gt;"", IF(AND($P1842=FALSE, $A1842=FALSE), -J1842, IF(AND($P1842=FALSE, $A1842=TRUE), 0, IF($P1842=TRUE, (J1842 / $R1842) * 100 * ($S1842 / 100)-J1842, ))), )</f>
        <v/>
      </c>
      <c r="AD1842" s="32" t="str">
        <f t="shared" si="1846"/>
        <v/>
      </c>
      <c r="AE1842" s="32" t="str">
        <f t="shared" si="1846"/>
        <v/>
      </c>
      <c r="AF1842" s="32" t="str">
        <f t="shared" si="1846"/>
        <v/>
      </c>
      <c r="AG1842" s="32" t="str">
        <f t="shared" si="1846"/>
        <v/>
      </c>
      <c r="AH1842" s="33"/>
    </row>
    <row r="1843" hidden="1" outlineLevel="3">
      <c r="A1843" s="16" t="b">
        <v>0</v>
      </c>
      <c r="B1843" s="17"/>
      <c r="C1843" s="18"/>
      <c r="D1843" s="19"/>
      <c r="E1843" s="20"/>
      <c r="F1843" s="21"/>
      <c r="G1843" s="22"/>
      <c r="H1843" s="22"/>
      <c r="I1843" s="45"/>
      <c r="J1843" s="22"/>
      <c r="K1843" s="23"/>
      <c r="L1843" s="22"/>
      <c r="M1843" s="23"/>
      <c r="N1843" s="23"/>
      <c r="O1843" s="24"/>
      <c r="P1843" s="16" t="b">
        <v>0</v>
      </c>
      <c r="Q1843" s="24"/>
      <c r="R1843" s="25"/>
      <c r="S1843" s="26"/>
      <c r="T1843" s="27"/>
      <c r="U1843" s="24"/>
      <c r="V1843" s="66">
        <v>21.0</v>
      </c>
      <c r="W1843" s="29" t="s">
        <v>22</v>
      </c>
      <c r="X1843" s="37" t="s">
        <v>1181</v>
      </c>
      <c r="Y1843" s="31"/>
      <c r="Z1843" s="26" t="str">
        <f t="shared" si="5"/>
        <v/>
      </c>
      <c r="AA1843" s="26" t="str">
        <f t="shared" si="6"/>
        <v/>
      </c>
      <c r="AB1843" s="32" t="str">
        <f t="shared" si="7"/>
        <v/>
      </c>
      <c r="AC1843" s="32" t="str">
        <f t="shared" ref="AC1843:AG1843" si="1847">IF(J1843&lt;&gt;"", IF(AND($P1843=FALSE, $A1843=FALSE), -J1843, IF(AND($P1843=FALSE, $A1843=TRUE), 0, IF($P1843=TRUE, (J1843 / $R1843) * 100 * ($S1843 / 100)-J1843, ))), )</f>
        <v/>
      </c>
      <c r="AD1843" s="32" t="str">
        <f t="shared" si="1847"/>
        <v/>
      </c>
      <c r="AE1843" s="32" t="str">
        <f t="shared" si="1847"/>
        <v/>
      </c>
      <c r="AF1843" s="32" t="str">
        <f t="shared" si="1847"/>
        <v/>
      </c>
      <c r="AG1843" s="32" t="str">
        <f t="shared" si="1847"/>
        <v/>
      </c>
      <c r="AH1843" s="33"/>
    </row>
    <row r="1844" hidden="1" outlineLevel="3">
      <c r="A1844" s="16" t="b">
        <v>0</v>
      </c>
      <c r="B1844" s="17"/>
      <c r="C1844" s="18"/>
      <c r="D1844" s="19"/>
      <c r="E1844" s="20"/>
      <c r="F1844" s="21"/>
      <c r="G1844" s="22"/>
      <c r="H1844" s="22"/>
      <c r="I1844" s="45"/>
      <c r="J1844" s="22"/>
      <c r="K1844" s="23"/>
      <c r="L1844" s="22"/>
      <c r="M1844" s="23"/>
      <c r="N1844" s="23"/>
      <c r="O1844" s="24"/>
      <c r="P1844" s="16" t="b">
        <v>0</v>
      </c>
      <c r="Q1844" s="24"/>
      <c r="R1844" s="25"/>
      <c r="S1844" s="26"/>
      <c r="T1844" s="27"/>
      <c r="U1844" s="24"/>
      <c r="V1844" s="28" t="s">
        <v>29</v>
      </c>
      <c r="W1844" s="29" t="s">
        <v>22</v>
      </c>
      <c r="X1844" s="37" t="s">
        <v>1182</v>
      </c>
      <c r="Y1844" s="31"/>
      <c r="Z1844" s="26" t="str">
        <f t="shared" si="5"/>
        <v/>
      </c>
      <c r="AA1844" s="26" t="str">
        <f t="shared" si="6"/>
        <v/>
      </c>
      <c r="AB1844" s="32" t="str">
        <f t="shared" si="7"/>
        <v/>
      </c>
      <c r="AC1844" s="32" t="str">
        <f t="shared" ref="AC1844:AG1844" si="1848">IF(J1844&lt;&gt;"", IF(AND($P1844=FALSE, $A1844=FALSE), -J1844, IF(AND($P1844=FALSE, $A1844=TRUE), 0, IF($P1844=TRUE, (J1844 / $R1844) * 100 * ($S1844 / 100)-J1844, ))), )</f>
        <v/>
      </c>
      <c r="AD1844" s="32" t="str">
        <f t="shared" si="1848"/>
        <v/>
      </c>
      <c r="AE1844" s="32" t="str">
        <f t="shared" si="1848"/>
        <v/>
      </c>
      <c r="AF1844" s="32" t="str">
        <f t="shared" si="1848"/>
        <v/>
      </c>
      <c r="AG1844" s="32" t="str">
        <f t="shared" si="1848"/>
        <v/>
      </c>
      <c r="AH1844" s="33"/>
    </row>
    <row r="1845" hidden="1" outlineLevel="3">
      <c r="A1845" s="16" t="b">
        <v>0</v>
      </c>
      <c r="B1845" s="17"/>
      <c r="C1845" s="18"/>
      <c r="D1845" s="19"/>
      <c r="E1845" s="20"/>
      <c r="F1845" s="21"/>
      <c r="G1845" s="22"/>
      <c r="H1845" s="22"/>
      <c r="I1845" s="45"/>
      <c r="J1845" s="22"/>
      <c r="K1845" s="23"/>
      <c r="L1845" s="22"/>
      <c r="M1845" s="23"/>
      <c r="N1845" s="23"/>
      <c r="O1845" s="24"/>
      <c r="P1845" s="16" t="b">
        <v>0</v>
      </c>
      <c r="Q1845" s="24"/>
      <c r="R1845" s="25"/>
      <c r="S1845" s="26"/>
      <c r="T1845" s="27"/>
      <c r="U1845" s="24"/>
      <c r="V1845" s="66">
        <v>9.0</v>
      </c>
      <c r="W1845" s="29" t="s">
        <v>22</v>
      </c>
      <c r="X1845" s="37" t="s">
        <v>1183</v>
      </c>
      <c r="Y1845" s="31"/>
      <c r="Z1845" s="26" t="str">
        <f t="shared" si="5"/>
        <v/>
      </c>
      <c r="AA1845" s="26" t="str">
        <f t="shared" si="6"/>
        <v/>
      </c>
      <c r="AB1845" s="32" t="str">
        <f t="shared" si="7"/>
        <v/>
      </c>
      <c r="AC1845" s="32" t="str">
        <f t="shared" ref="AC1845:AG1845" si="1849">IF(J1845&lt;&gt;"", IF(AND($P1845=FALSE, $A1845=FALSE), -J1845, IF(AND($P1845=FALSE, $A1845=TRUE), 0, IF($P1845=TRUE, (J1845 / $R1845) * 100 * ($S1845 / 100)-J1845, ))), )</f>
        <v/>
      </c>
      <c r="AD1845" s="32" t="str">
        <f t="shared" si="1849"/>
        <v/>
      </c>
      <c r="AE1845" s="32" t="str">
        <f t="shared" si="1849"/>
        <v/>
      </c>
      <c r="AF1845" s="32" t="str">
        <f t="shared" si="1849"/>
        <v/>
      </c>
      <c r="AG1845" s="32" t="str">
        <f t="shared" si="1849"/>
        <v/>
      </c>
      <c r="AH1845" s="33"/>
    </row>
    <row r="1846" hidden="1" outlineLevel="3">
      <c r="A1846" s="16" t="b">
        <v>0</v>
      </c>
      <c r="B1846" s="17"/>
      <c r="C1846" s="18"/>
      <c r="D1846" s="19"/>
      <c r="E1846" s="20"/>
      <c r="F1846" s="21"/>
      <c r="G1846" s="22"/>
      <c r="H1846" s="22"/>
      <c r="I1846" s="45"/>
      <c r="J1846" s="22"/>
      <c r="K1846" s="23"/>
      <c r="L1846" s="22"/>
      <c r="M1846" s="23"/>
      <c r="N1846" s="23"/>
      <c r="O1846" s="24"/>
      <c r="P1846" s="16" t="b">
        <v>0</v>
      </c>
      <c r="Q1846" s="24"/>
      <c r="R1846" s="25"/>
      <c r="S1846" s="26"/>
      <c r="T1846" s="27"/>
      <c r="U1846" s="24"/>
      <c r="V1846" s="28" t="s">
        <v>29</v>
      </c>
      <c r="W1846" s="29" t="s">
        <v>22</v>
      </c>
      <c r="X1846" s="37" t="s">
        <v>1114</v>
      </c>
      <c r="Y1846" s="31"/>
      <c r="Z1846" s="26" t="str">
        <f t="shared" si="5"/>
        <v/>
      </c>
      <c r="AA1846" s="26" t="str">
        <f t="shared" si="6"/>
        <v/>
      </c>
      <c r="AB1846" s="32" t="str">
        <f t="shared" si="7"/>
        <v/>
      </c>
      <c r="AC1846" s="32" t="str">
        <f t="shared" ref="AC1846:AG1846" si="1850">IF(J1846&lt;&gt;"", IF(AND($P1846=FALSE, $A1846=FALSE), -J1846, IF(AND($P1846=FALSE, $A1846=TRUE), 0, IF($P1846=TRUE, (J1846 / $R1846) * 100 * ($S1846 / 100)-J1846, ))), )</f>
        <v/>
      </c>
      <c r="AD1846" s="32" t="str">
        <f t="shared" si="1850"/>
        <v/>
      </c>
      <c r="AE1846" s="32" t="str">
        <f t="shared" si="1850"/>
        <v/>
      </c>
      <c r="AF1846" s="32" t="str">
        <f t="shared" si="1850"/>
        <v/>
      </c>
      <c r="AG1846" s="32" t="str">
        <f t="shared" si="1850"/>
        <v/>
      </c>
      <c r="AH1846" s="33"/>
    </row>
    <row r="1847" hidden="1" outlineLevel="1" collapsed="1">
      <c r="A1847" s="81" t="b">
        <v>0</v>
      </c>
      <c r="B1847" s="17"/>
      <c r="C1847" s="18"/>
      <c r="D1847" s="42">
        <v>45317.0</v>
      </c>
      <c r="E1847" s="43" t="s">
        <v>60</v>
      </c>
      <c r="F1847" s="53" t="s">
        <v>1003</v>
      </c>
      <c r="G1847" s="48">
        <v>2.0</v>
      </c>
      <c r="H1847" s="48">
        <v>1.0</v>
      </c>
      <c r="I1847" s="45">
        <v>3.0</v>
      </c>
      <c r="J1847" s="79"/>
      <c r="K1847" s="79"/>
      <c r="L1847" s="79"/>
      <c r="M1847" s="79"/>
      <c r="N1847" s="79"/>
      <c r="O1847" s="47"/>
      <c r="P1847" s="20" t="b">
        <v>0</v>
      </c>
      <c r="Q1847" s="24"/>
      <c r="R1847" s="48">
        <v>6.0</v>
      </c>
      <c r="S1847" s="45">
        <v>17.86</v>
      </c>
      <c r="T1847" s="49" t="s">
        <v>785</v>
      </c>
      <c r="U1847" s="47"/>
      <c r="V1847" s="28"/>
      <c r="W1847" s="29"/>
      <c r="X1847" s="30"/>
      <c r="Y1847" s="84"/>
      <c r="Z1847" s="26">
        <f t="shared" si="5"/>
        <v>-2</v>
      </c>
      <c r="AA1847" s="26">
        <f t="shared" si="6"/>
        <v>-3</v>
      </c>
      <c r="AB1847" s="32">
        <f t="shared" si="7"/>
        <v>-1</v>
      </c>
      <c r="AC1847" s="32" t="str">
        <f t="shared" ref="AC1847:AG1847" si="1851">IF(J1847&lt;&gt;"", IF(AND($P1847=FALSE, $A1847=FALSE), -J1847, IF(AND($P1847=FALSE, $A1847=TRUE), 0, IF($P1847=TRUE, (J1847 / $R1847) * 100 * ($S1847 / 100)-J1847, ))), )</f>
        <v/>
      </c>
      <c r="AD1847" s="32" t="str">
        <f t="shared" si="1851"/>
        <v/>
      </c>
      <c r="AE1847" s="32" t="str">
        <f t="shared" si="1851"/>
        <v/>
      </c>
      <c r="AF1847" s="32" t="str">
        <f t="shared" si="1851"/>
        <v/>
      </c>
      <c r="AG1847" s="32" t="str">
        <f t="shared" si="1851"/>
        <v/>
      </c>
      <c r="AH1847" s="33"/>
    </row>
    <row r="1848" hidden="1" outlineLevel="3">
      <c r="A1848" s="16" t="b">
        <v>0</v>
      </c>
      <c r="B1848" s="17"/>
      <c r="C1848" s="18"/>
      <c r="D1848" s="19"/>
      <c r="E1848" s="20"/>
      <c r="F1848" s="21"/>
      <c r="G1848" s="22"/>
      <c r="H1848" s="22"/>
      <c r="I1848" s="45"/>
      <c r="J1848" s="22"/>
      <c r="K1848" s="23"/>
      <c r="L1848" s="22"/>
      <c r="M1848" s="23"/>
      <c r="N1848" s="23"/>
      <c r="O1848" s="24"/>
      <c r="P1848" s="16" t="b">
        <v>0</v>
      </c>
      <c r="Q1848" s="24"/>
      <c r="R1848" s="48"/>
      <c r="S1848" s="26"/>
      <c r="T1848" s="49"/>
      <c r="U1848" s="24"/>
      <c r="V1848" s="28" t="s">
        <v>29</v>
      </c>
      <c r="W1848" s="29" t="s">
        <v>22</v>
      </c>
      <c r="X1848" s="37" t="s">
        <v>1184</v>
      </c>
      <c r="Y1848" s="31"/>
      <c r="Z1848" s="26" t="str">
        <f t="shared" si="5"/>
        <v/>
      </c>
      <c r="AA1848" s="26" t="str">
        <f t="shared" si="6"/>
        <v/>
      </c>
      <c r="AB1848" s="32" t="str">
        <f t="shared" si="7"/>
        <v/>
      </c>
      <c r="AC1848" s="32" t="str">
        <f t="shared" ref="AC1848:AG1848" si="1852">IF(J1848&lt;&gt;"", IF(AND($P1848=FALSE, $A1848=FALSE), -J1848, IF(AND($P1848=FALSE, $A1848=TRUE), 0, IF($P1848=TRUE, (J1848 / $R1848) * 100 * ($S1848 / 100)-J1848, ))), )</f>
        <v/>
      </c>
      <c r="AD1848" s="32" t="str">
        <f t="shared" si="1852"/>
        <v/>
      </c>
      <c r="AE1848" s="32" t="str">
        <f t="shared" si="1852"/>
        <v/>
      </c>
      <c r="AF1848" s="32" t="str">
        <f t="shared" si="1852"/>
        <v/>
      </c>
      <c r="AG1848" s="32" t="str">
        <f t="shared" si="1852"/>
        <v/>
      </c>
      <c r="AH1848" s="33"/>
    </row>
    <row r="1849" hidden="1" outlineLevel="3">
      <c r="A1849" s="16" t="b">
        <v>0</v>
      </c>
      <c r="B1849" s="17"/>
      <c r="C1849" s="18"/>
      <c r="D1849" s="19"/>
      <c r="E1849" s="20"/>
      <c r="F1849" s="21"/>
      <c r="G1849" s="22"/>
      <c r="H1849" s="22"/>
      <c r="I1849" s="45"/>
      <c r="J1849" s="22"/>
      <c r="K1849" s="23"/>
      <c r="L1849" s="22"/>
      <c r="M1849" s="23"/>
      <c r="N1849" s="23"/>
      <c r="O1849" s="24"/>
      <c r="P1849" s="16" t="b">
        <v>0</v>
      </c>
      <c r="Q1849" s="24"/>
      <c r="R1849" s="48"/>
      <c r="S1849" s="26"/>
      <c r="T1849" s="49"/>
      <c r="U1849" s="24"/>
      <c r="V1849" s="66">
        <v>20.0</v>
      </c>
      <c r="W1849" s="29" t="s">
        <v>22</v>
      </c>
      <c r="X1849" s="37" t="s">
        <v>920</v>
      </c>
      <c r="Y1849" s="31"/>
      <c r="Z1849" s="26" t="str">
        <f t="shared" si="5"/>
        <v/>
      </c>
      <c r="AA1849" s="26" t="str">
        <f t="shared" si="6"/>
        <v/>
      </c>
      <c r="AB1849" s="32" t="str">
        <f t="shared" si="7"/>
        <v/>
      </c>
      <c r="AC1849" s="32" t="str">
        <f t="shared" ref="AC1849:AG1849" si="1853">IF(J1849&lt;&gt;"", IF(AND($P1849=FALSE, $A1849=FALSE), -J1849, IF(AND($P1849=FALSE, $A1849=TRUE), 0, IF($P1849=TRUE, (J1849 / $R1849) * 100 * ($S1849 / 100)-J1849, ))), )</f>
        <v/>
      </c>
      <c r="AD1849" s="32" t="str">
        <f t="shared" si="1853"/>
        <v/>
      </c>
      <c r="AE1849" s="32" t="str">
        <f t="shared" si="1853"/>
        <v/>
      </c>
      <c r="AF1849" s="32" t="str">
        <f t="shared" si="1853"/>
        <v/>
      </c>
      <c r="AG1849" s="32" t="str">
        <f t="shared" si="1853"/>
        <v/>
      </c>
      <c r="AH1849" s="33"/>
    </row>
    <row r="1850" hidden="1" outlineLevel="3">
      <c r="A1850" s="16" t="b">
        <v>0</v>
      </c>
      <c r="B1850" s="17"/>
      <c r="C1850" s="18"/>
      <c r="D1850" s="19"/>
      <c r="E1850" s="20"/>
      <c r="F1850" s="21"/>
      <c r="G1850" s="22"/>
      <c r="H1850" s="22"/>
      <c r="I1850" s="45"/>
      <c r="J1850" s="22"/>
      <c r="K1850" s="23"/>
      <c r="L1850" s="22"/>
      <c r="M1850" s="23"/>
      <c r="N1850" s="23"/>
      <c r="O1850" s="24"/>
      <c r="P1850" s="16" t="b">
        <v>0</v>
      </c>
      <c r="Q1850" s="24"/>
      <c r="R1850" s="48"/>
      <c r="S1850" s="26"/>
      <c r="T1850" s="49"/>
      <c r="U1850" s="24"/>
      <c r="V1850" s="28" t="s">
        <v>29</v>
      </c>
      <c r="W1850" s="29" t="s">
        <v>22</v>
      </c>
      <c r="X1850" s="37" t="s">
        <v>1185</v>
      </c>
      <c r="Y1850" s="31"/>
      <c r="Z1850" s="26" t="str">
        <f t="shared" si="5"/>
        <v/>
      </c>
      <c r="AA1850" s="26" t="str">
        <f t="shared" si="6"/>
        <v/>
      </c>
      <c r="AB1850" s="32" t="str">
        <f t="shared" si="7"/>
        <v/>
      </c>
      <c r="AC1850" s="32" t="str">
        <f t="shared" ref="AC1850:AG1850" si="1854">IF(J1850&lt;&gt;"", IF(AND($P1850=FALSE, $A1850=FALSE), -J1850, IF(AND($P1850=FALSE, $A1850=TRUE), 0, IF($P1850=TRUE, (J1850 / $R1850) * 100 * ($S1850 / 100)-J1850, ))), )</f>
        <v/>
      </c>
      <c r="AD1850" s="32" t="str">
        <f t="shared" si="1854"/>
        <v/>
      </c>
      <c r="AE1850" s="32" t="str">
        <f t="shared" si="1854"/>
        <v/>
      </c>
      <c r="AF1850" s="32" t="str">
        <f t="shared" si="1854"/>
        <v/>
      </c>
      <c r="AG1850" s="32" t="str">
        <f t="shared" si="1854"/>
        <v/>
      </c>
      <c r="AH1850" s="33"/>
    </row>
    <row r="1851" hidden="1" outlineLevel="3">
      <c r="A1851" s="16" t="b">
        <v>0</v>
      </c>
      <c r="B1851" s="17"/>
      <c r="C1851" s="18"/>
      <c r="D1851" s="19"/>
      <c r="E1851" s="20"/>
      <c r="F1851" s="21"/>
      <c r="G1851" s="22"/>
      <c r="H1851" s="22"/>
      <c r="I1851" s="45"/>
      <c r="J1851" s="22"/>
      <c r="K1851" s="23"/>
      <c r="L1851" s="22"/>
      <c r="M1851" s="23"/>
      <c r="N1851" s="23"/>
      <c r="O1851" s="24"/>
      <c r="P1851" s="16" t="b">
        <v>0</v>
      </c>
      <c r="Q1851" s="24"/>
      <c r="R1851" s="48"/>
      <c r="S1851" s="26"/>
      <c r="T1851" s="49"/>
      <c r="U1851" s="24"/>
      <c r="V1851" s="28" t="s">
        <v>29</v>
      </c>
      <c r="W1851" s="29" t="s">
        <v>22</v>
      </c>
      <c r="X1851" s="37" t="s">
        <v>943</v>
      </c>
      <c r="Y1851" s="31"/>
      <c r="Z1851" s="26" t="str">
        <f t="shared" si="5"/>
        <v/>
      </c>
      <c r="AA1851" s="26" t="str">
        <f t="shared" si="6"/>
        <v/>
      </c>
      <c r="AB1851" s="32" t="str">
        <f t="shared" si="7"/>
        <v/>
      </c>
      <c r="AC1851" s="32" t="str">
        <f t="shared" ref="AC1851:AG1851" si="1855">IF(J1851&lt;&gt;"", IF(AND($P1851=FALSE, $A1851=FALSE), -J1851, IF(AND($P1851=FALSE, $A1851=TRUE), 0, IF($P1851=TRUE, (J1851 / $R1851) * 100 * ($S1851 / 100)-J1851, ))), )</f>
        <v/>
      </c>
      <c r="AD1851" s="32" t="str">
        <f t="shared" si="1855"/>
        <v/>
      </c>
      <c r="AE1851" s="32" t="str">
        <f t="shared" si="1855"/>
        <v/>
      </c>
      <c r="AF1851" s="32" t="str">
        <f t="shared" si="1855"/>
        <v/>
      </c>
      <c r="AG1851" s="32" t="str">
        <f t="shared" si="1855"/>
        <v/>
      </c>
      <c r="AH1851" s="33"/>
    </row>
    <row r="1852" hidden="1" outlineLevel="3">
      <c r="A1852" s="16" t="b">
        <v>0</v>
      </c>
      <c r="B1852" s="17"/>
      <c r="C1852" s="18"/>
      <c r="D1852" s="19"/>
      <c r="E1852" s="20"/>
      <c r="F1852" s="21"/>
      <c r="G1852" s="22"/>
      <c r="H1852" s="22"/>
      <c r="I1852" s="45"/>
      <c r="J1852" s="22"/>
      <c r="K1852" s="23"/>
      <c r="L1852" s="22"/>
      <c r="M1852" s="23"/>
      <c r="N1852" s="23"/>
      <c r="O1852" s="24"/>
      <c r="P1852" s="16" t="b">
        <v>0</v>
      </c>
      <c r="Q1852" s="24"/>
      <c r="R1852" s="48"/>
      <c r="S1852" s="26"/>
      <c r="T1852" s="49"/>
      <c r="U1852" s="24"/>
      <c r="V1852" s="66">
        <v>22.0</v>
      </c>
      <c r="W1852" s="29" t="s">
        <v>22</v>
      </c>
      <c r="X1852" s="37" t="s">
        <v>1186</v>
      </c>
      <c r="Y1852" s="31"/>
      <c r="Z1852" s="26" t="str">
        <f t="shared" si="5"/>
        <v/>
      </c>
      <c r="AA1852" s="26" t="str">
        <f t="shared" si="6"/>
        <v/>
      </c>
      <c r="AB1852" s="32" t="str">
        <f t="shared" si="7"/>
        <v/>
      </c>
      <c r="AC1852" s="32" t="str">
        <f t="shared" ref="AC1852:AG1852" si="1856">IF(J1852&lt;&gt;"", IF(AND($P1852=FALSE, $A1852=FALSE), -J1852, IF(AND($P1852=FALSE, $A1852=TRUE), 0, IF($P1852=TRUE, (J1852 / $R1852) * 100 * ($S1852 / 100)-J1852, ))), )</f>
        <v/>
      </c>
      <c r="AD1852" s="32" t="str">
        <f t="shared" si="1856"/>
        <v/>
      </c>
      <c r="AE1852" s="32" t="str">
        <f t="shared" si="1856"/>
        <v/>
      </c>
      <c r="AF1852" s="32" t="str">
        <f t="shared" si="1856"/>
        <v/>
      </c>
      <c r="AG1852" s="32" t="str">
        <f t="shared" si="1856"/>
        <v/>
      </c>
      <c r="AH1852" s="33"/>
    </row>
    <row r="1853" hidden="1" outlineLevel="1" collapsed="1">
      <c r="A1853" s="81" t="b">
        <v>0</v>
      </c>
      <c r="B1853" s="17"/>
      <c r="C1853" s="18"/>
      <c r="D1853" s="42">
        <v>45318.0</v>
      </c>
      <c r="E1853" s="43" t="s">
        <v>60</v>
      </c>
      <c r="F1853" s="53" t="s">
        <v>1003</v>
      </c>
      <c r="G1853" s="45">
        <v>1.0</v>
      </c>
      <c r="H1853" s="48"/>
      <c r="I1853" s="45">
        <v>1.0</v>
      </c>
      <c r="J1853" s="79"/>
      <c r="K1853" s="79"/>
      <c r="L1853" s="79"/>
      <c r="M1853" s="79"/>
      <c r="N1853" s="79"/>
      <c r="O1853" s="47"/>
      <c r="P1853" s="20" t="b">
        <v>0</v>
      </c>
      <c r="Q1853" s="24"/>
      <c r="R1853" s="48">
        <v>2.0</v>
      </c>
      <c r="S1853" s="45">
        <v>6.2</v>
      </c>
      <c r="T1853" s="49" t="s">
        <v>1187</v>
      </c>
      <c r="U1853" s="47"/>
      <c r="V1853" s="28"/>
      <c r="W1853" s="29"/>
      <c r="X1853" s="30"/>
      <c r="Y1853" s="84"/>
      <c r="Z1853" s="26">
        <f t="shared" si="5"/>
        <v>-1</v>
      </c>
      <c r="AA1853" s="26">
        <f t="shared" si="6"/>
        <v>-1</v>
      </c>
      <c r="AB1853" s="32" t="str">
        <f t="shared" si="7"/>
        <v/>
      </c>
      <c r="AC1853" s="32" t="str">
        <f t="shared" ref="AC1853:AG1853" si="1857">IF(J1853&lt;&gt;"", IF(AND($P1853=FALSE, $A1853=FALSE), -J1853, IF(AND($P1853=FALSE, $A1853=TRUE), 0, IF($P1853=TRUE, (J1853 / $R1853) * 100 * ($S1853 / 100)-J1853, ))), )</f>
        <v/>
      </c>
      <c r="AD1853" s="32" t="str">
        <f t="shared" si="1857"/>
        <v/>
      </c>
      <c r="AE1853" s="32" t="str">
        <f t="shared" si="1857"/>
        <v/>
      </c>
      <c r="AF1853" s="32" t="str">
        <f t="shared" si="1857"/>
        <v/>
      </c>
      <c r="AG1853" s="32" t="str">
        <f t="shared" si="1857"/>
        <v/>
      </c>
      <c r="AH1853" s="33"/>
    </row>
    <row r="1854" hidden="1" outlineLevel="3">
      <c r="A1854" s="16" t="b">
        <v>0</v>
      </c>
      <c r="B1854" s="17"/>
      <c r="C1854" s="18"/>
      <c r="D1854" s="19"/>
      <c r="E1854" s="20"/>
      <c r="F1854" s="21"/>
      <c r="G1854" s="22"/>
      <c r="H1854" s="22"/>
      <c r="I1854" s="45"/>
      <c r="J1854" s="22"/>
      <c r="K1854" s="23"/>
      <c r="L1854" s="22"/>
      <c r="M1854" s="23"/>
      <c r="N1854" s="23"/>
      <c r="O1854" s="24"/>
      <c r="P1854" s="16" t="b">
        <v>0</v>
      </c>
      <c r="Q1854" s="24"/>
      <c r="R1854" s="48"/>
      <c r="S1854" s="26"/>
      <c r="T1854" s="49"/>
      <c r="U1854" s="24"/>
      <c r="V1854" s="66">
        <v>28.0</v>
      </c>
      <c r="W1854" s="29" t="s">
        <v>22</v>
      </c>
      <c r="X1854" s="37" t="s">
        <v>1188</v>
      </c>
      <c r="Y1854" s="31"/>
      <c r="Z1854" s="26" t="str">
        <f t="shared" si="5"/>
        <v/>
      </c>
      <c r="AA1854" s="26" t="str">
        <f t="shared" si="6"/>
        <v/>
      </c>
      <c r="AB1854" s="32" t="str">
        <f t="shared" si="7"/>
        <v/>
      </c>
      <c r="AC1854" s="32" t="str">
        <f t="shared" ref="AC1854:AG1854" si="1858">IF(J1854&lt;&gt;"", IF(AND($P1854=FALSE, $A1854=FALSE), -J1854, IF(AND($P1854=FALSE, $A1854=TRUE), 0, IF($P1854=TRUE, (J1854 / $R1854) * 100 * ($S1854 / 100)-J1854, ))), )</f>
        <v/>
      </c>
      <c r="AD1854" s="32" t="str">
        <f t="shared" si="1858"/>
        <v/>
      </c>
      <c r="AE1854" s="32" t="str">
        <f t="shared" si="1858"/>
        <v/>
      </c>
      <c r="AF1854" s="32" t="str">
        <f t="shared" si="1858"/>
        <v/>
      </c>
      <c r="AG1854" s="32" t="str">
        <f t="shared" si="1858"/>
        <v/>
      </c>
      <c r="AH1854" s="33"/>
    </row>
    <row r="1855" hidden="1" outlineLevel="1" collapsed="1">
      <c r="A1855" s="16" t="b">
        <v>0</v>
      </c>
      <c r="B1855" s="17"/>
      <c r="C1855" s="18"/>
      <c r="D1855" s="42">
        <v>45319.0</v>
      </c>
      <c r="E1855" s="20" t="s">
        <v>24</v>
      </c>
      <c r="F1855" s="53" t="s">
        <v>1189</v>
      </c>
      <c r="G1855" s="45">
        <v>0.02</v>
      </c>
      <c r="H1855" s="45">
        <v>0.01</v>
      </c>
      <c r="I1855" s="45">
        <v>0.02</v>
      </c>
      <c r="J1855" s="22"/>
      <c r="K1855" s="23"/>
      <c r="L1855" s="22"/>
      <c r="M1855" s="23"/>
      <c r="N1855" s="23"/>
      <c r="O1855" s="24"/>
      <c r="P1855" s="16" t="b">
        <v>1</v>
      </c>
      <c r="Q1855" s="24"/>
      <c r="R1855" s="48">
        <v>0.05</v>
      </c>
      <c r="S1855" s="26">
        <v>12.52</v>
      </c>
      <c r="T1855" s="49" t="s">
        <v>1190</v>
      </c>
      <c r="U1855" s="24"/>
      <c r="V1855" s="28"/>
      <c r="W1855" s="29"/>
      <c r="X1855" s="30"/>
      <c r="Y1855" s="31"/>
      <c r="Z1855" s="26">
        <f t="shared" si="5"/>
        <v>4.988</v>
      </c>
      <c r="AA1855" s="26">
        <f t="shared" si="6"/>
        <v>4.988</v>
      </c>
      <c r="AB1855" s="32">
        <f t="shared" si="7"/>
        <v>2.494</v>
      </c>
      <c r="AC1855" s="32" t="str">
        <f t="shared" ref="AC1855:AG1855" si="1859">IF(J1855&lt;&gt;"", IF(AND($P1855=FALSE, $A1855=FALSE), -J1855, IF(AND($P1855=FALSE, $A1855=TRUE), 0, IF($P1855=TRUE, (J1855 / $R1855) * 100 * ($S1855 / 100)-J1855, ))), )</f>
        <v/>
      </c>
      <c r="AD1855" s="32" t="str">
        <f t="shared" si="1859"/>
        <v/>
      </c>
      <c r="AE1855" s="32" t="str">
        <f t="shared" si="1859"/>
        <v/>
      </c>
      <c r="AF1855" s="32" t="str">
        <f t="shared" si="1859"/>
        <v/>
      </c>
      <c r="AG1855" s="32" t="str">
        <f t="shared" si="1859"/>
        <v/>
      </c>
      <c r="AH1855" s="33"/>
    </row>
    <row r="1856" hidden="1" outlineLevel="3">
      <c r="A1856" s="16" t="b">
        <v>0</v>
      </c>
      <c r="B1856" s="17"/>
      <c r="C1856" s="18"/>
      <c r="D1856" s="19"/>
      <c r="E1856" s="20"/>
      <c r="F1856" s="21"/>
      <c r="G1856" s="22"/>
      <c r="H1856" s="22"/>
      <c r="I1856" s="45"/>
      <c r="J1856" s="22"/>
      <c r="K1856" s="23"/>
      <c r="L1856" s="22"/>
      <c r="M1856" s="23"/>
      <c r="N1856" s="23"/>
      <c r="O1856" s="24"/>
      <c r="P1856" s="16" t="b">
        <v>0</v>
      </c>
      <c r="Q1856" s="24"/>
      <c r="R1856" s="48"/>
      <c r="S1856" s="26"/>
      <c r="T1856" s="49"/>
      <c r="U1856" s="24"/>
      <c r="V1856" s="28" t="s">
        <v>29</v>
      </c>
      <c r="W1856" s="29" t="s">
        <v>22</v>
      </c>
      <c r="X1856" s="37" t="s">
        <v>1191</v>
      </c>
      <c r="Y1856" s="31"/>
      <c r="Z1856" s="26" t="str">
        <f t="shared" si="5"/>
        <v/>
      </c>
      <c r="AA1856" s="26" t="str">
        <f t="shared" si="6"/>
        <v/>
      </c>
      <c r="AB1856" s="32" t="str">
        <f t="shared" si="7"/>
        <v/>
      </c>
      <c r="AC1856" s="32" t="str">
        <f t="shared" ref="AC1856:AG1856" si="1860">IF(J1856&lt;&gt;"", IF(AND($P1856=FALSE, $A1856=FALSE), -J1856, IF(AND($P1856=FALSE, $A1856=TRUE), 0, IF($P1856=TRUE, (J1856 / $R1856) * 100 * ($S1856 / 100)-J1856, ))), )</f>
        <v/>
      </c>
      <c r="AD1856" s="32" t="str">
        <f t="shared" si="1860"/>
        <v/>
      </c>
      <c r="AE1856" s="32" t="str">
        <f t="shared" si="1860"/>
        <v/>
      </c>
      <c r="AF1856" s="32" t="str">
        <f t="shared" si="1860"/>
        <v/>
      </c>
      <c r="AG1856" s="32" t="str">
        <f t="shared" si="1860"/>
        <v/>
      </c>
      <c r="AH1856" s="33"/>
    </row>
    <row r="1857" hidden="1" outlineLevel="3">
      <c r="A1857" s="16" t="b">
        <v>0</v>
      </c>
      <c r="B1857" s="17"/>
      <c r="C1857" s="18"/>
      <c r="D1857" s="19"/>
      <c r="E1857" s="20"/>
      <c r="F1857" s="21"/>
      <c r="G1857" s="22"/>
      <c r="H1857" s="22"/>
      <c r="I1857" s="45"/>
      <c r="J1857" s="22"/>
      <c r="K1857" s="23"/>
      <c r="L1857" s="22"/>
      <c r="M1857" s="23"/>
      <c r="N1857" s="23"/>
      <c r="O1857" s="24"/>
      <c r="P1857" s="16" t="b">
        <v>0</v>
      </c>
      <c r="Q1857" s="24"/>
      <c r="R1857" s="48"/>
      <c r="S1857" s="26"/>
      <c r="T1857" s="49"/>
      <c r="U1857" s="24"/>
      <c r="V1857" s="28" t="s">
        <v>29</v>
      </c>
      <c r="W1857" s="29" t="s">
        <v>22</v>
      </c>
      <c r="X1857" s="37" t="s">
        <v>1192</v>
      </c>
      <c r="Y1857" s="31"/>
      <c r="Z1857" s="26" t="str">
        <f t="shared" si="5"/>
        <v/>
      </c>
      <c r="AA1857" s="26" t="str">
        <f t="shared" si="6"/>
        <v/>
      </c>
      <c r="AB1857" s="32" t="str">
        <f t="shared" si="7"/>
        <v/>
      </c>
      <c r="AC1857" s="32" t="str">
        <f t="shared" ref="AC1857:AG1857" si="1861">IF(J1857&lt;&gt;"", IF(AND($P1857=FALSE, $A1857=FALSE), -J1857, IF(AND($P1857=FALSE, $A1857=TRUE), 0, IF($P1857=TRUE, (J1857 / $R1857) * 100 * ($S1857 / 100)-J1857, ))), )</f>
        <v/>
      </c>
      <c r="AD1857" s="32" t="str">
        <f t="shared" si="1861"/>
        <v/>
      </c>
      <c r="AE1857" s="32" t="str">
        <f t="shared" si="1861"/>
        <v/>
      </c>
      <c r="AF1857" s="32" t="str">
        <f t="shared" si="1861"/>
        <v/>
      </c>
      <c r="AG1857" s="32" t="str">
        <f t="shared" si="1861"/>
        <v/>
      </c>
      <c r="AH1857" s="33"/>
    </row>
    <row r="1858" hidden="1" outlineLevel="3">
      <c r="A1858" s="16" t="b">
        <v>0</v>
      </c>
      <c r="B1858" s="17"/>
      <c r="C1858" s="18"/>
      <c r="D1858" s="19"/>
      <c r="E1858" s="20"/>
      <c r="F1858" s="21"/>
      <c r="G1858" s="22"/>
      <c r="H1858" s="22"/>
      <c r="I1858" s="45"/>
      <c r="J1858" s="22"/>
      <c r="K1858" s="23"/>
      <c r="L1858" s="22"/>
      <c r="M1858" s="23"/>
      <c r="N1858" s="23"/>
      <c r="O1858" s="24"/>
      <c r="P1858" s="16" t="b">
        <v>0</v>
      </c>
      <c r="Q1858" s="24"/>
      <c r="R1858" s="48"/>
      <c r="S1858" s="26"/>
      <c r="T1858" s="49"/>
      <c r="U1858" s="24"/>
      <c r="V1858" s="28" t="s">
        <v>29</v>
      </c>
      <c r="W1858" s="29" t="s">
        <v>22</v>
      </c>
      <c r="X1858" s="37" t="s">
        <v>1193</v>
      </c>
      <c r="Y1858" s="31"/>
      <c r="Z1858" s="26" t="str">
        <f t="shared" si="5"/>
        <v/>
      </c>
      <c r="AA1858" s="26" t="str">
        <f t="shared" si="6"/>
        <v/>
      </c>
      <c r="AB1858" s="32" t="str">
        <f t="shared" si="7"/>
        <v/>
      </c>
      <c r="AC1858" s="32" t="str">
        <f t="shared" ref="AC1858:AG1858" si="1862">IF(J1858&lt;&gt;"", IF(AND($P1858=FALSE, $A1858=FALSE), -J1858, IF(AND($P1858=FALSE, $A1858=TRUE), 0, IF($P1858=TRUE, (J1858 / $R1858) * 100 * ($S1858 / 100)-J1858, ))), )</f>
        <v/>
      </c>
      <c r="AD1858" s="32" t="str">
        <f t="shared" si="1862"/>
        <v/>
      </c>
      <c r="AE1858" s="32" t="str">
        <f t="shared" si="1862"/>
        <v/>
      </c>
      <c r="AF1858" s="32" t="str">
        <f t="shared" si="1862"/>
        <v/>
      </c>
      <c r="AG1858" s="32" t="str">
        <f t="shared" si="1862"/>
        <v/>
      </c>
      <c r="AH1858" s="33"/>
    </row>
    <row r="1859" hidden="1" outlineLevel="3">
      <c r="A1859" s="16" t="b">
        <v>0</v>
      </c>
      <c r="B1859" s="17"/>
      <c r="C1859" s="18"/>
      <c r="D1859" s="19"/>
      <c r="E1859" s="20"/>
      <c r="F1859" s="21"/>
      <c r="G1859" s="22"/>
      <c r="H1859" s="22"/>
      <c r="I1859" s="45"/>
      <c r="J1859" s="22"/>
      <c r="K1859" s="23"/>
      <c r="L1859" s="22"/>
      <c r="M1859" s="23"/>
      <c r="N1859" s="23"/>
      <c r="O1859" s="24"/>
      <c r="P1859" s="16" t="b">
        <v>0</v>
      </c>
      <c r="Q1859" s="24"/>
      <c r="R1859" s="48"/>
      <c r="S1859" s="26"/>
      <c r="T1859" s="49"/>
      <c r="U1859" s="24"/>
      <c r="V1859" s="28" t="s">
        <v>29</v>
      </c>
      <c r="W1859" s="29" t="s">
        <v>22</v>
      </c>
      <c r="X1859" s="37" t="s">
        <v>82</v>
      </c>
      <c r="Y1859" s="31"/>
      <c r="Z1859" s="26" t="str">
        <f t="shared" si="5"/>
        <v/>
      </c>
      <c r="AA1859" s="26" t="str">
        <f t="shared" si="6"/>
        <v/>
      </c>
      <c r="AB1859" s="32" t="str">
        <f t="shared" si="7"/>
        <v/>
      </c>
      <c r="AC1859" s="32" t="str">
        <f t="shared" ref="AC1859:AG1859" si="1863">IF(J1859&lt;&gt;"", IF(AND($P1859=FALSE, $A1859=FALSE), -J1859, IF(AND($P1859=FALSE, $A1859=TRUE), 0, IF($P1859=TRUE, (J1859 / $R1859) * 100 * ($S1859 / 100)-J1859, ))), )</f>
        <v/>
      </c>
      <c r="AD1859" s="32" t="str">
        <f t="shared" si="1863"/>
        <v/>
      </c>
      <c r="AE1859" s="32" t="str">
        <f t="shared" si="1863"/>
        <v/>
      </c>
      <c r="AF1859" s="32" t="str">
        <f t="shared" si="1863"/>
        <v/>
      </c>
      <c r="AG1859" s="32" t="str">
        <f t="shared" si="1863"/>
        <v/>
      </c>
      <c r="AH1859" s="33"/>
    </row>
    <row r="1860" hidden="1" outlineLevel="2" collapsed="1">
      <c r="A1860" s="16" t="b">
        <v>0</v>
      </c>
      <c r="B1860" s="17"/>
      <c r="C1860" s="18"/>
      <c r="D1860" s="42">
        <v>45319.0</v>
      </c>
      <c r="E1860" s="20" t="s">
        <v>24</v>
      </c>
      <c r="F1860" s="53" t="s">
        <v>1189</v>
      </c>
      <c r="G1860" s="45">
        <v>1.0</v>
      </c>
      <c r="H1860" s="45">
        <v>0.5</v>
      </c>
      <c r="I1860" s="45">
        <v>1.5</v>
      </c>
      <c r="J1860" s="22"/>
      <c r="K1860" s="23"/>
      <c r="L1860" s="22"/>
      <c r="M1860" s="23"/>
      <c r="N1860" s="23"/>
      <c r="O1860" s="24"/>
      <c r="P1860" s="16" t="b">
        <v>0</v>
      </c>
      <c r="Q1860" s="24"/>
      <c r="R1860" s="48">
        <v>3.0</v>
      </c>
      <c r="S1860" s="26">
        <v>10.2</v>
      </c>
      <c r="T1860" s="49" t="s">
        <v>1194</v>
      </c>
      <c r="U1860" s="24"/>
      <c r="V1860" s="28"/>
      <c r="W1860" s="29"/>
      <c r="X1860" s="30"/>
      <c r="Y1860" s="31"/>
      <c r="Z1860" s="26">
        <f t="shared" si="5"/>
        <v>-1</v>
      </c>
      <c r="AA1860" s="26">
        <f t="shared" si="6"/>
        <v>-1.5</v>
      </c>
      <c r="AB1860" s="32">
        <f t="shared" si="7"/>
        <v>-0.5</v>
      </c>
      <c r="AC1860" s="32" t="str">
        <f t="shared" ref="AC1860:AG1860" si="1864">IF(J1860&lt;&gt;"", IF(AND($P1860=FALSE, $A1860=FALSE), -J1860, IF(AND($P1860=FALSE, $A1860=TRUE), 0, IF($P1860=TRUE, (J1860 / $R1860) * 100 * ($S1860 / 100)-J1860, ))), )</f>
        <v/>
      </c>
      <c r="AD1860" s="32" t="str">
        <f t="shared" si="1864"/>
        <v/>
      </c>
      <c r="AE1860" s="32" t="str">
        <f t="shared" si="1864"/>
        <v/>
      </c>
      <c r="AF1860" s="32" t="str">
        <f t="shared" si="1864"/>
        <v/>
      </c>
      <c r="AG1860" s="32" t="str">
        <f t="shared" si="1864"/>
        <v/>
      </c>
      <c r="AH1860" s="33"/>
    </row>
    <row r="1861" hidden="1" outlineLevel="3">
      <c r="A1861" s="16" t="b">
        <v>0</v>
      </c>
      <c r="B1861" s="17"/>
      <c r="C1861" s="18"/>
      <c r="D1861" s="19"/>
      <c r="E1861" s="20"/>
      <c r="F1861" s="21"/>
      <c r="G1861" s="22"/>
      <c r="H1861" s="22"/>
      <c r="I1861" s="45"/>
      <c r="J1861" s="22"/>
      <c r="K1861" s="23"/>
      <c r="L1861" s="22"/>
      <c r="M1861" s="23"/>
      <c r="N1861" s="23"/>
      <c r="O1861" s="24"/>
      <c r="P1861" s="16" t="b">
        <v>0</v>
      </c>
      <c r="Q1861" s="24"/>
      <c r="R1861" s="48"/>
      <c r="S1861" s="26"/>
      <c r="T1861" s="49"/>
      <c r="U1861" s="24"/>
      <c r="V1861" s="28" t="s">
        <v>1070</v>
      </c>
      <c r="W1861" s="29" t="s">
        <v>22</v>
      </c>
      <c r="X1861" s="37" t="s">
        <v>1195</v>
      </c>
      <c r="Y1861" s="31"/>
      <c r="Z1861" s="26" t="str">
        <f t="shared" si="5"/>
        <v/>
      </c>
      <c r="AA1861" s="26" t="str">
        <f t="shared" si="6"/>
        <v/>
      </c>
      <c r="AB1861" s="32" t="str">
        <f t="shared" si="7"/>
        <v/>
      </c>
      <c r="AC1861" s="32" t="str">
        <f t="shared" ref="AC1861:AG1861" si="1865">IF(J1861&lt;&gt;"", IF(AND($P1861=FALSE, $A1861=FALSE), -J1861, IF(AND($P1861=FALSE, $A1861=TRUE), 0, IF($P1861=TRUE, (J1861 / $R1861) * 100 * ($S1861 / 100)-J1861, ))), )</f>
        <v/>
      </c>
      <c r="AD1861" s="32" t="str">
        <f t="shared" si="1865"/>
        <v/>
      </c>
      <c r="AE1861" s="32" t="str">
        <f t="shared" si="1865"/>
        <v/>
      </c>
      <c r="AF1861" s="32" t="str">
        <f t="shared" si="1865"/>
        <v/>
      </c>
      <c r="AG1861" s="32" t="str">
        <f t="shared" si="1865"/>
        <v/>
      </c>
      <c r="AH1861" s="33"/>
    </row>
    <row r="1862" hidden="1" outlineLevel="2">
      <c r="A1862" s="16" t="b">
        <v>0</v>
      </c>
      <c r="B1862" s="17"/>
      <c r="C1862" s="18"/>
      <c r="D1862" s="42">
        <v>45319.0</v>
      </c>
      <c r="E1862" s="20" t="s">
        <v>24</v>
      </c>
      <c r="F1862" s="53" t="s">
        <v>1189</v>
      </c>
      <c r="G1862" s="45">
        <v>2.0</v>
      </c>
      <c r="H1862" s="45">
        <v>1.0</v>
      </c>
      <c r="I1862" s="45">
        <v>5.0</v>
      </c>
      <c r="J1862" s="22"/>
      <c r="K1862" s="23"/>
      <c r="L1862" s="22"/>
      <c r="M1862" s="23"/>
      <c r="N1862" s="23"/>
      <c r="O1862" s="24"/>
      <c r="P1862" s="16" t="b">
        <v>0</v>
      </c>
      <c r="Q1862" s="24"/>
      <c r="R1862" s="48">
        <v>8.0</v>
      </c>
      <c r="S1862" s="26">
        <v>21.32</v>
      </c>
      <c r="T1862" s="49" t="s">
        <v>458</v>
      </c>
      <c r="U1862" s="24"/>
      <c r="V1862" s="28"/>
      <c r="W1862" s="29"/>
      <c r="X1862" s="30"/>
      <c r="Y1862" s="31"/>
      <c r="Z1862" s="26">
        <f t="shared" si="5"/>
        <v>-2</v>
      </c>
      <c r="AA1862" s="26">
        <f t="shared" si="6"/>
        <v>-5</v>
      </c>
      <c r="AB1862" s="32">
        <f t="shared" si="7"/>
        <v>-1</v>
      </c>
      <c r="AC1862" s="32" t="str">
        <f t="shared" ref="AC1862:AG1862" si="1866">IF(J1862&lt;&gt;"", IF(AND($P1862=FALSE, $A1862=FALSE), -J1862, IF(AND($P1862=FALSE, $A1862=TRUE), 0, IF($P1862=TRUE, (J1862 / $R1862) * 100 * ($S1862 / 100)-J1862, ))), )</f>
        <v/>
      </c>
      <c r="AD1862" s="32" t="str">
        <f t="shared" si="1866"/>
        <v/>
      </c>
      <c r="AE1862" s="32" t="str">
        <f t="shared" si="1866"/>
        <v/>
      </c>
      <c r="AF1862" s="32" t="str">
        <f t="shared" si="1866"/>
        <v/>
      </c>
      <c r="AG1862" s="32" t="str">
        <f t="shared" si="1866"/>
        <v/>
      </c>
      <c r="AH1862" s="33"/>
    </row>
    <row r="1863" hidden="1" outlineLevel="3">
      <c r="A1863" s="16" t="b">
        <v>0</v>
      </c>
      <c r="B1863" s="17"/>
      <c r="C1863" s="18"/>
      <c r="D1863" s="19"/>
      <c r="E1863" s="20"/>
      <c r="F1863" s="21"/>
      <c r="G1863" s="22"/>
      <c r="H1863" s="22"/>
      <c r="I1863" s="45"/>
      <c r="J1863" s="22"/>
      <c r="K1863" s="23"/>
      <c r="L1863" s="22"/>
      <c r="M1863" s="23"/>
      <c r="N1863" s="23"/>
      <c r="O1863" s="24"/>
      <c r="P1863" s="16" t="b">
        <v>0</v>
      </c>
      <c r="Q1863" s="24"/>
      <c r="R1863" s="48"/>
      <c r="S1863" s="26"/>
      <c r="T1863" s="49"/>
      <c r="U1863" s="24"/>
      <c r="V1863" s="28" t="s">
        <v>29</v>
      </c>
      <c r="W1863" s="29" t="s">
        <v>22</v>
      </c>
      <c r="X1863" s="37" t="s">
        <v>680</v>
      </c>
      <c r="Y1863" s="31"/>
      <c r="Z1863" s="26" t="str">
        <f t="shared" si="5"/>
        <v/>
      </c>
      <c r="AA1863" s="26" t="str">
        <f t="shared" si="6"/>
        <v/>
      </c>
      <c r="AB1863" s="32" t="str">
        <f t="shared" si="7"/>
        <v/>
      </c>
      <c r="AC1863" s="32" t="str">
        <f t="shared" ref="AC1863:AG1863" si="1867">IF(J1863&lt;&gt;"", IF(AND($P1863=FALSE, $A1863=FALSE), -J1863, IF(AND($P1863=FALSE, $A1863=TRUE), 0, IF($P1863=TRUE, (J1863 / $R1863) * 100 * ($S1863 / 100)-J1863, ))), )</f>
        <v/>
      </c>
      <c r="AD1863" s="32" t="str">
        <f t="shared" si="1867"/>
        <v/>
      </c>
      <c r="AE1863" s="32" t="str">
        <f t="shared" si="1867"/>
        <v/>
      </c>
      <c r="AF1863" s="32" t="str">
        <f t="shared" si="1867"/>
        <v/>
      </c>
      <c r="AG1863" s="32" t="str">
        <f t="shared" si="1867"/>
        <v/>
      </c>
      <c r="AH1863" s="33"/>
    </row>
    <row r="1864" hidden="1" outlineLevel="3">
      <c r="A1864" s="16" t="b">
        <v>0</v>
      </c>
      <c r="B1864" s="17"/>
      <c r="C1864" s="18"/>
      <c r="D1864" s="19"/>
      <c r="E1864" s="20"/>
      <c r="F1864" s="21"/>
      <c r="G1864" s="22"/>
      <c r="H1864" s="22"/>
      <c r="I1864" s="45"/>
      <c r="J1864" s="22"/>
      <c r="K1864" s="23"/>
      <c r="L1864" s="22"/>
      <c r="M1864" s="23"/>
      <c r="N1864" s="23"/>
      <c r="O1864" s="24"/>
      <c r="P1864" s="16" t="b">
        <v>0</v>
      </c>
      <c r="Q1864" s="24"/>
      <c r="R1864" s="48"/>
      <c r="S1864" s="26"/>
      <c r="T1864" s="49"/>
      <c r="U1864" s="24"/>
      <c r="V1864" s="66">
        <v>2.0</v>
      </c>
      <c r="W1864" s="29" t="s">
        <v>22</v>
      </c>
      <c r="X1864" s="37" t="s">
        <v>325</v>
      </c>
      <c r="Y1864" s="31"/>
      <c r="Z1864" s="26" t="str">
        <f t="shared" si="5"/>
        <v/>
      </c>
      <c r="AA1864" s="26" t="str">
        <f t="shared" si="6"/>
        <v/>
      </c>
      <c r="AB1864" s="32" t="str">
        <f t="shared" si="7"/>
        <v/>
      </c>
      <c r="AC1864" s="32" t="str">
        <f t="shared" ref="AC1864:AG1864" si="1868">IF(J1864&lt;&gt;"", IF(AND($P1864=FALSE, $A1864=FALSE), -J1864, IF(AND($P1864=FALSE, $A1864=TRUE), 0, IF($P1864=TRUE, (J1864 / $R1864) * 100 * ($S1864 / 100)-J1864, ))), )</f>
        <v/>
      </c>
      <c r="AD1864" s="32" t="str">
        <f t="shared" si="1868"/>
        <v/>
      </c>
      <c r="AE1864" s="32" t="str">
        <f t="shared" si="1868"/>
        <v/>
      </c>
      <c r="AF1864" s="32" t="str">
        <f t="shared" si="1868"/>
        <v/>
      </c>
      <c r="AG1864" s="32" t="str">
        <f t="shared" si="1868"/>
        <v/>
      </c>
      <c r="AH1864" s="33"/>
    </row>
    <row r="1865" hidden="1" outlineLevel="3">
      <c r="A1865" s="16" t="b">
        <v>0</v>
      </c>
      <c r="B1865" s="17"/>
      <c r="C1865" s="18"/>
      <c r="D1865" s="19"/>
      <c r="E1865" s="20"/>
      <c r="F1865" s="21"/>
      <c r="G1865" s="22"/>
      <c r="H1865" s="22"/>
      <c r="I1865" s="45"/>
      <c r="J1865" s="22"/>
      <c r="K1865" s="23"/>
      <c r="L1865" s="22"/>
      <c r="M1865" s="23"/>
      <c r="N1865" s="23"/>
      <c r="O1865" s="24"/>
      <c r="P1865" s="16" t="b">
        <v>0</v>
      </c>
      <c r="Q1865" s="24"/>
      <c r="R1865" s="48"/>
      <c r="S1865" s="26"/>
      <c r="T1865" s="49"/>
      <c r="U1865" s="24"/>
      <c r="V1865" s="28" t="s">
        <v>29</v>
      </c>
      <c r="W1865" s="29" t="s">
        <v>22</v>
      </c>
      <c r="X1865" s="37" t="s">
        <v>1196</v>
      </c>
      <c r="Y1865" s="31"/>
      <c r="Z1865" s="26" t="str">
        <f t="shared" si="5"/>
        <v/>
      </c>
      <c r="AA1865" s="26" t="str">
        <f t="shared" si="6"/>
        <v/>
      </c>
      <c r="AB1865" s="32" t="str">
        <f t="shared" si="7"/>
        <v/>
      </c>
      <c r="AC1865" s="32" t="str">
        <f t="shared" ref="AC1865:AG1865" si="1869">IF(J1865&lt;&gt;"", IF(AND($P1865=FALSE, $A1865=FALSE), -J1865, IF(AND($P1865=FALSE, $A1865=TRUE), 0, IF($P1865=TRUE, (J1865 / $R1865) * 100 * ($S1865 / 100)-J1865, ))), )</f>
        <v/>
      </c>
      <c r="AD1865" s="32" t="str">
        <f t="shared" si="1869"/>
        <v/>
      </c>
      <c r="AE1865" s="32" t="str">
        <f t="shared" si="1869"/>
        <v/>
      </c>
      <c r="AF1865" s="32" t="str">
        <f t="shared" si="1869"/>
        <v/>
      </c>
      <c r="AG1865" s="32" t="str">
        <f t="shared" si="1869"/>
        <v/>
      </c>
      <c r="AH1865" s="33"/>
    </row>
    <row r="1866" hidden="1" outlineLevel="1" collapsed="1">
      <c r="A1866" s="16" t="b">
        <v>0</v>
      </c>
      <c r="B1866" s="17"/>
      <c r="C1866" s="18"/>
      <c r="D1866" s="42">
        <v>45319.0</v>
      </c>
      <c r="E1866" s="20" t="s">
        <v>24</v>
      </c>
      <c r="F1866" s="53" t="s">
        <v>1189</v>
      </c>
      <c r="G1866" s="45">
        <v>4.0</v>
      </c>
      <c r="H1866" s="45">
        <v>2.0</v>
      </c>
      <c r="I1866" s="45">
        <v>4.0</v>
      </c>
      <c r="J1866" s="22"/>
      <c r="K1866" s="23"/>
      <c r="L1866" s="22"/>
      <c r="M1866" s="23"/>
      <c r="N1866" s="23"/>
      <c r="O1866" s="24"/>
      <c r="P1866" s="16" t="b">
        <v>1</v>
      </c>
      <c r="Q1866" s="24"/>
      <c r="R1866" s="48">
        <v>10.0</v>
      </c>
      <c r="S1866" s="26">
        <v>30.0</v>
      </c>
      <c r="T1866" s="49" t="s">
        <v>55</v>
      </c>
      <c r="U1866" s="24"/>
      <c r="V1866" s="28"/>
      <c r="W1866" s="29"/>
      <c r="X1866" s="30"/>
      <c r="Y1866" s="31"/>
      <c r="Z1866" s="26">
        <f t="shared" si="5"/>
        <v>8</v>
      </c>
      <c r="AA1866" s="26">
        <f t="shared" si="6"/>
        <v>8</v>
      </c>
      <c r="AB1866" s="32">
        <f t="shared" si="7"/>
        <v>4</v>
      </c>
      <c r="AC1866" s="32" t="str">
        <f t="shared" ref="AC1866:AG1866" si="1870">IF(J1866&lt;&gt;"", IF(AND($P1866=FALSE, $A1866=FALSE), -J1866, IF(AND($P1866=FALSE, $A1866=TRUE), 0, IF($P1866=TRUE, (J1866 / $R1866) * 100 * ($S1866 / 100)-J1866, ))), )</f>
        <v/>
      </c>
      <c r="AD1866" s="32" t="str">
        <f t="shared" si="1870"/>
        <v/>
      </c>
      <c r="AE1866" s="32" t="str">
        <f t="shared" si="1870"/>
        <v/>
      </c>
      <c r="AF1866" s="32" t="str">
        <f t="shared" si="1870"/>
        <v/>
      </c>
      <c r="AG1866" s="32" t="str">
        <f t="shared" si="1870"/>
        <v/>
      </c>
      <c r="AH1866" s="33"/>
    </row>
    <row r="1867" hidden="1" outlineLevel="3">
      <c r="A1867" s="16" t="b">
        <v>0</v>
      </c>
      <c r="B1867" s="17"/>
      <c r="C1867" s="18"/>
      <c r="D1867" s="19"/>
      <c r="E1867" s="20"/>
      <c r="F1867" s="21"/>
      <c r="G1867" s="22"/>
      <c r="H1867" s="22"/>
      <c r="I1867" s="45"/>
      <c r="J1867" s="22"/>
      <c r="K1867" s="23"/>
      <c r="L1867" s="22"/>
      <c r="M1867" s="23"/>
      <c r="N1867" s="23"/>
      <c r="O1867" s="24"/>
      <c r="P1867" s="16" t="b">
        <v>0</v>
      </c>
      <c r="Q1867" s="24"/>
      <c r="R1867" s="48" t="str">
        <f t="shared" ref="R1867:R1872" si="1872">IF(G1867 &lt;&gt; "",SUM(G1867:O1867),)</f>
        <v/>
      </c>
      <c r="S1867" s="26"/>
      <c r="T1867" s="49" t="str">
        <f t="shared" ref="T1867:T1872" si="1873">IFERROR(IF((S1867-R1867)&gt;R1867,"+"&amp;ROUND(((S1867-R1867)/R1867)*100,0),ROUND((S1867/(R1867-S1867))*100+100, 0)),)</f>
        <v/>
      </c>
      <c r="U1867" s="24"/>
      <c r="V1867" s="28" t="s">
        <v>29</v>
      </c>
      <c r="W1867" s="29" t="str">
        <f t="shared" ref="W1867:W1998" si="1874">IF(ISBLANK($D1867), "/",)</f>
        <v>/</v>
      </c>
      <c r="X1867" s="37" t="s">
        <v>1197</v>
      </c>
      <c r="Y1867" s="31"/>
      <c r="Z1867" s="26" t="str">
        <f t="shared" si="5"/>
        <v/>
      </c>
      <c r="AA1867" s="26" t="str">
        <f t="shared" si="6"/>
        <v/>
      </c>
      <c r="AB1867" s="32" t="str">
        <f t="shared" si="7"/>
        <v/>
      </c>
      <c r="AC1867" s="32" t="str">
        <f t="shared" ref="AC1867:AG1867" si="1871">IF(J1867&lt;&gt;"", IF(AND($P1867=FALSE, $A1867=FALSE), -J1867, IF(AND($P1867=FALSE, $A1867=TRUE), 0, IF($P1867=TRUE, (J1867 / $R1867) * 100 * ($S1867 / 100)-J1867, ))), )</f>
        <v/>
      </c>
      <c r="AD1867" s="32" t="str">
        <f t="shared" si="1871"/>
        <v/>
      </c>
      <c r="AE1867" s="32" t="str">
        <f t="shared" si="1871"/>
        <v/>
      </c>
      <c r="AF1867" s="32" t="str">
        <f t="shared" si="1871"/>
        <v/>
      </c>
      <c r="AG1867" s="32" t="str">
        <f t="shared" si="1871"/>
        <v/>
      </c>
      <c r="AH1867" s="33"/>
    </row>
    <row r="1868" hidden="1" outlineLevel="3">
      <c r="A1868" s="16" t="b">
        <v>0</v>
      </c>
      <c r="B1868" s="17"/>
      <c r="C1868" s="18"/>
      <c r="D1868" s="19"/>
      <c r="E1868" s="20"/>
      <c r="F1868" s="21"/>
      <c r="G1868" s="22"/>
      <c r="H1868" s="22"/>
      <c r="I1868" s="45"/>
      <c r="J1868" s="22"/>
      <c r="K1868" s="23"/>
      <c r="L1868" s="22"/>
      <c r="M1868" s="23"/>
      <c r="N1868" s="23"/>
      <c r="O1868" s="24"/>
      <c r="P1868" s="16" t="b">
        <v>0</v>
      </c>
      <c r="Q1868" s="24"/>
      <c r="R1868" s="48" t="str">
        <f t="shared" si="1872"/>
        <v/>
      </c>
      <c r="S1868" s="26"/>
      <c r="T1868" s="49" t="str">
        <f t="shared" si="1873"/>
        <v/>
      </c>
      <c r="U1868" s="24"/>
      <c r="V1868" s="28" t="s">
        <v>29</v>
      </c>
      <c r="W1868" s="29" t="str">
        <f t="shared" si="1874"/>
        <v>/</v>
      </c>
      <c r="X1868" s="37" t="s">
        <v>1198</v>
      </c>
      <c r="Y1868" s="31"/>
      <c r="Z1868" s="26" t="str">
        <f t="shared" si="5"/>
        <v/>
      </c>
      <c r="AA1868" s="26" t="str">
        <f t="shared" si="6"/>
        <v/>
      </c>
      <c r="AB1868" s="32" t="str">
        <f t="shared" si="7"/>
        <v/>
      </c>
      <c r="AC1868" s="32" t="str">
        <f t="shared" ref="AC1868:AG1868" si="1875">IF(J1868&lt;&gt;"", IF(AND($P1868=FALSE, $A1868=FALSE), -J1868, IF(AND($P1868=FALSE, $A1868=TRUE), 0, IF($P1868=TRUE, (J1868 / $R1868) * 100 * ($S1868 / 100)-J1868, ))), )</f>
        <v/>
      </c>
      <c r="AD1868" s="32" t="str">
        <f t="shared" si="1875"/>
        <v/>
      </c>
      <c r="AE1868" s="32" t="str">
        <f t="shared" si="1875"/>
        <v/>
      </c>
      <c r="AF1868" s="32" t="str">
        <f t="shared" si="1875"/>
        <v/>
      </c>
      <c r="AG1868" s="32" t="str">
        <f t="shared" si="1875"/>
        <v/>
      </c>
      <c r="AH1868" s="33"/>
    </row>
    <row r="1869" hidden="1" outlineLevel="1" collapsed="1">
      <c r="A1869" s="16" t="b">
        <v>0</v>
      </c>
      <c r="B1869" s="17"/>
      <c r="C1869" s="18"/>
      <c r="D1869" s="42">
        <v>45319.0</v>
      </c>
      <c r="E1869" s="20" t="s">
        <v>24</v>
      </c>
      <c r="F1869" s="53" t="s">
        <v>1189</v>
      </c>
      <c r="G1869" s="45">
        <v>2.0</v>
      </c>
      <c r="H1869" s="45"/>
      <c r="I1869" s="45">
        <v>8.0</v>
      </c>
      <c r="J1869" s="22"/>
      <c r="K1869" s="23"/>
      <c r="L1869" s="22"/>
      <c r="M1869" s="23"/>
      <c r="N1869" s="23"/>
      <c r="O1869" s="24"/>
      <c r="P1869" s="16" t="b">
        <v>1</v>
      </c>
      <c r="Q1869" s="24"/>
      <c r="R1869" s="48">
        <f t="shared" si="1872"/>
        <v>10</v>
      </c>
      <c r="S1869" s="26">
        <v>21.8</v>
      </c>
      <c r="T1869" s="49" t="str">
        <f t="shared" si="1873"/>
        <v>+118</v>
      </c>
      <c r="U1869" s="24"/>
      <c r="V1869" s="28" t="str">
        <f>IF(ISBLANK($D1869), "0",)</f>
        <v/>
      </c>
      <c r="W1869" s="29" t="str">
        <f t="shared" si="1874"/>
        <v/>
      </c>
      <c r="X1869" s="30"/>
      <c r="Y1869" s="31"/>
      <c r="Z1869" s="26">
        <f t="shared" si="5"/>
        <v>2.36</v>
      </c>
      <c r="AA1869" s="26">
        <f t="shared" si="6"/>
        <v>9.44</v>
      </c>
      <c r="AB1869" s="32" t="str">
        <f t="shared" si="7"/>
        <v/>
      </c>
      <c r="AC1869" s="32" t="str">
        <f t="shared" ref="AC1869:AG1869" si="1876">IF(J1869&lt;&gt;"", IF(AND($P1869=FALSE, $A1869=FALSE), -J1869, IF(AND($P1869=FALSE, $A1869=TRUE), 0, IF($P1869=TRUE, (J1869 / $R1869) * 100 * ($S1869 / 100)-J1869, ))), )</f>
        <v/>
      </c>
      <c r="AD1869" s="32" t="str">
        <f t="shared" si="1876"/>
        <v/>
      </c>
      <c r="AE1869" s="32" t="str">
        <f t="shared" si="1876"/>
        <v/>
      </c>
      <c r="AF1869" s="32" t="str">
        <f t="shared" si="1876"/>
        <v/>
      </c>
      <c r="AG1869" s="32" t="str">
        <f t="shared" si="1876"/>
        <v/>
      </c>
      <c r="AH1869" s="33"/>
    </row>
    <row r="1870" hidden="1" outlineLevel="3">
      <c r="A1870" s="16" t="b">
        <v>0</v>
      </c>
      <c r="B1870" s="17"/>
      <c r="C1870" s="18"/>
      <c r="D1870" s="19"/>
      <c r="E1870" s="20"/>
      <c r="F1870" s="21"/>
      <c r="G1870" s="22"/>
      <c r="H1870" s="22"/>
      <c r="I1870" s="45"/>
      <c r="J1870" s="22"/>
      <c r="K1870" s="23"/>
      <c r="L1870" s="22"/>
      <c r="M1870" s="23"/>
      <c r="N1870" s="23"/>
      <c r="O1870" s="24"/>
      <c r="P1870" s="16" t="b">
        <v>0</v>
      </c>
      <c r="Q1870" s="24"/>
      <c r="R1870" s="48" t="str">
        <f t="shared" si="1872"/>
        <v/>
      </c>
      <c r="S1870" s="26"/>
      <c r="T1870" s="49" t="str">
        <f t="shared" si="1873"/>
        <v/>
      </c>
      <c r="U1870" s="24"/>
      <c r="V1870" s="28" t="s">
        <v>29</v>
      </c>
      <c r="W1870" s="29" t="str">
        <f t="shared" si="1874"/>
        <v>/</v>
      </c>
      <c r="X1870" s="37" t="s">
        <v>679</v>
      </c>
      <c r="Y1870" s="31"/>
      <c r="Z1870" s="26" t="str">
        <f t="shared" si="5"/>
        <v/>
      </c>
      <c r="AA1870" s="26" t="str">
        <f t="shared" si="6"/>
        <v/>
      </c>
      <c r="AB1870" s="32" t="str">
        <f t="shared" si="7"/>
        <v/>
      </c>
      <c r="AC1870" s="32" t="str">
        <f t="shared" ref="AC1870:AG1870" si="1877">IF(J1870&lt;&gt;"", IF(AND($P1870=FALSE, $A1870=FALSE), -J1870, IF(AND($P1870=FALSE, $A1870=TRUE), 0, IF($P1870=TRUE, (J1870 / $R1870) * 100 * ($S1870 / 100)-J1870, ))), )</f>
        <v/>
      </c>
      <c r="AD1870" s="32" t="str">
        <f t="shared" si="1877"/>
        <v/>
      </c>
      <c r="AE1870" s="32" t="str">
        <f t="shared" si="1877"/>
        <v/>
      </c>
      <c r="AF1870" s="32" t="str">
        <f t="shared" si="1877"/>
        <v/>
      </c>
      <c r="AG1870" s="32" t="str">
        <f t="shared" si="1877"/>
        <v/>
      </c>
      <c r="AH1870" s="33"/>
    </row>
    <row r="1871" hidden="1" outlineLevel="2" collapsed="1">
      <c r="A1871" s="16" t="b">
        <v>0</v>
      </c>
      <c r="B1871" s="17"/>
      <c r="C1871" s="18"/>
      <c r="D1871" s="42">
        <v>45319.0</v>
      </c>
      <c r="E1871" s="20" t="s">
        <v>24</v>
      </c>
      <c r="F1871" s="53" t="s">
        <v>1189</v>
      </c>
      <c r="G1871" s="45">
        <v>2.0</v>
      </c>
      <c r="H1871" s="45">
        <v>1.0</v>
      </c>
      <c r="I1871" s="45">
        <v>5.0</v>
      </c>
      <c r="J1871" s="22"/>
      <c r="K1871" s="23"/>
      <c r="L1871" s="22"/>
      <c r="M1871" s="23"/>
      <c r="N1871" s="23"/>
      <c r="O1871" s="24"/>
      <c r="P1871" s="16" t="b">
        <v>1</v>
      </c>
      <c r="Q1871" s="24"/>
      <c r="R1871" s="48">
        <f t="shared" si="1872"/>
        <v>8</v>
      </c>
      <c r="S1871" s="26">
        <v>18.4</v>
      </c>
      <c r="T1871" s="49" t="str">
        <f t="shared" si="1873"/>
        <v>+130</v>
      </c>
      <c r="U1871" s="24"/>
      <c r="V1871" s="28" t="str">
        <f>IF(ISBLANK($D1871), "0",)</f>
        <v/>
      </c>
      <c r="W1871" s="29" t="str">
        <f t="shared" si="1874"/>
        <v/>
      </c>
      <c r="X1871" s="30"/>
      <c r="Y1871" s="31"/>
      <c r="Z1871" s="26">
        <f t="shared" si="5"/>
        <v>2.6</v>
      </c>
      <c r="AA1871" s="26">
        <f t="shared" si="6"/>
        <v>6.5</v>
      </c>
      <c r="AB1871" s="32">
        <f t="shared" si="7"/>
        <v>1.3</v>
      </c>
      <c r="AC1871" s="32" t="str">
        <f t="shared" ref="AC1871:AG1871" si="1878">IF(J1871&lt;&gt;"", IF(AND($P1871=FALSE, $A1871=FALSE), -J1871, IF(AND($P1871=FALSE, $A1871=TRUE), 0, IF($P1871=TRUE, (J1871 / $R1871) * 100 * ($S1871 / 100)-J1871, ))), )</f>
        <v/>
      </c>
      <c r="AD1871" s="32" t="str">
        <f t="shared" si="1878"/>
        <v/>
      </c>
      <c r="AE1871" s="32" t="str">
        <f t="shared" si="1878"/>
        <v/>
      </c>
      <c r="AF1871" s="32" t="str">
        <f t="shared" si="1878"/>
        <v/>
      </c>
      <c r="AG1871" s="32" t="str">
        <f t="shared" si="1878"/>
        <v/>
      </c>
      <c r="AH1871" s="33"/>
    </row>
    <row r="1872" hidden="1" outlineLevel="3">
      <c r="A1872" s="16" t="b">
        <v>0</v>
      </c>
      <c r="B1872" s="17"/>
      <c r="C1872" s="18"/>
      <c r="D1872" s="19"/>
      <c r="E1872" s="20"/>
      <c r="F1872" s="21"/>
      <c r="G1872" s="22"/>
      <c r="H1872" s="22"/>
      <c r="I1872" s="45"/>
      <c r="J1872" s="22"/>
      <c r="K1872" s="23"/>
      <c r="L1872" s="22"/>
      <c r="M1872" s="23"/>
      <c r="N1872" s="23"/>
      <c r="O1872" s="24"/>
      <c r="P1872" s="16" t="b">
        <v>0</v>
      </c>
      <c r="Q1872" s="24"/>
      <c r="R1872" s="48" t="str">
        <f t="shared" si="1872"/>
        <v/>
      </c>
      <c r="S1872" s="26"/>
      <c r="T1872" s="49" t="str">
        <f t="shared" si="1873"/>
        <v/>
      </c>
      <c r="U1872" s="24"/>
      <c r="V1872" s="28" t="s">
        <v>29</v>
      </c>
      <c r="W1872" s="29" t="str">
        <f t="shared" si="1874"/>
        <v>/</v>
      </c>
      <c r="X1872" s="37" t="s">
        <v>1199</v>
      </c>
      <c r="Y1872" s="31"/>
      <c r="Z1872" s="26" t="str">
        <f t="shared" si="5"/>
        <v/>
      </c>
      <c r="AA1872" s="26" t="str">
        <f t="shared" si="6"/>
        <v/>
      </c>
      <c r="AB1872" s="32" t="str">
        <f t="shared" si="7"/>
        <v/>
      </c>
      <c r="AC1872" s="32" t="str">
        <f t="shared" ref="AC1872:AG1872" si="1879">IF(J1872&lt;&gt;"", IF(AND($P1872=FALSE, $A1872=FALSE), -J1872, IF(AND($P1872=FALSE, $A1872=TRUE), 0, IF($P1872=TRUE, (J1872 / $R1872) * 100 * ($S1872 / 100)-J1872, ))), )</f>
        <v/>
      </c>
      <c r="AD1872" s="32" t="str">
        <f t="shared" si="1879"/>
        <v/>
      </c>
      <c r="AE1872" s="32" t="str">
        <f t="shared" si="1879"/>
        <v/>
      </c>
      <c r="AF1872" s="32" t="str">
        <f t="shared" si="1879"/>
        <v/>
      </c>
      <c r="AG1872" s="32" t="str">
        <f t="shared" si="1879"/>
        <v/>
      </c>
      <c r="AH1872" s="33"/>
    </row>
    <row r="1873" hidden="1" outlineLevel="3">
      <c r="A1873" s="16" t="b">
        <v>0</v>
      </c>
      <c r="B1873" s="17"/>
      <c r="C1873" s="18"/>
      <c r="D1873" s="19"/>
      <c r="E1873" s="20"/>
      <c r="F1873" s="21"/>
      <c r="G1873" s="22"/>
      <c r="H1873" s="22"/>
      <c r="I1873" s="45"/>
      <c r="J1873" s="22"/>
      <c r="K1873" s="23"/>
      <c r="L1873" s="22"/>
      <c r="M1873" s="23"/>
      <c r="N1873" s="23"/>
      <c r="O1873" s="24"/>
      <c r="P1873" s="16" t="b">
        <v>0</v>
      </c>
      <c r="Q1873" s="24"/>
      <c r="R1873" s="48"/>
      <c r="S1873" s="26"/>
      <c r="T1873" s="49"/>
      <c r="U1873" s="24"/>
      <c r="V1873" s="28" t="s">
        <v>29</v>
      </c>
      <c r="W1873" s="29" t="str">
        <f t="shared" si="1874"/>
        <v>/</v>
      </c>
      <c r="X1873" s="37" t="s">
        <v>1200</v>
      </c>
      <c r="Y1873" s="31"/>
      <c r="Z1873" s="26" t="str">
        <f t="shared" si="5"/>
        <v/>
      </c>
      <c r="AA1873" s="26" t="str">
        <f t="shared" si="6"/>
        <v/>
      </c>
      <c r="AB1873" s="32" t="str">
        <f t="shared" si="7"/>
        <v/>
      </c>
      <c r="AC1873" s="32" t="str">
        <f t="shared" ref="AC1873:AG1873" si="1880">IF(J1873&lt;&gt;"", IF(AND($P1873=FALSE, $A1873=FALSE), -J1873, IF(AND($P1873=FALSE, $A1873=TRUE), 0, IF($P1873=TRUE, (J1873 / $R1873) * 100 * ($S1873 / 100)-J1873, ))), )</f>
        <v/>
      </c>
      <c r="AD1873" s="32" t="str">
        <f t="shared" si="1880"/>
        <v/>
      </c>
      <c r="AE1873" s="32" t="str">
        <f t="shared" si="1880"/>
        <v/>
      </c>
      <c r="AF1873" s="32" t="str">
        <f t="shared" si="1880"/>
        <v/>
      </c>
      <c r="AG1873" s="32" t="str">
        <f t="shared" si="1880"/>
        <v/>
      </c>
      <c r="AH1873" s="33"/>
    </row>
    <row r="1874" hidden="1" outlineLevel="2" collapsed="1">
      <c r="A1874" s="16" t="b">
        <v>0</v>
      </c>
      <c r="B1874" s="17"/>
      <c r="C1874" s="18"/>
      <c r="D1874" s="42">
        <v>45319.0</v>
      </c>
      <c r="E1874" s="20" t="s">
        <v>24</v>
      </c>
      <c r="F1874" s="53" t="s">
        <v>1189</v>
      </c>
      <c r="G1874" s="45">
        <v>1.0</v>
      </c>
      <c r="H1874" s="45">
        <v>0.5</v>
      </c>
      <c r="I1874" s="45">
        <v>3.5</v>
      </c>
      <c r="J1874" s="22"/>
      <c r="K1874" s="23"/>
      <c r="L1874" s="22"/>
      <c r="M1874" s="23"/>
      <c r="N1874" s="23"/>
      <c r="O1874" s="24"/>
      <c r="P1874" s="16" t="b">
        <v>0</v>
      </c>
      <c r="Q1874" s="24"/>
      <c r="R1874" s="48">
        <f t="shared" ref="R1874:R2081" si="1882">IF(G1874 &lt;&gt; "",SUM(G1874:O1874),)</f>
        <v>5</v>
      </c>
      <c r="S1874" s="26">
        <v>13.25</v>
      </c>
      <c r="T1874" s="49" t="str">
        <f t="shared" ref="T1874:T2081" si="1883">IFERROR(IF((S1874-R1874)&gt;R1874,"+"&amp;ROUND(((S1874-R1874)/R1874)*100,0),ROUND((S1874/(R1874-S1874))*100+100, 0)),)</f>
        <v>+165</v>
      </c>
      <c r="U1874" s="24"/>
      <c r="V1874" s="28" t="str">
        <f>IF(ISBLANK($D1874), "0",)</f>
        <v/>
      </c>
      <c r="W1874" s="29" t="str">
        <f t="shared" si="1874"/>
        <v/>
      </c>
      <c r="X1874" s="30"/>
      <c r="Y1874" s="31"/>
      <c r="Z1874" s="26">
        <f t="shared" si="5"/>
        <v>-1</v>
      </c>
      <c r="AA1874" s="26">
        <f t="shared" si="6"/>
        <v>-3.5</v>
      </c>
      <c r="AB1874" s="32">
        <f t="shared" si="7"/>
        <v>-0.5</v>
      </c>
      <c r="AC1874" s="32" t="str">
        <f t="shared" ref="AC1874:AG1874" si="1881">IF(J1874&lt;&gt;"", IF(AND($P1874=FALSE, $A1874=FALSE), -J1874, IF(AND($P1874=FALSE, $A1874=TRUE), 0, IF($P1874=TRUE, (J1874 / $R1874) * 100 * ($S1874 / 100)-J1874, ))), )</f>
        <v/>
      </c>
      <c r="AD1874" s="32" t="str">
        <f t="shared" si="1881"/>
        <v/>
      </c>
      <c r="AE1874" s="32" t="str">
        <f t="shared" si="1881"/>
        <v/>
      </c>
      <c r="AF1874" s="32" t="str">
        <f t="shared" si="1881"/>
        <v/>
      </c>
      <c r="AG1874" s="32" t="str">
        <f t="shared" si="1881"/>
        <v/>
      </c>
      <c r="AH1874" s="33"/>
    </row>
    <row r="1875" hidden="1" outlineLevel="3">
      <c r="A1875" s="16" t="b">
        <v>0</v>
      </c>
      <c r="B1875" s="17"/>
      <c r="C1875" s="18"/>
      <c r="D1875" s="19"/>
      <c r="E1875" s="20"/>
      <c r="F1875" s="21"/>
      <c r="G1875" s="22"/>
      <c r="H1875" s="22"/>
      <c r="I1875" s="45"/>
      <c r="J1875" s="22"/>
      <c r="K1875" s="23"/>
      <c r="L1875" s="22"/>
      <c r="M1875" s="23"/>
      <c r="N1875" s="23"/>
      <c r="O1875" s="24"/>
      <c r="P1875" s="16" t="b">
        <v>0</v>
      </c>
      <c r="Q1875" s="24"/>
      <c r="R1875" s="48" t="str">
        <f t="shared" si="1882"/>
        <v/>
      </c>
      <c r="S1875" s="26"/>
      <c r="T1875" s="49" t="str">
        <f t="shared" si="1883"/>
        <v/>
      </c>
      <c r="U1875" s="24"/>
      <c r="V1875" s="28" t="s">
        <v>29</v>
      </c>
      <c r="W1875" s="29" t="str">
        <f t="shared" si="1874"/>
        <v>/</v>
      </c>
      <c r="X1875" s="37" t="s">
        <v>1201</v>
      </c>
      <c r="Y1875" s="31"/>
      <c r="Z1875" s="26" t="str">
        <f t="shared" si="5"/>
        <v/>
      </c>
      <c r="AA1875" s="26" t="str">
        <f t="shared" si="6"/>
        <v/>
      </c>
      <c r="AB1875" s="32" t="str">
        <f t="shared" si="7"/>
        <v/>
      </c>
      <c r="AC1875" s="32" t="str">
        <f t="shared" ref="AC1875:AG1875" si="1884">IF(J1875&lt;&gt;"", IF(AND($P1875=FALSE, $A1875=FALSE), -J1875, IF(AND($P1875=FALSE, $A1875=TRUE), 0, IF($P1875=TRUE, (J1875 / $R1875) * 100 * ($S1875 / 100)-J1875, ))), )</f>
        <v/>
      </c>
      <c r="AD1875" s="32" t="str">
        <f t="shared" si="1884"/>
        <v/>
      </c>
      <c r="AE1875" s="32" t="str">
        <f t="shared" si="1884"/>
        <v/>
      </c>
      <c r="AF1875" s="32" t="str">
        <f t="shared" si="1884"/>
        <v/>
      </c>
      <c r="AG1875" s="32" t="str">
        <f t="shared" si="1884"/>
        <v/>
      </c>
      <c r="AH1875" s="33"/>
    </row>
    <row r="1876" hidden="1" outlineLevel="3">
      <c r="A1876" s="16" t="b">
        <v>0</v>
      </c>
      <c r="B1876" s="17"/>
      <c r="C1876" s="18"/>
      <c r="D1876" s="19"/>
      <c r="E1876" s="20"/>
      <c r="F1876" s="21"/>
      <c r="G1876" s="22"/>
      <c r="H1876" s="22"/>
      <c r="I1876" s="45"/>
      <c r="J1876" s="22"/>
      <c r="K1876" s="23"/>
      <c r="L1876" s="22"/>
      <c r="M1876" s="23"/>
      <c r="N1876" s="23"/>
      <c r="O1876" s="24"/>
      <c r="P1876" s="16" t="b">
        <v>0</v>
      </c>
      <c r="Q1876" s="24"/>
      <c r="R1876" s="48" t="str">
        <f t="shared" si="1882"/>
        <v/>
      </c>
      <c r="S1876" s="26"/>
      <c r="T1876" s="49" t="str">
        <f t="shared" si="1883"/>
        <v/>
      </c>
      <c r="U1876" s="24"/>
      <c r="V1876" s="66">
        <v>20.0</v>
      </c>
      <c r="W1876" s="29" t="str">
        <f t="shared" si="1874"/>
        <v>/</v>
      </c>
      <c r="X1876" s="37" t="s">
        <v>1202</v>
      </c>
      <c r="Y1876" s="31"/>
      <c r="Z1876" s="26" t="str">
        <f t="shared" si="5"/>
        <v/>
      </c>
      <c r="AA1876" s="26" t="str">
        <f t="shared" si="6"/>
        <v/>
      </c>
      <c r="AB1876" s="32" t="str">
        <f t="shared" si="7"/>
        <v/>
      </c>
      <c r="AC1876" s="32" t="str">
        <f t="shared" ref="AC1876:AG1876" si="1885">IF(J1876&lt;&gt;"", IF(AND($P1876=FALSE, $A1876=FALSE), -J1876, IF(AND($P1876=FALSE, $A1876=TRUE), 0, IF($P1876=TRUE, (J1876 / $R1876) * 100 * ($S1876 / 100)-J1876, ))), )</f>
        <v/>
      </c>
      <c r="AD1876" s="32" t="str">
        <f t="shared" si="1885"/>
        <v/>
      </c>
      <c r="AE1876" s="32" t="str">
        <f t="shared" si="1885"/>
        <v/>
      </c>
      <c r="AF1876" s="32" t="str">
        <f t="shared" si="1885"/>
        <v/>
      </c>
      <c r="AG1876" s="32" t="str">
        <f t="shared" si="1885"/>
        <v/>
      </c>
      <c r="AH1876" s="33"/>
    </row>
    <row r="1877" hidden="1" outlineLevel="2" collapsed="1">
      <c r="A1877" s="16" t="b">
        <v>0</v>
      </c>
      <c r="B1877" s="17"/>
      <c r="C1877" s="18"/>
      <c r="D1877" s="42">
        <v>45319.0</v>
      </c>
      <c r="E1877" s="20" t="s">
        <v>24</v>
      </c>
      <c r="F1877" s="53" t="s">
        <v>1189</v>
      </c>
      <c r="G1877" s="45">
        <v>4.0</v>
      </c>
      <c r="H1877" s="45">
        <v>2.0</v>
      </c>
      <c r="I1877" s="45">
        <v>4.0</v>
      </c>
      <c r="J1877" s="22"/>
      <c r="K1877" s="23"/>
      <c r="L1877" s="22"/>
      <c r="M1877" s="23"/>
      <c r="N1877" s="23"/>
      <c r="O1877" s="24"/>
      <c r="P1877" s="16" t="b">
        <v>0</v>
      </c>
      <c r="Q1877" s="24"/>
      <c r="R1877" s="48">
        <f t="shared" si="1882"/>
        <v>10</v>
      </c>
      <c r="S1877" s="26">
        <v>171.25</v>
      </c>
      <c r="T1877" s="49" t="str">
        <f t="shared" si="1883"/>
        <v>+1613</v>
      </c>
      <c r="U1877" s="24"/>
      <c r="V1877" s="28" t="str">
        <f>IF(ISBLANK($D1877), "0",)</f>
        <v/>
      </c>
      <c r="W1877" s="29" t="str">
        <f t="shared" si="1874"/>
        <v/>
      </c>
      <c r="X1877" s="30"/>
      <c r="Y1877" s="31"/>
      <c r="Z1877" s="26">
        <f t="shared" si="5"/>
        <v>-4</v>
      </c>
      <c r="AA1877" s="26">
        <f t="shared" si="6"/>
        <v>-4</v>
      </c>
      <c r="AB1877" s="32">
        <f t="shared" si="7"/>
        <v>-2</v>
      </c>
      <c r="AC1877" s="32" t="str">
        <f t="shared" ref="AC1877:AG1877" si="1886">IF(J1877&lt;&gt;"", IF(AND($P1877=FALSE, $A1877=FALSE), -J1877, IF(AND($P1877=FALSE, $A1877=TRUE), 0, IF($P1877=TRUE, (J1877 / $R1877) * 100 * ($S1877 / 100)-J1877, ))), )</f>
        <v/>
      </c>
      <c r="AD1877" s="32" t="str">
        <f t="shared" si="1886"/>
        <v/>
      </c>
      <c r="AE1877" s="32" t="str">
        <f t="shared" si="1886"/>
        <v/>
      </c>
      <c r="AF1877" s="32" t="str">
        <f t="shared" si="1886"/>
        <v/>
      </c>
      <c r="AG1877" s="32" t="str">
        <f t="shared" si="1886"/>
        <v/>
      </c>
      <c r="AH1877" s="33"/>
    </row>
    <row r="1878" hidden="1" outlineLevel="3">
      <c r="A1878" s="16" t="b">
        <v>0</v>
      </c>
      <c r="B1878" s="17"/>
      <c r="C1878" s="18"/>
      <c r="D1878" s="19"/>
      <c r="E1878" s="20"/>
      <c r="F1878" s="21"/>
      <c r="G1878" s="22"/>
      <c r="H1878" s="22"/>
      <c r="I1878" s="45"/>
      <c r="J1878" s="22"/>
      <c r="K1878" s="23"/>
      <c r="L1878" s="22"/>
      <c r="M1878" s="23"/>
      <c r="N1878" s="23"/>
      <c r="O1878" s="24"/>
      <c r="P1878" s="16" t="b">
        <v>0</v>
      </c>
      <c r="Q1878" s="24"/>
      <c r="R1878" s="48" t="str">
        <f t="shared" si="1882"/>
        <v/>
      </c>
      <c r="S1878" s="26"/>
      <c r="T1878" s="49" t="str">
        <f t="shared" si="1883"/>
        <v/>
      </c>
      <c r="U1878" s="24"/>
      <c r="V1878" s="28" t="s">
        <v>29</v>
      </c>
      <c r="W1878" s="29" t="str">
        <f t="shared" si="1874"/>
        <v>/</v>
      </c>
      <c r="X1878" s="37" t="s">
        <v>777</v>
      </c>
      <c r="Y1878" s="31"/>
      <c r="Z1878" s="26" t="str">
        <f t="shared" si="5"/>
        <v/>
      </c>
      <c r="AA1878" s="26" t="str">
        <f t="shared" si="6"/>
        <v/>
      </c>
      <c r="AB1878" s="32" t="str">
        <f t="shared" si="7"/>
        <v/>
      </c>
      <c r="AC1878" s="32" t="str">
        <f t="shared" ref="AC1878:AG1878" si="1887">IF(J1878&lt;&gt;"", IF(AND($P1878=FALSE, $A1878=FALSE), -J1878, IF(AND($P1878=FALSE, $A1878=TRUE), 0, IF($P1878=TRUE, (J1878 / $R1878) * 100 * ($S1878 / 100)-J1878, ))), )</f>
        <v/>
      </c>
      <c r="AD1878" s="32" t="str">
        <f t="shared" si="1887"/>
        <v/>
      </c>
      <c r="AE1878" s="32" t="str">
        <f t="shared" si="1887"/>
        <v/>
      </c>
      <c r="AF1878" s="32" t="str">
        <f t="shared" si="1887"/>
        <v/>
      </c>
      <c r="AG1878" s="32" t="str">
        <f t="shared" si="1887"/>
        <v/>
      </c>
      <c r="AH1878" s="33"/>
    </row>
    <row r="1879" hidden="1" outlineLevel="3">
      <c r="A1879" s="16" t="b">
        <v>0</v>
      </c>
      <c r="B1879" s="17"/>
      <c r="C1879" s="18"/>
      <c r="D1879" s="19"/>
      <c r="E1879" s="20"/>
      <c r="F1879" s="21"/>
      <c r="G1879" s="22"/>
      <c r="H1879" s="22"/>
      <c r="I1879" s="45"/>
      <c r="J1879" s="22"/>
      <c r="K1879" s="23"/>
      <c r="L1879" s="22"/>
      <c r="M1879" s="23"/>
      <c r="N1879" s="23"/>
      <c r="O1879" s="24"/>
      <c r="P1879" s="16" t="b">
        <v>0</v>
      </c>
      <c r="Q1879" s="24"/>
      <c r="R1879" s="48" t="str">
        <f t="shared" si="1882"/>
        <v/>
      </c>
      <c r="S1879" s="26"/>
      <c r="T1879" s="49" t="str">
        <f t="shared" si="1883"/>
        <v/>
      </c>
      <c r="U1879" s="24"/>
      <c r="V1879" s="28" t="s">
        <v>29</v>
      </c>
      <c r="W1879" s="29" t="str">
        <f t="shared" si="1874"/>
        <v>/</v>
      </c>
      <c r="X1879" s="37" t="s">
        <v>1203</v>
      </c>
      <c r="Y1879" s="31"/>
      <c r="Z1879" s="26" t="str">
        <f t="shared" si="5"/>
        <v/>
      </c>
      <c r="AA1879" s="26" t="str">
        <f t="shared" si="6"/>
        <v/>
      </c>
      <c r="AB1879" s="32" t="str">
        <f t="shared" si="7"/>
        <v/>
      </c>
      <c r="AC1879" s="32" t="str">
        <f t="shared" ref="AC1879:AG1879" si="1888">IF(J1879&lt;&gt;"", IF(AND($P1879=FALSE, $A1879=FALSE), -J1879, IF(AND($P1879=FALSE, $A1879=TRUE), 0, IF($P1879=TRUE, (J1879 / $R1879) * 100 * ($S1879 / 100)-J1879, ))), )</f>
        <v/>
      </c>
      <c r="AD1879" s="32" t="str">
        <f t="shared" si="1888"/>
        <v/>
      </c>
      <c r="AE1879" s="32" t="str">
        <f t="shared" si="1888"/>
        <v/>
      </c>
      <c r="AF1879" s="32" t="str">
        <f t="shared" si="1888"/>
        <v/>
      </c>
      <c r="AG1879" s="32" t="str">
        <f t="shared" si="1888"/>
        <v/>
      </c>
      <c r="AH1879" s="33"/>
    </row>
    <row r="1880" hidden="1" outlineLevel="3">
      <c r="A1880" s="16" t="b">
        <v>0</v>
      </c>
      <c r="B1880" s="17"/>
      <c r="C1880" s="18"/>
      <c r="D1880" s="19"/>
      <c r="E1880" s="20"/>
      <c r="F1880" s="21"/>
      <c r="G1880" s="22"/>
      <c r="H1880" s="22"/>
      <c r="I1880" s="45"/>
      <c r="J1880" s="22"/>
      <c r="K1880" s="23"/>
      <c r="L1880" s="22"/>
      <c r="M1880" s="23"/>
      <c r="N1880" s="23"/>
      <c r="O1880" s="24"/>
      <c r="P1880" s="16" t="b">
        <v>0</v>
      </c>
      <c r="Q1880" s="24"/>
      <c r="R1880" s="48" t="str">
        <f t="shared" si="1882"/>
        <v/>
      </c>
      <c r="S1880" s="26"/>
      <c r="T1880" s="49" t="str">
        <f t="shared" si="1883"/>
        <v/>
      </c>
      <c r="U1880" s="24"/>
      <c r="V1880" s="66">
        <v>1.0</v>
      </c>
      <c r="W1880" s="29" t="str">
        <f t="shared" si="1874"/>
        <v>/</v>
      </c>
      <c r="X1880" s="37" t="s">
        <v>899</v>
      </c>
      <c r="Y1880" s="31"/>
      <c r="Z1880" s="26" t="str">
        <f t="shared" si="5"/>
        <v/>
      </c>
      <c r="AA1880" s="26" t="str">
        <f t="shared" si="6"/>
        <v/>
      </c>
      <c r="AB1880" s="32" t="str">
        <f t="shared" si="7"/>
        <v/>
      </c>
      <c r="AC1880" s="32" t="str">
        <f t="shared" ref="AC1880:AG1880" si="1889">IF(J1880&lt;&gt;"", IF(AND($P1880=FALSE, $A1880=FALSE), -J1880, IF(AND($P1880=FALSE, $A1880=TRUE), 0, IF($P1880=TRUE, (J1880 / $R1880) * 100 * ($S1880 / 100)-J1880, ))), )</f>
        <v/>
      </c>
      <c r="AD1880" s="32" t="str">
        <f t="shared" si="1889"/>
        <v/>
      </c>
      <c r="AE1880" s="32" t="str">
        <f t="shared" si="1889"/>
        <v/>
      </c>
      <c r="AF1880" s="32" t="str">
        <f t="shared" si="1889"/>
        <v/>
      </c>
      <c r="AG1880" s="32" t="str">
        <f t="shared" si="1889"/>
        <v/>
      </c>
      <c r="AH1880" s="33"/>
    </row>
    <row r="1881" hidden="1" outlineLevel="3">
      <c r="A1881" s="16" t="b">
        <v>0</v>
      </c>
      <c r="B1881" s="17"/>
      <c r="C1881" s="18"/>
      <c r="D1881" s="19"/>
      <c r="E1881" s="20"/>
      <c r="F1881" s="21"/>
      <c r="G1881" s="22"/>
      <c r="H1881" s="22"/>
      <c r="I1881" s="45"/>
      <c r="J1881" s="22"/>
      <c r="K1881" s="23"/>
      <c r="L1881" s="22"/>
      <c r="M1881" s="23"/>
      <c r="N1881" s="23"/>
      <c r="O1881" s="24"/>
      <c r="P1881" s="16" t="b">
        <v>0</v>
      </c>
      <c r="Q1881" s="24"/>
      <c r="R1881" s="48" t="str">
        <f t="shared" si="1882"/>
        <v/>
      </c>
      <c r="S1881" s="26"/>
      <c r="T1881" s="49" t="str">
        <f t="shared" si="1883"/>
        <v/>
      </c>
      <c r="U1881" s="24"/>
      <c r="V1881" s="28" t="s">
        <v>29</v>
      </c>
      <c r="W1881" s="29" t="str">
        <f t="shared" si="1874"/>
        <v>/</v>
      </c>
      <c r="X1881" s="37" t="s">
        <v>494</v>
      </c>
      <c r="Y1881" s="31"/>
      <c r="Z1881" s="26" t="str">
        <f t="shared" si="5"/>
        <v/>
      </c>
      <c r="AA1881" s="26" t="str">
        <f t="shared" si="6"/>
        <v/>
      </c>
      <c r="AB1881" s="32" t="str">
        <f t="shared" si="7"/>
        <v/>
      </c>
      <c r="AC1881" s="32" t="str">
        <f t="shared" ref="AC1881:AG1881" si="1890">IF(J1881&lt;&gt;"", IF(AND($P1881=FALSE, $A1881=FALSE), -J1881, IF(AND($P1881=FALSE, $A1881=TRUE), 0, IF($P1881=TRUE, (J1881 / $R1881) * 100 * ($S1881 / 100)-J1881, ))), )</f>
        <v/>
      </c>
      <c r="AD1881" s="32" t="str">
        <f t="shared" si="1890"/>
        <v/>
      </c>
      <c r="AE1881" s="32" t="str">
        <f t="shared" si="1890"/>
        <v/>
      </c>
      <c r="AF1881" s="32" t="str">
        <f t="shared" si="1890"/>
        <v/>
      </c>
      <c r="AG1881" s="32" t="str">
        <f t="shared" si="1890"/>
        <v/>
      </c>
      <c r="AH1881" s="33"/>
    </row>
    <row r="1882" hidden="1" outlineLevel="3">
      <c r="A1882" s="16" t="b">
        <v>0</v>
      </c>
      <c r="B1882" s="17"/>
      <c r="C1882" s="18"/>
      <c r="D1882" s="19"/>
      <c r="E1882" s="20"/>
      <c r="F1882" s="21"/>
      <c r="G1882" s="22"/>
      <c r="H1882" s="22"/>
      <c r="I1882" s="45"/>
      <c r="J1882" s="22"/>
      <c r="K1882" s="23"/>
      <c r="L1882" s="22"/>
      <c r="M1882" s="23"/>
      <c r="N1882" s="23"/>
      <c r="O1882" s="24"/>
      <c r="P1882" s="16" t="b">
        <v>0</v>
      </c>
      <c r="Q1882" s="24"/>
      <c r="R1882" s="48" t="str">
        <f t="shared" si="1882"/>
        <v/>
      </c>
      <c r="S1882" s="26"/>
      <c r="T1882" s="49" t="str">
        <f t="shared" si="1883"/>
        <v/>
      </c>
      <c r="U1882" s="24"/>
      <c r="V1882" s="28" t="s">
        <v>29</v>
      </c>
      <c r="W1882" s="29" t="str">
        <f t="shared" si="1874"/>
        <v>/</v>
      </c>
      <c r="X1882" s="37" t="s">
        <v>1204</v>
      </c>
      <c r="Y1882" s="31"/>
      <c r="Z1882" s="26" t="str">
        <f t="shared" si="5"/>
        <v/>
      </c>
      <c r="AA1882" s="26" t="str">
        <f t="shared" si="6"/>
        <v/>
      </c>
      <c r="AB1882" s="32" t="str">
        <f t="shared" si="7"/>
        <v/>
      </c>
      <c r="AC1882" s="32" t="str">
        <f t="shared" ref="AC1882:AG1882" si="1891">IF(J1882&lt;&gt;"", IF(AND($P1882=FALSE, $A1882=FALSE), -J1882, IF(AND($P1882=FALSE, $A1882=TRUE), 0, IF($P1882=TRUE, (J1882 / $R1882) * 100 * ($S1882 / 100)-J1882, ))), )</f>
        <v/>
      </c>
      <c r="AD1882" s="32" t="str">
        <f t="shared" si="1891"/>
        <v/>
      </c>
      <c r="AE1882" s="32" t="str">
        <f t="shared" si="1891"/>
        <v/>
      </c>
      <c r="AF1882" s="32" t="str">
        <f t="shared" si="1891"/>
        <v/>
      </c>
      <c r="AG1882" s="32" t="str">
        <f t="shared" si="1891"/>
        <v/>
      </c>
      <c r="AH1882" s="33"/>
    </row>
    <row r="1883" hidden="1" outlineLevel="3">
      <c r="A1883" s="16" t="b">
        <v>0</v>
      </c>
      <c r="B1883" s="17"/>
      <c r="C1883" s="18"/>
      <c r="D1883" s="19"/>
      <c r="E1883" s="20"/>
      <c r="F1883" s="21"/>
      <c r="G1883" s="22"/>
      <c r="H1883" s="22"/>
      <c r="I1883" s="45"/>
      <c r="J1883" s="22"/>
      <c r="K1883" s="23"/>
      <c r="L1883" s="22"/>
      <c r="M1883" s="23"/>
      <c r="N1883" s="23"/>
      <c r="O1883" s="24"/>
      <c r="P1883" s="16" t="b">
        <v>0</v>
      </c>
      <c r="Q1883" s="24"/>
      <c r="R1883" s="48" t="str">
        <f t="shared" si="1882"/>
        <v/>
      </c>
      <c r="S1883" s="26"/>
      <c r="T1883" s="49" t="str">
        <f t="shared" si="1883"/>
        <v/>
      </c>
      <c r="U1883" s="24"/>
      <c r="V1883" s="66">
        <v>2.0</v>
      </c>
      <c r="W1883" s="29" t="str">
        <f t="shared" si="1874"/>
        <v>/</v>
      </c>
      <c r="X1883" s="37" t="s">
        <v>1205</v>
      </c>
      <c r="Y1883" s="31"/>
      <c r="Z1883" s="26" t="str">
        <f t="shared" si="5"/>
        <v/>
      </c>
      <c r="AA1883" s="26" t="str">
        <f t="shared" si="6"/>
        <v/>
      </c>
      <c r="AB1883" s="32" t="str">
        <f t="shared" si="7"/>
        <v/>
      </c>
      <c r="AC1883" s="32" t="str">
        <f t="shared" ref="AC1883:AG1883" si="1892">IF(J1883&lt;&gt;"", IF(AND($P1883=FALSE, $A1883=FALSE), -J1883, IF(AND($P1883=FALSE, $A1883=TRUE), 0, IF($P1883=TRUE, (J1883 / $R1883) * 100 * ($S1883 / 100)-J1883, ))), )</f>
        <v/>
      </c>
      <c r="AD1883" s="32" t="str">
        <f t="shared" si="1892"/>
        <v/>
      </c>
      <c r="AE1883" s="32" t="str">
        <f t="shared" si="1892"/>
        <v/>
      </c>
      <c r="AF1883" s="32" t="str">
        <f t="shared" si="1892"/>
        <v/>
      </c>
      <c r="AG1883" s="32" t="str">
        <f t="shared" si="1892"/>
        <v/>
      </c>
      <c r="AH1883" s="33"/>
    </row>
    <row r="1884" hidden="1" outlineLevel="3">
      <c r="A1884" s="16" t="b">
        <v>0</v>
      </c>
      <c r="B1884" s="17"/>
      <c r="C1884" s="18"/>
      <c r="D1884" s="19"/>
      <c r="E1884" s="20"/>
      <c r="F1884" s="21"/>
      <c r="G1884" s="22"/>
      <c r="H1884" s="22"/>
      <c r="I1884" s="45"/>
      <c r="J1884" s="22"/>
      <c r="K1884" s="23"/>
      <c r="L1884" s="22"/>
      <c r="M1884" s="23"/>
      <c r="N1884" s="23"/>
      <c r="O1884" s="24"/>
      <c r="P1884" s="16" t="b">
        <v>0</v>
      </c>
      <c r="Q1884" s="24"/>
      <c r="R1884" s="48" t="str">
        <f t="shared" si="1882"/>
        <v/>
      </c>
      <c r="S1884" s="26"/>
      <c r="T1884" s="49" t="str">
        <f t="shared" si="1883"/>
        <v/>
      </c>
      <c r="U1884" s="24"/>
      <c r="V1884" s="28" t="s">
        <v>29</v>
      </c>
      <c r="W1884" s="29" t="str">
        <f t="shared" si="1874"/>
        <v>/</v>
      </c>
      <c r="X1884" s="37" t="s">
        <v>672</v>
      </c>
      <c r="Y1884" s="31"/>
      <c r="Z1884" s="26" t="str">
        <f t="shared" si="5"/>
        <v/>
      </c>
      <c r="AA1884" s="26" t="str">
        <f t="shared" si="6"/>
        <v/>
      </c>
      <c r="AB1884" s="32" t="str">
        <f t="shared" si="7"/>
        <v/>
      </c>
      <c r="AC1884" s="32" t="str">
        <f t="shared" ref="AC1884:AG1884" si="1893">IF(J1884&lt;&gt;"", IF(AND($P1884=FALSE, $A1884=FALSE), -J1884, IF(AND($P1884=FALSE, $A1884=TRUE), 0, IF($P1884=TRUE, (J1884 / $R1884) * 100 * ($S1884 / 100)-J1884, ))), )</f>
        <v/>
      </c>
      <c r="AD1884" s="32" t="str">
        <f t="shared" si="1893"/>
        <v/>
      </c>
      <c r="AE1884" s="32" t="str">
        <f t="shared" si="1893"/>
        <v/>
      </c>
      <c r="AF1884" s="32" t="str">
        <f t="shared" si="1893"/>
        <v/>
      </c>
      <c r="AG1884" s="32" t="str">
        <f t="shared" si="1893"/>
        <v/>
      </c>
      <c r="AH1884" s="33"/>
    </row>
    <row r="1885" hidden="1" outlineLevel="3">
      <c r="A1885" s="16" t="b">
        <v>0</v>
      </c>
      <c r="B1885" s="17"/>
      <c r="C1885" s="18"/>
      <c r="D1885" s="19"/>
      <c r="E1885" s="20"/>
      <c r="F1885" s="21"/>
      <c r="G1885" s="22"/>
      <c r="H1885" s="22"/>
      <c r="I1885" s="45"/>
      <c r="J1885" s="22"/>
      <c r="K1885" s="23"/>
      <c r="L1885" s="22"/>
      <c r="M1885" s="23"/>
      <c r="N1885" s="23"/>
      <c r="O1885" s="24"/>
      <c r="P1885" s="16" t="b">
        <v>0</v>
      </c>
      <c r="Q1885" s="24"/>
      <c r="R1885" s="48" t="str">
        <f t="shared" si="1882"/>
        <v/>
      </c>
      <c r="S1885" s="26"/>
      <c r="T1885" s="49" t="str">
        <f t="shared" si="1883"/>
        <v/>
      </c>
      <c r="U1885" s="24"/>
      <c r="V1885" s="28" t="s">
        <v>29</v>
      </c>
      <c r="W1885" s="29" t="str">
        <f t="shared" si="1874"/>
        <v>/</v>
      </c>
      <c r="X1885" s="37" t="s">
        <v>1206</v>
      </c>
      <c r="Y1885" s="31"/>
      <c r="Z1885" s="26" t="str">
        <f t="shared" si="5"/>
        <v/>
      </c>
      <c r="AA1885" s="26" t="str">
        <f t="shared" si="6"/>
        <v/>
      </c>
      <c r="AB1885" s="32" t="str">
        <f t="shared" si="7"/>
        <v/>
      </c>
      <c r="AC1885" s="32" t="str">
        <f t="shared" ref="AC1885:AG1885" si="1894">IF(J1885&lt;&gt;"", IF(AND($P1885=FALSE, $A1885=FALSE), -J1885, IF(AND($P1885=FALSE, $A1885=TRUE), 0, IF($P1885=TRUE, (J1885 / $R1885) * 100 * ($S1885 / 100)-J1885, ))), )</f>
        <v/>
      </c>
      <c r="AD1885" s="32" t="str">
        <f t="shared" si="1894"/>
        <v/>
      </c>
      <c r="AE1885" s="32" t="str">
        <f t="shared" si="1894"/>
        <v/>
      </c>
      <c r="AF1885" s="32" t="str">
        <f t="shared" si="1894"/>
        <v/>
      </c>
      <c r="AG1885" s="32" t="str">
        <f t="shared" si="1894"/>
        <v/>
      </c>
      <c r="AH1885" s="33"/>
    </row>
    <row r="1886" hidden="1" outlineLevel="3">
      <c r="A1886" s="16" t="b">
        <v>0</v>
      </c>
      <c r="B1886" s="17"/>
      <c r="C1886" s="18"/>
      <c r="D1886" s="19"/>
      <c r="E1886" s="20"/>
      <c r="F1886" s="21"/>
      <c r="G1886" s="22"/>
      <c r="H1886" s="22"/>
      <c r="I1886" s="45"/>
      <c r="J1886" s="22"/>
      <c r="K1886" s="23"/>
      <c r="L1886" s="22"/>
      <c r="M1886" s="23"/>
      <c r="N1886" s="23"/>
      <c r="O1886" s="24"/>
      <c r="P1886" s="16" t="b">
        <v>0</v>
      </c>
      <c r="Q1886" s="24"/>
      <c r="R1886" s="48" t="str">
        <f t="shared" si="1882"/>
        <v/>
      </c>
      <c r="S1886" s="26"/>
      <c r="T1886" s="49" t="str">
        <f t="shared" si="1883"/>
        <v/>
      </c>
      <c r="U1886" s="24"/>
      <c r="V1886" s="66">
        <v>-3.0</v>
      </c>
      <c r="W1886" s="29" t="str">
        <f t="shared" si="1874"/>
        <v>/</v>
      </c>
      <c r="X1886" s="37" t="s">
        <v>971</v>
      </c>
      <c r="Y1886" s="31"/>
      <c r="Z1886" s="26" t="str">
        <f t="shared" si="5"/>
        <v/>
      </c>
      <c r="AA1886" s="26" t="str">
        <f t="shared" si="6"/>
        <v/>
      </c>
      <c r="AB1886" s="32" t="str">
        <f t="shared" si="7"/>
        <v/>
      </c>
      <c r="AC1886" s="32" t="str">
        <f t="shared" ref="AC1886:AG1886" si="1895">IF(J1886&lt;&gt;"", IF(AND($P1886=FALSE, $A1886=FALSE), -J1886, IF(AND($P1886=FALSE, $A1886=TRUE), 0, IF($P1886=TRUE, (J1886 / $R1886) * 100 * ($S1886 / 100)-J1886, ))), )</f>
        <v/>
      </c>
      <c r="AD1886" s="32" t="str">
        <f t="shared" si="1895"/>
        <v/>
      </c>
      <c r="AE1886" s="32" t="str">
        <f t="shared" si="1895"/>
        <v/>
      </c>
      <c r="AF1886" s="32" t="str">
        <f t="shared" si="1895"/>
        <v/>
      </c>
      <c r="AG1886" s="32" t="str">
        <f t="shared" si="1895"/>
        <v/>
      </c>
      <c r="AH1886" s="33"/>
    </row>
    <row r="1887" hidden="1" outlineLevel="2">
      <c r="A1887" s="16" t="b">
        <v>0</v>
      </c>
      <c r="B1887" s="17"/>
      <c r="C1887" s="18"/>
      <c r="D1887" s="42">
        <v>45319.0</v>
      </c>
      <c r="E1887" s="20" t="s">
        <v>24</v>
      </c>
      <c r="F1887" s="53" t="s">
        <v>1189</v>
      </c>
      <c r="G1887" s="45">
        <v>4.0</v>
      </c>
      <c r="H1887" s="45">
        <v>1.0</v>
      </c>
      <c r="I1887" s="45">
        <v>2.5</v>
      </c>
      <c r="J1887" s="22"/>
      <c r="K1887" s="23"/>
      <c r="L1887" s="22"/>
      <c r="M1887" s="23"/>
      <c r="N1887" s="23"/>
      <c r="O1887" s="24"/>
      <c r="P1887" s="16" t="b">
        <v>0</v>
      </c>
      <c r="Q1887" s="24"/>
      <c r="R1887" s="48">
        <f t="shared" si="1882"/>
        <v>7.5</v>
      </c>
      <c r="S1887" s="26">
        <v>18.15</v>
      </c>
      <c r="T1887" s="49" t="str">
        <f t="shared" si="1883"/>
        <v>+142</v>
      </c>
      <c r="U1887" s="24"/>
      <c r="V1887" s="28" t="str">
        <f>IF(ISBLANK($D1887), "0",)</f>
        <v/>
      </c>
      <c r="W1887" s="29" t="str">
        <f t="shared" si="1874"/>
        <v/>
      </c>
      <c r="X1887" s="30"/>
      <c r="Y1887" s="31"/>
      <c r="Z1887" s="26">
        <f t="shared" si="5"/>
        <v>-4</v>
      </c>
      <c r="AA1887" s="26">
        <f t="shared" si="6"/>
        <v>-2.5</v>
      </c>
      <c r="AB1887" s="32">
        <f t="shared" si="7"/>
        <v>-1</v>
      </c>
      <c r="AC1887" s="32" t="str">
        <f t="shared" ref="AC1887:AG1887" si="1896">IF(J1887&lt;&gt;"", IF(AND($P1887=FALSE, $A1887=FALSE), -J1887, IF(AND($P1887=FALSE, $A1887=TRUE), 0, IF($P1887=TRUE, (J1887 / $R1887) * 100 * ($S1887 / 100)-J1887, ))), )</f>
        <v/>
      </c>
      <c r="AD1887" s="32" t="str">
        <f t="shared" si="1896"/>
        <v/>
      </c>
      <c r="AE1887" s="32" t="str">
        <f t="shared" si="1896"/>
        <v/>
      </c>
      <c r="AF1887" s="32" t="str">
        <f t="shared" si="1896"/>
        <v/>
      </c>
      <c r="AG1887" s="32" t="str">
        <f t="shared" si="1896"/>
        <v/>
      </c>
      <c r="AH1887" s="33"/>
    </row>
    <row r="1888" hidden="1" outlineLevel="3">
      <c r="A1888" s="16" t="b">
        <v>0</v>
      </c>
      <c r="B1888" s="17"/>
      <c r="C1888" s="18"/>
      <c r="D1888" s="19"/>
      <c r="E1888" s="20"/>
      <c r="F1888" s="21"/>
      <c r="G1888" s="22"/>
      <c r="H1888" s="22"/>
      <c r="I1888" s="45"/>
      <c r="J1888" s="22"/>
      <c r="K1888" s="23"/>
      <c r="L1888" s="22"/>
      <c r="M1888" s="23"/>
      <c r="N1888" s="23"/>
      <c r="O1888" s="24"/>
      <c r="P1888" s="16" t="b">
        <v>0</v>
      </c>
      <c r="Q1888" s="24"/>
      <c r="R1888" s="48" t="str">
        <f t="shared" si="1882"/>
        <v/>
      </c>
      <c r="S1888" s="26"/>
      <c r="T1888" s="49" t="str">
        <f t="shared" si="1883"/>
        <v/>
      </c>
      <c r="U1888" s="24"/>
      <c r="V1888" s="28" t="s">
        <v>29</v>
      </c>
      <c r="W1888" s="29" t="str">
        <f t="shared" si="1874"/>
        <v>/</v>
      </c>
      <c r="X1888" s="37" t="s">
        <v>491</v>
      </c>
      <c r="Y1888" s="31"/>
      <c r="Z1888" s="26" t="str">
        <f t="shared" si="5"/>
        <v/>
      </c>
      <c r="AA1888" s="26" t="str">
        <f t="shared" si="6"/>
        <v/>
      </c>
      <c r="AB1888" s="32" t="str">
        <f t="shared" si="7"/>
        <v/>
      </c>
      <c r="AC1888" s="32" t="str">
        <f t="shared" ref="AC1888:AG1888" si="1897">IF(J1888&lt;&gt;"", IF(AND($P1888=FALSE, $A1888=FALSE), -J1888, IF(AND($P1888=FALSE, $A1888=TRUE), 0, IF($P1888=TRUE, (J1888 / $R1888) * 100 * ($S1888 / 100)-J1888, ))), )</f>
        <v/>
      </c>
      <c r="AD1888" s="32" t="str">
        <f t="shared" si="1897"/>
        <v/>
      </c>
      <c r="AE1888" s="32" t="str">
        <f t="shared" si="1897"/>
        <v/>
      </c>
      <c r="AF1888" s="32" t="str">
        <f t="shared" si="1897"/>
        <v/>
      </c>
      <c r="AG1888" s="32" t="str">
        <f t="shared" si="1897"/>
        <v/>
      </c>
      <c r="AH1888" s="33"/>
    </row>
    <row r="1889" hidden="1" outlineLevel="3">
      <c r="A1889" s="16" t="b">
        <v>0</v>
      </c>
      <c r="B1889" s="17"/>
      <c r="C1889" s="18"/>
      <c r="D1889" s="19"/>
      <c r="E1889" s="20"/>
      <c r="F1889" s="21"/>
      <c r="G1889" s="22"/>
      <c r="H1889" s="22"/>
      <c r="I1889" s="45"/>
      <c r="J1889" s="22"/>
      <c r="K1889" s="23"/>
      <c r="L1889" s="22"/>
      <c r="M1889" s="23"/>
      <c r="N1889" s="23"/>
      <c r="O1889" s="24"/>
      <c r="P1889" s="16" t="b">
        <v>0</v>
      </c>
      <c r="Q1889" s="24"/>
      <c r="R1889" s="48" t="str">
        <f t="shared" si="1882"/>
        <v/>
      </c>
      <c r="S1889" s="26"/>
      <c r="T1889" s="49" t="str">
        <f t="shared" si="1883"/>
        <v/>
      </c>
      <c r="U1889" s="24"/>
      <c r="V1889" s="28" t="s">
        <v>29</v>
      </c>
      <c r="W1889" s="29" t="str">
        <f t="shared" si="1874"/>
        <v>/</v>
      </c>
      <c r="X1889" s="37" t="s">
        <v>312</v>
      </c>
      <c r="Y1889" s="31"/>
      <c r="Z1889" s="26" t="str">
        <f t="shared" si="5"/>
        <v/>
      </c>
      <c r="AA1889" s="26" t="str">
        <f t="shared" si="6"/>
        <v/>
      </c>
      <c r="AB1889" s="32" t="str">
        <f t="shared" si="7"/>
        <v/>
      </c>
      <c r="AC1889" s="32" t="str">
        <f t="shared" ref="AC1889:AG1889" si="1898">IF(J1889&lt;&gt;"", IF(AND($P1889=FALSE, $A1889=FALSE), -J1889, IF(AND($P1889=FALSE, $A1889=TRUE), 0, IF($P1889=TRUE, (J1889 / $R1889) * 100 * ($S1889 / 100)-J1889, ))), )</f>
        <v/>
      </c>
      <c r="AD1889" s="32" t="str">
        <f t="shared" si="1898"/>
        <v/>
      </c>
      <c r="AE1889" s="32" t="str">
        <f t="shared" si="1898"/>
        <v/>
      </c>
      <c r="AF1889" s="32" t="str">
        <f t="shared" si="1898"/>
        <v/>
      </c>
      <c r="AG1889" s="32" t="str">
        <f t="shared" si="1898"/>
        <v/>
      </c>
      <c r="AH1889" s="33"/>
    </row>
    <row r="1890" hidden="1" outlineLevel="3">
      <c r="A1890" s="16" t="b">
        <v>0</v>
      </c>
      <c r="B1890" s="17"/>
      <c r="C1890" s="18"/>
      <c r="D1890" s="19"/>
      <c r="E1890" s="20"/>
      <c r="F1890" s="21"/>
      <c r="G1890" s="22"/>
      <c r="H1890" s="22"/>
      <c r="I1890" s="45"/>
      <c r="J1890" s="22"/>
      <c r="K1890" s="23"/>
      <c r="L1890" s="22"/>
      <c r="M1890" s="23"/>
      <c r="N1890" s="23"/>
      <c r="O1890" s="24"/>
      <c r="P1890" s="16" t="b">
        <v>0</v>
      </c>
      <c r="Q1890" s="24"/>
      <c r="R1890" s="48" t="str">
        <f t="shared" si="1882"/>
        <v/>
      </c>
      <c r="S1890" s="26"/>
      <c r="T1890" s="49" t="str">
        <f t="shared" si="1883"/>
        <v/>
      </c>
      <c r="U1890" s="24"/>
      <c r="V1890" s="28" t="s">
        <v>29</v>
      </c>
      <c r="W1890" s="29" t="str">
        <f t="shared" si="1874"/>
        <v>/</v>
      </c>
      <c r="X1890" s="37" t="s">
        <v>1207</v>
      </c>
      <c r="Y1890" s="31"/>
      <c r="Z1890" s="26" t="str">
        <f t="shared" si="5"/>
        <v/>
      </c>
      <c r="AA1890" s="26" t="str">
        <f t="shared" si="6"/>
        <v/>
      </c>
      <c r="AB1890" s="32" t="str">
        <f t="shared" si="7"/>
        <v/>
      </c>
      <c r="AC1890" s="32" t="str">
        <f t="shared" ref="AC1890:AG1890" si="1899">IF(J1890&lt;&gt;"", IF(AND($P1890=FALSE, $A1890=FALSE), -J1890, IF(AND($P1890=FALSE, $A1890=TRUE), 0, IF($P1890=TRUE, (J1890 / $R1890) * 100 * ($S1890 / 100)-J1890, ))), )</f>
        <v/>
      </c>
      <c r="AD1890" s="32" t="str">
        <f t="shared" si="1899"/>
        <v/>
      </c>
      <c r="AE1890" s="32" t="str">
        <f t="shared" si="1899"/>
        <v/>
      </c>
      <c r="AF1890" s="32" t="str">
        <f t="shared" si="1899"/>
        <v/>
      </c>
      <c r="AG1890" s="32" t="str">
        <f t="shared" si="1899"/>
        <v/>
      </c>
      <c r="AH1890" s="33"/>
    </row>
    <row r="1891" hidden="1" outlineLevel="3">
      <c r="A1891" s="16" t="b">
        <v>0</v>
      </c>
      <c r="B1891" s="17"/>
      <c r="C1891" s="18"/>
      <c r="D1891" s="19"/>
      <c r="E1891" s="20"/>
      <c r="F1891" s="21"/>
      <c r="G1891" s="22"/>
      <c r="H1891" s="22"/>
      <c r="I1891" s="45"/>
      <c r="J1891" s="22"/>
      <c r="K1891" s="23"/>
      <c r="L1891" s="22"/>
      <c r="M1891" s="23"/>
      <c r="N1891" s="23"/>
      <c r="O1891" s="24"/>
      <c r="P1891" s="16" t="b">
        <v>0</v>
      </c>
      <c r="Q1891" s="24"/>
      <c r="R1891" s="48" t="str">
        <f t="shared" si="1882"/>
        <v/>
      </c>
      <c r="S1891" s="26"/>
      <c r="T1891" s="49" t="str">
        <f t="shared" si="1883"/>
        <v/>
      </c>
      <c r="U1891" s="24"/>
      <c r="V1891" s="28" t="s">
        <v>29</v>
      </c>
      <c r="W1891" s="29" t="str">
        <f t="shared" si="1874"/>
        <v>/</v>
      </c>
      <c r="X1891" s="37" t="s">
        <v>490</v>
      </c>
      <c r="Y1891" s="31"/>
      <c r="Z1891" s="26" t="str">
        <f t="shared" si="5"/>
        <v/>
      </c>
      <c r="AA1891" s="26" t="str">
        <f t="shared" si="6"/>
        <v/>
      </c>
      <c r="AB1891" s="32" t="str">
        <f t="shared" si="7"/>
        <v/>
      </c>
      <c r="AC1891" s="32" t="str">
        <f t="shared" ref="AC1891:AG1891" si="1900">IF(J1891&lt;&gt;"", IF(AND($P1891=FALSE, $A1891=FALSE), -J1891, IF(AND($P1891=FALSE, $A1891=TRUE), 0, IF($P1891=TRUE, (J1891 / $R1891) * 100 * ($S1891 / 100)-J1891, ))), )</f>
        <v/>
      </c>
      <c r="AD1891" s="32" t="str">
        <f t="shared" si="1900"/>
        <v/>
      </c>
      <c r="AE1891" s="32" t="str">
        <f t="shared" si="1900"/>
        <v/>
      </c>
      <c r="AF1891" s="32" t="str">
        <f t="shared" si="1900"/>
        <v/>
      </c>
      <c r="AG1891" s="32" t="str">
        <f t="shared" si="1900"/>
        <v/>
      </c>
      <c r="AH1891" s="33"/>
    </row>
    <row r="1892" hidden="1" outlineLevel="3">
      <c r="A1892" s="16" t="b">
        <v>0</v>
      </c>
      <c r="B1892" s="17"/>
      <c r="C1892" s="18"/>
      <c r="D1892" s="19"/>
      <c r="E1892" s="20"/>
      <c r="F1892" s="21"/>
      <c r="G1892" s="22"/>
      <c r="H1892" s="22"/>
      <c r="I1892" s="45"/>
      <c r="J1892" s="22"/>
      <c r="K1892" s="23"/>
      <c r="L1892" s="22"/>
      <c r="M1892" s="23"/>
      <c r="N1892" s="23"/>
      <c r="O1892" s="24"/>
      <c r="P1892" s="16" t="b">
        <v>0</v>
      </c>
      <c r="Q1892" s="24"/>
      <c r="R1892" s="48" t="str">
        <f t="shared" si="1882"/>
        <v/>
      </c>
      <c r="S1892" s="26"/>
      <c r="T1892" s="49" t="str">
        <f t="shared" si="1883"/>
        <v/>
      </c>
      <c r="U1892" s="24"/>
      <c r="V1892" s="66">
        <v>2.0</v>
      </c>
      <c r="W1892" s="29" t="str">
        <f t="shared" si="1874"/>
        <v>/</v>
      </c>
      <c r="X1892" s="37" t="s">
        <v>676</v>
      </c>
      <c r="Y1892" s="31"/>
      <c r="Z1892" s="26" t="str">
        <f t="shared" si="5"/>
        <v/>
      </c>
      <c r="AA1892" s="26" t="str">
        <f t="shared" si="6"/>
        <v/>
      </c>
      <c r="AB1892" s="32" t="str">
        <f t="shared" si="7"/>
        <v/>
      </c>
      <c r="AC1892" s="32" t="str">
        <f t="shared" ref="AC1892:AG1892" si="1901">IF(J1892&lt;&gt;"", IF(AND($P1892=FALSE, $A1892=FALSE), -J1892, IF(AND($P1892=FALSE, $A1892=TRUE), 0, IF($P1892=TRUE, (J1892 / $R1892) * 100 * ($S1892 / 100)-J1892, ))), )</f>
        <v/>
      </c>
      <c r="AD1892" s="32" t="str">
        <f t="shared" si="1901"/>
        <v/>
      </c>
      <c r="AE1892" s="32" t="str">
        <f t="shared" si="1901"/>
        <v/>
      </c>
      <c r="AF1892" s="32" t="str">
        <f t="shared" si="1901"/>
        <v/>
      </c>
      <c r="AG1892" s="32" t="str">
        <f t="shared" si="1901"/>
        <v/>
      </c>
      <c r="AH1892" s="33"/>
    </row>
    <row r="1893" hidden="1" outlineLevel="1" collapsed="1">
      <c r="A1893" s="16" t="b">
        <v>0</v>
      </c>
      <c r="B1893" s="17"/>
      <c r="C1893" s="18"/>
      <c r="D1893" s="42">
        <v>45322.0</v>
      </c>
      <c r="E1893" s="80" t="s">
        <v>60</v>
      </c>
      <c r="F1893" s="53" t="s">
        <v>1208</v>
      </c>
      <c r="G1893" s="45">
        <v>2.0</v>
      </c>
      <c r="H1893" s="45">
        <v>1.0</v>
      </c>
      <c r="I1893" s="45">
        <v>2.0</v>
      </c>
      <c r="J1893" s="45"/>
      <c r="K1893" s="79"/>
      <c r="L1893" s="45"/>
      <c r="M1893" s="46"/>
      <c r="N1893" s="46"/>
      <c r="O1893" s="47"/>
      <c r="P1893" s="16" t="b">
        <v>0</v>
      </c>
      <c r="Q1893" s="24"/>
      <c r="R1893" s="48">
        <f t="shared" si="1882"/>
        <v>5</v>
      </c>
      <c r="S1893" s="45">
        <v>10.59</v>
      </c>
      <c r="T1893" s="49" t="str">
        <f t="shared" si="1883"/>
        <v>+112</v>
      </c>
      <c r="U1893" s="47"/>
      <c r="V1893" s="28" t="str">
        <f>IF(ISBLANK($D1893), "0",)</f>
        <v/>
      </c>
      <c r="W1893" s="29" t="str">
        <f t="shared" si="1874"/>
        <v/>
      </c>
      <c r="X1893" s="30"/>
      <c r="Y1893" s="31"/>
      <c r="Z1893" s="26">
        <f t="shared" si="5"/>
        <v>-2</v>
      </c>
      <c r="AA1893" s="26">
        <f t="shared" si="6"/>
        <v>-2</v>
      </c>
      <c r="AB1893" s="32">
        <f t="shared" si="7"/>
        <v>-1</v>
      </c>
      <c r="AC1893" s="32" t="str">
        <f t="shared" ref="AC1893:AG1893" si="1902">IF(J1893&lt;&gt;"", IF(AND($P1893=FALSE, $A1893=FALSE), -J1893, IF(AND($P1893=FALSE, $A1893=TRUE), 0, IF($P1893=TRUE, (J1893 / $R1893) * 100 * ($S1893 / 100)-J1893, ))), )</f>
        <v/>
      </c>
      <c r="AD1893" s="32" t="str">
        <f t="shared" si="1902"/>
        <v/>
      </c>
      <c r="AE1893" s="32" t="str">
        <f t="shared" si="1902"/>
        <v/>
      </c>
      <c r="AF1893" s="32" t="str">
        <f t="shared" si="1902"/>
        <v/>
      </c>
      <c r="AG1893" s="32" t="str">
        <f t="shared" si="1902"/>
        <v/>
      </c>
      <c r="AH1893" s="33"/>
    </row>
    <row r="1894" hidden="1" outlineLevel="3">
      <c r="A1894" s="16" t="b">
        <v>0</v>
      </c>
      <c r="B1894" s="17"/>
      <c r="C1894" s="18"/>
      <c r="D1894" s="19"/>
      <c r="E1894" s="20"/>
      <c r="F1894" s="21"/>
      <c r="G1894" s="22"/>
      <c r="H1894" s="22"/>
      <c r="I1894" s="45"/>
      <c r="J1894" s="22"/>
      <c r="K1894" s="23"/>
      <c r="L1894" s="22"/>
      <c r="M1894" s="23"/>
      <c r="N1894" s="23"/>
      <c r="O1894" s="24"/>
      <c r="P1894" s="16" t="b">
        <v>0</v>
      </c>
      <c r="Q1894" s="24"/>
      <c r="R1894" s="48" t="str">
        <f t="shared" si="1882"/>
        <v/>
      </c>
      <c r="S1894" s="26"/>
      <c r="T1894" s="49" t="str">
        <f t="shared" si="1883"/>
        <v/>
      </c>
      <c r="U1894" s="24"/>
      <c r="V1894" s="28" t="s">
        <v>29</v>
      </c>
      <c r="W1894" s="29" t="str">
        <f t="shared" si="1874"/>
        <v>/</v>
      </c>
      <c r="X1894" s="37" t="s">
        <v>1209</v>
      </c>
      <c r="Y1894" s="31"/>
      <c r="Z1894" s="26" t="str">
        <f t="shared" si="5"/>
        <v/>
      </c>
      <c r="AA1894" s="26" t="str">
        <f t="shared" si="6"/>
        <v/>
      </c>
      <c r="AB1894" s="32" t="str">
        <f t="shared" si="7"/>
        <v/>
      </c>
      <c r="AC1894" s="32" t="str">
        <f t="shared" ref="AC1894:AG1894" si="1903">IF(J1894&lt;&gt;"", IF(AND($P1894=FALSE, $A1894=FALSE), -J1894, IF(AND($P1894=FALSE, $A1894=TRUE), 0, IF($P1894=TRUE, (J1894 / $R1894) * 100 * ($S1894 / 100)-J1894, ))), )</f>
        <v/>
      </c>
      <c r="AD1894" s="32" t="str">
        <f t="shared" si="1903"/>
        <v/>
      </c>
      <c r="AE1894" s="32" t="str">
        <f t="shared" si="1903"/>
        <v/>
      </c>
      <c r="AF1894" s="32" t="str">
        <f t="shared" si="1903"/>
        <v/>
      </c>
      <c r="AG1894" s="32" t="str">
        <f t="shared" si="1903"/>
        <v/>
      </c>
      <c r="AH1894" s="33"/>
    </row>
    <row r="1895" hidden="1" outlineLevel="3">
      <c r="A1895" s="16" t="b">
        <v>0</v>
      </c>
      <c r="B1895" s="17"/>
      <c r="C1895" s="18"/>
      <c r="D1895" s="19"/>
      <c r="E1895" s="20"/>
      <c r="F1895" s="21"/>
      <c r="G1895" s="22"/>
      <c r="H1895" s="22"/>
      <c r="I1895" s="45"/>
      <c r="J1895" s="22"/>
      <c r="K1895" s="23"/>
      <c r="L1895" s="22"/>
      <c r="M1895" s="23"/>
      <c r="N1895" s="23"/>
      <c r="O1895" s="24"/>
      <c r="P1895" s="16" t="b">
        <v>0</v>
      </c>
      <c r="Q1895" s="24"/>
      <c r="R1895" s="48" t="str">
        <f t="shared" si="1882"/>
        <v/>
      </c>
      <c r="S1895" s="26"/>
      <c r="T1895" s="49" t="str">
        <f t="shared" si="1883"/>
        <v/>
      </c>
      <c r="U1895" s="24"/>
      <c r="V1895" s="28" t="s">
        <v>29</v>
      </c>
      <c r="W1895" s="29" t="str">
        <f t="shared" si="1874"/>
        <v>/</v>
      </c>
      <c r="X1895" s="37" t="s">
        <v>1210</v>
      </c>
      <c r="Y1895" s="31"/>
      <c r="Z1895" s="26" t="str">
        <f t="shared" si="5"/>
        <v/>
      </c>
      <c r="AA1895" s="26" t="str">
        <f t="shared" si="6"/>
        <v/>
      </c>
      <c r="AB1895" s="32" t="str">
        <f t="shared" si="7"/>
        <v/>
      </c>
      <c r="AC1895" s="32" t="str">
        <f t="shared" ref="AC1895:AG1895" si="1904">IF(J1895&lt;&gt;"", IF(AND($P1895=FALSE, $A1895=FALSE), -J1895, IF(AND($P1895=FALSE, $A1895=TRUE), 0, IF($P1895=TRUE, (J1895 / $R1895) * 100 * ($S1895 / 100)-J1895, ))), )</f>
        <v/>
      </c>
      <c r="AD1895" s="32" t="str">
        <f t="shared" si="1904"/>
        <v/>
      </c>
      <c r="AE1895" s="32" t="str">
        <f t="shared" si="1904"/>
        <v/>
      </c>
      <c r="AF1895" s="32" t="str">
        <f t="shared" si="1904"/>
        <v/>
      </c>
      <c r="AG1895" s="32" t="str">
        <f t="shared" si="1904"/>
        <v/>
      </c>
      <c r="AH1895" s="33"/>
    </row>
    <row r="1896" hidden="1" outlineLevel="3">
      <c r="A1896" s="16" t="b">
        <v>0</v>
      </c>
      <c r="B1896" s="17"/>
      <c r="C1896" s="18"/>
      <c r="D1896" s="19"/>
      <c r="E1896" s="20"/>
      <c r="F1896" s="21"/>
      <c r="G1896" s="22"/>
      <c r="H1896" s="22"/>
      <c r="I1896" s="45"/>
      <c r="J1896" s="22"/>
      <c r="K1896" s="23"/>
      <c r="L1896" s="22"/>
      <c r="M1896" s="23"/>
      <c r="N1896" s="23"/>
      <c r="O1896" s="24"/>
      <c r="P1896" s="16" t="b">
        <v>0</v>
      </c>
      <c r="Q1896" s="24"/>
      <c r="R1896" s="48" t="str">
        <f t="shared" si="1882"/>
        <v/>
      </c>
      <c r="S1896" s="26"/>
      <c r="T1896" s="49" t="str">
        <f t="shared" si="1883"/>
        <v/>
      </c>
      <c r="U1896" s="24"/>
      <c r="V1896" s="86" t="s">
        <v>1123</v>
      </c>
      <c r="W1896" s="29" t="str">
        <f t="shared" si="1874"/>
        <v>/</v>
      </c>
      <c r="X1896" s="37" t="s">
        <v>1211</v>
      </c>
      <c r="Y1896" s="31"/>
      <c r="Z1896" s="26" t="str">
        <f t="shared" si="5"/>
        <v/>
      </c>
      <c r="AA1896" s="26" t="str">
        <f t="shared" si="6"/>
        <v/>
      </c>
      <c r="AB1896" s="32" t="str">
        <f t="shared" si="7"/>
        <v/>
      </c>
      <c r="AC1896" s="32" t="str">
        <f t="shared" ref="AC1896:AG1896" si="1905">IF(J1896&lt;&gt;"", IF(AND($P1896=FALSE, $A1896=FALSE), -J1896, IF(AND($P1896=FALSE, $A1896=TRUE), 0, IF($P1896=TRUE, (J1896 / $R1896) * 100 * ($S1896 / 100)-J1896, ))), )</f>
        <v/>
      </c>
      <c r="AD1896" s="32" t="str">
        <f t="shared" si="1905"/>
        <v/>
      </c>
      <c r="AE1896" s="32" t="str">
        <f t="shared" si="1905"/>
        <v/>
      </c>
      <c r="AF1896" s="32" t="str">
        <f t="shared" si="1905"/>
        <v/>
      </c>
      <c r="AG1896" s="32" t="str">
        <f t="shared" si="1905"/>
        <v/>
      </c>
      <c r="AH1896" s="33"/>
    </row>
    <row r="1897" hidden="1" outlineLevel="2">
      <c r="A1897" s="16" t="b">
        <v>0</v>
      </c>
      <c r="B1897" s="17"/>
      <c r="C1897" s="18"/>
      <c r="D1897" s="42">
        <v>45322.0</v>
      </c>
      <c r="E1897" s="80" t="s">
        <v>60</v>
      </c>
      <c r="F1897" s="53" t="s">
        <v>1208</v>
      </c>
      <c r="G1897" s="45">
        <v>2.0</v>
      </c>
      <c r="H1897" s="45">
        <v>1.0</v>
      </c>
      <c r="I1897" s="45">
        <v>2.0</v>
      </c>
      <c r="J1897" s="45"/>
      <c r="K1897" s="79"/>
      <c r="L1897" s="45"/>
      <c r="M1897" s="46"/>
      <c r="N1897" s="46"/>
      <c r="O1897" s="47"/>
      <c r="P1897" s="16" t="b">
        <v>0</v>
      </c>
      <c r="Q1897" s="24"/>
      <c r="R1897" s="48">
        <f t="shared" si="1882"/>
        <v>5</v>
      </c>
      <c r="S1897" s="45">
        <v>15.43</v>
      </c>
      <c r="T1897" s="49" t="str">
        <f t="shared" si="1883"/>
        <v>+209</v>
      </c>
      <c r="U1897" s="47"/>
      <c r="V1897" s="28" t="str">
        <f>IF(ISBLANK($D1897), "0",)</f>
        <v/>
      </c>
      <c r="W1897" s="29" t="str">
        <f t="shared" si="1874"/>
        <v/>
      </c>
      <c r="X1897" s="30"/>
      <c r="Y1897" s="31"/>
      <c r="Z1897" s="26">
        <f t="shared" si="5"/>
        <v>-2</v>
      </c>
      <c r="AA1897" s="26">
        <f t="shared" si="6"/>
        <v>-2</v>
      </c>
      <c r="AB1897" s="32">
        <f t="shared" si="7"/>
        <v>-1</v>
      </c>
      <c r="AC1897" s="32" t="str">
        <f t="shared" ref="AC1897:AG1897" si="1906">IF(J1897&lt;&gt;"", IF(AND($P1897=FALSE, $A1897=FALSE), -J1897, IF(AND($P1897=FALSE, $A1897=TRUE), 0, IF($P1897=TRUE, (J1897 / $R1897) * 100 * ($S1897 / 100)-J1897, ))), )</f>
        <v/>
      </c>
      <c r="AD1897" s="32" t="str">
        <f t="shared" si="1906"/>
        <v/>
      </c>
      <c r="AE1897" s="32" t="str">
        <f t="shared" si="1906"/>
        <v/>
      </c>
      <c r="AF1897" s="32" t="str">
        <f t="shared" si="1906"/>
        <v/>
      </c>
      <c r="AG1897" s="32" t="str">
        <f t="shared" si="1906"/>
        <v/>
      </c>
      <c r="AH1897" s="33"/>
    </row>
    <row r="1898" hidden="1" outlineLevel="3">
      <c r="A1898" s="16" t="b">
        <v>0</v>
      </c>
      <c r="B1898" s="17"/>
      <c r="C1898" s="18"/>
      <c r="D1898" s="19"/>
      <c r="E1898" s="20"/>
      <c r="F1898" s="21"/>
      <c r="G1898" s="22"/>
      <c r="H1898" s="22"/>
      <c r="I1898" s="45"/>
      <c r="J1898" s="22"/>
      <c r="K1898" s="23"/>
      <c r="L1898" s="22"/>
      <c r="M1898" s="23"/>
      <c r="N1898" s="23"/>
      <c r="O1898" s="24"/>
      <c r="P1898" s="16" t="b">
        <v>0</v>
      </c>
      <c r="Q1898" s="24"/>
      <c r="R1898" s="48" t="str">
        <f t="shared" si="1882"/>
        <v/>
      </c>
      <c r="S1898" s="26"/>
      <c r="T1898" s="49" t="str">
        <f t="shared" si="1883"/>
        <v/>
      </c>
      <c r="U1898" s="24"/>
      <c r="V1898" s="66">
        <v>22.0</v>
      </c>
      <c r="W1898" s="29" t="str">
        <f t="shared" si="1874"/>
        <v>/</v>
      </c>
      <c r="X1898" s="37" t="s">
        <v>1212</v>
      </c>
      <c r="Y1898" s="31"/>
      <c r="Z1898" s="26" t="str">
        <f t="shared" si="5"/>
        <v/>
      </c>
      <c r="AA1898" s="26" t="str">
        <f t="shared" si="6"/>
        <v/>
      </c>
      <c r="AB1898" s="32" t="str">
        <f t="shared" si="7"/>
        <v/>
      </c>
      <c r="AC1898" s="32" t="str">
        <f t="shared" ref="AC1898:AG1898" si="1907">IF(J1898&lt;&gt;"", IF(AND($P1898=FALSE, $A1898=FALSE), -J1898, IF(AND($P1898=FALSE, $A1898=TRUE), 0, IF($P1898=TRUE, (J1898 / $R1898) * 100 * ($S1898 / 100)-J1898, ))), )</f>
        <v/>
      </c>
      <c r="AD1898" s="32" t="str">
        <f t="shared" si="1907"/>
        <v/>
      </c>
      <c r="AE1898" s="32" t="str">
        <f t="shared" si="1907"/>
        <v/>
      </c>
      <c r="AF1898" s="32" t="str">
        <f t="shared" si="1907"/>
        <v/>
      </c>
      <c r="AG1898" s="32" t="str">
        <f t="shared" si="1907"/>
        <v/>
      </c>
      <c r="AH1898" s="33"/>
    </row>
    <row r="1899" hidden="1" outlineLevel="3">
      <c r="A1899" s="16" t="b">
        <v>0</v>
      </c>
      <c r="B1899" s="17"/>
      <c r="C1899" s="18"/>
      <c r="D1899" s="19"/>
      <c r="E1899" s="20"/>
      <c r="F1899" s="21"/>
      <c r="G1899" s="22"/>
      <c r="H1899" s="22"/>
      <c r="I1899" s="45"/>
      <c r="J1899" s="22"/>
      <c r="K1899" s="23"/>
      <c r="L1899" s="22"/>
      <c r="M1899" s="23"/>
      <c r="N1899" s="23"/>
      <c r="O1899" s="24"/>
      <c r="P1899" s="16" t="b">
        <v>0</v>
      </c>
      <c r="Q1899" s="24"/>
      <c r="R1899" s="48" t="str">
        <f t="shared" si="1882"/>
        <v/>
      </c>
      <c r="S1899" s="26"/>
      <c r="T1899" s="49" t="str">
        <f t="shared" si="1883"/>
        <v/>
      </c>
      <c r="U1899" s="24"/>
      <c r="V1899" s="28" t="s">
        <v>29</v>
      </c>
      <c r="W1899" s="29" t="str">
        <f t="shared" si="1874"/>
        <v>/</v>
      </c>
      <c r="X1899" s="37" t="s">
        <v>1213</v>
      </c>
      <c r="Y1899" s="31"/>
      <c r="Z1899" s="26" t="str">
        <f t="shared" si="5"/>
        <v/>
      </c>
      <c r="AA1899" s="26" t="str">
        <f t="shared" si="6"/>
        <v/>
      </c>
      <c r="AB1899" s="32" t="str">
        <f t="shared" si="7"/>
        <v/>
      </c>
      <c r="AC1899" s="32" t="str">
        <f t="shared" ref="AC1899:AG1899" si="1908">IF(J1899&lt;&gt;"", IF(AND($P1899=FALSE, $A1899=FALSE), -J1899, IF(AND($P1899=FALSE, $A1899=TRUE), 0, IF($P1899=TRUE, (J1899 / $R1899) * 100 * ($S1899 / 100)-J1899, ))), )</f>
        <v/>
      </c>
      <c r="AD1899" s="32" t="str">
        <f t="shared" si="1908"/>
        <v/>
      </c>
      <c r="AE1899" s="32" t="str">
        <f t="shared" si="1908"/>
        <v/>
      </c>
      <c r="AF1899" s="32" t="str">
        <f t="shared" si="1908"/>
        <v/>
      </c>
      <c r="AG1899" s="32" t="str">
        <f t="shared" si="1908"/>
        <v/>
      </c>
      <c r="AH1899" s="33"/>
    </row>
    <row r="1900" hidden="1" outlineLevel="3">
      <c r="A1900" s="16" t="b">
        <v>0</v>
      </c>
      <c r="B1900" s="17"/>
      <c r="C1900" s="18"/>
      <c r="D1900" s="19"/>
      <c r="E1900" s="20"/>
      <c r="F1900" s="21"/>
      <c r="G1900" s="22"/>
      <c r="H1900" s="22"/>
      <c r="I1900" s="45"/>
      <c r="J1900" s="22"/>
      <c r="K1900" s="23"/>
      <c r="L1900" s="22"/>
      <c r="M1900" s="23"/>
      <c r="N1900" s="23"/>
      <c r="O1900" s="24"/>
      <c r="P1900" s="16" t="b">
        <v>0</v>
      </c>
      <c r="Q1900" s="24"/>
      <c r="R1900" s="48" t="str">
        <f t="shared" si="1882"/>
        <v/>
      </c>
      <c r="S1900" s="26"/>
      <c r="T1900" s="49" t="str">
        <f t="shared" si="1883"/>
        <v/>
      </c>
      <c r="U1900" s="24"/>
      <c r="V1900" s="28" t="s">
        <v>29</v>
      </c>
      <c r="W1900" s="29" t="str">
        <f t="shared" si="1874"/>
        <v>/</v>
      </c>
      <c r="X1900" s="37" t="s">
        <v>1214</v>
      </c>
      <c r="Y1900" s="31"/>
      <c r="Z1900" s="26" t="str">
        <f t="shared" si="5"/>
        <v/>
      </c>
      <c r="AA1900" s="26" t="str">
        <f t="shared" si="6"/>
        <v/>
      </c>
      <c r="AB1900" s="32" t="str">
        <f t="shared" si="7"/>
        <v/>
      </c>
      <c r="AC1900" s="32" t="str">
        <f t="shared" ref="AC1900:AG1900" si="1909">IF(J1900&lt;&gt;"", IF(AND($P1900=FALSE, $A1900=FALSE), -J1900, IF(AND($P1900=FALSE, $A1900=TRUE), 0, IF($P1900=TRUE, (J1900 / $R1900) * 100 * ($S1900 / 100)-J1900, ))), )</f>
        <v/>
      </c>
      <c r="AD1900" s="32" t="str">
        <f t="shared" si="1909"/>
        <v/>
      </c>
      <c r="AE1900" s="32" t="str">
        <f t="shared" si="1909"/>
        <v/>
      </c>
      <c r="AF1900" s="32" t="str">
        <f t="shared" si="1909"/>
        <v/>
      </c>
      <c r="AG1900" s="32" t="str">
        <f t="shared" si="1909"/>
        <v/>
      </c>
      <c r="AH1900" s="33"/>
    </row>
    <row r="1901" hidden="1" outlineLevel="3">
      <c r="A1901" s="16" t="b">
        <v>0</v>
      </c>
      <c r="B1901" s="17"/>
      <c r="C1901" s="18"/>
      <c r="D1901" s="19"/>
      <c r="E1901" s="20"/>
      <c r="F1901" s="21"/>
      <c r="G1901" s="22"/>
      <c r="H1901" s="22"/>
      <c r="I1901" s="45"/>
      <c r="J1901" s="22"/>
      <c r="K1901" s="23"/>
      <c r="L1901" s="22"/>
      <c r="M1901" s="23"/>
      <c r="N1901" s="23"/>
      <c r="O1901" s="24"/>
      <c r="P1901" s="16" t="b">
        <v>0</v>
      </c>
      <c r="Q1901" s="24"/>
      <c r="R1901" s="48" t="str">
        <f t="shared" si="1882"/>
        <v/>
      </c>
      <c r="S1901" s="26"/>
      <c r="T1901" s="49" t="str">
        <f t="shared" si="1883"/>
        <v/>
      </c>
      <c r="U1901" s="24"/>
      <c r="V1901" s="66">
        <v>8.0</v>
      </c>
      <c r="W1901" s="29" t="str">
        <f t="shared" si="1874"/>
        <v>/</v>
      </c>
      <c r="X1901" s="37" t="s">
        <v>1215</v>
      </c>
      <c r="Y1901" s="31"/>
      <c r="Z1901" s="26" t="str">
        <f t="shared" si="5"/>
        <v/>
      </c>
      <c r="AA1901" s="26" t="str">
        <f t="shared" si="6"/>
        <v/>
      </c>
      <c r="AB1901" s="32" t="str">
        <f t="shared" si="7"/>
        <v/>
      </c>
      <c r="AC1901" s="32" t="str">
        <f t="shared" ref="AC1901:AG1901" si="1910">IF(J1901&lt;&gt;"", IF(AND($P1901=FALSE, $A1901=FALSE), -J1901, IF(AND($P1901=FALSE, $A1901=TRUE), 0, IF($P1901=TRUE, (J1901 / $R1901) * 100 * ($S1901 / 100)-J1901, ))), )</f>
        <v/>
      </c>
      <c r="AD1901" s="32" t="str">
        <f t="shared" si="1910"/>
        <v/>
      </c>
      <c r="AE1901" s="32" t="str">
        <f t="shared" si="1910"/>
        <v/>
      </c>
      <c r="AF1901" s="32" t="str">
        <f t="shared" si="1910"/>
        <v/>
      </c>
      <c r="AG1901" s="32" t="str">
        <f t="shared" si="1910"/>
        <v/>
      </c>
      <c r="AH1901" s="33"/>
    </row>
    <row r="1902" hidden="1" outlineLevel="1" collapsed="1">
      <c r="A1902" s="16" t="b">
        <v>0</v>
      </c>
      <c r="B1902" s="17"/>
      <c r="C1902" s="18"/>
      <c r="D1902" s="42">
        <v>45333.0</v>
      </c>
      <c r="E1902" s="20" t="s">
        <v>24</v>
      </c>
      <c r="F1902" s="53" t="s">
        <v>1216</v>
      </c>
      <c r="G1902" s="45">
        <v>4.0</v>
      </c>
      <c r="H1902" s="45">
        <v>1.0</v>
      </c>
      <c r="I1902" s="45">
        <v>5.0</v>
      </c>
      <c r="J1902" s="22"/>
      <c r="K1902" s="23"/>
      <c r="L1902" s="22"/>
      <c r="M1902" s="23"/>
      <c r="N1902" s="23"/>
      <c r="O1902" s="24"/>
      <c r="P1902" s="16" t="b">
        <v>0</v>
      </c>
      <c r="Q1902" s="24"/>
      <c r="R1902" s="48">
        <f t="shared" si="1882"/>
        <v>10</v>
      </c>
      <c r="S1902" s="26">
        <v>22.0</v>
      </c>
      <c r="T1902" s="49" t="str">
        <f t="shared" si="1883"/>
        <v>+120</v>
      </c>
      <c r="U1902" s="24"/>
      <c r="V1902" s="28" t="str">
        <f>IF(ISBLANK($D1902), "0",)</f>
        <v/>
      </c>
      <c r="W1902" s="29" t="str">
        <f t="shared" si="1874"/>
        <v/>
      </c>
      <c r="X1902" s="30"/>
      <c r="Y1902" s="31"/>
      <c r="Z1902" s="26">
        <f t="shared" si="5"/>
        <v>-4</v>
      </c>
      <c r="AA1902" s="26">
        <f t="shared" si="6"/>
        <v>-5</v>
      </c>
      <c r="AB1902" s="32">
        <f t="shared" si="7"/>
        <v>-1</v>
      </c>
      <c r="AC1902" s="32" t="str">
        <f t="shared" ref="AC1902:AG1902" si="1911">IF(J1902&lt;&gt;"", IF(AND($P1902=FALSE, $A1902=FALSE), -J1902, IF(AND($P1902=FALSE, $A1902=TRUE), 0, IF($P1902=TRUE, (J1902 / $R1902) * 100 * ($S1902 / 100)-J1902, ))), )</f>
        <v/>
      </c>
      <c r="AD1902" s="32" t="str">
        <f t="shared" si="1911"/>
        <v/>
      </c>
      <c r="AE1902" s="32" t="str">
        <f t="shared" si="1911"/>
        <v/>
      </c>
      <c r="AF1902" s="32" t="str">
        <f t="shared" si="1911"/>
        <v/>
      </c>
      <c r="AG1902" s="32" t="str">
        <f t="shared" si="1911"/>
        <v/>
      </c>
      <c r="AH1902" s="33"/>
    </row>
    <row r="1903" hidden="1" outlineLevel="3">
      <c r="A1903" s="16" t="b">
        <v>0</v>
      </c>
      <c r="B1903" s="17"/>
      <c r="C1903" s="18"/>
      <c r="D1903" s="19"/>
      <c r="E1903" s="20"/>
      <c r="F1903" s="21"/>
      <c r="G1903" s="22"/>
      <c r="H1903" s="22"/>
      <c r="I1903" s="45"/>
      <c r="J1903" s="22"/>
      <c r="K1903" s="23"/>
      <c r="L1903" s="22"/>
      <c r="M1903" s="23"/>
      <c r="N1903" s="23"/>
      <c r="O1903" s="24"/>
      <c r="P1903" s="16" t="b">
        <v>0</v>
      </c>
      <c r="Q1903" s="24"/>
      <c r="R1903" s="48" t="str">
        <f t="shared" si="1882"/>
        <v/>
      </c>
      <c r="S1903" s="26"/>
      <c r="T1903" s="49" t="str">
        <f t="shared" si="1883"/>
        <v/>
      </c>
      <c r="U1903" s="24"/>
      <c r="V1903" s="66">
        <v>33.0</v>
      </c>
      <c r="W1903" s="29" t="str">
        <f t="shared" si="1874"/>
        <v>/</v>
      </c>
      <c r="X1903" s="37" t="s">
        <v>1217</v>
      </c>
      <c r="Y1903" s="31"/>
      <c r="Z1903" s="26" t="str">
        <f t="shared" si="5"/>
        <v/>
      </c>
      <c r="AA1903" s="26" t="str">
        <f t="shared" si="6"/>
        <v/>
      </c>
      <c r="AB1903" s="32" t="str">
        <f t="shared" si="7"/>
        <v/>
      </c>
      <c r="AC1903" s="32" t="str">
        <f t="shared" ref="AC1903:AG1903" si="1912">IF(J1903&lt;&gt;"", IF(AND($P1903=FALSE, $A1903=FALSE), -J1903, IF(AND($P1903=FALSE, $A1903=TRUE), 0, IF($P1903=TRUE, (J1903 / $R1903) * 100 * ($S1903 / 100)-J1903, ))), )</f>
        <v/>
      </c>
      <c r="AD1903" s="32" t="str">
        <f t="shared" si="1912"/>
        <v/>
      </c>
      <c r="AE1903" s="32" t="str">
        <f t="shared" si="1912"/>
        <v/>
      </c>
      <c r="AF1903" s="32" t="str">
        <f t="shared" si="1912"/>
        <v/>
      </c>
      <c r="AG1903" s="32" t="str">
        <f t="shared" si="1912"/>
        <v/>
      </c>
      <c r="AH1903" s="33"/>
    </row>
    <row r="1904" hidden="1" outlineLevel="3">
      <c r="A1904" s="16" t="b">
        <v>0</v>
      </c>
      <c r="B1904" s="17"/>
      <c r="C1904" s="18"/>
      <c r="D1904" s="19"/>
      <c r="E1904" s="20"/>
      <c r="F1904" s="21"/>
      <c r="G1904" s="22"/>
      <c r="H1904" s="22"/>
      <c r="I1904" s="45"/>
      <c r="J1904" s="22"/>
      <c r="K1904" s="23"/>
      <c r="L1904" s="22"/>
      <c r="M1904" s="23"/>
      <c r="N1904" s="23"/>
      <c r="O1904" s="24"/>
      <c r="P1904" s="16" t="b">
        <v>0</v>
      </c>
      <c r="Q1904" s="24"/>
      <c r="R1904" s="48" t="str">
        <f t="shared" si="1882"/>
        <v/>
      </c>
      <c r="S1904" s="26"/>
      <c r="T1904" s="49" t="str">
        <f t="shared" si="1883"/>
        <v/>
      </c>
      <c r="U1904" s="24"/>
      <c r="V1904" s="66">
        <v>21.0</v>
      </c>
      <c r="W1904" s="29" t="str">
        <f t="shared" si="1874"/>
        <v>/</v>
      </c>
      <c r="X1904" s="37" t="s">
        <v>1218</v>
      </c>
      <c r="Y1904" s="31"/>
      <c r="Z1904" s="26" t="str">
        <f t="shared" si="5"/>
        <v/>
      </c>
      <c r="AA1904" s="26" t="str">
        <f t="shared" si="6"/>
        <v/>
      </c>
      <c r="AB1904" s="32" t="str">
        <f t="shared" si="7"/>
        <v/>
      </c>
      <c r="AC1904" s="32" t="str">
        <f t="shared" ref="AC1904:AG1904" si="1913">IF(J1904&lt;&gt;"", IF(AND($P1904=FALSE, $A1904=FALSE), -J1904, IF(AND($P1904=FALSE, $A1904=TRUE), 0, IF($P1904=TRUE, (J1904 / $R1904) * 100 * ($S1904 / 100)-J1904, ))), )</f>
        <v/>
      </c>
      <c r="AD1904" s="32" t="str">
        <f t="shared" si="1913"/>
        <v/>
      </c>
      <c r="AE1904" s="32" t="str">
        <f t="shared" si="1913"/>
        <v/>
      </c>
      <c r="AF1904" s="32" t="str">
        <f t="shared" si="1913"/>
        <v/>
      </c>
      <c r="AG1904" s="32" t="str">
        <f t="shared" si="1913"/>
        <v/>
      </c>
      <c r="AH1904" s="33"/>
    </row>
    <row r="1905" hidden="1" outlineLevel="2" collapsed="1">
      <c r="A1905" s="16" t="b">
        <v>0</v>
      </c>
      <c r="B1905" s="17"/>
      <c r="C1905" s="18"/>
      <c r="D1905" s="42">
        <v>45333.0</v>
      </c>
      <c r="E1905" s="20" t="s">
        <v>24</v>
      </c>
      <c r="F1905" s="53" t="s">
        <v>1216</v>
      </c>
      <c r="G1905" s="45">
        <v>0.25</v>
      </c>
      <c r="H1905" s="45"/>
      <c r="I1905" s="45"/>
      <c r="J1905" s="22"/>
      <c r="K1905" s="23"/>
      <c r="L1905" s="22"/>
      <c r="M1905" s="23"/>
      <c r="N1905" s="23"/>
      <c r="O1905" s="24"/>
      <c r="P1905" s="16" t="b">
        <v>0</v>
      </c>
      <c r="Q1905" s="24"/>
      <c r="R1905" s="48">
        <f t="shared" si="1882"/>
        <v>0.25</v>
      </c>
      <c r="S1905" s="26">
        <v>125.25</v>
      </c>
      <c r="T1905" s="49" t="str">
        <f t="shared" si="1883"/>
        <v>+50000</v>
      </c>
      <c r="U1905" s="24"/>
      <c r="V1905" s="28" t="str">
        <f>IF(ISBLANK($D1905), "0",)</f>
        <v/>
      </c>
      <c r="W1905" s="29" t="str">
        <f t="shared" si="1874"/>
        <v/>
      </c>
      <c r="X1905" s="30"/>
      <c r="Y1905" s="31"/>
      <c r="Z1905" s="26">
        <f t="shared" si="5"/>
        <v>-0.25</v>
      </c>
      <c r="AA1905" s="26" t="str">
        <f t="shared" si="6"/>
        <v/>
      </c>
      <c r="AB1905" s="32" t="str">
        <f t="shared" si="7"/>
        <v/>
      </c>
      <c r="AC1905" s="32" t="str">
        <f t="shared" ref="AC1905:AG1905" si="1914">IF(J1905&lt;&gt;"", IF(AND($P1905=FALSE, $A1905=FALSE), -J1905, IF(AND($P1905=FALSE, $A1905=TRUE), 0, IF($P1905=TRUE, (J1905 / $R1905) * 100 * ($S1905 / 100)-J1905, ))), )</f>
        <v/>
      </c>
      <c r="AD1905" s="32" t="str">
        <f t="shared" si="1914"/>
        <v/>
      </c>
      <c r="AE1905" s="32" t="str">
        <f t="shared" si="1914"/>
        <v/>
      </c>
      <c r="AF1905" s="32" t="str">
        <f t="shared" si="1914"/>
        <v/>
      </c>
      <c r="AG1905" s="32" t="str">
        <f t="shared" si="1914"/>
        <v/>
      </c>
      <c r="AH1905" s="33"/>
    </row>
    <row r="1906" hidden="1" outlineLevel="3">
      <c r="A1906" s="16" t="b">
        <v>0</v>
      </c>
      <c r="B1906" s="17"/>
      <c r="C1906" s="18"/>
      <c r="D1906" s="19"/>
      <c r="E1906" s="20"/>
      <c r="F1906" s="21"/>
      <c r="G1906" s="22"/>
      <c r="H1906" s="22"/>
      <c r="I1906" s="45"/>
      <c r="J1906" s="22"/>
      <c r="K1906" s="23"/>
      <c r="L1906" s="22"/>
      <c r="M1906" s="23"/>
      <c r="N1906" s="23"/>
      <c r="O1906" s="24"/>
      <c r="P1906" s="16" t="b">
        <v>0</v>
      </c>
      <c r="Q1906" s="24"/>
      <c r="R1906" s="48" t="str">
        <f t="shared" si="1882"/>
        <v/>
      </c>
      <c r="S1906" s="26"/>
      <c r="T1906" s="49" t="str">
        <f t="shared" si="1883"/>
        <v/>
      </c>
      <c r="U1906" s="24"/>
      <c r="V1906" s="66" t="s">
        <v>1219</v>
      </c>
      <c r="W1906" s="29" t="str">
        <f t="shared" si="1874"/>
        <v>/</v>
      </c>
      <c r="X1906" s="37" t="s">
        <v>1220</v>
      </c>
      <c r="Y1906" s="31"/>
      <c r="Z1906" s="26" t="str">
        <f t="shared" si="5"/>
        <v/>
      </c>
      <c r="AA1906" s="26" t="str">
        <f t="shared" si="6"/>
        <v/>
      </c>
      <c r="AB1906" s="32" t="str">
        <f t="shared" si="7"/>
        <v/>
      </c>
      <c r="AC1906" s="32" t="str">
        <f t="shared" ref="AC1906:AG1906" si="1915">IF(J1906&lt;&gt;"", IF(AND($P1906=FALSE, $A1906=FALSE), -J1906, IF(AND($P1906=FALSE, $A1906=TRUE), 0, IF($P1906=TRUE, (J1906 / $R1906) * 100 * ($S1906 / 100)-J1906, ))), )</f>
        <v/>
      </c>
      <c r="AD1906" s="32" t="str">
        <f t="shared" si="1915"/>
        <v/>
      </c>
      <c r="AE1906" s="32" t="str">
        <f t="shared" si="1915"/>
        <v/>
      </c>
      <c r="AF1906" s="32" t="str">
        <f t="shared" si="1915"/>
        <v/>
      </c>
      <c r="AG1906" s="32" t="str">
        <f t="shared" si="1915"/>
        <v/>
      </c>
      <c r="AH1906" s="33"/>
    </row>
    <row r="1907" hidden="1" outlineLevel="2" collapsed="1">
      <c r="A1907" s="16" t="b">
        <v>0</v>
      </c>
      <c r="B1907" s="17"/>
      <c r="C1907" s="18"/>
      <c r="D1907" s="42">
        <v>45333.0</v>
      </c>
      <c r="E1907" s="20" t="s">
        <v>24</v>
      </c>
      <c r="F1907" s="53" t="s">
        <v>1216</v>
      </c>
      <c r="G1907" s="45">
        <v>0.1</v>
      </c>
      <c r="H1907" s="45"/>
      <c r="I1907" s="45"/>
      <c r="J1907" s="22"/>
      <c r="K1907" s="23"/>
      <c r="L1907" s="22"/>
      <c r="M1907" s="23"/>
      <c r="N1907" s="23"/>
      <c r="O1907" s="24"/>
      <c r="P1907" s="16" t="b">
        <v>0</v>
      </c>
      <c r="Q1907" s="24"/>
      <c r="R1907" s="48">
        <f t="shared" si="1882"/>
        <v>0.1</v>
      </c>
      <c r="S1907" s="26">
        <v>8.6</v>
      </c>
      <c r="T1907" s="49" t="str">
        <f t="shared" si="1883"/>
        <v>+8500</v>
      </c>
      <c r="U1907" s="24"/>
      <c r="V1907" s="28" t="str">
        <f>IF(ISBLANK($D1907), "0",)</f>
        <v/>
      </c>
      <c r="W1907" s="29" t="str">
        <f t="shared" si="1874"/>
        <v/>
      </c>
      <c r="X1907" s="30"/>
      <c r="Y1907" s="31"/>
      <c r="Z1907" s="26">
        <f t="shared" si="5"/>
        <v>-0.1</v>
      </c>
      <c r="AA1907" s="26" t="str">
        <f t="shared" si="6"/>
        <v/>
      </c>
      <c r="AB1907" s="32" t="str">
        <f t="shared" si="7"/>
        <v/>
      </c>
      <c r="AC1907" s="32" t="str">
        <f t="shared" ref="AC1907:AG1907" si="1916">IF(J1907&lt;&gt;"", IF(AND($P1907=FALSE, $A1907=FALSE), -J1907, IF(AND($P1907=FALSE, $A1907=TRUE), 0, IF($P1907=TRUE, (J1907 / $R1907) * 100 * ($S1907 / 100)-J1907, ))), )</f>
        <v/>
      </c>
      <c r="AD1907" s="32" t="str">
        <f t="shared" si="1916"/>
        <v/>
      </c>
      <c r="AE1907" s="32" t="str">
        <f t="shared" si="1916"/>
        <v/>
      </c>
      <c r="AF1907" s="32" t="str">
        <f t="shared" si="1916"/>
        <v/>
      </c>
      <c r="AG1907" s="32" t="str">
        <f t="shared" si="1916"/>
        <v/>
      </c>
      <c r="AH1907" s="33"/>
    </row>
    <row r="1908" hidden="1" outlineLevel="3">
      <c r="A1908" s="16" t="b">
        <v>0</v>
      </c>
      <c r="B1908" s="17"/>
      <c r="C1908" s="18"/>
      <c r="D1908" s="19"/>
      <c r="E1908" s="20"/>
      <c r="F1908" s="21"/>
      <c r="G1908" s="22"/>
      <c r="H1908" s="22"/>
      <c r="I1908" s="45"/>
      <c r="J1908" s="22"/>
      <c r="K1908" s="23"/>
      <c r="L1908" s="22"/>
      <c r="M1908" s="23"/>
      <c r="N1908" s="23"/>
      <c r="O1908" s="24"/>
      <c r="P1908" s="16" t="b">
        <v>0</v>
      </c>
      <c r="Q1908" s="24"/>
      <c r="R1908" s="48" t="str">
        <f t="shared" si="1882"/>
        <v/>
      </c>
      <c r="S1908" s="26"/>
      <c r="T1908" s="49" t="str">
        <f t="shared" si="1883"/>
        <v/>
      </c>
      <c r="U1908" s="24"/>
      <c r="V1908" s="66" t="s">
        <v>1219</v>
      </c>
      <c r="W1908" s="29" t="str">
        <f t="shared" si="1874"/>
        <v>/</v>
      </c>
      <c r="X1908" s="37" t="s">
        <v>1221</v>
      </c>
      <c r="Y1908" s="31"/>
      <c r="Z1908" s="26" t="str">
        <f t="shared" si="5"/>
        <v/>
      </c>
      <c r="AA1908" s="26" t="str">
        <f t="shared" si="6"/>
        <v/>
      </c>
      <c r="AB1908" s="32" t="str">
        <f t="shared" si="7"/>
        <v/>
      </c>
      <c r="AC1908" s="32" t="str">
        <f t="shared" ref="AC1908:AG1908" si="1917">IF(J1908&lt;&gt;"", IF(AND($P1908=FALSE, $A1908=FALSE), -J1908, IF(AND($P1908=FALSE, $A1908=TRUE), 0, IF($P1908=TRUE, (J1908 / $R1908) * 100 * ($S1908 / 100)-J1908, ))), )</f>
        <v/>
      </c>
      <c r="AD1908" s="32" t="str">
        <f t="shared" si="1917"/>
        <v/>
      </c>
      <c r="AE1908" s="32" t="str">
        <f t="shared" si="1917"/>
        <v/>
      </c>
      <c r="AF1908" s="32" t="str">
        <f t="shared" si="1917"/>
        <v/>
      </c>
      <c r="AG1908" s="32" t="str">
        <f t="shared" si="1917"/>
        <v/>
      </c>
      <c r="AH1908" s="33"/>
    </row>
    <row r="1909" hidden="1" outlineLevel="2" collapsed="1">
      <c r="A1909" s="16" t="b">
        <v>0</v>
      </c>
      <c r="B1909" s="17"/>
      <c r="C1909" s="18"/>
      <c r="D1909" s="42">
        <v>45333.0</v>
      </c>
      <c r="E1909" s="20" t="s">
        <v>24</v>
      </c>
      <c r="F1909" s="53" t="s">
        <v>1216</v>
      </c>
      <c r="G1909" s="45">
        <v>0.1</v>
      </c>
      <c r="H1909" s="45"/>
      <c r="I1909" s="45"/>
      <c r="J1909" s="22"/>
      <c r="K1909" s="23"/>
      <c r="L1909" s="22"/>
      <c r="M1909" s="23"/>
      <c r="N1909" s="23"/>
      <c r="O1909" s="24"/>
      <c r="P1909" s="16" t="b">
        <v>0</v>
      </c>
      <c r="Q1909" s="24"/>
      <c r="R1909" s="48">
        <f t="shared" si="1882"/>
        <v>0.1</v>
      </c>
      <c r="S1909" s="26">
        <v>49.1</v>
      </c>
      <c r="T1909" s="49" t="str">
        <f t="shared" si="1883"/>
        <v>+49000</v>
      </c>
      <c r="U1909" s="24"/>
      <c r="V1909" s="28" t="str">
        <f>IF(ISBLANK($D1909), "0",)</f>
        <v/>
      </c>
      <c r="W1909" s="29" t="str">
        <f t="shared" si="1874"/>
        <v/>
      </c>
      <c r="X1909" s="30"/>
      <c r="Y1909" s="31"/>
      <c r="Z1909" s="26">
        <f t="shared" si="5"/>
        <v>-0.1</v>
      </c>
      <c r="AA1909" s="26" t="str">
        <f t="shared" si="6"/>
        <v/>
      </c>
      <c r="AB1909" s="32" t="str">
        <f t="shared" si="7"/>
        <v/>
      </c>
      <c r="AC1909" s="32" t="str">
        <f t="shared" ref="AC1909:AG1909" si="1918">IF(J1909&lt;&gt;"", IF(AND($P1909=FALSE, $A1909=FALSE), -J1909, IF(AND($P1909=FALSE, $A1909=TRUE), 0, IF($P1909=TRUE, (J1909 / $R1909) * 100 * ($S1909 / 100)-J1909, ))), )</f>
        <v/>
      </c>
      <c r="AD1909" s="32" t="str">
        <f t="shared" si="1918"/>
        <v/>
      </c>
      <c r="AE1909" s="32" t="str">
        <f t="shared" si="1918"/>
        <v/>
      </c>
      <c r="AF1909" s="32" t="str">
        <f t="shared" si="1918"/>
        <v/>
      </c>
      <c r="AG1909" s="32" t="str">
        <f t="shared" si="1918"/>
        <v/>
      </c>
      <c r="AH1909" s="33"/>
    </row>
    <row r="1910" hidden="1" outlineLevel="3">
      <c r="A1910" s="16" t="b">
        <v>0</v>
      </c>
      <c r="B1910" s="17"/>
      <c r="C1910" s="18"/>
      <c r="D1910" s="19"/>
      <c r="E1910" s="20"/>
      <c r="F1910" s="21"/>
      <c r="G1910" s="22"/>
      <c r="H1910" s="22"/>
      <c r="I1910" s="45"/>
      <c r="J1910" s="22"/>
      <c r="K1910" s="23"/>
      <c r="L1910" s="22"/>
      <c r="M1910" s="23"/>
      <c r="N1910" s="23"/>
      <c r="O1910" s="24"/>
      <c r="P1910" s="16" t="b">
        <v>0</v>
      </c>
      <c r="Q1910" s="24"/>
      <c r="R1910" s="48" t="str">
        <f t="shared" si="1882"/>
        <v/>
      </c>
      <c r="S1910" s="26"/>
      <c r="T1910" s="49" t="str">
        <f t="shared" si="1883"/>
        <v/>
      </c>
      <c r="U1910" s="24"/>
      <c r="V1910" s="66" t="s">
        <v>1219</v>
      </c>
      <c r="W1910" s="29" t="str">
        <f t="shared" si="1874"/>
        <v>/</v>
      </c>
      <c r="X1910" s="37" t="s">
        <v>1222</v>
      </c>
      <c r="Y1910" s="31"/>
      <c r="Z1910" s="26" t="str">
        <f t="shared" si="5"/>
        <v/>
      </c>
      <c r="AA1910" s="26" t="str">
        <f t="shared" si="6"/>
        <v/>
      </c>
      <c r="AB1910" s="32" t="str">
        <f t="shared" si="7"/>
        <v/>
      </c>
      <c r="AC1910" s="32" t="str">
        <f t="shared" ref="AC1910:AG1910" si="1919">IF(J1910&lt;&gt;"", IF(AND($P1910=FALSE, $A1910=FALSE), -J1910, IF(AND($P1910=FALSE, $A1910=TRUE), 0, IF($P1910=TRUE, (J1910 / $R1910) * 100 * ($S1910 / 100)-J1910, ))), )</f>
        <v/>
      </c>
      <c r="AD1910" s="32" t="str">
        <f t="shared" si="1919"/>
        <v/>
      </c>
      <c r="AE1910" s="32" t="str">
        <f t="shared" si="1919"/>
        <v/>
      </c>
      <c r="AF1910" s="32" t="str">
        <f t="shared" si="1919"/>
        <v/>
      </c>
      <c r="AG1910" s="32" t="str">
        <f t="shared" si="1919"/>
        <v/>
      </c>
      <c r="AH1910" s="33"/>
    </row>
    <row r="1911" hidden="1" outlineLevel="2" collapsed="1">
      <c r="A1911" s="16" t="b">
        <v>0</v>
      </c>
      <c r="B1911" s="17"/>
      <c r="C1911" s="18"/>
      <c r="D1911" s="42">
        <v>45333.0</v>
      </c>
      <c r="E1911" s="20" t="s">
        <v>24</v>
      </c>
      <c r="F1911" s="53" t="s">
        <v>1216</v>
      </c>
      <c r="G1911" s="45">
        <v>0.1</v>
      </c>
      <c r="H1911" s="45"/>
      <c r="I1911" s="45"/>
      <c r="J1911" s="22"/>
      <c r="K1911" s="23"/>
      <c r="L1911" s="22"/>
      <c r="M1911" s="23"/>
      <c r="N1911" s="23"/>
      <c r="O1911" s="24"/>
      <c r="P1911" s="16" t="b">
        <v>0</v>
      </c>
      <c r="Q1911" s="24"/>
      <c r="R1911" s="48">
        <f t="shared" si="1882"/>
        <v>0.1</v>
      </c>
      <c r="S1911" s="26">
        <v>17.1</v>
      </c>
      <c r="T1911" s="49" t="str">
        <f t="shared" si="1883"/>
        <v>+17000</v>
      </c>
      <c r="U1911" s="24"/>
      <c r="V1911" s="28" t="str">
        <f>IF(ISBLANK($D1911), "0",)</f>
        <v/>
      </c>
      <c r="W1911" s="29" t="str">
        <f t="shared" si="1874"/>
        <v/>
      </c>
      <c r="X1911" s="30"/>
      <c r="Y1911" s="31"/>
      <c r="Z1911" s="26">
        <f t="shared" si="5"/>
        <v>-0.1</v>
      </c>
      <c r="AA1911" s="26" t="str">
        <f t="shared" si="6"/>
        <v/>
      </c>
      <c r="AB1911" s="32" t="str">
        <f t="shared" si="7"/>
        <v/>
      </c>
      <c r="AC1911" s="32" t="str">
        <f t="shared" ref="AC1911:AG1911" si="1920">IF(J1911&lt;&gt;"", IF(AND($P1911=FALSE, $A1911=FALSE), -J1911, IF(AND($P1911=FALSE, $A1911=TRUE), 0, IF($P1911=TRUE, (J1911 / $R1911) * 100 * ($S1911 / 100)-J1911, ))), )</f>
        <v/>
      </c>
      <c r="AD1911" s="32" t="str">
        <f t="shared" si="1920"/>
        <v/>
      </c>
      <c r="AE1911" s="32" t="str">
        <f t="shared" si="1920"/>
        <v/>
      </c>
      <c r="AF1911" s="32" t="str">
        <f t="shared" si="1920"/>
        <v/>
      </c>
      <c r="AG1911" s="32" t="str">
        <f t="shared" si="1920"/>
        <v/>
      </c>
      <c r="AH1911" s="33"/>
    </row>
    <row r="1912" hidden="1" outlineLevel="3">
      <c r="A1912" s="16" t="b">
        <v>0</v>
      </c>
      <c r="B1912" s="17"/>
      <c r="C1912" s="18"/>
      <c r="D1912" s="19"/>
      <c r="E1912" s="20"/>
      <c r="F1912" s="21"/>
      <c r="G1912" s="22"/>
      <c r="H1912" s="22"/>
      <c r="I1912" s="45"/>
      <c r="J1912" s="22"/>
      <c r="K1912" s="23"/>
      <c r="L1912" s="22"/>
      <c r="M1912" s="23"/>
      <c r="N1912" s="23"/>
      <c r="O1912" s="24"/>
      <c r="P1912" s="16" t="b">
        <v>0</v>
      </c>
      <c r="Q1912" s="24"/>
      <c r="R1912" s="48" t="str">
        <f t="shared" si="1882"/>
        <v/>
      </c>
      <c r="S1912" s="26"/>
      <c r="T1912" s="49" t="str">
        <f t="shared" si="1883"/>
        <v/>
      </c>
      <c r="U1912" s="24"/>
      <c r="V1912" s="66" t="s">
        <v>1219</v>
      </c>
      <c r="W1912" s="29" t="str">
        <f t="shared" si="1874"/>
        <v>/</v>
      </c>
      <c r="X1912" s="37" t="s">
        <v>1223</v>
      </c>
      <c r="Y1912" s="31"/>
      <c r="Z1912" s="26" t="str">
        <f t="shared" si="5"/>
        <v/>
      </c>
      <c r="AA1912" s="26" t="str">
        <f t="shared" si="6"/>
        <v/>
      </c>
      <c r="AB1912" s="32" t="str">
        <f t="shared" si="7"/>
        <v/>
      </c>
      <c r="AC1912" s="32" t="str">
        <f t="shared" ref="AC1912:AG1912" si="1921">IF(J1912&lt;&gt;"", IF(AND($P1912=FALSE, $A1912=FALSE), -J1912, IF(AND($P1912=FALSE, $A1912=TRUE), 0, IF($P1912=TRUE, (J1912 / $R1912) * 100 * ($S1912 / 100)-J1912, ))), )</f>
        <v/>
      </c>
      <c r="AD1912" s="32" t="str">
        <f t="shared" si="1921"/>
        <v/>
      </c>
      <c r="AE1912" s="32" t="str">
        <f t="shared" si="1921"/>
        <v/>
      </c>
      <c r="AF1912" s="32" t="str">
        <f t="shared" si="1921"/>
        <v/>
      </c>
      <c r="AG1912" s="32" t="str">
        <f t="shared" si="1921"/>
        <v/>
      </c>
      <c r="AH1912" s="33"/>
    </row>
    <row r="1913" hidden="1" outlineLevel="2" collapsed="1">
      <c r="A1913" s="16" t="b">
        <v>0</v>
      </c>
      <c r="B1913" s="17"/>
      <c r="C1913" s="18"/>
      <c r="D1913" s="42">
        <v>45333.0</v>
      </c>
      <c r="E1913" s="20" t="s">
        <v>24</v>
      </c>
      <c r="F1913" s="53" t="s">
        <v>1216</v>
      </c>
      <c r="G1913" s="45">
        <v>0.1</v>
      </c>
      <c r="H1913" s="45"/>
      <c r="I1913" s="45"/>
      <c r="J1913" s="22"/>
      <c r="K1913" s="23"/>
      <c r="L1913" s="22"/>
      <c r="M1913" s="23"/>
      <c r="N1913" s="23"/>
      <c r="O1913" s="24"/>
      <c r="P1913" s="16" t="b">
        <v>0</v>
      </c>
      <c r="Q1913" s="24"/>
      <c r="R1913" s="48">
        <f t="shared" si="1882"/>
        <v>0.1</v>
      </c>
      <c r="S1913" s="26">
        <v>5.1</v>
      </c>
      <c r="T1913" s="49" t="str">
        <f t="shared" si="1883"/>
        <v>+5000</v>
      </c>
      <c r="U1913" s="24"/>
      <c r="V1913" s="28" t="str">
        <f>IF(ISBLANK($D1913), "0",)</f>
        <v/>
      </c>
      <c r="W1913" s="29" t="str">
        <f t="shared" si="1874"/>
        <v/>
      </c>
      <c r="X1913" s="30"/>
      <c r="Y1913" s="31"/>
      <c r="Z1913" s="26">
        <f t="shared" si="5"/>
        <v>-0.1</v>
      </c>
      <c r="AA1913" s="26" t="str">
        <f t="shared" si="6"/>
        <v/>
      </c>
      <c r="AB1913" s="32" t="str">
        <f t="shared" si="7"/>
        <v/>
      </c>
      <c r="AC1913" s="32" t="str">
        <f t="shared" ref="AC1913:AG1913" si="1922">IF(J1913&lt;&gt;"", IF(AND($P1913=FALSE, $A1913=FALSE), -J1913, IF(AND($P1913=FALSE, $A1913=TRUE), 0, IF($P1913=TRUE, (J1913 / $R1913) * 100 * ($S1913 / 100)-J1913, ))), )</f>
        <v/>
      </c>
      <c r="AD1913" s="32" t="str">
        <f t="shared" si="1922"/>
        <v/>
      </c>
      <c r="AE1913" s="32" t="str">
        <f t="shared" si="1922"/>
        <v/>
      </c>
      <c r="AF1913" s="32" t="str">
        <f t="shared" si="1922"/>
        <v/>
      </c>
      <c r="AG1913" s="32" t="str">
        <f t="shared" si="1922"/>
        <v/>
      </c>
      <c r="AH1913" s="33"/>
    </row>
    <row r="1914" hidden="1" outlineLevel="3">
      <c r="A1914" s="16" t="b">
        <v>0</v>
      </c>
      <c r="B1914" s="17"/>
      <c r="C1914" s="18"/>
      <c r="D1914" s="19"/>
      <c r="E1914" s="20"/>
      <c r="F1914" s="21"/>
      <c r="G1914" s="22"/>
      <c r="H1914" s="22"/>
      <c r="I1914" s="45"/>
      <c r="J1914" s="22"/>
      <c r="K1914" s="23"/>
      <c r="L1914" s="22"/>
      <c r="M1914" s="23"/>
      <c r="N1914" s="23"/>
      <c r="O1914" s="24"/>
      <c r="P1914" s="16" t="b">
        <v>0</v>
      </c>
      <c r="Q1914" s="24"/>
      <c r="R1914" s="48" t="str">
        <f t="shared" si="1882"/>
        <v/>
      </c>
      <c r="S1914" s="26"/>
      <c r="T1914" s="49" t="str">
        <f t="shared" si="1883"/>
        <v/>
      </c>
      <c r="U1914" s="24"/>
      <c r="V1914" s="66" t="s">
        <v>1219</v>
      </c>
      <c r="W1914" s="29" t="str">
        <f t="shared" si="1874"/>
        <v>/</v>
      </c>
      <c r="X1914" s="37" t="s">
        <v>1224</v>
      </c>
      <c r="Y1914" s="31"/>
      <c r="Z1914" s="26" t="str">
        <f t="shared" si="5"/>
        <v/>
      </c>
      <c r="AA1914" s="26" t="str">
        <f t="shared" si="6"/>
        <v/>
      </c>
      <c r="AB1914" s="32" t="str">
        <f t="shared" si="7"/>
        <v/>
      </c>
      <c r="AC1914" s="32" t="str">
        <f t="shared" ref="AC1914:AG1914" si="1923">IF(J1914&lt;&gt;"", IF(AND($P1914=FALSE, $A1914=FALSE), -J1914, IF(AND($P1914=FALSE, $A1914=TRUE), 0, IF($P1914=TRUE, (J1914 / $R1914) * 100 * ($S1914 / 100)-J1914, ))), )</f>
        <v/>
      </c>
      <c r="AD1914" s="32" t="str">
        <f t="shared" si="1923"/>
        <v/>
      </c>
      <c r="AE1914" s="32" t="str">
        <f t="shared" si="1923"/>
        <v/>
      </c>
      <c r="AF1914" s="32" t="str">
        <f t="shared" si="1923"/>
        <v/>
      </c>
      <c r="AG1914" s="32" t="str">
        <f t="shared" si="1923"/>
        <v/>
      </c>
      <c r="AH1914" s="33"/>
    </row>
    <row r="1915" hidden="1" outlineLevel="2" collapsed="1">
      <c r="A1915" s="16" t="b">
        <v>0</v>
      </c>
      <c r="B1915" s="17"/>
      <c r="C1915" s="18"/>
      <c r="D1915" s="42">
        <v>45333.0</v>
      </c>
      <c r="E1915" s="20" t="s">
        <v>24</v>
      </c>
      <c r="F1915" s="53" t="s">
        <v>1216</v>
      </c>
      <c r="G1915" s="45">
        <v>0.1</v>
      </c>
      <c r="H1915" s="45"/>
      <c r="I1915" s="45"/>
      <c r="J1915" s="22"/>
      <c r="K1915" s="23"/>
      <c r="L1915" s="22"/>
      <c r="M1915" s="23"/>
      <c r="N1915" s="23"/>
      <c r="O1915" s="24"/>
      <c r="P1915" s="16" t="b">
        <v>0</v>
      </c>
      <c r="Q1915" s="24"/>
      <c r="R1915" s="48">
        <f t="shared" si="1882"/>
        <v>0.1</v>
      </c>
      <c r="S1915" s="26">
        <v>9.1</v>
      </c>
      <c r="T1915" s="49" t="str">
        <f t="shared" si="1883"/>
        <v>+9000</v>
      </c>
      <c r="U1915" s="24"/>
      <c r="V1915" s="28" t="str">
        <f>IF(ISBLANK($D1915), "0",)</f>
        <v/>
      </c>
      <c r="W1915" s="29" t="str">
        <f t="shared" si="1874"/>
        <v/>
      </c>
      <c r="X1915" s="30"/>
      <c r="Y1915" s="31"/>
      <c r="Z1915" s="26">
        <f t="shared" si="5"/>
        <v>-0.1</v>
      </c>
      <c r="AA1915" s="26" t="str">
        <f t="shared" si="6"/>
        <v/>
      </c>
      <c r="AB1915" s="32" t="str">
        <f t="shared" si="7"/>
        <v/>
      </c>
      <c r="AC1915" s="32" t="str">
        <f t="shared" ref="AC1915:AG1915" si="1924">IF(J1915&lt;&gt;"", IF(AND($P1915=FALSE, $A1915=FALSE), -J1915, IF(AND($P1915=FALSE, $A1915=TRUE), 0, IF($P1915=TRUE, (J1915 / $R1915) * 100 * ($S1915 / 100)-J1915, ))), )</f>
        <v/>
      </c>
      <c r="AD1915" s="32" t="str">
        <f t="shared" si="1924"/>
        <v/>
      </c>
      <c r="AE1915" s="32" t="str">
        <f t="shared" si="1924"/>
        <v/>
      </c>
      <c r="AF1915" s="32" t="str">
        <f t="shared" si="1924"/>
        <v/>
      </c>
      <c r="AG1915" s="32" t="str">
        <f t="shared" si="1924"/>
        <v/>
      </c>
      <c r="AH1915" s="33"/>
    </row>
    <row r="1916" hidden="1" outlineLevel="3">
      <c r="A1916" s="16" t="b">
        <v>0</v>
      </c>
      <c r="B1916" s="17"/>
      <c r="C1916" s="18"/>
      <c r="D1916" s="19"/>
      <c r="E1916" s="20"/>
      <c r="F1916" s="21"/>
      <c r="G1916" s="22"/>
      <c r="H1916" s="22"/>
      <c r="I1916" s="45"/>
      <c r="J1916" s="22"/>
      <c r="K1916" s="23"/>
      <c r="L1916" s="22"/>
      <c r="M1916" s="23"/>
      <c r="N1916" s="23"/>
      <c r="O1916" s="24"/>
      <c r="P1916" s="16" t="b">
        <v>0</v>
      </c>
      <c r="Q1916" s="24"/>
      <c r="R1916" s="48" t="str">
        <f t="shared" si="1882"/>
        <v/>
      </c>
      <c r="S1916" s="26"/>
      <c r="T1916" s="49" t="str">
        <f t="shared" si="1883"/>
        <v/>
      </c>
      <c r="U1916" s="24"/>
      <c r="V1916" s="66" t="s">
        <v>1219</v>
      </c>
      <c r="W1916" s="29" t="str">
        <f t="shared" si="1874"/>
        <v>/</v>
      </c>
      <c r="X1916" s="37" t="s">
        <v>1225</v>
      </c>
      <c r="Y1916" s="31"/>
      <c r="Z1916" s="26" t="str">
        <f t="shared" si="5"/>
        <v/>
      </c>
      <c r="AA1916" s="26" t="str">
        <f t="shared" si="6"/>
        <v/>
      </c>
      <c r="AB1916" s="32" t="str">
        <f t="shared" si="7"/>
        <v/>
      </c>
      <c r="AC1916" s="32" t="str">
        <f t="shared" ref="AC1916:AG1916" si="1925">IF(J1916&lt;&gt;"", IF(AND($P1916=FALSE, $A1916=FALSE), -J1916, IF(AND($P1916=FALSE, $A1916=TRUE), 0, IF($P1916=TRUE, (J1916 / $R1916) * 100 * ($S1916 / 100)-J1916, ))), )</f>
        <v/>
      </c>
      <c r="AD1916" s="32" t="str">
        <f t="shared" si="1925"/>
        <v/>
      </c>
      <c r="AE1916" s="32" t="str">
        <f t="shared" si="1925"/>
        <v/>
      </c>
      <c r="AF1916" s="32" t="str">
        <f t="shared" si="1925"/>
        <v/>
      </c>
      <c r="AG1916" s="32" t="str">
        <f t="shared" si="1925"/>
        <v/>
      </c>
      <c r="AH1916" s="33"/>
    </row>
    <row r="1917" hidden="1" outlineLevel="2" collapsed="1">
      <c r="A1917" s="16" t="b">
        <v>0</v>
      </c>
      <c r="B1917" s="17"/>
      <c r="C1917" s="18"/>
      <c r="D1917" s="42">
        <v>45333.0</v>
      </c>
      <c r="E1917" s="20" t="s">
        <v>24</v>
      </c>
      <c r="F1917" s="53" t="s">
        <v>1216</v>
      </c>
      <c r="G1917" s="45">
        <v>0.1</v>
      </c>
      <c r="H1917" s="45"/>
      <c r="I1917" s="45"/>
      <c r="J1917" s="45">
        <v>0.1</v>
      </c>
      <c r="K1917" s="23"/>
      <c r="L1917" s="22"/>
      <c r="M1917" s="23"/>
      <c r="N1917" s="23"/>
      <c r="O1917" s="24"/>
      <c r="P1917" s="16" t="b">
        <v>0</v>
      </c>
      <c r="Q1917" s="24"/>
      <c r="R1917" s="48">
        <f t="shared" si="1882"/>
        <v>0.2</v>
      </c>
      <c r="S1917" s="26">
        <v>100.2</v>
      </c>
      <c r="T1917" s="49" t="str">
        <f t="shared" si="1883"/>
        <v>+50000</v>
      </c>
      <c r="U1917" s="24"/>
      <c r="V1917" s="28" t="str">
        <f>IF(ISBLANK($D1917), "0",)</f>
        <v/>
      </c>
      <c r="W1917" s="29" t="str">
        <f t="shared" si="1874"/>
        <v/>
      </c>
      <c r="X1917" s="30"/>
      <c r="Y1917" s="31"/>
      <c r="Z1917" s="26">
        <f t="shared" si="5"/>
        <v>-0.1</v>
      </c>
      <c r="AA1917" s="26" t="str">
        <f t="shared" si="6"/>
        <v/>
      </c>
      <c r="AB1917" s="32" t="str">
        <f t="shared" si="7"/>
        <v/>
      </c>
      <c r="AC1917" s="32">
        <f t="shared" ref="AC1917:AG1917" si="1926">IF(J1917&lt;&gt;"", IF(AND($P1917=FALSE, $A1917=FALSE), -J1917, IF(AND($P1917=FALSE, $A1917=TRUE), 0, IF($P1917=TRUE, (J1917 / $R1917) * 100 * ($S1917 / 100)-J1917, ))), )</f>
        <v>-0.1</v>
      </c>
      <c r="AD1917" s="32" t="str">
        <f t="shared" si="1926"/>
        <v/>
      </c>
      <c r="AE1917" s="32" t="str">
        <f t="shared" si="1926"/>
        <v/>
      </c>
      <c r="AF1917" s="32" t="str">
        <f t="shared" si="1926"/>
        <v/>
      </c>
      <c r="AG1917" s="32" t="str">
        <f t="shared" si="1926"/>
        <v/>
      </c>
      <c r="AH1917" s="33"/>
    </row>
    <row r="1918" hidden="1" outlineLevel="3">
      <c r="A1918" s="16" t="b">
        <v>0</v>
      </c>
      <c r="B1918" s="17"/>
      <c r="C1918" s="18"/>
      <c r="D1918" s="19"/>
      <c r="E1918" s="20"/>
      <c r="F1918" s="21"/>
      <c r="G1918" s="22"/>
      <c r="H1918" s="22"/>
      <c r="I1918" s="45"/>
      <c r="J1918" s="22"/>
      <c r="K1918" s="23"/>
      <c r="L1918" s="22"/>
      <c r="M1918" s="23"/>
      <c r="N1918" s="23"/>
      <c r="O1918" s="24"/>
      <c r="P1918" s="16" t="b">
        <v>0</v>
      </c>
      <c r="Q1918" s="24"/>
      <c r="R1918" s="48" t="str">
        <f t="shared" si="1882"/>
        <v/>
      </c>
      <c r="S1918" s="26"/>
      <c r="T1918" s="49" t="str">
        <f t="shared" si="1883"/>
        <v/>
      </c>
      <c r="U1918" s="24"/>
      <c r="V1918" s="66" t="s">
        <v>1219</v>
      </c>
      <c r="W1918" s="29" t="str">
        <f t="shared" si="1874"/>
        <v>/</v>
      </c>
      <c r="X1918" s="37" t="s">
        <v>1226</v>
      </c>
      <c r="Y1918" s="31"/>
      <c r="Z1918" s="26" t="str">
        <f t="shared" si="5"/>
        <v/>
      </c>
      <c r="AA1918" s="26" t="str">
        <f t="shared" si="6"/>
        <v/>
      </c>
      <c r="AB1918" s="32" t="str">
        <f t="shared" si="7"/>
        <v/>
      </c>
      <c r="AC1918" s="32" t="str">
        <f t="shared" ref="AC1918:AG1918" si="1927">IF(J1918&lt;&gt;"", IF(AND($P1918=FALSE, $A1918=FALSE), -J1918, IF(AND($P1918=FALSE, $A1918=TRUE), 0, IF($P1918=TRUE, (J1918 / $R1918) * 100 * ($S1918 / 100)-J1918, ))), )</f>
        <v/>
      </c>
      <c r="AD1918" s="32" t="str">
        <f t="shared" si="1927"/>
        <v/>
      </c>
      <c r="AE1918" s="32" t="str">
        <f t="shared" si="1927"/>
        <v/>
      </c>
      <c r="AF1918" s="32" t="str">
        <f t="shared" si="1927"/>
        <v/>
      </c>
      <c r="AG1918" s="32" t="str">
        <f t="shared" si="1927"/>
        <v/>
      </c>
      <c r="AH1918" s="33"/>
    </row>
    <row r="1919" hidden="1" outlineLevel="2" collapsed="1">
      <c r="A1919" s="16" t="b">
        <v>0</v>
      </c>
      <c r="B1919" s="17"/>
      <c r="C1919" s="18"/>
      <c r="D1919" s="42">
        <v>45333.0</v>
      </c>
      <c r="E1919" s="20" t="s">
        <v>24</v>
      </c>
      <c r="F1919" s="53" t="s">
        <v>1216</v>
      </c>
      <c r="G1919" s="45">
        <v>0.1</v>
      </c>
      <c r="H1919" s="45"/>
      <c r="I1919" s="45"/>
      <c r="J1919" s="22"/>
      <c r="K1919" s="23"/>
      <c r="L1919" s="22"/>
      <c r="M1919" s="23"/>
      <c r="N1919" s="23"/>
      <c r="O1919" s="24"/>
      <c r="P1919" s="16" t="b">
        <v>0</v>
      </c>
      <c r="Q1919" s="24"/>
      <c r="R1919" s="48">
        <f t="shared" si="1882"/>
        <v>0.1</v>
      </c>
      <c r="S1919" s="26">
        <v>50.1</v>
      </c>
      <c r="T1919" s="49" t="str">
        <f t="shared" si="1883"/>
        <v>+50000</v>
      </c>
      <c r="U1919" s="24"/>
      <c r="V1919" s="28" t="str">
        <f>IF(ISBLANK($D1919), "0",)</f>
        <v/>
      </c>
      <c r="W1919" s="29" t="str">
        <f t="shared" si="1874"/>
        <v/>
      </c>
      <c r="X1919" s="30"/>
      <c r="Y1919" s="31"/>
      <c r="Z1919" s="26">
        <f t="shared" si="5"/>
        <v>-0.1</v>
      </c>
      <c r="AA1919" s="26" t="str">
        <f t="shared" si="6"/>
        <v/>
      </c>
      <c r="AB1919" s="32" t="str">
        <f t="shared" si="7"/>
        <v/>
      </c>
      <c r="AC1919" s="32" t="str">
        <f t="shared" ref="AC1919:AG1919" si="1928">IF(J1919&lt;&gt;"", IF(AND($P1919=FALSE, $A1919=FALSE), -J1919, IF(AND($P1919=FALSE, $A1919=TRUE), 0, IF($P1919=TRUE, (J1919 / $R1919) * 100 * ($S1919 / 100)-J1919, ))), )</f>
        <v/>
      </c>
      <c r="AD1919" s="32" t="str">
        <f t="shared" si="1928"/>
        <v/>
      </c>
      <c r="AE1919" s="32" t="str">
        <f t="shared" si="1928"/>
        <v/>
      </c>
      <c r="AF1919" s="32" t="str">
        <f t="shared" si="1928"/>
        <v/>
      </c>
      <c r="AG1919" s="32" t="str">
        <f t="shared" si="1928"/>
        <v/>
      </c>
      <c r="AH1919" s="33"/>
    </row>
    <row r="1920" hidden="1" outlineLevel="3">
      <c r="A1920" s="16" t="b">
        <v>0</v>
      </c>
      <c r="B1920" s="17"/>
      <c r="C1920" s="18"/>
      <c r="D1920" s="19"/>
      <c r="E1920" s="20"/>
      <c r="F1920" s="21"/>
      <c r="G1920" s="22"/>
      <c r="H1920" s="22"/>
      <c r="I1920" s="45"/>
      <c r="J1920" s="22"/>
      <c r="K1920" s="23"/>
      <c r="L1920" s="22"/>
      <c r="M1920" s="23"/>
      <c r="N1920" s="23"/>
      <c r="O1920" s="24"/>
      <c r="P1920" s="16" t="b">
        <v>0</v>
      </c>
      <c r="Q1920" s="24"/>
      <c r="R1920" s="48" t="str">
        <f t="shared" si="1882"/>
        <v/>
      </c>
      <c r="S1920" s="26"/>
      <c r="T1920" s="49" t="str">
        <f t="shared" si="1883"/>
        <v/>
      </c>
      <c r="U1920" s="24"/>
      <c r="V1920" s="66" t="s">
        <v>1219</v>
      </c>
      <c r="W1920" s="29" t="str">
        <f t="shared" si="1874"/>
        <v>/</v>
      </c>
      <c r="X1920" s="37" t="s">
        <v>1227</v>
      </c>
      <c r="Y1920" s="31"/>
      <c r="Z1920" s="26" t="str">
        <f t="shared" si="5"/>
        <v/>
      </c>
      <c r="AA1920" s="26" t="str">
        <f t="shared" si="6"/>
        <v/>
      </c>
      <c r="AB1920" s="32" t="str">
        <f t="shared" si="7"/>
        <v/>
      </c>
      <c r="AC1920" s="32" t="str">
        <f t="shared" ref="AC1920:AG1920" si="1929">IF(J1920&lt;&gt;"", IF(AND($P1920=FALSE, $A1920=FALSE), -J1920, IF(AND($P1920=FALSE, $A1920=TRUE), 0, IF($P1920=TRUE, (J1920 / $R1920) * 100 * ($S1920 / 100)-J1920, ))), )</f>
        <v/>
      </c>
      <c r="AD1920" s="32" t="str">
        <f t="shared" si="1929"/>
        <v/>
      </c>
      <c r="AE1920" s="32" t="str">
        <f t="shared" si="1929"/>
        <v/>
      </c>
      <c r="AF1920" s="32" t="str">
        <f t="shared" si="1929"/>
        <v/>
      </c>
      <c r="AG1920" s="32" t="str">
        <f t="shared" si="1929"/>
        <v/>
      </c>
      <c r="AH1920" s="33"/>
    </row>
    <row r="1921" hidden="1" outlineLevel="2" collapsed="1">
      <c r="A1921" s="16" t="b">
        <v>0</v>
      </c>
      <c r="B1921" s="17"/>
      <c r="C1921" s="18"/>
      <c r="D1921" s="42">
        <v>45333.0</v>
      </c>
      <c r="E1921" s="20" t="s">
        <v>24</v>
      </c>
      <c r="F1921" s="53" t="s">
        <v>1216</v>
      </c>
      <c r="G1921" s="45">
        <v>0.5</v>
      </c>
      <c r="H1921" s="45"/>
      <c r="I1921" s="45"/>
      <c r="J1921" s="22"/>
      <c r="K1921" s="23"/>
      <c r="L1921" s="22"/>
      <c r="M1921" s="23"/>
      <c r="N1921" s="23"/>
      <c r="O1921" s="24"/>
      <c r="P1921" s="16" t="b">
        <v>1</v>
      </c>
      <c r="Q1921" s="24"/>
      <c r="R1921" s="48">
        <f t="shared" si="1882"/>
        <v>0.5</v>
      </c>
      <c r="S1921" s="26">
        <v>1.15</v>
      </c>
      <c r="T1921" s="49" t="str">
        <f t="shared" si="1883"/>
        <v>+130</v>
      </c>
      <c r="U1921" s="24"/>
      <c r="V1921" s="28" t="str">
        <f>IF(ISBLANK($D1921), "0",)</f>
        <v/>
      </c>
      <c r="W1921" s="29" t="str">
        <f t="shared" si="1874"/>
        <v/>
      </c>
      <c r="X1921" s="30"/>
      <c r="Y1921" s="31"/>
      <c r="Z1921" s="26">
        <f t="shared" si="5"/>
        <v>0.65</v>
      </c>
      <c r="AA1921" s="26" t="str">
        <f t="shared" si="6"/>
        <v/>
      </c>
      <c r="AB1921" s="32" t="str">
        <f t="shared" si="7"/>
        <v/>
      </c>
      <c r="AC1921" s="32" t="str">
        <f t="shared" ref="AC1921:AG1921" si="1930">IF(J1921&lt;&gt;"", IF(AND($P1921=FALSE, $A1921=FALSE), -J1921, IF(AND($P1921=FALSE, $A1921=TRUE), 0, IF($P1921=TRUE, (J1921 / $R1921) * 100 * ($S1921 / 100)-J1921, ))), )</f>
        <v/>
      </c>
      <c r="AD1921" s="32" t="str">
        <f t="shared" si="1930"/>
        <v/>
      </c>
      <c r="AE1921" s="32" t="str">
        <f t="shared" si="1930"/>
        <v/>
      </c>
      <c r="AF1921" s="32" t="str">
        <f t="shared" si="1930"/>
        <v/>
      </c>
      <c r="AG1921" s="32" t="str">
        <f t="shared" si="1930"/>
        <v/>
      </c>
      <c r="AH1921" s="33"/>
    </row>
    <row r="1922" hidden="1" outlineLevel="3">
      <c r="A1922" s="16" t="b">
        <v>0</v>
      </c>
      <c r="B1922" s="17"/>
      <c r="C1922" s="18"/>
      <c r="D1922" s="19"/>
      <c r="E1922" s="20"/>
      <c r="F1922" s="21"/>
      <c r="G1922" s="22"/>
      <c r="H1922" s="22"/>
      <c r="I1922" s="45"/>
      <c r="J1922" s="22"/>
      <c r="K1922" s="23"/>
      <c r="L1922" s="22"/>
      <c r="M1922" s="23"/>
      <c r="N1922" s="23"/>
      <c r="O1922" s="24"/>
      <c r="P1922" s="16" t="b">
        <v>0</v>
      </c>
      <c r="Q1922" s="24"/>
      <c r="R1922" s="48" t="str">
        <f t="shared" si="1882"/>
        <v/>
      </c>
      <c r="S1922" s="26"/>
      <c r="T1922" s="49" t="str">
        <f t="shared" si="1883"/>
        <v/>
      </c>
      <c r="U1922" s="24"/>
      <c r="V1922" s="66" t="s">
        <v>29</v>
      </c>
      <c r="W1922" s="29" t="str">
        <f t="shared" si="1874"/>
        <v>/</v>
      </c>
      <c r="X1922" s="37" t="s">
        <v>1228</v>
      </c>
      <c r="Y1922" s="31"/>
      <c r="Z1922" s="26" t="str">
        <f t="shared" si="5"/>
        <v/>
      </c>
      <c r="AA1922" s="26" t="str">
        <f t="shared" si="6"/>
        <v/>
      </c>
      <c r="AB1922" s="32" t="str">
        <f t="shared" si="7"/>
        <v/>
      </c>
      <c r="AC1922" s="32" t="str">
        <f t="shared" ref="AC1922:AG1922" si="1931">IF(J1922&lt;&gt;"", IF(AND($P1922=FALSE, $A1922=FALSE), -J1922, IF(AND($P1922=FALSE, $A1922=TRUE), 0, IF($P1922=TRUE, (J1922 / $R1922) * 100 * ($S1922 / 100)-J1922, ))), )</f>
        <v/>
      </c>
      <c r="AD1922" s="32" t="str">
        <f t="shared" si="1931"/>
        <v/>
      </c>
      <c r="AE1922" s="32" t="str">
        <f t="shared" si="1931"/>
        <v/>
      </c>
      <c r="AF1922" s="32" t="str">
        <f t="shared" si="1931"/>
        <v/>
      </c>
      <c r="AG1922" s="32" t="str">
        <f t="shared" si="1931"/>
        <v/>
      </c>
      <c r="AH1922" s="33"/>
    </row>
    <row r="1923" hidden="1" outlineLevel="2" collapsed="1">
      <c r="A1923" s="16" t="b">
        <v>0</v>
      </c>
      <c r="B1923" s="17"/>
      <c r="C1923" s="18"/>
      <c r="D1923" s="42">
        <v>45333.0</v>
      </c>
      <c r="E1923" s="20" t="s">
        <v>24</v>
      </c>
      <c r="F1923" s="53" t="s">
        <v>1216</v>
      </c>
      <c r="G1923" s="45">
        <v>1.0</v>
      </c>
      <c r="H1923" s="45"/>
      <c r="I1923" s="45">
        <v>5.0</v>
      </c>
      <c r="J1923" s="45">
        <v>1.0</v>
      </c>
      <c r="K1923" s="23"/>
      <c r="L1923" s="22"/>
      <c r="M1923" s="23"/>
      <c r="N1923" s="23"/>
      <c r="O1923" s="24"/>
      <c r="P1923" s="16" t="b">
        <v>0</v>
      </c>
      <c r="Q1923" s="24"/>
      <c r="R1923" s="48">
        <f t="shared" si="1882"/>
        <v>7</v>
      </c>
      <c r="S1923" s="26">
        <v>15.54</v>
      </c>
      <c r="T1923" s="49" t="str">
        <f t="shared" si="1883"/>
        <v>+122</v>
      </c>
      <c r="U1923" s="24"/>
      <c r="V1923" s="28" t="str">
        <f>IF(ISBLANK($D1923), "0",)</f>
        <v/>
      </c>
      <c r="W1923" s="29" t="str">
        <f t="shared" si="1874"/>
        <v/>
      </c>
      <c r="X1923" s="30"/>
      <c r="Y1923" s="31"/>
      <c r="Z1923" s="26">
        <f t="shared" si="5"/>
        <v>-1</v>
      </c>
      <c r="AA1923" s="26">
        <f t="shared" si="6"/>
        <v>-5</v>
      </c>
      <c r="AB1923" s="32" t="str">
        <f t="shared" si="7"/>
        <v/>
      </c>
      <c r="AC1923" s="32">
        <f t="shared" ref="AC1923:AG1923" si="1932">IF(J1923&lt;&gt;"", IF(AND($P1923=FALSE, $A1923=FALSE), -J1923, IF(AND($P1923=FALSE, $A1923=TRUE), 0, IF($P1923=TRUE, (J1923 / $R1923) * 100 * ($S1923 / 100)-J1923, ))), )</f>
        <v>-1</v>
      </c>
      <c r="AD1923" s="32" t="str">
        <f t="shared" si="1932"/>
        <v/>
      </c>
      <c r="AE1923" s="32" t="str">
        <f t="shared" si="1932"/>
        <v/>
      </c>
      <c r="AF1923" s="32" t="str">
        <f t="shared" si="1932"/>
        <v/>
      </c>
      <c r="AG1923" s="32" t="str">
        <f t="shared" si="1932"/>
        <v/>
      </c>
      <c r="AH1923" s="33"/>
    </row>
    <row r="1924" hidden="1" outlineLevel="3">
      <c r="A1924" s="16" t="b">
        <v>0</v>
      </c>
      <c r="B1924" s="17"/>
      <c r="C1924" s="18"/>
      <c r="D1924" s="19"/>
      <c r="E1924" s="20"/>
      <c r="F1924" s="21"/>
      <c r="G1924" s="22"/>
      <c r="H1924" s="22"/>
      <c r="I1924" s="45"/>
      <c r="J1924" s="22"/>
      <c r="K1924" s="23"/>
      <c r="L1924" s="22"/>
      <c r="M1924" s="23"/>
      <c r="N1924" s="23"/>
      <c r="O1924" s="24"/>
      <c r="P1924" s="16" t="b">
        <v>0</v>
      </c>
      <c r="Q1924" s="24"/>
      <c r="R1924" s="48" t="str">
        <f t="shared" si="1882"/>
        <v/>
      </c>
      <c r="S1924" s="26"/>
      <c r="T1924" s="49" t="str">
        <f t="shared" si="1883"/>
        <v/>
      </c>
      <c r="U1924" s="24"/>
      <c r="V1924" s="66" t="s">
        <v>1229</v>
      </c>
      <c r="W1924" s="29" t="str">
        <f t="shared" si="1874"/>
        <v>/</v>
      </c>
      <c r="X1924" s="37" t="s">
        <v>1230</v>
      </c>
      <c r="Y1924" s="31"/>
      <c r="Z1924" s="26" t="str">
        <f t="shared" si="5"/>
        <v/>
      </c>
      <c r="AA1924" s="26" t="str">
        <f t="shared" si="6"/>
        <v/>
      </c>
      <c r="AB1924" s="32" t="str">
        <f t="shared" si="7"/>
        <v/>
      </c>
      <c r="AC1924" s="32" t="str">
        <f t="shared" ref="AC1924:AG1924" si="1933">IF(J1924&lt;&gt;"", IF(AND($P1924=FALSE, $A1924=FALSE), -J1924, IF(AND($P1924=FALSE, $A1924=TRUE), 0, IF($P1924=TRUE, (J1924 / $R1924) * 100 * ($S1924 / 100)-J1924, ))), )</f>
        <v/>
      </c>
      <c r="AD1924" s="32" t="str">
        <f t="shared" si="1933"/>
        <v/>
      </c>
      <c r="AE1924" s="32" t="str">
        <f t="shared" si="1933"/>
        <v/>
      </c>
      <c r="AF1924" s="32" t="str">
        <f t="shared" si="1933"/>
        <v/>
      </c>
      <c r="AG1924" s="32" t="str">
        <f t="shared" si="1933"/>
        <v/>
      </c>
      <c r="AH1924" s="33"/>
    </row>
    <row r="1925" hidden="1" outlineLevel="2" collapsed="1">
      <c r="A1925" s="16" t="b">
        <v>0</v>
      </c>
      <c r="B1925" s="17"/>
      <c r="C1925" s="18"/>
      <c r="D1925" s="42">
        <v>45333.0</v>
      </c>
      <c r="E1925" s="20" t="s">
        <v>24</v>
      </c>
      <c r="F1925" s="53" t="s">
        <v>1216</v>
      </c>
      <c r="G1925" s="45">
        <v>0.1</v>
      </c>
      <c r="H1925" s="45"/>
      <c r="I1925" s="45">
        <v>1.0</v>
      </c>
      <c r="J1925" s="45">
        <v>0.1</v>
      </c>
      <c r="K1925" s="23"/>
      <c r="L1925" s="22"/>
      <c r="M1925" s="23"/>
      <c r="N1925" s="23"/>
      <c r="O1925" s="24"/>
      <c r="P1925" s="16" t="b">
        <v>0</v>
      </c>
      <c r="Q1925" s="24"/>
      <c r="R1925" s="48">
        <f t="shared" si="1882"/>
        <v>1.2</v>
      </c>
      <c r="S1925" s="26">
        <v>27.6</v>
      </c>
      <c r="T1925" s="49" t="str">
        <f t="shared" si="1883"/>
        <v>+2200</v>
      </c>
      <c r="U1925" s="24"/>
      <c r="V1925" s="28" t="str">
        <f>IF(ISBLANK($D1925), "0",)</f>
        <v/>
      </c>
      <c r="W1925" s="29" t="str">
        <f t="shared" si="1874"/>
        <v/>
      </c>
      <c r="X1925" s="30"/>
      <c r="Y1925" s="31"/>
      <c r="Z1925" s="26">
        <f t="shared" si="5"/>
        <v>-0.1</v>
      </c>
      <c r="AA1925" s="26">
        <f t="shared" si="6"/>
        <v>-1</v>
      </c>
      <c r="AB1925" s="32" t="str">
        <f t="shared" si="7"/>
        <v/>
      </c>
      <c r="AC1925" s="32">
        <f t="shared" ref="AC1925:AG1925" si="1934">IF(J1925&lt;&gt;"", IF(AND($P1925=FALSE, $A1925=FALSE), -J1925, IF(AND($P1925=FALSE, $A1925=TRUE), 0, IF($P1925=TRUE, (J1925 / $R1925) * 100 * ($S1925 / 100)-J1925, ))), )</f>
        <v>-0.1</v>
      </c>
      <c r="AD1925" s="32" t="str">
        <f t="shared" si="1934"/>
        <v/>
      </c>
      <c r="AE1925" s="32" t="str">
        <f t="shared" si="1934"/>
        <v/>
      </c>
      <c r="AF1925" s="32" t="str">
        <f t="shared" si="1934"/>
        <v/>
      </c>
      <c r="AG1925" s="32" t="str">
        <f t="shared" si="1934"/>
        <v/>
      </c>
      <c r="AH1925" s="33"/>
    </row>
    <row r="1926" hidden="1" outlineLevel="3">
      <c r="A1926" s="16" t="b">
        <v>0</v>
      </c>
      <c r="B1926" s="17"/>
      <c r="C1926" s="18"/>
      <c r="D1926" s="19"/>
      <c r="E1926" s="20"/>
      <c r="F1926" s="21"/>
      <c r="G1926" s="22"/>
      <c r="H1926" s="22"/>
      <c r="I1926" s="45"/>
      <c r="J1926" s="22"/>
      <c r="K1926" s="23"/>
      <c r="L1926" s="22"/>
      <c r="M1926" s="23"/>
      <c r="N1926" s="23"/>
      <c r="O1926" s="24"/>
      <c r="P1926" s="16" t="b">
        <v>0</v>
      </c>
      <c r="Q1926" s="24"/>
      <c r="R1926" s="48" t="str">
        <f t="shared" si="1882"/>
        <v/>
      </c>
      <c r="S1926" s="26"/>
      <c r="T1926" s="49" t="str">
        <f t="shared" si="1883"/>
        <v/>
      </c>
      <c r="U1926" s="24"/>
      <c r="V1926" s="66" t="s">
        <v>1229</v>
      </c>
      <c r="W1926" s="29" t="str">
        <f t="shared" si="1874"/>
        <v>/</v>
      </c>
      <c r="X1926" s="37" t="s">
        <v>1230</v>
      </c>
      <c r="Y1926" s="31"/>
      <c r="Z1926" s="26" t="str">
        <f t="shared" si="5"/>
        <v/>
      </c>
      <c r="AA1926" s="26" t="str">
        <f t="shared" si="6"/>
        <v/>
      </c>
      <c r="AB1926" s="32" t="str">
        <f t="shared" si="7"/>
        <v/>
      </c>
      <c r="AC1926" s="32" t="str">
        <f t="shared" ref="AC1926:AG1926" si="1935">IF(J1926&lt;&gt;"", IF(AND($P1926=FALSE, $A1926=FALSE), -J1926, IF(AND($P1926=FALSE, $A1926=TRUE), 0, IF($P1926=TRUE, (J1926 / $R1926) * 100 * ($S1926 / 100)-J1926, ))), )</f>
        <v/>
      </c>
      <c r="AD1926" s="32" t="str">
        <f t="shared" si="1935"/>
        <v/>
      </c>
      <c r="AE1926" s="32" t="str">
        <f t="shared" si="1935"/>
        <v/>
      </c>
      <c r="AF1926" s="32" t="str">
        <f t="shared" si="1935"/>
        <v/>
      </c>
      <c r="AG1926" s="32" t="str">
        <f t="shared" si="1935"/>
        <v/>
      </c>
      <c r="AH1926" s="33"/>
    </row>
    <row r="1927" hidden="1" outlineLevel="2" collapsed="1">
      <c r="A1927" s="16" t="b">
        <v>0</v>
      </c>
      <c r="B1927" s="17"/>
      <c r="C1927" s="18"/>
      <c r="D1927" s="42">
        <v>45333.0</v>
      </c>
      <c r="E1927" s="20" t="s">
        <v>24</v>
      </c>
      <c r="F1927" s="53" t="s">
        <v>1216</v>
      </c>
      <c r="G1927" s="45">
        <v>0.75</v>
      </c>
      <c r="H1927" s="45"/>
      <c r="I1927" s="45"/>
      <c r="J1927" s="22"/>
      <c r="K1927" s="23"/>
      <c r="L1927" s="22"/>
      <c r="M1927" s="23"/>
      <c r="N1927" s="23"/>
      <c r="O1927" s="24"/>
      <c r="P1927" s="16" t="b">
        <v>0</v>
      </c>
      <c r="Q1927" s="24"/>
      <c r="R1927" s="48">
        <f t="shared" si="1882"/>
        <v>0.75</v>
      </c>
      <c r="S1927" s="26">
        <v>3.0</v>
      </c>
      <c r="T1927" s="49" t="str">
        <f t="shared" si="1883"/>
        <v>+300</v>
      </c>
      <c r="U1927" s="24"/>
      <c r="V1927" s="28" t="str">
        <f>IF(ISBLANK($D1927), "0",)</f>
        <v/>
      </c>
      <c r="W1927" s="29" t="str">
        <f t="shared" si="1874"/>
        <v/>
      </c>
      <c r="X1927" s="30"/>
      <c r="Y1927" s="31"/>
      <c r="Z1927" s="26">
        <f t="shared" si="5"/>
        <v>-0.75</v>
      </c>
      <c r="AA1927" s="26" t="str">
        <f t="shared" si="6"/>
        <v/>
      </c>
      <c r="AB1927" s="32" t="str">
        <f t="shared" si="7"/>
        <v/>
      </c>
      <c r="AC1927" s="32" t="str">
        <f t="shared" ref="AC1927:AG1927" si="1936">IF(J1927&lt;&gt;"", IF(AND($P1927=FALSE, $A1927=FALSE), -J1927, IF(AND($P1927=FALSE, $A1927=TRUE), 0, IF($P1927=TRUE, (J1927 / $R1927) * 100 * ($S1927 / 100)-J1927, ))), )</f>
        <v/>
      </c>
      <c r="AD1927" s="32" t="str">
        <f t="shared" si="1936"/>
        <v/>
      </c>
      <c r="AE1927" s="32" t="str">
        <f t="shared" si="1936"/>
        <v/>
      </c>
      <c r="AF1927" s="32" t="str">
        <f t="shared" si="1936"/>
        <v/>
      </c>
      <c r="AG1927" s="32" t="str">
        <f t="shared" si="1936"/>
        <v/>
      </c>
      <c r="AH1927" s="33"/>
    </row>
    <row r="1928" hidden="1" outlineLevel="3">
      <c r="A1928" s="16" t="b">
        <v>0</v>
      </c>
      <c r="B1928" s="17"/>
      <c r="C1928" s="18"/>
      <c r="D1928" s="19"/>
      <c r="E1928" s="20"/>
      <c r="F1928" s="21"/>
      <c r="G1928" s="22"/>
      <c r="H1928" s="22"/>
      <c r="I1928" s="45"/>
      <c r="J1928" s="22"/>
      <c r="K1928" s="23"/>
      <c r="L1928" s="22"/>
      <c r="M1928" s="23"/>
      <c r="N1928" s="23"/>
      <c r="O1928" s="24"/>
      <c r="P1928" s="16" t="b">
        <v>0</v>
      </c>
      <c r="Q1928" s="24"/>
      <c r="R1928" s="48" t="str">
        <f t="shared" si="1882"/>
        <v/>
      </c>
      <c r="S1928" s="26"/>
      <c r="T1928" s="49" t="str">
        <f t="shared" si="1883"/>
        <v/>
      </c>
      <c r="U1928" s="24"/>
      <c r="V1928" s="66">
        <v>-3.0</v>
      </c>
      <c r="W1928" s="29" t="str">
        <f t="shared" si="1874"/>
        <v>/</v>
      </c>
      <c r="X1928" s="37" t="s">
        <v>1231</v>
      </c>
      <c r="Y1928" s="31"/>
      <c r="Z1928" s="26" t="str">
        <f t="shared" si="5"/>
        <v/>
      </c>
      <c r="AA1928" s="26" t="str">
        <f t="shared" si="6"/>
        <v/>
      </c>
      <c r="AB1928" s="32" t="str">
        <f t="shared" si="7"/>
        <v/>
      </c>
      <c r="AC1928" s="32" t="str">
        <f t="shared" ref="AC1928:AG1928" si="1937">IF(J1928&lt;&gt;"", IF(AND($P1928=FALSE, $A1928=FALSE), -J1928, IF(AND($P1928=FALSE, $A1928=TRUE), 0, IF($P1928=TRUE, (J1928 / $R1928) * 100 * ($S1928 / 100)-J1928, ))), )</f>
        <v/>
      </c>
      <c r="AD1928" s="32" t="str">
        <f t="shared" si="1937"/>
        <v/>
      </c>
      <c r="AE1928" s="32" t="str">
        <f t="shared" si="1937"/>
        <v/>
      </c>
      <c r="AF1928" s="32" t="str">
        <f t="shared" si="1937"/>
        <v/>
      </c>
      <c r="AG1928" s="32" t="str">
        <f t="shared" si="1937"/>
        <v/>
      </c>
      <c r="AH1928" s="33"/>
    </row>
    <row r="1929" hidden="1" outlineLevel="2" collapsed="1">
      <c r="A1929" s="16" t="b">
        <v>0</v>
      </c>
      <c r="B1929" s="17"/>
      <c r="C1929" s="18"/>
      <c r="D1929" s="42">
        <v>45333.0</v>
      </c>
      <c r="E1929" s="20" t="s">
        <v>24</v>
      </c>
      <c r="F1929" s="53" t="s">
        <v>1216</v>
      </c>
      <c r="G1929" s="45">
        <v>0.75</v>
      </c>
      <c r="H1929" s="45"/>
      <c r="I1929" s="45">
        <v>1.0</v>
      </c>
      <c r="J1929" s="36">
        <v>1.0</v>
      </c>
      <c r="K1929" s="23"/>
      <c r="L1929" s="22"/>
      <c r="M1929" s="23"/>
      <c r="N1929" s="23"/>
      <c r="O1929" s="24"/>
      <c r="P1929" s="16" t="b">
        <v>1</v>
      </c>
      <c r="Q1929" s="24"/>
      <c r="R1929" s="48">
        <f t="shared" si="1882"/>
        <v>2.75</v>
      </c>
      <c r="S1929" s="26">
        <v>12.11</v>
      </c>
      <c r="T1929" s="49" t="str">
        <f t="shared" si="1883"/>
        <v>+340</v>
      </c>
      <c r="U1929" s="24"/>
      <c r="V1929" s="28" t="str">
        <f>IF(ISBLANK($D1929), "0",)</f>
        <v/>
      </c>
      <c r="W1929" s="29" t="str">
        <f t="shared" si="1874"/>
        <v/>
      </c>
      <c r="X1929" s="30"/>
      <c r="Y1929" s="31"/>
      <c r="Z1929" s="26">
        <f t="shared" si="5"/>
        <v>2.552727273</v>
      </c>
      <c r="AA1929" s="26">
        <f t="shared" si="6"/>
        <v>3.403636364</v>
      </c>
      <c r="AB1929" s="32" t="str">
        <f t="shared" si="7"/>
        <v/>
      </c>
      <c r="AC1929" s="32">
        <f t="shared" ref="AC1929:AG1929" si="1938">IF(J1929&lt;&gt;"", IF(AND($P1929=FALSE, $A1929=FALSE), -J1929, IF(AND($P1929=FALSE, $A1929=TRUE), 0, IF($P1929=TRUE, (J1929 / $R1929) * 100 * ($S1929 / 100)-J1929, ))), )</f>
        <v>3.403636364</v>
      </c>
      <c r="AD1929" s="32" t="str">
        <f t="shared" si="1938"/>
        <v/>
      </c>
      <c r="AE1929" s="32" t="str">
        <f t="shared" si="1938"/>
        <v/>
      </c>
      <c r="AF1929" s="32" t="str">
        <f t="shared" si="1938"/>
        <v/>
      </c>
      <c r="AG1929" s="32" t="str">
        <f t="shared" si="1938"/>
        <v/>
      </c>
      <c r="AH1929" s="33"/>
    </row>
    <row r="1930" hidden="1" outlineLevel="3">
      <c r="A1930" s="16" t="b">
        <v>0</v>
      </c>
      <c r="B1930" s="17"/>
      <c r="C1930" s="18"/>
      <c r="D1930" s="19"/>
      <c r="E1930" s="20"/>
      <c r="F1930" s="21"/>
      <c r="G1930" s="22"/>
      <c r="H1930" s="22"/>
      <c r="I1930" s="45"/>
      <c r="J1930" s="22"/>
      <c r="K1930" s="23"/>
      <c r="L1930" s="22"/>
      <c r="M1930" s="23"/>
      <c r="N1930" s="23"/>
      <c r="O1930" s="24"/>
      <c r="P1930" s="16" t="b">
        <v>0</v>
      </c>
      <c r="Q1930" s="24"/>
      <c r="R1930" s="48" t="str">
        <f t="shared" si="1882"/>
        <v/>
      </c>
      <c r="S1930" s="26"/>
      <c r="T1930" s="49" t="str">
        <f t="shared" si="1883"/>
        <v/>
      </c>
      <c r="U1930" s="24"/>
      <c r="V1930" s="66" t="s">
        <v>29</v>
      </c>
      <c r="W1930" s="29" t="str">
        <f t="shared" si="1874"/>
        <v>/</v>
      </c>
      <c r="X1930" s="37" t="s">
        <v>1232</v>
      </c>
      <c r="Y1930" s="31"/>
      <c r="Z1930" s="26" t="str">
        <f t="shared" si="5"/>
        <v/>
      </c>
      <c r="AA1930" s="26" t="str">
        <f t="shared" si="6"/>
        <v/>
      </c>
      <c r="AB1930" s="32" t="str">
        <f t="shared" si="7"/>
        <v/>
      </c>
      <c r="AC1930" s="32" t="str">
        <f t="shared" ref="AC1930:AG1930" si="1939">IF(J1930&lt;&gt;"", IF(AND($P1930=FALSE, $A1930=FALSE), -J1930, IF(AND($P1930=FALSE, $A1930=TRUE), 0, IF($P1930=TRUE, (J1930 / $R1930) * 100 * ($S1930 / 100)-J1930, ))), )</f>
        <v/>
      </c>
      <c r="AD1930" s="32" t="str">
        <f t="shared" si="1939"/>
        <v/>
      </c>
      <c r="AE1930" s="32" t="str">
        <f t="shared" si="1939"/>
        <v/>
      </c>
      <c r="AF1930" s="32" t="str">
        <f t="shared" si="1939"/>
        <v/>
      </c>
      <c r="AG1930" s="32" t="str">
        <f t="shared" si="1939"/>
        <v/>
      </c>
      <c r="AH1930" s="33"/>
    </row>
    <row r="1931" hidden="1" outlineLevel="2" collapsed="1">
      <c r="A1931" s="16" t="b">
        <v>0</v>
      </c>
      <c r="B1931" s="17"/>
      <c r="C1931" s="18"/>
      <c r="D1931" s="42">
        <v>45333.0</v>
      </c>
      <c r="E1931" s="20" t="s">
        <v>24</v>
      </c>
      <c r="F1931" s="53" t="s">
        <v>1216</v>
      </c>
      <c r="G1931" s="45">
        <v>0.5</v>
      </c>
      <c r="H1931" s="45"/>
      <c r="I1931" s="45"/>
      <c r="J1931" s="36">
        <v>1.0</v>
      </c>
      <c r="K1931" s="23"/>
      <c r="L1931" s="22"/>
      <c r="M1931" s="23"/>
      <c r="N1931" s="23"/>
      <c r="O1931" s="24"/>
      <c r="P1931" s="16" t="b">
        <v>0</v>
      </c>
      <c r="Q1931" s="24"/>
      <c r="R1931" s="48">
        <f t="shared" si="1882"/>
        <v>1.5</v>
      </c>
      <c r="S1931" s="26">
        <v>4.8</v>
      </c>
      <c r="T1931" s="49" t="str">
        <f t="shared" si="1883"/>
        <v>+220</v>
      </c>
      <c r="U1931" s="24"/>
      <c r="V1931" s="28" t="str">
        <f>IF(ISBLANK($D1931), "0",)</f>
        <v/>
      </c>
      <c r="W1931" s="29" t="str">
        <f t="shared" si="1874"/>
        <v/>
      </c>
      <c r="X1931" s="30"/>
      <c r="Y1931" s="31"/>
      <c r="Z1931" s="26">
        <f t="shared" si="5"/>
        <v>-0.5</v>
      </c>
      <c r="AA1931" s="26" t="str">
        <f t="shared" si="6"/>
        <v/>
      </c>
      <c r="AB1931" s="32" t="str">
        <f t="shared" si="7"/>
        <v/>
      </c>
      <c r="AC1931" s="32">
        <f t="shared" ref="AC1931:AG1931" si="1940">IF(J1931&lt;&gt;"", IF(AND($P1931=FALSE, $A1931=FALSE), -J1931, IF(AND($P1931=FALSE, $A1931=TRUE), 0, IF($P1931=TRUE, (J1931 / $R1931) * 100 * ($S1931 / 100)-J1931, ))), )</f>
        <v>-1</v>
      </c>
      <c r="AD1931" s="32" t="str">
        <f t="shared" si="1940"/>
        <v/>
      </c>
      <c r="AE1931" s="32" t="str">
        <f t="shared" si="1940"/>
        <v/>
      </c>
      <c r="AF1931" s="32" t="str">
        <f t="shared" si="1940"/>
        <v/>
      </c>
      <c r="AG1931" s="32" t="str">
        <f t="shared" si="1940"/>
        <v/>
      </c>
      <c r="AH1931" s="33"/>
    </row>
    <row r="1932" hidden="1" outlineLevel="3">
      <c r="A1932" s="16" t="b">
        <v>0</v>
      </c>
      <c r="B1932" s="17"/>
      <c r="C1932" s="18"/>
      <c r="D1932" s="19"/>
      <c r="E1932" s="20"/>
      <c r="F1932" s="21"/>
      <c r="G1932" s="22"/>
      <c r="H1932" s="22"/>
      <c r="I1932" s="45"/>
      <c r="J1932" s="22"/>
      <c r="K1932" s="23"/>
      <c r="L1932" s="22"/>
      <c r="M1932" s="23"/>
      <c r="N1932" s="23"/>
      <c r="O1932" s="24"/>
      <c r="P1932" s="16" t="b">
        <v>0</v>
      </c>
      <c r="Q1932" s="24"/>
      <c r="R1932" s="48" t="str">
        <f t="shared" si="1882"/>
        <v/>
      </c>
      <c r="S1932" s="26"/>
      <c r="T1932" s="49" t="str">
        <f t="shared" si="1883"/>
        <v/>
      </c>
      <c r="U1932" s="24"/>
      <c r="V1932" s="66" t="s">
        <v>1233</v>
      </c>
      <c r="W1932" s="29" t="str">
        <f t="shared" si="1874"/>
        <v>/</v>
      </c>
      <c r="X1932" s="37" t="s">
        <v>1234</v>
      </c>
      <c r="Y1932" s="31"/>
      <c r="Z1932" s="26" t="str">
        <f t="shared" si="5"/>
        <v/>
      </c>
      <c r="AA1932" s="26" t="str">
        <f t="shared" si="6"/>
        <v/>
      </c>
      <c r="AB1932" s="32" t="str">
        <f t="shared" si="7"/>
        <v/>
      </c>
      <c r="AC1932" s="32" t="str">
        <f t="shared" ref="AC1932:AG1932" si="1941">IF(J1932&lt;&gt;"", IF(AND($P1932=FALSE, $A1932=FALSE), -J1932, IF(AND($P1932=FALSE, $A1932=TRUE), 0, IF($P1932=TRUE, (J1932 / $R1932) * 100 * ($S1932 / 100)-J1932, ))), )</f>
        <v/>
      </c>
      <c r="AD1932" s="32" t="str">
        <f t="shared" si="1941"/>
        <v/>
      </c>
      <c r="AE1932" s="32" t="str">
        <f t="shared" si="1941"/>
        <v/>
      </c>
      <c r="AF1932" s="32" t="str">
        <f t="shared" si="1941"/>
        <v/>
      </c>
      <c r="AG1932" s="32" t="str">
        <f t="shared" si="1941"/>
        <v/>
      </c>
      <c r="AH1932" s="33"/>
    </row>
    <row r="1933" hidden="1" outlineLevel="2" collapsed="1">
      <c r="A1933" s="16" t="b">
        <v>0</v>
      </c>
      <c r="B1933" s="17"/>
      <c r="C1933" s="18"/>
      <c r="D1933" s="42">
        <v>45333.0</v>
      </c>
      <c r="E1933" s="20" t="s">
        <v>24</v>
      </c>
      <c r="F1933" s="53" t="s">
        <v>1216</v>
      </c>
      <c r="G1933" s="45">
        <v>2.0</v>
      </c>
      <c r="H1933" s="45"/>
      <c r="I1933" s="45"/>
      <c r="J1933" s="36">
        <v>1.0</v>
      </c>
      <c r="K1933" s="23"/>
      <c r="L1933" s="22"/>
      <c r="M1933" s="23"/>
      <c r="N1933" s="23"/>
      <c r="O1933" s="24"/>
      <c r="P1933" s="16" t="b">
        <v>0</v>
      </c>
      <c r="Q1933" s="24"/>
      <c r="R1933" s="48">
        <f t="shared" si="1882"/>
        <v>3</v>
      </c>
      <c r="S1933" s="26">
        <v>6.3</v>
      </c>
      <c r="T1933" s="49" t="str">
        <f t="shared" si="1883"/>
        <v>+110</v>
      </c>
      <c r="U1933" s="24"/>
      <c r="V1933" s="28" t="str">
        <f>IF(ISBLANK($D1933), "0",)</f>
        <v/>
      </c>
      <c r="W1933" s="29" t="str">
        <f t="shared" si="1874"/>
        <v/>
      </c>
      <c r="X1933" s="30"/>
      <c r="Y1933" s="31"/>
      <c r="Z1933" s="26">
        <f t="shared" si="5"/>
        <v>-2</v>
      </c>
      <c r="AA1933" s="26" t="str">
        <f t="shared" si="6"/>
        <v/>
      </c>
      <c r="AB1933" s="32" t="str">
        <f t="shared" si="7"/>
        <v/>
      </c>
      <c r="AC1933" s="32">
        <f t="shared" ref="AC1933:AG1933" si="1942">IF(J1933&lt;&gt;"", IF(AND($P1933=FALSE, $A1933=FALSE), -J1933, IF(AND($P1933=FALSE, $A1933=TRUE), 0, IF($P1933=TRUE, (J1933 / $R1933) * 100 * ($S1933 / 100)-J1933, ))), )</f>
        <v>-1</v>
      </c>
      <c r="AD1933" s="32" t="str">
        <f t="shared" si="1942"/>
        <v/>
      </c>
      <c r="AE1933" s="32" t="str">
        <f t="shared" si="1942"/>
        <v/>
      </c>
      <c r="AF1933" s="32" t="str">
        <f t="shared" si="1942"/>
        <v/>
      </c>
      <c r="AG1933" s="32" t="str">
        <f t="shared" si="1942"/>
        <v/>
      </c>
      <c r="AH1933" s="33"/>
    </row>
    <row r="1934" hidden="1" outlineLevel="3">
      <c r="A1934" s="16" t="b">
        <v>0</v>
      </c>
      <c r="B1934" s="17"/>
      <c r="C1934" s="18"/>
      <c r="D1934" s="19"/>
      <c r="E1934" s="20"/>
      <c r="F1934" s="21"/>
      <c r="G1934" s="22"/>
      <c r="H1934" s="22"/>
      <c r="I1934" s="45"/>
      <c r="J1934" s="22"/>
      <c r="K1934" s="23"/>
      <c r="L1934" s="22"/>
      <c r="M1934" s="23"/>
      <c r="N1934" s="23"/>
      <c r="O1934" s="24"/>
      <c r="P1934" s="16" t="b">
        <v>0</v>
      </c>
      <c r="Q1934" s="24"/>
      <c r="R1934" s="48" t="str">
        <f t="shared" si="1882"/>
        <v/>
      </c>
      <c r="S1934" s="26"/>
      <c r="T1934" s="49" t="str">
        <f t="shared" si="1883"/>
        <v/>
      </c>
      <c r="U1934" s="24"/>
      <c r="V1934" s="66" t="s">
        <v>29</v>
      </c>
      <c r="W1934" s="29" t="str">
        <f t="shared" si="1874"/>
        <v>/</v>
      </c>
      <c r="X1934" s="37" t="s">
        <v>1235</v>
      </c>
      <c r="Y1934" s="31"/>
      <c r="Z1934" s="26" t="str">
        <f t="shared" si="5"/>
        <v/>
      </c>
      <c r="AA1934" s="26" t="str">
        <f t="shared" si="6"/>
        <v/>
      </c>
      <c r="AB1934" s="32" t="str">
        <f t="shared" si="7"/>
        <v/>
      </c>
      <c r="AC1934" s="32" t="str">
        <f t="shared" ref="AC1934:AG1934" si="1943">IF(J1934&lt;&gt;"", IF(AND($P1934=FALSE, $A1934=FALSE), -J1934, IF(AND($P1934=FALSE, $A1934=TRUE), 0, IF($P1934=TRUE, (J1934 / $R1934) * 100 * ($S1934 / 100)-J1934, ))), )</f>
        <v/>
      </c>
      <c r="AD1934" s="32" t="str">
        <f t="shared" si="1943"/>
        <v/>
      </c>
      <c r="AE1934" s="32" t="str">
        <f t="shared" si="1943"/>
        <v/>
      </c>
      <c r="AF1934" s="32" t="str">
        <f t="shared" si="1943"/>
        <v/>
      </c>
      <c r="AG1934" s="32" t="str">
        <f t="shared" si="1943"/>
        <v/>
      </c>
      <c r="AH1934" s="33"/>
    </row>
    <row r="1935" hidden="1" outlineLevel="3">
      <c r="A1935" s="16" t="b">
        <v>0</v>
      </c>
      <c r="B1935" s="17"/>
      <c r="C1935" s="18"/>
      <c r="D1935" s="19"/>
      <c r="E1935" s="20"/>
      <c r="F1935" s="21"/>
      <c r="G1935" s="22"/>
      <c r="H1935" s="22"/>
      <c r="I1935" s="45"/>
      <c r="J1935" s="22"/>
      <c r="K1935" s="23"/>
      <c r="L1935" s="22"/>
      <c r="M1935" s="23"/>
      <c r="N1935" s="23"/>
      <c r="O1935" s="24"/>
      <c r="P1935" s="16" t="b">
        <v>0</v>
      </c>
      <c r="Q1935" s="24"/>
      <c r="R1935" s="48" t="str">
        <f t="shared" si="1882"/>
        <v/>
      </c>
      <c r="S1935" s="26"/>
      <c r="T1935" s="49" t="str">
        <f t="shared" si="1883"/>
        <v/>
      </c>
      <c r="U1935" s="24"/>
      <c r="V1935" s="28" t="str">
        <f t="shared" ref="V1935:V1937" si="1945">IF(ISBLANK($D1935), "0",)</f>
        <v>0</v>
      </c>
      <c r="W1935" s="29" t="str">
        <f t="shared" si="1874"/>
        <v>/</v>
      </c>
      <c r="X1935" s="37" t="s">
        <v>491</v>
      </c>
      <c r="Y1935" s="31"/>
      <c r="Z1935" s="26" t="str">
        <f t="shared" si="5"/>
        <v/>
      </c>
      <c r="AA1935" s="26" t="str">
        <f t="shared" si="6"/>
        <v/>
      </c>
      <c r="AB1935" s="32" t="str">
        <f t="shared" si="7"/>
        <v/>
      </c>
      <c r="AC1935" s="32" t="str">
        <f t="shared" ref="AC1935:AG1935" si="1944">IF(J1935&lt;&gt;"", IF(AND($P1935=FALSE, $A1935=FALSE), -J1935, IF(AND($P1935=FALSE, $A1935=TRUE), 0, IF($P1935=TRUE, (J1935 / $R1935) * 100 * ($S1935 / 100)-J1935, ))), )</f>
        <v/>
      </c>
      <c r="AD1935" s="32" t="str">
        <f t="shared" si="1944"/>
        <v/>
      </c>
      <c r="AE1935" s="32" t="str">
        <f t="shared" si="1944"/>
        <v/>
      </c>
      <c r="AF1935" s="32" t="str">
        <f t="shared" si="1944"/>
        <v/>
      </c>
      <c r="AG1935" s="32" t="str">
        <f t="shared" si="1944"/>
        <v/>
      </c>
      <c r="AH1935" s="33"/>
    </row>
    <row r="1936" hidden="1" outlineLevel="2" collapsed="1">
      <c r="A1936" s="16" t="b">
        <v>0</v>
      </c>
      <c r="B1936" s="17"/>
      <c r="C1936" s="18"/>
      <c r="D1936" s="42">
        <v>45333.0</v>
      </c>
      <c r="E1936" s="20" t="s">
        <v>24</v>
      </c>
      <c r="F1936" s="53" t="s">
        <v>1216</v>
      </c>
      <c r="G1936" s="45">
        <v>2.5</v>
      </c>
      <c r="H1936" s="45"/>
      <c r="I1936" s="45"/>
      <c r="J1936" s="36">
        <v>1.0</v>
      </c>
      <c r="K1936" s="23"/>
      <c r="L1936" s="22"/>
      <c r="M1936" s="23"/>
      <c r="N1936" s="23"/>
      <c r="O1936" s="24"/>
      <c r="P1936" s="16" t="b">
        <v>0</v>
      </c>
      <c r="Q1936" s="24"/>
      <c r="R1936" s="48">
        <f t="shared" si="1882"/>
        <v>3.5</v>
      </c>
      <c r="S1936" s="26">
        <v>7.88</v>
      </c>
      <c r="T1936" s="49" t="str">
        <f t="shared" si="1883"/>
        <v>+125</v>
      </c>
      <c r="U1936" s="24"/>
      <c r="V1936" s="28" t="str">
        <f t="shared" si="1945"/>
        <v/>
      </c>
      <c r="W1936" s="29" t="str">
        <f t="shared" si="1874"/>
        <v/>
      </c>
      <c r="X1936" s="30"/>
      <c r="Y1936" s="31"/>
      <c r="Z1936" s="26">
        <f t="shared" si="5"/>
        <v>-2.5</v>
      </c>
      <c r="AA1936" s="26" t="str">
        <f t="shared" si="6"/>
        <v/>
      </c>
      <c r="AB1936" s="32" t="str">
        <f t="shared" si="7"/>
        <v/>
      </c>
      <c r="AC1936" s="32">
        <f t="shared" ref="AC1936:AG1936" si="1946">IF(J1936&lt;&gt;"", IF(AND($P1936=FALSE, $A1936=FALSE), -J1936, IF(AND($P1936=FALSE, $A1936=TRUE), 0, IF($P1936=TRUE, (J1936 / $R1936) * 100 * ($S1936 / 100)-J1936, ))), )</f>
        <v>-1</v>
      </c>
      <c r="AD1936" s="32" t="str">
        <f t="shared" si="1946"/>
        <v/>
      </c>
      <c r="AE1936" s="32" t="str">
        <f t="shared" si="1946"/>
        <v/>
      </c>
      <c r="AF1936" s="32" t="str">
        <f t="shared" si="1946"/>
        <v/>
      </c>
      <c r="AG1936" s="32" t="str">
        <f t="shared" si="1946"/>
        <v/>
      </c>
      <c r="AH1936" s="33"/>
    </row>
    <row r="1937" hidden="1" outlineLevel="3">
      <c r="A1937" s="16" t="b">
        <v>0</v>
      </c>
      <c r="B1937" s="17"/>
      <c r="C1937" s="18"/>
      <c r="D1937" s="19"/>
      <c r="E1937" s="20"/>
      <c r="F1937" s="21"/>
      <c r="G1937" s="22"/>
      <c r="H1937" s="22"/>
      <c r="I1937" s="45"/>
      <c r="J1937" s="22"/>
      <c r="K1937" s="23"/>
      <c r="L1937" s="22"/>
      <c r="M1937" s="23"/>
      <c r="N1937" s="23"/>
      <c r="O1937" s="24"/>
      <c r="P1937" s="16" t="b">
        <v>0</v>
      </c>
      <c r="Q1937" s="24"/>
      <c r="R1937" s="48" t="str">
        <f t="shared" si="1882"/>
        <v/>
      </c>
      <c r="S1937" s="26"/>
      <c r="T1937" s="49" t="str">
        <f t="shared" si="1883"/>
        <v/>
      </c>
      <c r="U1937" s="24"/>
      <c r="V1937" s="28" t="str">
        <f t="shared" si="1945"/>
        <v>0</v>
      </c>
      <c r="W1937" s="29" t="str">
        <f t="shared" si="1874"/>
        <v>/</v>
      </c>
      <c r="X1937" s="37" t="s">
        <v>491</v>
      </c>
      <c r="Y1937" s="31"/>
      <c r="Z1937" s="26" t="str">
        <f t="shared" si="5"/>
        <v/>
      </c>
      <c r="AA1937" s="26" t="str">
        <f t="shared" si="6"/>
        <v/>
      </c>
      <c r="AB1937" s="32" t="str">
        <f t="shared" si="7"/>
        <v/>
      </c>
      <c r="AC1937" s="32" t="str">
        <f t="shared" ref="AC1937:AG1937" si="1947">IF(J1937&lt;&gt;"", IF(AND($P1937=FALSE, $A1937=FALSE), -J1937, IF(AND($P1937=FALSE, $A1937=TRUE), 0, IF($P1937=TRUE, (J1937 / $R1937) * 100 * ($S1937 / 100)-J1937, ))), )</f>
        <v/>
      </c>
      <c r="AD1937" s="32" t="str">
        <f t="shared" si="1947"/>
        <v/>
      </c>
      <c r="AE1937" s="32" t="str">
        <f t="shared" si="1947"/>
        <v/>
      </c>
      <c r="AF1937" s="32" t="str">
        <f t="shared" si="1947"/>
        <v/>
      </c>
      <c r="AG1937" s="32" t="str">
        <f t="shared" si="1947"/>
        <v/>
      </c>
      <c r="AH1937" s="33"/>
    </row>
    <row r="1938" hidden="1" outlineLevel="3">
      <c r="A1938" s="16" t="b">
        <v>0</v>
      </c>
      <c r="B1938" s="17"/>
      <c r="C1938" s="18"/>
      <c r="D1938" s="19"/>
      <c r="E1938" s="20"/>
      <c r="F1938" s="21"/>
      <c r="G1938" s="22"/>
      <c r="H1938" s="22"/>
      <c r="I1938" s="45"/>
      <c r="J1938" s="22"/>
      <c r="K1938" s="23"/>
      <c r="L1938" s="22"/>
      <c r="M1938" s="23"/>
      <c r="N1938" s="23"/>
      <c r="O1938" s="24"/>
      <c r="P1938" s="16" t="b">
        <v>0</v>
      </c>
      <c r="Q1938" s="24"/>
      <c r="R1938" s="48" t="str">
        <f t="shared" si="1882"/>
        <v/>
      </c>
      <c r="S1938" s="26"/>
      <c r="T1938" s="49" t="str">
        <f t="shared" si="1883"/>
        <v/>
      </c>
      <c r="U1938" s="24"/>
      <c r="V1938" s="66" t="s">
        <v>29</v>
      </c>
      <c r="W1938" s="29" t="str">
        <f t="shared" si="1874"/>
        <v>/</v>
      </c>
      <c r="X1938" s="37" t="s">
        <v>1236</v>
      </c>
      <c r="Y1938" s="31"/>
      <c r="Z1938" s="26" t="str">
        <f t="shared" si="5"/>
        <v/>
      </c>
      <c r="AA1938" s="26" t="str">
        <f t="shared" si="6"/>
        <v/>
      </c>
      <c r="AB1938" s="32" t="str">
        <f t="shared" si="7"/>
        <v/>
      </c>
      <c r="AC1938" s="32" t="str">
        <f t="shared" ref="AC1938:AG1938" si="1948">IF(J1938&lt;&gt;"", IF(AND($P1938=FALSE, $A1938=FALSE), -J1938, IF(AND($P1938=FALSE, $A1938=TRUE), 0, IF($P1938=TRUE, (J1938 / $R1938) * 100 * ($S1938 / 100)-J1938, ))), )</f>
        <v/>
      </c>
      <c r="AD1938" s="32" t="str">
        <f t="shared" si="1948"/>
        <v/>
      </c>
      <c r="AE1938" s="32" t="str">
        <f t="shared" si="1948"/>
        <v/>
      </c>
      <c r="AF1938" s="32" t="str">
        <f t="shared" si="1948"/>
        <v/>
      </c>
      <c r="AG1938" s="32" t="str">
        <f t="shared" si="1948"/>
        <v/>
      </c>
      <c r="AH1938" s="33"/>
    </row>
    <row r="1939" hidden="1" outlineLevel="2" collapsed="1">
      <c r="A1939" s="16" t="b">
        <v>0</v>
      </c>
      <c r="B1939" s="17"/>
      <c r="C1939" s="18"/>
      <c r="D1939" s="42">
        <v>45333.0</v>
      </c>
      <c r="E1939" s="20" t="s">
        <v>24</v>
      </c>
      <c r="F1939" s="53" t="s">
        <v>1216</v>
      </c>
      <c r="G1939" s="45">
        <v>1.0</v>
      </c>
      <c r="H1939" s="45"/>
      <c r="I1939" s="45"/>
      <c r="J1939" s="22"/>
      <c r="K1939" s="23"/>
      <c r="L1939" s="22"/>
      <c r="M1939" s="23"/>
      <c r="N1939" s="23"/>
      <c r="O1939" s="24"/>
      <c r="P1939" s="16" t="b">
        <v>1</v>
      </c>
      <c r="Q1939" s="24"/>
      <c r="R1939" s="48">
        <f t="shared" si="1882"/>
        <v>1</v>
      </c>
      <c r="S1939" s="26">
        <v>2.75</v>
      </c>
      <c r="T1939" s="49" t="str">
        <f t="shared" si="1883"/>
        <v>+175</v>
      </c>
      <c r="U1939" s="24"/>
      <c r="V1939" s="28" t="str">
        <f>IF(ISBLANK($D1939), "0",)</f>
        <v/>
      </c>
      <c r="W1939" s="29" t="str">
        <f t="shared" si="1874"/>
        <v/>
      </c>
      <c r="X1939" s="30"/>
      <c r="Y1939" s="31"/>
      <c r="Z1939" s="26">
        <f t="shared" si="5"/>
        <v>1.75</v>
      </c>
      <c r="AA1939" s="26" t="str">
        <f t="shared" si="6"/>
        <v/>
      </c>
      <c r="AB1939" s="32" t="str">
        <f t="shared" si="7"/>
        <v/>
      </c>
      <c r="AC1939" s="32" t="str">
        <f t="shared" ref="AC1939:AG1939" si="1949">IF(J1939&lt;&gt;"", IF(AND($P1939=FALSE, $A1939=FALSE), -J1939, IF(AND($P1939=FALSE, $A1939=TRUE), 0, IF($P1939=TRUE, (J1939 / $R1939) * 100 * ($S1939 / 100)-J1939, ))), )</f>
        <v/>
      </c>
      <c r="AD1939" s="32" t="str">
        <f t="shared" si="1949"/>
        <v/>
      </c>
      <c r="AE1939" s="32" t="str">
        <f t="shared" si="1949"/>
        <v/>
      </c>
      <c r="AF1939" s="32" t="str">
        <f t="shared" si="1949"/>
        <v/>
      </c>
      <c r="AG1939" s="32" t="str">
        <f t="shared" si="1949"/>
        <v/>
      </c>
      <c r="AH1939" s="33"/>
    </row>
    <row r="1940" hidden="1" outlineLevel="3">
      <c r="A1940" s="16" t="b">
        <v>0</v>
      </c>
      <c r="B1940" s="17"/>
      <c r="C1940" s="18"/>
      <c r="D1940" s="19"/>
      <c r="E1940" s="20"/>
      <c r="F1940" s="21"/>
      <c r="G1940" s="22"/>
      <c r="H1940" s="22"/>
      <c r="I1940" s="45"/>
      <c r="J1940" s="22"/>
      <c r="K1940" s="23"/>
      <c r="L1940" s="22"/>
      <c r="M1940" s="23"/>
      <c r="N1940" s="23"/>
      <c r="O1940" s="24"/>
      <c r="P1940" s="16" t="b">
        <v>0</v>
      </c>
      <c r="Q1940" s="24"/>
      <c r="R1940" s="48" t="str">
        <f t="shared" si="1882"/>
        <v/>
      </c>
      <c r="S1940" s="26"/>
      <c r="T1940" s="49" t="str">
        <f t="shared" si="1883"/>
        <v/>
      </c>
      <c r="U1940" s="24"/>
      <c r="V1940" s="66" t="s">
        <v>29</v>
      </c>
      <c r="W1940" s="29" t="str">
        <f t="shared" si="1874"/>
        <v>/</v>
      </c>
      <c r="X1940" s="37" t="s">
        <v>679</v>
      </c>
      <c r="Y1940" s="31"/>
      <c r="Z1940" s="26" t="str">
        <f t="shared" si="5"/>
        <v/>
      </c>
      <c r="AA1940" s="26" t="str">
        <f t="shared" si="6"/>
        <v/>
      </c>
      <c r="AB1940" s="32" t="str">
        <f t="shared" si="7"/>
        <v/>
      </c>
      <c r="AC1940" s="32" t="str">
        <f t="shared" ref="AC1940:AG1940" si="1950">IF(J1940&lt;&gt;"", IF(AND($P1940=FALSE, $A1940=FALSE), -J1940, IF(AND($P1940=FALSE, $A1940=TRUE), 0, IF($P1940=TRUE, (J1940 / $R1940) * 100 * ($S1940 / 100)-J1940, ))), )</f>
        <v/>
      </c>
      <c r="AD1940" s="32" t="str">
        <f t="shared" si="1950"/>
        <v/>
      </c>
      <c r="AE1940" s="32" t="str">
        <f t="shared" si="1950"/>
        <v/>
      </c>
      <c r="AF1940" s="32" t="str">
        <f t="shared" si="1950"/>
        <v/>
      </c>
      <c r="AG1940" s="32" t="str">
        <f t="shared" si="1950"/>
        <v/>
      </c>
      <c r="AH1940" s="33"/>
    </row>
    <row r="1941" hidden="1" outlineLevel="3">
      <c r="A1941" s="16" t="b">
        <v>0</v>
      </c>
      <c r="B1941" s="17"/>
      <c r="C1941" s="18"/>
      <c r="D1941" s="19"/>
      <c r="E1941" s="20"/>
      <c r="F1941" s="21"/>
      <c r="G1941" s="22"/>
      <c r="H1941" s="22"/>
      <c r="I1941" s="45"/>
      <c r="J1941" s="22"/>
      <c r="K1941" s="23"/>
      <c r="L1941" s="22"/>
      <c r="M1941" s="23"/>
      <c r="N1941" s="23"/>
      <c r="O1941" s="24"/>
      <c r="P1941" s="16" t="b">
        <v>0</v>
      </c>
      <c r="Q1941" s="24"/>
      <c r="R1941" s="48" t="str">
        <f t="shared" si="1882"/>
        <v/>
      </c>
      <c r="S1941" s="26"/>
      <c r="T1941" s="49" t="str">
        <f t="shared" si="1883"/>
        <v/>
      </c>
      <c r="U1941" s="24"/>
      <c r="V1941" s="66" t="s">
        <v>29</v>
      </c>
      <c r="W1941" s="29" t="str">
        <f t="shared" si="1874"/>
        <v>/</v>
      </c>
      <c r="X1941" s="37" t="s">
        <v>1236</v>
      </c>
      <c r="Y1941" s="31"/>
      <c r="Z1941" s="26" t="str">
        <f t="shared" si="5"/>
        <v/>
      </c>
      <c r="AA1941" s="26" t="str">
        <f t="shared" si="6"/>
        <v/>
      </c>
      <c r="AB1941" s="32" t="str">
        <f t="shared" si="7"/>
        <v/>
      </c>
      <c r="AC1941" s="32" t="str">
        <f t="shared" ref="AC1941:AG1941" si="1951">IF(J1941&lt;&gt;"", IF(AND($P1941=FALSE, $A1941=FALSE), -J1941, IF(AND($P1941=FALSE, $A1941=TRUE), 0, IF($P1941=TRUE, (J1941 / $R1941) * 100 * ($S1941 / 100)-J1941, ))), )</f>
        <v/>
      </c>
      <c r="AD1941" s="32" t="str">
        <f t="shared" si="1951"/>
        <v/>
      </c>
      <c r="AE1941" s="32" t="str">
        <f t="shared" si="1951"/>
        <v/>
      </c>
      <c r="AF1941" s="32" t="str">
        <f t="shared" si="1951"/>
        <v/>
      </c>
      <c r="AG1941" s="32" t="str">
        <f t="shared" si="1951"/>
        <v/>
      </c>
      <c r="AH1941" s="33"/>
    </row>
    <row r="1942" hidden="1" outlineLevel="2" collapsed="1">
      <c r="A1942" s="16" t="b">
        <v>0</v>
      </c>
      <c r="B1942" s="17"/>
      <c r="C1942" s="18"/>
      <c r="D1942" s="42">
        <v>45333.0</v>
      </c>
      <c r="E1942" s="20" t="s">
        <v>24</v>
      </c>
      <c r="F1942" s="53" t="s">
        <v>1216</v>
      </c>
      <c r="G1942" s="45">
        <v>1.0</v>
      </c>
      <c r="H1942" s="45"/>
      <c r="I1942" s="45">
        <v>5.0</v>
      </c>
      <c r="J1942" s="22"/>
      <c r="K1942" s="23"/>
      <c r="L1942" s="22"/>
      <c r="M1942" s="23"/>
      <c r="N1942" s="23"/>
      <c r="O1942" s="24"/>
      <c r="P1942" s="16" t="b">
        <v>0</v>
      </c>
      <c r="Q1942" s="24"/>
      <c r="R1942" s="48">
        <f t="shared" si="1882"/>
        <v>6</v>
      </c>
      <c r="S1942" s="26">
        <v>13.56</v>
      </c>
      <c r="T1942" s="49" t="str">
        <f t="shared" si="1883"/>
        <v>+126</v>
      </c>
      <c r="U1942" s="24"/>
      <c r="V1942" s="28" t="str">
        <f t="shared" ref="V1942:V1944" si="1953">IF(ISBLANK($D1942), "0",)</f>
        <v/>
      </c>
      <c r="W1942" s="29" t="str">
        <f t="shared" si="1874"/>
        <v/>
      </c>
      <c r="X1942" s="30"/>
      <c r="Y1942" s="31"/>
      <c r="Z1942" s="26">
        <f t="shared" si="5"/>
        <v>-1</v>
      </c>
      <c r="AA1942" s="26">
        <f t="shared" si="6"/>
        <v>-5</v>
      </c>
      <c r="AB1942" s="32" t="str">
        <f t="shared" si="7"/>
        <v/>
      </c>
      <c r="AC1942" s="32" t="str">
        <f t="shared" ref="AC1942:AG1942" si="1952">IF(J1942&lt;&gt;"", IF(AND($P1942=FALSE, $A1942=FALSE), -J1942, IF(AND($P1942=FALSE, $A1942=TRUE), 0, IF($P1942=TRUE, (J1942 / $R1942) * 100 * ($S1942 / 100)-J1942, ))), )</f>
        <v/>
      </c>
      <c r="AD1942" s="32" t="str">
        <f t="shared" si="1952"/>
        <v/>
      </c>
      <c r="AE1942" s="32" t="str">
        <f t="shared" si="1952"/>
        <v/>
      </c>
      <c r="AF1942" s="32" t="str">
        <f t="shared" si="1952"/>
        <v/>
      </c>
      <c r="AG1942" s="32" t="str">
        <f t="shared" si="1952"/>
        <v/>
      </c>
      <c r="AH1942" s="33"/>
    </row>
    <row r="1943" hidden="1" outlineLevel="3">
      <c r="A1943" s="16" t="b">
        <v>0</v>
      </c>
      <c r="B1943" s="17"/>
      <c r="C1943" s="18"/>
      <c r="D1943" s="19"/>
      <c r="E1943" s="20"/>
      <c r="F1943" s="21"/>
      <c r="G1943" s="22"/>
      <c r="H1943" s="22"/>
      <c r="I1943" s="45"/>
      <c r="J1943" s="22"/>
      <c r="K1943" s="23"/>
      <c r="L1943" s="22"/>
      <c r="M1943" s="23"/>
      <c r="N1943" s="23"/>
      <c r="O1943" s="24"/>
      <c r="P1943" s="16" t="b">
        <v>0</v>
      </c>
      <c r="Q1943" s="24"/>
      <c r="R1943" s="48" t="str">
        <f t="shared" si="1882"/>
        <v/>
      </c>
      <c r="S1943" s="26"/>
      <c r="T1943" s="49" t="str">
        <f t="shared" si="1883"/>
        <v/>
      </c>
      <c r="U1943" s="24"/>
      <c r="V1943" s="28" t="str">
        <f t="shared" si="1953"/>
        <v>0</v>
      </c>
      <c r="W1943" s="29" t="str">
        <f t="shared" si="1874"/>
        <v>/</v>
      </c>
      <c r="X1943" s="37" t="s">
        <v>1237</v>
      </c>
      <c r="Y1943" s="31"/>
      <c r="Z1943" s="26" t="str">
        <f t="shared" si="5"/>
        <v/>
      </c>
      <c r="AA1943" s="26" t="str">
        <f t="shared" si="6"/>
        <v/>
      </c>
      <c r="AB1943" s="32" t="str">
        <f t="shared" si="7"/>
        <v/>
      </c>
      <c r="AC1943" s="32" t="str">
        <f t="shared" ref="AC1943:AG1943" si="1954">IF(J1943&lt;&gt;"", IF(AND($P1943=FALSE, $A1943=FALSE), -J1943, IF(AND($P1943=FALSE, $A1943=TRUE), 0, IF($P1943=TRUE, (J1943 / $R1943) * 100 * ($S1943 / 100)-J1943, ))), )</f>
        <v/>
      </c>
      <c r="AD1943" s="32" t="str">
        <f t="shared" si="1954"/>
        <v/>
      </c>
      <c r="AE1943" s="32" t="str">
        <f t="shared" si="1954"/>
        <v/>
      </c>
      <c r="AF1943" s="32" t="str">
        <f t="shared" si="1954"/>
        <v/>
      </c>
      <c r="AG1943" s="32" t="str">
        <f t="shared" si="1954"/>
        <v/>
      </c>
      <c r="AH1943" s="33"/>
    </row>
    <row r="1944" hidden="1" outlineLevel="2" collapsed="1">
      <c r="A1944" s="16" t="b">
        <v>0</v>
      </c>
      <c r="B1944" s="17"/>
      <c r="C1944" s="18"/>
      <c r="D1944" s="42">
        <v>45333.0</v>
      </c>
      <c r="E1944" s="20" t="s">
        <v>24</v>
      </c>
      <c r="F1944" s="53" t="s">
        <v>1216</v>
      </c>
      <c r="G1944" s="45">
        <v>1.0</v>
      </c>
      <c r="H1944" s="45"/>
      <c r="I1944" s="45"/>
      <c r="J1944" s="22"/>
      <c r="K1944" s="23"/>
      <c r="L1944" s="22"/>
      <c r="M1944" s="23"/>
      <c r="N1944" s="23"/>
      <c r="O1944" s="24"/>
      <c r="P1944" s="16" t="b">
        <v>0</v>
      </c>
      <c r="Q1944" s="24"/>
      <c r="R1944" s="48">
        <f t="shared" si="1882"/>
        <v>1</v>
      </c>
      <c r="S1944" s="26">
        <v>1.83</v>
      </c>
      <c r="T1944" s="49">
        <f t="shared" si="1883"/>
        <v>-120</v>
      </c>
      <c r="U1944" s="24"/>
      <c r="V1944" s="28" t="str">
        <f t="shared" si="1953"/>
        <v/>
      </c>
      <c r="W1944" s="29" t="str">
        <f t="shared" si="1874"/>
        <v/>
      </c>
      <c r="X1944" s="30"/>
      <c r="Y1944" s="31"/>
      <c r="Z1944" s="26">
        <f t="shared" si="5"/>
        <v>-1</v>
      </c>
      <c r="AA1944" s="26" t="str">
        <f t="shared" si="6"/>
        <v/>
      </c>
      <c r="AB1944" s="32" t="str">
        <f t="shared" si="7"/>
        <v/>
      </c>
      <c r="AC1944" s="32" t="str">
        <f t="shared" ref="AC1944:AG1944" si="1955">IF(J1944&lt;&gt;"", IF(AND($P1944=FALSE, $A1944=FALSE), -J1944, IF(AND($P1944=FALSE, $A1944=TRUE), 0, IF($P1944=TRUE, (J1944 / $R1944) * 100 * ($S1944 / 100)-J1944, ))), )</f>
        <v/>
      </c>
      <c r="AD1944" s="32" t="str">
        <f t="shared" si="1955"/>
        <v/>
      </c>
      <c r="AE1944" s="32" t="str">
        <f t="shared" si="1955"/>
        <v/>
      </c>
      <c r="AF1944" s="32" t="str">
        <f t="shared" si="1955"/>
        <v/>
      </c>
      <c r="AG1944" s="32" t="str">
        <f t="shared" si="1955"/>
        <v/>
      </c>
      <c r="AH1944" s="33"/>
    </row>
    <row r="1945" hidden="1" outlineLevel="3">
      <c r="A1945" s="16" t="b">
        <v>0</v>
      </c>
      <c r="B1945" s="17"/>
      <c r="C1945" s="18"/>
      <c r="D1945" s="19"/>
      <c r="E1945" s="20"/>
      <c r="F1945" s="21"/>
      <c r="G1945" s="22"/>
      <c r="H1945" s="22"/>
      <c r="I1945" s="45"/>
      <c r="J1945" s="22"/>
      <c r="K1945" s="23"/>
      <c r="L1945" s="22"/>
      <c r="M1945" s="23"/>
      <c r="N1945" s="23"/>
      <c r="O1945" s="24"/>
      <c r="P1945" s="16" t="b">
        <v>0</v>
      </c>
      <c r="Q1945" s="24"/>
      <c r="R1945" s="48" t="str">
        <f t="shared" si="1882"/>
        <v/>
      </c>
      <c r="S1945" s="26"/>
      <c r="T1945" s="49" t="str">
        <f t="shared" si="1883"/>
        <v/>
      </c>
      <c r="U1945" s="24"/>
      <c r="V1945" s="66">
        <v>25.0</v>
      </c>
      <c r="W1945" s="29" t="str">
        <f t="shared" si="1874"/>
        <v>/</v>
      </c>
      <c r="X1945" s="37" t="s">
        <v>1238</v>
      </c>
      <c r="Y1945" s="31"/>
      <c r="Z1945" s="26" t="str">
        <f t="shared" si="5"/>
        <v/>
      </c>
      <c r="AA1945" s="26" t="str">
        <f t="shared" si="6"/>
        <v/>
      </c>
      <c r="AB1945" s="32" t="str">
        <f t="shared" si="7"/>
        <v/>
      </c>
      <c r="AC1945" s="32" t="str">
        <f t="shared" ref="AC1945:AG1945" si="1956">IF(J1945&lt;&gt;"", IF(AND($P1945=FALSE, $A1945=FALSE), -J1945, IF(AND($P1945=FALSE, $A1945=TRUE), 0, IF($P1945=TRUE, (J1945 / $R1945) * 100 * ($S1945 / 100)-J1945, ))), )</f>
        <v/>
      </c>
      <c r="AD1945" s="32" t="str">
        <f t="shared" si="1956"/>
        <v/>
      </c>
      <c r="AE1945" s="32" t="str">
        <f t="shared" si="1956"/>
        <v/>
      </c>
      <c r="AF1945" s="32" t="str">
        <f t="shared" si="1956"/>
        <v/>
      </c>
      <c r="AG1945" s="32" t="str">
        <f t="shared" si="1956"/>
        <v/>
      </c>
      <c r="AH1945" s="33"/>
    </row>
    <row r="1946" hidden="1" outlineLevel="2" collapsed="1">
      <c r="A1946" s="16" t="b">
        <v>0</v>
      </c>
      <c r="B1946" s="17"/>
      <c r="C1946" s="18"/>
      <c r="D1946" s="42">
        <v>45333.0</v>
      </c>
      <c r="E1946" s="20" t="s">
        <v>24</v>
      </c>
      <c r="F1946" s="53" t="s">
        <v>1216</v>
      </c>
      <c r="G1946" s="45">
        <v>4.0</v>
      </c>
      <c r="H1946" s="45"/>
      <c r="I1946" s="45">
        <v>10.0</v>
      </c>
      <c r="J1946" s="36">
        <v>5.0</v>
      </c>
      <c r="K1946" s="23"/>
      <c r="L1946" s="36">
        <v>1.0</v>
      </c>
      <c r="M1946" s="23"/>
      <c r="N1946" s="23"/>
      <c r="O1946" s="24"/>
      <c r="P1946" s="16" t="b">
        <v>1</v>
      </c>
      <c r="Q1946" s="24"/>
      <c r="R1946" s="48">
        <f t="shared" si="1882"/>
        <v>20</v>
      </c>
      <c r="S1946" s="26">
        <v>44.85</v>
      </c>
      <c r="T1946" s="49" t="str">
        <f t="shared" si="1883"/>
        <v>+124</v>
      </c>
      <c r="U1946" s="24"/>
      <c r="V1946" s="28" t="str">
        <f>IF(ISBLANK($D1946), "0",)</f>
        <v/>
      </c>
      <c r="W1946" s="29" t="str">
        <f t="shared" si="1874"/>
        <v/>
      </c>
      <c r="X1946" s="30"/>
      <c r="Y1946" s="31"/>
      <c r="Z1946" s="26">
        <f t="shared" si="5"/>
        <v>4.97</v>
      </c>
      <c r="AA1946" s="26">
        <f t="shared" si="6"/>
        <v>12.425</v>
      </c>
      <c r="AB1946" s="32" t="str">
        <f t="shared" si="7"/>
        <v/>
      </c>
      <c r="AC1946" s="32">
        <f t="shared" ref="AC1946:AG1946" si="1957">IF(J1946&lt;&gt;"", IF(AND($P1946=FALSE, $A1946=FALSE), -J1946, IF(AND($P1946=FALSE, $A1946=TRUE), 0, IF($P1946=TRUE, (J1946 / $R1946) * 100 * ($S1946 / 100)-J1946, ))), )</f>
        <v>6.2125</v>
      </c>
      <c r="AD1946" s="32" t="str">
        <f t="shared" si="1957"/>
        <v/>
      </c>
      <c r="AE1946" s="32">
        <f t="shared" si="1957"/>
        <v>1.2425</v>
      </c>
      <c r="AF1946" s="32" t="str">
        <f t="shared" si="1957"/>
        <v/>
      </c>
      <c r="AG1946" s="32" t="str">
        <f t="shared" si="1957"/>
        <v/>
      </c>
      <c r="AH1946" s="33"/>
    </row>
    <row r="1947" hidden="1" outlineLevel="3">
      <c r="A1947" s="16" t="b">
        <v>0</v>
      </c>
      <c r="B1947" s="17"/>
      <c r="C1947" s="18"/>
      <c r="D1947" s="19"/>
      <c r="E1947" s="20"/>
      <c r="F1947" s="21"/>
      <c r="G1947" s="22"/>
      <c r="H1947" s="22"/>
      <c r="I1947" s="45"/>
      <c r="J1947" s="22"/>
      <c r="K1947" s="23"/>
      <c r="L1947" s="22"/>
      <c r="M1947" s="23"/>
      <c r="N1947" s="23"/>
      <c r="O1947" s="24"/>
      <c r="P1947" s="16" t="b">
        <v>0</v>
      </c>
      <c r="Q1947" s="24"/>
      <c r="R1947" s="48" t="str">
        <f t="shared" si="1882"/>
        <v/>
      </c>
      <c r="S1947" s="26"/>
      <c r="T1947" s="49" t="str">
        <f t="shared" si="1883"/>
        <v/>
      </c>
      <c r="U1947" s="24"/>
      <c r="V1947" s="66" t="s">
        <v>29</v>
      </c>
      <c r="W1947" s="29" t="str">
        <f t="shared" si="1874"/>
        <v>/</v>
      </c>
      <c r="X1947" s="37" t="s">
        <v>683</v>
      </c>
      <c r="Y1947" s="31"/>
      <c r="Z1947" s="26" t="str">
        <f t="shared" si="5"/>
        <v/>
      </c>
      <c r="AA1947" s="26" t="str">
        <f t="shared" si="6"/>
        <v/>
      </c>
      <c r="AB1947" s="32" t="str">
        <f t="shared" si="7"/>
        <v/>
      </c>
      <c r="AC1947" s="32" t="str">
        <f t="shared" ref="AC1947:AG1947" si="1958">IF(J1947&lt;&gt;"", IF(AND($P1947=FALSE, $A1947=FALSE), -J1947, IF(AND($P1947=FALSE, $A1947=TRUE), 0, IF($P1947=TRUE, (J1947 / $R1947) * 100 * ($S1947 / 100)-J1947, ))), )</f>
        <v/>
      </c>
      <c r="AD1947" s="32" t="str">
        <f t="shared" si="1958"/>
        <v/>
      </c>
      <c r="AE1947" s="32" t="str">
        <f t="shared" si="1958"/>
        <v/>
      </c>
      <c r="AF1947" s="32" t="str">
        <f t="shared" si="1958"/>
        <v/>
      </c>
      <c r="AG1947" s="32" t="str">
        <f t="shared" si="1958"/>
        <v/>
      </c>
      <c r="AH1947" s="33"/>
    </row>
    <row r="1948" hidden="1" outlineLevel="3">
      <c r="A1948" s="16" t="b">
        <v>0</v>
      </c>
      <c r="B1948" s="17"/>
      <c r="C1948" s="18"/>
      <c r="D1948" s="19"/>
      <c r="E1948" s="20"/>
      <c r="F1948" s="21"/>
      <c r="G1948" s="22"/>
      <c r="H1948" s="22"/>
      <c r="I1948" s="45"/>
      <c r="J1948" s="22"/>
      <c r="K1948" s="23"/>
      <c r="L1948" s="22"/>
      <c r="M1948" s="23"/>
      <c r="N1948" s="23"/>
      <c r="O1948" s="24"/>
      <c r="P1948" s="16" t="b">
        <v>0</v>
      </c>
      <c r="Q1948" s="24"/>
      <c r="R1948" s="48" t="str">
        <f t="shared" si="1882"/>
        <v/>
      </c>
      <c r="S1948" s="26"/>
      <c r="T1948" s="49" t="str">
        <f t="shared" si="1883"/>
        <v/>
      </c>
      <c r="U1948" s="24"/>
      <c r="V1948" s="66" t="s">
        <v>29</v>
      </c>
      <c r="W1948" s="29" t="str">
        <f t="shared" si="1874"/>
        <v>/</v>
      </c>
      <c r="X1948" s="37" t="s">
        <v>1239</v>
      </c>
      <c r="Y1948" s="31"/>
      <c r="Z1948" s="26" t="str">
        <f t="shared" si="5"/>
        <v/>
      </c>
      <c r="AA1948" s="26" t="str">
        <f t="shared" si="6"/>
        <v/>
      </c>
      <c r="AB1948" s="32" t="str">
        <f t="shared" si="7"/>
        <v/>
      </c>
      <c r="AC1948" s="32" t="str">
        <f t="shared" ref="AC1948:AG1948" si="1959">IF(J1948&lt;&gt;"", IF(AND($P1948=FALSE, $A1948=FALSE), -J1948, IF(AND($P1948=FALSE, $A1948=TRUE), 0, IF($P1948=TRUE, (J1948 / $R1948) * 100 * ($S1948 / 100)-J1948, ))), )</f>
        <v/>
      </c>
      <c r="AD1948" s="32" t="str">
        <f t="shared" si="1959"/>
        <v/>
      </c>
      <c r="AE1948" s="32" t="str">
        <f t="shared" si="1959"/>
        <v/>
      </c>
      <c r="AF1948" s="32" t="str">
        <f t="shared" si="1959"/>
        <v/>
      </c>
      <c r="AG1948" s="32" t="str">
        <f t="shared" si="1959"/>
        <v/>
      </c>
      <c r="AH1948" s="33"/>
    </row>
    <row r="1949" hidden="1" outlineLevel="3">
      <c r="A1949" s="16" t="b">
        <v>0</v>
      </c>
      <c r="B1949" s="17"/>
      <c r="C1949" s="18"/>
      <c r="D1949" s="19"/>
      <c r="E1949" s="20"/>
      <c r="F1949" s="21"/>
      <c r="G1949" s="22"/>
      <c r="H1949" s="22"/>
      <c r="I1949" s="45"/>
      <c r="J1949" s="22"/>
      <c r="K1949" s="23"/>
      <c r="L1949" s="22"/>
      <c r="M1949" s="23"/>
      <c r="N1949" s="23"/>
      <c r="O1949" s="24"/>
      <c r="P1949" s="16" t="b">
        <v>0</v>
      </c>
      <c r="Q1949" s="24"/>
      <c r="R1949" s="48" t="str">
        <f t="shared" si="1882"/>
        <v/>
      </c>
      <c r="S1949" s="26"/>
      <c r="T1949" s="49" t="str">
        <f t="shared" si="1883"/>
        <v/>
      </c>
      <c r="U1949" s="24"/>
      <c r="V1949" s="66" t="s">
        <v>29</v>
      </c>
      <c r="W1949" s="29" t="str">
        <f t="shared" si="1874"/>
        <v>/</v>
      </c>
      <c r="X1949" s="37" t="s">
        <v>1141</v>
      </c>
      <c r="Y1949" s="31"/>
      <c r="Z1949" s="26" t="str">
        <f t="shared" si="5"/>
        <v/>
      </c>
      <c r="AA1949" s="26" t="str">
        <f t="shared" si="6"/>
        <v/>
      </c>
      <c r="AB1949" s="32" t="str">
        <f t="shared" si="7"/>
        <v/>
      </c>
      <c r="AC1949" s="32" t="str">
        <f t="shared" ref="AC1949:AG1949" si="1960">IF(J1949&lt;&gt;"", IF(AND($P1949=FALSE, $A1949=FALSE), -J1949, IF(AND($P1949=FALSE, $A1949=TRUE), 0, IF($P1949=TRUE, (J1949 / $R1949) * 100 * ($S1949 / 100)-J1949, ))), )</f>
        <v/>
      </c>
      <c r="AD1949" s="32" t="str">
        <f t="shared" si="1960"/>
        <v/>
      </c>
      <c r="AE1949" s="32" t="str">
        <f t="shared" si="1960"/>
        <v/>
      </c>
      <c r="AF1949" s="32" t="str">
        <f t="shared" si="1960"/>
        <v/>
      </c>
      <c r="AG1949" s="32" t="str">
        <f t="shared" si="1960"/>
        <v/>
      </c>
      <c r="AH1949" s="33"/>
    </row>
    <row r="1950" hidden="1" outlineLevel="3">
      <c r="A1950" s="16" t="b">
        <v>0</v>
      </c>
      <c r="B1950" s="17"/>
      <c r="C1950" s="18"/>
      <c r="D1950" s="19"/>
      <c r="E1950" s="20"/>
      <c r="F1950" s="21"/>
      <c r="G1950" s="22"/>
      <c r="H1950" s="22"/>
      <c r="I1950" s="45"/>
      <c r="J1950" s="22"/>
      <c r="K1950" s="23"/>
      <c r="L1950" s="22"/>
      <c r="M1950" s="23"/>
      <c r="N1950" s="23"/>
      <c r="O1950" s="24"/>
      <c r="P1950" s="16" t="b">
        <v>0</v>
      </c>
      <c r="Q1950" s="24"/>
      <c r="R1950" s="48" t="str">
        <f t="shared" si="1882"/>
        <v/>
      </c>
      <c r="S1950" s="26"/>
      <c r="T1950" s="49" t="str">
        <f t="shared" si="1883"/>
        <v/>
      </c>
      <c r="U1950" s="24"/>
      <c r="V1950" s="66" t="s">
        <v>29</v>
      </c>
      <c r="W1950" s="29" t="str">
        <f t="shared" si="1874"/>
        <v>/</v>
      </c>
      <c r="X1950" s="37" t="s">
        <v>1142</v>
      </c>
      <c r="Y1950" s="31"/>
      <c r="Z1950" s="26" t="str">
        <f t="shared" si="5"/>
        <v/>
      </c>
      <c r="AA1950" s="26" t="str">
        <f t="shared" si="6"/>
        <v/>
      </c>
      <c r="AB1950" s="32" t="str">
        <f t="shared" si="7"/>
        <v/>
      </c>
      <c r="AC1950" s="32" t="str">
        <f t="shared" ref="AC1950:AG1950" si="1961">IF(J1950&lt;&gt;"", IF(AND($P1950=FALSE, $A1950=FALSE), -J1950, IF(AND($P1950=FALSE, $A1950=TRUE), 0, IF($P1950=TRUE, (J1950 / $R1950) * 100 * ($S1950 / 100)-J1950, ))), )</f>
        <v/>
      </c>
      <c r="AD1950" s="32" t="str">
        <f t="shared" si="1961"/>
        <v/>
      </c>
      <c r="AE1950" s="32" t="str">
        <f t="shared" si="1961"/>
        <v/>
      </c>
      <c r="AF1950" s="32" t="str">
        <f t="shared" si="1961"/>
        <v/>
      </c>
      <c r="AG1950" s="32" t="str">
        <f t="shared" si="1961"/>
        <v/>
      </c>
      <c r="AH1950" s="33"/>
    </row>
    <row r="1951" hidden="1" outlineLevel="2" collapsed="1">
      <c r="A1951" s="16" t="b">
        <v>0</v>
      </c>
      <c r="B1951" s="17"/>
      <c r="C1951" s="18"/>
      <c r="D1951" s="42">
        <v>45333.0</v>
      </c>
      <c r="E1951" s="20" t="s">
        <v>24</v>
      </c>
      <c r="F1951" s="53" t="s">
        <v>1216</v>
      </c>
      <c r="G1951" s="45">
        <v>1.0</v>
      </c>
      <c r="H1951" s="45"/>
      <c r="I1951" s="45"/>
      <c r="J1951" s="36">
        <v>1.0</v>
      </c>
      <c r="K1951" s="23"/>
      <c r="L1951" s="22"/>
      <c r="M1951" s="23"/>
      <c r="N1951" s="23"/>
      <c r="O1951" s="24"/>
      <c r="P1951" s="16" t="b">
        <v>0</v>
      </c>
      <c r="Q1951" s="24"/>
      <c r="R1951" s="48">
        <f t="shared" si="1882"/>
        <v>2</v>
      </c>
      <c r="S1951" s="26">
        <v>57.2</v>
      </c>
      <c r="T1951" s="49" t="str">
        <f t="shared" si="1883"/>
        <v>+2760</v>
      </c>
      <c r="U1951" s="24"/>
      <c r="V1951" s="66"/>
      <c r="W1951" s="29" t="str">
        <f t="shared" si="1874"/>
        <v/>
      </c>
      <c r="X1951" s="30"/>
      <c r="Y1951" s="31"/>
      <c r="Z1951" s="26">
        <f t="shared" si="5"/>
        <v>-1</v>
      </c>
      <c r="AA1951" s="26" t="str">
        <f t="shared" si="6"/>
        <v/>
      </c>
      <c r="AB1951" s="32" t="str">
        <f t="shared" si="7"/>
        <v/>
      </c>
      <c r="AC1951" s="32">
        <f t="shared" ref="AC1951:AG1951" si="1962">IF(J1951&lt;&gt;"", IF(AND($P1951=FALSE, $A1951=FALSE), -J1951, IF(AND($P1951=FALSE, $A1951=TRUE), 0, IF($P1951=TRUE, (J1951 / $R1951) * 100 * ($S1951 / 100)-J1951, ))), )</f>
        <v>-1</v>
      </c>
      <c r="AD1951" s="32" t="str">
        <f t="shared" si="1962"/>
        <v/>
      </c>
      <c r="AE1951" s="32" t="str">
        <f t="shared" si="1962"/>
        <v/>
      </c>
      <c r="AF1951" s="32" t="str">
        <f t="shared" si="1962"/>
        <v/>
      </c>
      <c r="AG1951" s="32" t="str">
        <f t="shared" si="1962"/>
        <v/>
      </c>
      <c r="AH1951" s="33"/>
    </row>
    <row r="1952" hidden="1" outlineLevel="3">
      <c r="A1952" s="16" t="b">
        <v>0</v>
      </c>
      <c r="B1952" s="17"/>
      <c r="C1952" s="18"/>
      <c r="D1952" s="19"/>
      <c r="E1952" s="20"/>
      <c r="F1952" s="21"/>
      <c r="G1952" s="22"/>
      <c r="H1952" s="22"/>
      <c r="I1952" s="45"/>
      <c r="J1952" s="22"/>
      <c r="K1952" s="23"/>
      <c r="L1952" s="22"/>
      <c r="M1952" s="23"/>
      <c r="N1952" s="23"/>
      <c r="O1952" s="24"/>
      <c r="P1952" s="16" t="b">
        <v>0</v>
      </c>
      <c r="Q1952" s="24"/>
      <c r="R1952" s="48" t="str">
        <f t="shared" si="1882"/>
        <v/>
      </c>
      <c r="S1952" s="26"/>
      <c r="T1952" s="49" t="str">
        <f t="shared" si="1883"/>
        <v/>
      </c>
      <c r="U1952" s="24"/>
      <c r="V1952" s="66" t="s">
        <v>29</v>
      </c>
      <c r="W1952" s="29" t="str">
        <f t="shared" si="1874"/>
        <v>/</v>
      </c>
      <c r="X1952" s="37" t="s">
        <v>1240</v>
      </c>
      <c r="Y1952" s="31"/>
      <c r="Z1952" s="26" t="str">
        <f t="shared" si="5"/>
        <v/>
      </c>
      <c r="AA1952" s="26" t="str">
        <f t="shared" si="6"/>
        <v/>
      </c>
      <c r="AB1952" s="32" t="str">
        <f t="shared" si="7"/>
        <v/>
      </c>
      <c r="AC1952" s="32" t="str">
        <f t="shared" ref="AC1952:AG1952" si="1963">IF(J1952&lt;&gt;"", IF(AND($P1952=FALSE, $A1952=FALSE), -J1952, IF(AND($P1952=FALSE, $A1952=TRUE), 0, IF($P1952=TRUE, (J1952 / $R1952) * 100 * ($S1952 / 100)-J1952, ))), )</f>
        <v/>
      </c>
      <c r="AD1952" s="32" t="str">
        <f t="shared" si="1963"/>
        <v/>
      </c>
      <c r="AE1952" s="32" t="str">
        <f t="shared" si="1963"/>
        <v/>
      </c>
      <c r="AF1952" s="32" t="str">
        <f t="shared" si="1963"/>
        <v/>
      </c>
      <c r="AG1952" s="32" t="str">
        <f t="shared" si="1963"/>
        <v/>
      </c>
      <c r="AH1952" s="33"/>
    </row>
    <row r="1953" hidden="1" outlineLevel="3">
      <c r="A1953" s="16" t="b">
        <v>0</v>
      </c>
      <c r="B1953" s="17"/>
      <c r="C1953" s="18"/>
      <c r="D1953" s="19"/>
      <c r="E1953" s="20"/>
      <c r="F1953" s="21"/>
      <c r="G1953" s="22"/>
      <c r="H1953" s="22"/>
      <c r="I1953" s="45"/>
      <c r="J1953" s="22"/>
      <c r="K1953" s="23"/>
      <c r="L1953" s="22"/>
      <c r="M1953" s="23"/>
      <c r="N1953" s="23"/>
      <c r="O1953" s="24"/>
      <c r="P1953" s="16" t="b">
        <v>0</v>
      </c>
      <c r="Q1953" s="24"/>
      <c r="R1953" s="48" t="str">
        <f t="shared" si="1882"/>
        <v/>
      </c>
      <c r="S1953" s="26"/>
      <c r="T1953" s="49" t="str">
        <f t="shared" si="1883"/>
        <v/>
      </c>
      <c r="U1953" s="24"/>
      <c r="V1953" s="66">
        <v>1.0</v>
      </c>
      <c r="W1953" s="29" t="str">
        <f t="shared" si="1874"/>
        <v>/</v>
      </c>
      <c r="X1953" s="37" t="s">
        <v>899</v>
      </c>
      <c r="Y1953" s="31"/>
      <c r="Z1953" s="26" t="str">
        <f t="shared" si="5"/>
        <v/>
      </c>
      <c r="AA1953" s="26" t="str">
        <f t="shared" si="6"/>
        <v/>
      </c>
      <c r="AB1953" s="32" t="str">
        <f t="shared" si="7"/>
        <v/>
      </c>
      <c r="AC1953" s="32" t="str">
        <f t="shared" ref="AC1953:AG1953" si="1964">IF(J1953&lt;&gt;"", IF(AND($P1953=FALSE, $A1953=FALSE), -J1953, IF(AND($P1953=FALSE, $A1953=TRUE), 0, IF($P1953=TRUE, (J1953 / $R1953) * 100 * ($S1953 / 100)-J1953, ))), )</f>
        <v/>
      </c>
      <c r="AD1953" s="32" t="str">
        <f t="shared" si="1964"/>
        <v/>
      </c>
      <c r="AE1953" s="32" t="str">
        <f t="shared" si="1964"/>
        <v/>
      </c>
      <c r="AF1953" s="32" t="str">
        <f t="shared" si="1964"/>
        <v/>
      </c>
      <c r="AG1953" s="32" t="str">
        <f t="shared" si="1964"/>
        <v/>
      </c>
      <c r="AH1953" s="33"/>
    </row>
    <row r="1954" hidden="1" outlineLevel="3">
      <c r="A1954" s="16" t="b">
        <v>0</v>
      </c>
      <c r="B1954" s="17"/>
      <c r="C1954" s="18"/>
      <c r="D1954" s="19"/>
      <c r="E1954" s="20"/>
      <c r="F1954" s="21"/>
      <c r="G1954" s="22"/>
      <c r="H1954" s="22"/>
      <c r="I1954" s="45"/>
      <c r="J1954" s="22"/>
      <c r="K1954" s="23"/>
      <c r="L1954" s="22"/>
      <c r="M1954" s="23"/>
      <c r="N1954" s="23"/>
      <c r="O1954" s="24"/>
      <c r="P1954" s="16" t="b">
        <v>0</v>
      </c>
      <c r="Q1954" s="24"/>
      <c r="R1954" s="48" t="str">
        <f t="shared" si="1882"/>
        <v/>
      </c>
      <c r="S1954" s="26"/>
      <c r="T1954" s="49" t="str">
        <f t="shared" si="1883"/>
        <v/>
      </c>
      <c r="U1954" s="24"/>
      <c r="V1954" s="66" t="s">
        <v>29</v>
      </c>
      <c r="W1954" s="29" t="str">
        <f t="shared" si="1874"/>
        <v>/</v>
      </c>
      <c r="X1954" s="37" t="s">
        <v>1241</v>
      </c>
      <c r="Y1954" s="31"/>
      <c r="Z1954" s="26" t="str">
        <f t="shared" si="5"/>
        <v/>
      </c>
      <c r="AA1954" s="26" t="str">
        <f t="shared" si="6"/>
        <v/>
      </c>
      <c r="AB1954" s="32" t="str">
        <f t="shared" si="7"/>
        <v/>
      </c>
      <c r="AC1954" s="32" t="str">
        <f t="shared" ref="AC1954:AG1954" si="1965">IF(J1954&lt;&gt;"", IF(AND($P1954=FALSE, $A1954=FALSE), -J1954, IF(AND($P1954=FALSE, $A1954=TRUE), 0, IF($P1954=TRUE, (J1954 / $R1954) * 100 * ($S1954 / 100)-J1954, ))), )</f>
        <v/>
      </c>
      <c r="AD1954" s="32" t="str">
        <f t="shared" si="1965"/>
        <v/>
      </c>
      <c r="AE1954" s="32" t="str">
        <f t="shared" si="1965"/>
        <v/>
      </c>
      <c r="AF1954" s="32" t="str">
        <f t="shared" si="1965"/>
        <v/>
      </c>
      <c r="AG1954" s="32" t="str">
        <f t="shared" si="1965"/>
        <v/>
      </c>
      <c r="AH1954" s="33"/>
    </row>
    <row r="1955" hidden="1" outlineLevel="3">
      <c r="A1955" s="16" t="b">
        <v>0</v>
      </c>
      <c r="B1955" s="17"/>
      <c r="C1955" s="18"/>
      <c r="D1955" s="19"/>
      <c r="E1955" s="20"/>
      <c r="F1955" s="21"/>
      <c r="G1955" s="22"/>
      <c r="H1955" s="22"/>
      <c r="I1955" s="45"/>
      <c r="J1955" s="22"/>
      <c r="K1955" s="23"/>
      <c r="L1955" s="22"/>
      <c r="M1955" s="23"/>
      <c r="N1955" s="23"/>
      <c r="O1955" s="24"/>
      <c r="P1955" s="16" t="b">
        <v>0</v>
      </c>
      <c r="Q1955" s="24"/>
      <c r="R1955" s="48" t="str">
        <f t="shared" si="1882"/>
        <v/>
      </c>
      <c r="S1955" s="26"/>
      <c r="T1955" s="49" t="str">
        <f t="shared" si="1883"/>
        <v/>
      </c>
      <c r="U1955" s="24"/>
      <c r="V1955" s="28" t="str">
        <f>IF(ISBLANK($D1955), "0",)</f>
        <v>0</v>
      </c>
      <c r="W1955" s="29" t="str">
        <f t="shared" si="1874"/>
        <v>/</v>
      </c>
      <c r="X1955" s="37" t="s">
        <v>1242</v>
      </c>
      <c r="Y1955" s="31"/>
      <c r="Z1955" s="26" t="str">
        <f t="shared" si="5"/>
        <v/>
      </c>
      <c r="AA1955" s="26" t="str">
        <f t="shared" si="6"/>
        <v/>
      </c>
      <c r="AB1955" s="32" t="str">
        <f t="shared" si="7"/>
        <v/>
      </c>
      <c r="AC1955" s="32" t="str">
        <f t="shared" ref="AC1955:AG1955" si="1966">IF(J1955&lt;&gt;"", IF(AND($P1955=FALSE, $A1955=FALSE), -J1955, IF(AND($P1955=FALSE, $A1955=TRUE), 0, IF($P1955=TRUE, (J1955 / $R1955) * 100 * ($S1955 / 100)-J1955, ))), )</f>
        <v/>
      </c>
      <c r="AD1955" s="32" t="str">
        <f t="shared" si="1966"/>
        <v/>
      </c>
      <c r="AE1955" s="32" t="str">
        <f t="shared" si="1966"/>
        <v/>
      </c>
      <c r="AF1955" s="32" t="str">
        <f t="shared" si="1966"/>
        <v/>
      </c>
      <c r="AG1955" s="32" t="str">
        <f t="shared" si="1966"/>
        <v/>
      </c>
      <c r="AH1955" s="33"/>
    </row>
    <row r="1956" hidden="1" outlineLevel="3">
      <c r="A1956" s="16" t="b">
        <v>0</v>
      </c>
      <c r="B1956" s="17"/>
      <c r="C1956" s="18"/>
      <c r="D1956" s="19"/>
      <c r="E1956" s="20"/>
      <c r="F1956" s="21"/>
      <c r="G1956" s="22"/>
      <c r="H1956" s="22"/>
      <c r="I1956" s="45"/>
      <c r="J1956" s="22"/>
      <c r="K1956" s="23"/>
      <c r="L1956" s="22"/>
      <c r="M1956" s="23"/>
      <c r="N1956" s="23"/>
      <c r="O1956" s="24"/>
      <c r="P1956" s="16" t="b">
        <v>0</v>
      </c>
      <c r="Q1956" s="24"/>
      <c r="R1956" s="48" t="str">
        <f t="shared" si="1882"/>
        <v/>
      </c>
      <c r="S1956" s="26"/>
      <c r="T1956" s="49" t="str">
        <f t="shared" si="1883"/>
        <v/>
      </c>
      <c r="U1956" s="24"/>
      <c r="V1956" s="66">
        <v>33.0</v>
      </c>
      <c r="W1956" s="29" t="str">
        <f t="shared" si="1874"/>
        <v>/</v>
      </c>
      <c r="X1956" s="37" t="s">
        <v>894</v>
      </c>
      <c r="Y1956" s="31"/>
      <c r="Z1956" s="26" t="str">
        <f t="shared" si="5"/>
        <v/>
      </c>
      <c r="AA1956" s="26" t="str">
        <f t="shared" si="6"/>
        <v/>
      </c>
      <c r="AB1956" s="32" t="str">
        <f t="shared" si="7"/>
        <v/>
      </c>
      <c r="AC1956" s="32" t="str">
        <f t="shared" ref="AC1956:AG1956" si="1967">IF(J1956&lt;&gt;"", IF(AND($P1956=FALSE, $A1956=FALSE), -J1956, IF(AND($P1956=FALSE, $A1956=TRUE), 0, IF($P1956=TRUE, (J1956 / $R1956) * 100 * ($S1956 / 100)-J1956, ))), )</f>
        <v/>
      </c>
      <c r="AD1956" s="32" t="str">
        <f t="shared" si="1967"/>
        <v/>
      </c>
      <c r="AE1956" s="32" t="str">
        <f t="shared" si="1967"/>
        <v/>
      </c>
      <c r="AF1956" s="32" t="str">
        <f t="shared" si="1967"/>
        <v/>
      </c>
      <c r="AG1956" s="32" t="str">
        <f t="shared" si="1967"/>
        <v/>
      </c>
      <c r="AH1956" s="33"/>
    </row>
    <row r="1957" hidden="1" outlineLevel="3">
      <c r="A1957" s="16" t="b">
        <v>0</v>
      </c>
      <c r="B1957" s="17"/>
      <c r="C1957" s="18"/>
      <c r="D1957" s="19"/>
      <c r="E1957" s="20"/>
      <c r="F1957" s="21"/>
      <c r="G1957" s="22"/>
      <c r="H1957" s="22"/>
      <c r="I1957" s="45"/>
      <c r="J1957" s="22"/>
      <c r="K1957" s="23"/>
      <c r="L1957" s="22"/>
      <c r="M1957" s="23"/>
      <c r="N1957" s="23"/>
      <c r="O1957" s="24"/>
      <c r="P1957" s="16" t="b">
        <v>0</v>
      </c>
      <c r="Q1957" s="24"/>
      <c r="R1957" s="48" t="str">
        <f t="shared" si="1882"/>
        <v/>
      </c>
      <c r="S1957" s="26"/>
      <c r="T1957" s="49" t="str">
        <f t="shared" si="1883"/>
        <v/>
      </c>
      <c r="U1957" s="24"/>
      <c r="V1957" s="66" t="s">
        <v>29</v>
      </c>
      <c r="W1957" s="29" t="str">
        <f t="shared" si="1874"/>
        <v>/</v>
      </c>
      <c r="X1957" s="37" t="s">
        <v>1243</v>
      </c>
      <c r="Y1957" s="31"/>
      <c r="Z1957" s="26" t="str">
        <f t="shared" si="5"/>
        <v/>
      </c>
      <c r="AA1957" s="26" t="str">
        <f t="shared" si="6"/>
        <v/>
      </c>
      <c r="AB1957" s="32" t="str">
        <f t="shared" si="7"/>
        <v/>
      </c>
      <c r="AC1957" s="32" t="str">
        <f t="shared" ref="AC1957:AG1957" si="1968">IF(J1957&lt;&gt;"", IF(AND($P1957=FALSE, $A1957=FALSE), -J1957, IF(AND($P1957=FALSE, $A1957=TRUE), 0, IF($P1957=TRUE, (J1957 / $R1957) * 100 * ($S1957 / 100)-J1957, ))), )</f>
        <v/>
      </c>
      <c r="AD1957" s="32" t="str">
        <f t="shared" si="1968"/>
        <v/>
      </c>
      <c r="AE1957" s="32" t="str">
        <f t="shared" si="1968"/>
        <v/>
      </c>
      <c r="AF1957" s="32" t="str">
        <f t="shared" si="1968"/>
        <v/>
      </c>
      <c r="AG1957" s="32" t="str">
        <f t="shared" si="1968"/>
        <v/>
      </c>
      <c r="AH1957" s="33"/>
    </row>
    <row r="1958" hidden="1" outlineLevel="3">
      <c r="A1958" s="16" t="b">
        <v>0</v>
      </c>
      <c r="B1958" s="17"/>
      <c r="C1958" s="18"/>
      <c r="D1958" s="19"/>
      <c r="E1958" s="20"/>
      <c r="F1958" s="21"/>
      <c r="G1958" s="22"/>
      <c r="H1958" s="22"/>
      <c r="I1958" s="45"/>
      <c r="J1958" s="22"/>
      <c r="K1958" s="23"/>
      <c r="L1958" s="22"/>
      <c r="M1958" s="23"/>
      <c r="N1958" s="23"/>
      <c r="O1958" s="24"/>
      <c r="P1958" s="16" t="b">
        <v>0</v>
      </c>
      <c r="Q1958" s="24"/>
      <c r="R1958" s="48" t="str">
        <f t="shared" si="1882"/>
        <v/>
      </c>
      <c r="S1958" s="26"/>
      <c r="T1958" s="49" t="str">
        <f t="shared" si="1883"/>
        <v/>
      </c>
      <c r="U1958" s="24"/>
      <c r="V1958" s="66" t="s">
        <v>29</v>
      </c>
      <c r="W1958" s="29" t="str">
        <f t="shared" si="1874"/>
        <v>/</v>
      </c>
      <c r="X1958" s="37" t="s">
        <v>1244</v>
      </c>
      <c r="Y1958" s="31"/>
      <c r="Z1958" s="26" t="str">
        <f t="shared" si="5"/>
        <v/>
      </c>
      <c r="AA1958" s="26" t="str">
        <f t="shared" si="6"/>
        <v/>
      </c>
      <c r="AB1958" s="32" t="str">
        <f t="shared" si="7"/>
        <v/>
      </c>
      <c r="AC1958" s="32" t="str">
        <f t="shared" ref="AC1958:AG1958" si="1969">IF(J1958&lt;&gt;"", IF(AND($P1958=FALSE, $A1958=FALSE), -J1958, IF(AND($P1958=FALSE, $A1958=TRUE), 0, IF($P1958=TRUE, (J1958 / $R1958) * 100 * ($S1958 / 100)-J1958, ))), )</f>
        <v/>
      </c>
      <c r="AD1958" s="32" t="str">
        <f t="shared" si="1969"/>
        <v/>
      </c>
      <c r="AE1958" s="32" t="str">
        <f t="shared" si="1969"/>
        <v/>
      </c>
      <c r="AF1958" s="32" t="str">
        <f t="shared" si="1969"/>
        <v/>
      </c>
      <c r="AG1958" s="32" t="str">
        <f t="shared" si="1969"/>
        <v/>
      </c>
      <c r="AH1958" s="33"/>
    </row>
    <row r="1959" hidden="1" outlineLevel="2" collapsed="1">
      <c r="A1959" s="16" t="b">
        <v>0</v>
      </c>
      <c r="B1959" s="17"/>
      <c r="C1959" s="18"/>
      <c r="D1959" s="42">
        <v>45333.0</v>
      </c>
      <c r="E1959" s="20" t="s">
        <v>24</v>
      </c>
      <c r="F1959" s="53" t="s">
        <v>1216</v>
      </c>
      <c r="G1959" s="45">
        <v>1.0</v>
      </c>
      <c r="H1959" s="45"/>
      <c r="I1959" s="45">
        <v>2.0</v>
      </c>
      <c r="J1959" s="36">
        <v>2.0</v>
      </c>
      <c r="K1959" s="23"/>
      <c r="L1959" s="22"/>
      <c r="M1959" s="23"/>
      <c r="N1959" s="23"/>
      <c r="O1959" s="24"/>
      <c r="P1959" s="16" t="b">
        <v>0</v>
      </c>
      <c r="Q1959" s="24"/>
      <c r="R1959" s="48">
        <f t="shared" si="1882"/>
        <v>5</v>
      </c>
      <c r="S1959" s="26">
        <v>75.38</v>
      </c>
      <c r="T1959" s="49" t="str">
        <f t="shared" si="1883"/>
        <v>+1408</v>
      </c>
      <c r="U1959" s="24"/>
      <c r="V1959" s="28" t="str">
        <f>IF(ISBLANK($D1959), "0",)</f>
        <v/>
      </c>
      <c r="W1959" s="29" t="str">
        <f t="shared" si="1874"/>
        <v/>
      </c>
      <c r="X1959" s="30"/>
      <c r="Y1959" s="31"/>
      <c r="Z1959" s="26">
        <f t="shared" si="5"/>
        <v>-1</v>
      </c>
      <c r="AA1959" s="26">
        <f t="shared" si="6"/>
        <v>-2</v>
      </c>
      <c r="AB1959" s="32" t="str">
        <f t="shared" si="7"/>
        <v/>
      </c>
      <c r="AC1959" s="32">
        <f t="shared" ref="AC1959:AG1959" si="1970">IF(J1959&lt;&gt;"", IF(AND($P1959=FALSE, $A1959=FALSE), -J1959, IF(AND($P1959=FALSE, $A1959=TRUE), 0, IF($P1959=TRUE, (J1959 / $R1959) * 100 * ($S1959 / 100)-J1959, ))), )</f>
        <v>-2</v>
      </c>
      <c r="AD1959" s="32" t="str">
        <f t="shared" si="1970"/>
        <v/>
      </c>
      <c r="AE1959" s="32" t="str">
        <f t="shared" si="1970"/>
        <v/>
      </c>
      <c r="AF1959" s="32" t="str">
        <f t="shared" si="1970"/>
        <v/>
      </c>
      <c r="AG1959" s="32" t="str">
        <f t="shared" si="1970"/>
        <v/>
      </c>
      <c r="AH1959" s="33"/>
    </row>
    <row r="1960" hidden="1" outlineLevel="3">
      <c r="A1960" s="16" t="b">
        <v>0</v>
      </c>
      <c r="B1960" s="17"/>
      <c r="C1960" s="18"/>
      <c r="D1960" s="19"/>
      <c r="E1960" s="20"/>
      <c r="F1960" s="21"/>
      <c r="G1960" s="22"/>
      <c r="H1960" s="22"/>
      <c r="I1960" s="45"/>
      <c r="J1960" s="22"/>
      <c r="K1960" s="23"/>
      <c r="L1960" s="22"/>
      <c r="M1960" s="23"/>
      <c r="N1960" s="23"/>
      <c r="O1960" s="24"/>
      <c r="P1960" s="16" t="b">
        <v>0</v>
      </c>
      <c r="Q1960" s="24"/>
      <c r="R1960" s="48" t="str">
        <f t="shared" si="1882"/>
        <v/>
      </c>
      <c r="S1960" s="26"/>
      <c r="T1960" s="49" t="str">
        <f t="shared" si="1883"/>
        <v/>
      </c>
      <c r="U1960" s="24"/>
      <c r="V1960" s="66" t="s">
        <v>29</v>
      </c>
      <c r="W1960" s="29" t="str">
        <f t="shared" si="1874"/>
        <v>/</v>
      </c>
      <c r="X1960" s="37" t="s">
        <v>1245</v>
      </c>
      <c r="Y1960" s="31"/>
      <c r="Z1960" s="26" t="str">
        <f t="shared" si="5"/>
        <v/>
      </c>
      <c r="AA1960" s="26" t="str">
        <f t="shared" si="6"/>
        <v/>
      </c>
      <c r="AB1960" s="32" t="str">
        <f t="shared" si="7"/>
        <v/>
      </c>
      <c r="AC1960" s="32" t="str">
        <f t="shared" ref="AC1960:AG1960" si="1971">IF(J1960&lt;&gt;"", IF(AND($P1960=FALSE, $A1960=FALSE), -J1960, IF(AND($P1960=FALSE, $A1960=TRUE), 0, IF($P1960=TRUE, (J1960 / $R1960) * 100 * ($S1960 / 100)-J1960, ))), )</f>
        <v/>
      </c>
      <c r="AD1960" s="32" t="str">
        <f t="shared" si="1971"/>
        <v/>
      </c>
      <c r="AE1960" s="32" t="str">
        <f t="shared" si="1971"/>
        <v/>
      </c>
      <c r="AF1960" s="32" t="str">
        <f t="shared" si="1971"/>
        <v/>
      </c>
      <c r="AG1960" s="32" t="str">
        <f t="shared" si="1971"/>
        <v/>
      </c>
      <c r="AH1960" s="33"/>
    </row>
    <row r="1961" hidden="1" outlineLevel="3">
      <c r="A1961" s="16" t="b">
        <v>0</v>
      </c>
      <c r="B1961" s="17"/>
      <c r="C1961" s="18"/>
      <c r="D1961" s="19"/>
      <c r="E1961" s="20"/>
      <c r="F1961" s="21"/>
      <c r="G1961" s="22"/>
      <c r="H1961" s="22"/>
      <c r="I1961" s="45"/>
      <c r="J1961" s="22"/>
      <c r="K1961" s="23"/>
      <c r="L1961" s="22"/>
      <c r="M1961" s="23"/>
      <c r="N1961" s="23"/>
      <c r="O1961" s="24"/>
      <c r="P1961" s="16" t="b">
        <v>0</v>
      </c>
      <c r="Q1961" s="24"/>
      <c r="R1961" s="48" t="str">
        <f t="shared" si="1882"/>
        <v/>
      </c>
      <c r="S1961" s="26"/>
      <c r="T1961" s="49" t="str">
        <f t="shared" si="1883"/>
        <v/>
      </c>
      <c r="U1961" s="24"/>
      <c r="V1961" s="66">
        <v>4.0</v>
      </c>
      <c r="W1961" s="29" t="str">
        <f t="shared" si="1874"/>
        <v>/</v>
      </c>
      <c r="X1961" s="37" t="s">
        <v>1246</v>
      </c>
      <c r="Y1961" s="31"/>
      <c r="Z1961" s="26" t="str">
        <f t="shared" si="5"/>
        <v/>
      </c>
      <c r="AA1961" s="26" t="str">
        <f t="shared" si="6"/>
        <v/>
      </c>
      <c r="AB1961" s="32" t="str">
        <f t="shared" si="7"/>
        <v/>
      </c>
      <c r="AC1961" s="32" t="str">
        <f t="shared" ref="AC1961:AG1961" si="1972">IF(J1961&lt;&gt;"", IF(AND($P1961=FALSE, $A1961=FALSE), -J1961, IF(AND($P1961=FALSE, $A1961=TRUE), 0, IF($P1961=TRUE, (J1961 / $R1961) * 100 * ($S1961 / 100)-J1961, ))), )</f>
        <v/>
      </c>
      <c r="AD1961" s="32" t="str">
        <f t="shared" si="1972"/>
        <v/>
      </c>
      <c r="AE1961" s="32" t="str">
        <f t="shared" si="1972"/>
        <v/>
      </c>
      <c r="AF1961" s="32" t="str">
        <f t="shared" si="1972"/>
        <v/>
      </c>
      <c r="AG1961" s="32" t="str">
        <f t="shared" si="1972"/>
        <v/>
      </c>
      <c r="AH1961" s="33"/>
    </row>
    <row r="1962" hidden="1" outlineLevel="2" collapsed="1">
      <c r="A1962" s="16" t="b">
        <v>0</v>
      </c>
      <c r="B1962" s="17"/>
      <c r="C1962" s="18"/>
      <c r="D1962" s="42">
        <v>45333.0</v>
      </c>
      <c r="E1962" s="20" t="s">
        <v>24</v>
      </c>
      <c r="F1962" s="53" t="s">
        <v>1216</v>
      </c>
      <c r="G1962" s="45">
        <v>4.0</v>
      </c>
      <c r="H1962" s="45"/>
      <c r="I1962" s="45">
        <v>5.0</v>
      </c>
      <c r="J1962" s="36">
        <v>1.0</v>
      </c>
      <c r="K1962" s="23"/>
      <c r="L1962" s="36">
        <v>1.0</v>
      </c>
      <c r="M1962" s="23"/>
      <c r="N1962" s="23"/>
      <c r="O1962" s="24"/>
      <c r="P1962" s="16" t="b">
        <v>0</v>
      </c>
      <c r="Q1962" s="24"/>
      <c r="R1962" s="48">
        <f t="shared" si="1882"/>
        <v>11</v>
      </c>
      <c r="S1962" s="26">
        <v>2431.0</v>
      </c>
      <c r="T1962" s="49" t="str">
        <f t="shared" si="1883"/>
        <v>+22000</v>
      </c>
      <c r="U1962" s="24"/>
      <c r="V1962" s="28" t="str">
        <f t="shared" ref="V1962:V1964" si="1974">IF(ISBLANK($D1962), "0",)</f>
        <v/>
      </c>
      <c r="W1962" s="29" t="str">
        <f t="shared" si="1874"/>
        <v/>
      </c>
      <c r="X1962" s="30"/>
      <c r="Y1962" s="31"/>
      <c r="Z1962" s="26">
        <f t="shared" si="5"/>
        <v>-4</v>
      </c>
      <c r="AA1962" s="26">
        <f t="shared" si="6"/>
        <v>-5</v>
      </c>
      <c r="AB1962" s="32" t="str">
        <f t="shared" si="7"/>
        <v/>
      </c>
      <c r="AC1962" s="32">
        <f t="shared" ref="AC1962:AG1962" si="1973">IF(J1962&lt;&gt;"", IF(AND($P1962=FALSE, $A1962=FALSE), -J1962, IF(AND($P1962=FALSE, $A1962=TRUE), 0, IF($P1962=TRUE, (J1962 / $R1962) * 100 * ($S1962 / 100)-J1962, ))), )</f>
        <v>-1</v>
      </c>
      <c r="AD1962" s="32" t="str">
        <f t="shared" si="1973"/>
        <v/>
      </c>
      <c r="AE1962" s="32">
        <f t="shared" si="1973"/>
        <v>-1</v>
      </c>
      <c r="AF1962" s="32" t="str">
        <f t="shared" si="1973"/>
        <v/>
      </c>
      <c r="AG1962" s="32" t="str">
        <f t="shared" si="1973"/>
        <v/>
      </c>
      <c r="AH1962" s="33"/>
    </row>
    <row r="1963" hidden="1" outlineLevel="3">
      <c r="A1963" s="16" t="b">
        <v>0</v>
      </c>
      <c r="B1963" s="17"/>
      <c r="C1963" s="18"/>
      <c r="D1963" s="19"/>
      <c r="E1963" s="20"/>
      <c r="F1963" s="21"/>
      <c r="G1963" s="22"/>
      <c r="H1963" s="22"/>
      <c r="I1963" s="45"/>
      <c r="J1963" s="22"/>
      <c r="K1963" s="23"/>
      <c r="L1963" s="22"/>
      <c r="M1963" s="23"/>
      <c r="N1963" s="23"/>
      <c r="O1963" s="24"/>
      <c r="P1963" s="16" t="b">
        <v>0</v>
      </c>
      <c r="Q1963" s="24"/>
      <c r="R1963" s="48" t="str">
        <f t="shared" si="1882"/>
        <v/>
      </c>
      <c r="S1963" s="26"/>
      <c r="T1963" s="49" t="str">
        <f t="shared" si="1883"/>
        <v/>
      </c>
      <c r="U1963" s="24"/>
      <c r="V1963" s="28" t="str">
        <f t="shared" si="1974"/>
        <v>0</v>
      </c>
      <c r="W1963" s="29" t="str">
        <f t="shared" si="1874"/>
        <v>/</v>
      </c>
      <c r="X1963" s="37" t="s">
        <v>1247</v>
      </c>
      <c r="Y1963" s="31"/>
      <c r="Z1963" s="26" t="str">
        <f t="shared" si="5"/>
        <v/>
      </c>
      <c r="AA1963" s="26" t="str">
        <f t="shared" si="6"/>
        <v/>
      </c>
      <c r="AB1963" s="32" t="str">
        <f t="shared" si="7"/>
        <v/>
      </c>
      <c r="AC1963" s="32" t="str">
        <f t="shared" ref="AC1963:AG1963" si="1975">IF(J1963&lt;&gt;"", IF(AND($P1963=FALSE, $A1963=FALSE), -J1963, IF(AND($P1963=FALSE, $A1963=TRUE), 0, IF($P1963=TRUE, (J1963 / $R1963) * 100 * ($S1963 / 100)-J1963, ))), )</f>
        <v/>
      </c>
      <c r="AD1963" s="32" t="str">
        <f t="shared" si="1975"/>
        <v/>
      </c>
      <c r="AE1963" s="32" t="str">
        <f t="shared" si="1975"/>
        <v/>
      </c>
      <c r="AF1963" s="32" t="str">
        <f t="shared" si="1975"/>
        <v/>
      </c>
      <c r="AG1963" s="32" t="str">
        <f t="shared" si="1975"/>
        <v/>
      </c>
      <c r="AH1963" s="33"/>
    </row>
    <row r="1964" hidden="1" outlineLevel="3">
      <c r="A1964" s="16" t="b">
        <v>0</v>
      </c>
      <c r="B1964" s="17"/>
      <c r="C1964" s="18"/>
      <c r="D1964" s="19"/>
      <c r="E1964" s="20"/>
      <c r="F1964" s="21"/>
      <c r="G1964" s="22"/>
      <c r="H1964" s="22"/>
      <c r="I1964" s="45"/>
      <c r="J1964" s="22"/>
      <c r="K1964" s="23"/>
      <c r="L1964" s="22"/>
      <c r="M1964" s="23"/>
      <c r="N1964" s="23"/>
      <c r="O1964" s="24"/>
      <c r="P1964" s="16" t="b">
        <v>0</v>
      </c>
      <c r="Q1964" s="24"/>
      <c r="R1964" s="48" t="str">
        <f t="shared" si="1882"/>
        <v/>
      </c>
      <c r="S1964" s="26"/>
      <c r="T1964" s="49" t="str">
        <f t="shared" si="1883"/>
        <v/>
      </c>
      <c r="U1964" s="24"/>
      <c r="V1964" s="28" t="str">
        <f t="shared" si="1974"/>
        <v>0</v>
      </c>
      <c r="W1964" s="29" t="str">
        <f t="shared" si="1874"/>
        <v>/</v>
      </c>
      <c r="X1964" s="37" t="s">
        <v>964</v>
      </c>
      <c r="Y1964" s="31"/>
      <c r="Z1964" s="26" t="str">
        <f t="shared" si="5"/>
        <v/>
      </c>
      <c r="AA1964" s="26" t="str">
        <f t="shared" si="6"/>
        <v/>
      </c>
      <c r="AB1964" s="32" t="str">
        <f t="shared" si="7"/>
        <v/>
      </c>
      <c r="AC1964" s="32" t="str">
        <f t="shared" ref="AC1964:AG1964" si="1976">IF(J1964&lt;&gt;"", IF(AND($P1964=FALSE, $A1964=FALSE), -J1964, IF(AND($P1964=FALSE, $A1964=TRUE), 0, IF($P1964=TRUE, (J1964 / $R1964) * 100 * ($S1964 / 100)-J1964, ))), )</f>
        <v/>
      </c>
      <c r="AD1964" s="32" t="str">
        <f t="shared" si="1976"/>
        <v/>
      </c>
      <c r="AE1964" s="32" t="str">
        <f t="shared" si="1976"/>
        <v/>
      </c>
      <c r="AF1964" s="32" t="str">
        <f t="shared" si="1976"/>
        <v/>
      </c>
      <c r="AG1964" s="32" t="str">
        <f t="shared" si="1976"/>
        <v/>
      </c>
      <c r="AH1964" s="33"/>
    </row>
    <row r="1965" hidden="1" outlineLevel="3">
      <c r="A1965" s="16" t="b">
        <v>0</v>
      </c>
      <c r="B1965" s="17"/>
      <c r="C1965" s="18"/>
      <c r="D1965" s="19"/>
      <c r="E1965" s="20"/>
      <c r="F1965" s="21"/>
      <c r="G1965" s="22"/>
      <c r="H1965" s="22"/>
      <c r="I1965" s="45"/>
      <c r="J1965" s="22"/>
      <c r="K1965" s="23"/>
      <c r="L1965" s="22"/>
      <c r="M1965" s="23"/>
      <c r="N1965" s="23"/>
      <c r="O1965" s="24"/>
      <c r="P1965" s="16" t="b">
        <v>0</v>
      </c>
      <c r="Q1965" s="24"/>
      <c r="R1965" s="48" t="str">
        <f t="shared" si="1882"/>
        <v/>
      </c>
      <c r="S1965" s="26"/>
      <c r="T1965" s="49" t="str">
        <f t="shared" si="1883"/>
        <v/>
      </c>
      <c r="U1965" s="24"/>
      <c r="V1965" s="66" t="s">
        <v>29</v>
      </c>
      <c r="W1965" s="29" t="str">
        <f t="shared" si="1874"/>
        <v>/</v>
      </c>
      <c r="X1965" s="37" t="s">
        <v>1248</v>
      </c>
      <c r="Y1965" s="31"/>
      <c r="Z1965" s="26" t="str">
        <f t="shared" si="5"/>
        <v/>
      </c>
      <c r="AA1965" s="26" t="str">
        <f t="shared" si="6"/>
        <v/>
      </c>
      <c r="AB1965" s="32" t="str">
        <f t="shared" si="7"/>
        <v/>
      </c>
      <c r="AC1965" s="32" t="str">
        <f t="shared" ref="AC1965:AG1965" si="1977">IF(J1965&lt;&gt;"", IF(AND($P1965=FALSE, $A1965=FALSE), -J1965, IF(AND($P1965=FALSE, $A1965=TRUE), 0, IF($P1965=TRUE, (J1965 / $R1965) * 100 * ($S1965 / 100)-J1965, ))), )</f>
        <v/>
      </c>
      <c r="AD1965" s="32" t="str">
        <f t="shared" si="1977"/>
        <v/>
      </c>
      <c r="AE1965" s="32" t="str">
        <f t="shared" si="1977"/>
        <v/>
      </c>
      <c r="AF1965" s="32" t="str">
        <f t="shared" si="1977"/>
        <v/>
      </c>
      <c r="AG1965" s="32" t="str">
        <f t="shared" si="1977"/>
        <v/>
      </c>
      <c r="AH1965" s="33"/>
    </row>
    <row r="1966" hidden="1" outlineLevel="3">
      <c r="A1966" s="16" t="b">
        <v>0</v>
      </c>
      <c r="B1966" s="17"/>
      <c r="C1966" s="18"/>
      <c r="D1966" s="19"/>
      <c r="E1966" s="20"/>
      <c r="F1966" s="21"/>
      <c r="G1966" s="22"/>
      <c r="H1966" s="22"/>
      <c r="I1966" s="45"/>
      <c r="J1966" s="22"/>
      <c r="K1966" s="23"/>
      <c r="L1966" s="22"/>
      <c r="M1966" s="23"/>
      <c r="N1966" s="23"/>
      <c r="O1966" s="24"/>
      <c r="P1966" s="16" t="b">
        <v>0</v>
      </c>
      <c r="Q1966" s="24"/>
      <c r="R1966" s="48" t="str">
        <f t="shared" si="1882"/>
        <v/>
      </c>
      <c r="S1966" s="26"/>
      <c r="T1966" s="49" t="str">
        <f t="shared" si="1883"/>
        <v/>
      </c>
      <c r="U1966" s="24"/>
      <c r="V1966" s="66" t="s">
        <v>29</v>
      </c>
      <c r="W1966" s="29" t="str">
        <f t="shared" si="1874"/>
        <v>/</v>
      </c>
      <c r="X1966" s="37" t="s">
        <v>1249</v>
      </c>
      <c r="Y1966" s="31"/>
      <c r="Z1966" s="26" t="str">
        <f t="shared" si="5"/>
        <v/>
      </c>
      <c r="AA1966" s="26" t="str">
        <f t="shared" si="6"/>
        <v/>
      </c>
      <c r="AB1966" s="32" t="str">
        <f t="shared" si="7"/>
        <v/>
      </c>
      <c r="AC1966" s="32" t="str">
        <f t="shared" ref="AC1966:AG1966" si="1978">IF(J1966&lt;&gt;"", IF(AND($P1966=FALSE, $A1966=FALSE), -J1966, IF(AND($P1966=FALSE, $A1966=TRUE), 0, IF($P1966=TRUE, (J1966 / $R1966) * 100 * ($S1966 / 100)-J1966, ))), )</f>
        <v/>
      </c>
      <c r="AD1966" s="32" t="str">
        <f t="shared" si="1978"/>
        <v/>
      </c>
      <c r="AE1966" s="32" t="str">
        <f t="shared" si="1978"/>
        <v/>
      </c>
      <c r="AF1966" s="32" t="str">
        <f t="shared" si="1978"/>
        <v/>
      </c>
      <c r="AG1966" s="32" t="str">
        <f t="shared" si="1978"/>
        <v/>
      </c>
      <c r="AH1966" s="33"/>
    </row>
    <row r="1967" hidden="1" outlineLevel="3">
      <c r="A1967" s="16" t="b">
        <v>0</v>
      </c>
      <c r="B1967" s="17"/>
      <c r="C1967" s="18"/>
      <c r="D1967" s="19"/>
      <c r="E1967" s="20"/>
      <c r="F1967" s="21"/>
      <c r="G1967" s="22"/>
      <c r="H1967" s="22"/>
      <c r="I1967" s="45"/>
      <c r="J1967" s="22"/>
      <c r="K1967" s="23"/>
      <c r="L1967" s="22"/>
      <c r="M1967" s="23"/>
      <c r="N1967" s="23"/>
      <c r="O1967" s="24"/>
      <c r="P1967" s="16" t="b">
        <v>0</v>
      </c>
      <c r="Q1967" s="24"/>
      <c r="R1967" s="48" t="str">
        <f t="shared" si="1882"/>
        <v/>
      </c>
      <c r="S1967" s="26"/>
      <c r="T1967" s="49" t="str">
        <f t="shared" si="1883"/>
        <v/>
      </c>
      <c r="U1967" s="24"/>
      <c r="V1967" s="66" t="s">
        <v>29</v>
      </c>
      <c r="W1967" s="29" t="str">
        <f t="shared" si="1874"/>
        <v>/</v>
      </c>
      <c r="X1967" s="37" t="s">
        <v>1250</v>
      </c>
      <c r="Y1967" s="31"/>
      <c r="Z1967" s="26" t="str">
        <f t="shared" si="5"/>
        <v/>
      </c>
      <c r="AA1967" s="26" t="str">
        <f t="shared" si="6"/>
        <v/>
      </c>
      <c r="AB1967" s="32" t="str">
        <f t="shared" si="7"/>
        <v/>
      </c>
      <c r="AC1967" s="32" t="str">
        <f t="shared" ref="AC1967:AG1967" si="1979">IF(J1967&lt;&gt;"", IF(AND($P1967=FALSE, $A1967=FALSE), -J1967, IF(AND($P1967=FALSE, $A1967=TRUE), 0, IF($P1967=TRUE, (J1967 / $R1967) * 100 * ($S1967 / 100)-J1967, ))), )</f>
        <v/>
      </c>
      <c r="AD1967" s="32" t="str">
        <f t="shared" si="1979"/>
        <v/>
      </c>
      <c r="AE1967" s="32" t="str">
        <f t="shared" si="1979"/>
        <v/>
      </c>
      <c r="AF1967" s="32" t="str">
        <f t="shared" si="1979"/>
        <v/>
      </c>
      <c r="AG1967" s="32" t="str">
        <f t="shared" si="1979"/>
        <v/>
      </c>
      <c r="AH1967" s="33"/>
    </row>
    <row r="1968" hidden="1" outlineLevel="3">
      <c r="A1968" s="16" t="b">
        <v>0</v>
      </c>
      <c r="B1968" s="17"/>
      <c r="C1968" s="18"/>
      <c r="D1968" s="19"/>
      <c r="E1968" s="20"/>
      <c r="F1968" s="21"/>
      <c r="G1968" s="22"/>
      <c r="H1968" s="22"/>
      <c r="I1968" s="45"/>
      <c r="J1968" s="22"/>
      <c r="K1968" s="23"/>
      <c r="L1968" s="22"/>
      <c r="M1968" s="23"/>
      <c r="N1968" s="23"/>
      <c r="O1968" s="24"/>
      <c r="P1968" s="16" t="b">
        <v>0</v>
      </c>
      <c r="Q1968" s="24"/>
      <c r="R1968" s="48" t="str">
        <f t="shared" si="1882"/>
        <v/>
      </c>
      <c r="S1968" s="26"/>
      <c r="T1968" s="49" t="str">
        <f t="shared" si="1883"/>
        <v/>
      </c>
      <c r="U1968" s="24"/>
      <c r="V1968" s="66">
        <v>333.0</v>
      </c>
      <c r="W1968" s="29" t="str">
        <f t="shared" si="1874"/>
        <v>/</v>
      </c>
      <c r="X1968" s="37" t="s">
        <v>1251</v>
      </c>
      <c r="Y1968" s="31"/>
      <c r="Z1968" s="26" t="str">
        <f t="shared" si="5"/>
        <v/>
      </c>
      <c r="AA1968" s="26" t="str">
        <f t="shared" si="6"/>
        <v/>
      </c>
      <c r="AB1968" s="32" t="str">
        <f t="shared" si="7"/>
        <v/>
      </c>
      <c r="AC1968" s="32" t="str">
        <f t="shared" ref="AC1968:AG1968" si="1980">IF(J1968&lt;&gt;"", IF(AND($P1968=FALSE, $A1968=FALSE), -J1968, IF(AND($P1968=FALSE, $A1968=TRUE), 0, IF($P1968=TRUE, (J1968 / $R1968) * 100 * ($S1968 / 100)-J1968, ))), )</f>
        <v/>
      </c>
      <c r="AD1968" s="32" t="str">
        <f t="shared" si="1980"/>
        <v/>
      </c>
      <c r="AE1968" s="32" t="str">
        <f t="shared" si="1980"/>
        <v/>
      </c>
      <c r="AF1968" s="32" t="str">
        <f t="shared" si="1980"/>
        <v/>
      </c>
      <c r="AG1968" s="32" t="str">
        <f t="shared" si="1980"/>
        <v/>
      </c>
      <c r="AH1968" s="33"/>
    </row>
    <row r="1969" hidden="1" outlineLevel="3">
      <c r="A1969" s="16" t="b">
        <v>0</v>
      </c>
      <c r="B1969" s="17"/>
      <c r="C1969" s="18"/>
      <c r="D1969" s="19"/>
      <c r="E1969" s="20"/>
      <c r="F1969" s="21"/>
      <c r="G1969" s="22"/>
      <c r="H1969" s="22"/>
      <c r="I1969" s="45"/>
      <c r="J1969" s="22"/>
      <c r="K1969" s="23"/>
      <c r="L1969" s="22"/>
      <c r="M1969" s="23"/>
      <c r="N1969" s="23"/>
      <c r="O1969" s="24"/>
      <c r="P1969" s="16" t="b">
        <v>0</v>
      </c>
      <c r="Q1969" s="24"/>
      <c r="R1969" s="48" t="str">
        <f t="shared" si="1882"/>
        <v/>
      </c>
      <c r="S1969" s="26"/>
      <c r="T1969" s="49" t="str">
        <f t="shared" si="1883"/>
        <v/>
      </c>
      <c r="U1969" s="24"/>
      <c r="V1969" s="66" t="s">
        <v>1229</v>
      </c>
      <c r="W1969" s="29" t="str">
        <f t="shared" si="1874"/>
        <v>/</v>
      </c>
      <c r="X1969" s="37" t="s">
        <v>1252</v>
      </c>
      <c r="Y1969" s="31"/>
      <c r="Z1969" s="26" t="str">
        <f t="shared" si="5"/>
        <v/>
      </c>
      <c r="AA1969" s="26" t="str">
        <f t="shared" si="6"/>
        <v/>
      </c>
      <c r="AB1969" s="32" t="str">
        <f t="shared" si="7"/>
        <v/>
      </c>
      <c r="AC1969" s="32" t="str">
        <f t="shared" ref="AC1969:AG1969" si="1981">IF(J1969&lt;&gt;"", IF(AND($P1969=FALSE, $A1969=FALSE), -J1969, IF(AND($P1969=FALSE, $A1969=TRUE), 0, IF($P1969=TRUE, (J1969 / $R1969) * 100 * ($S1969 / 100)-J1969, ))), )</f>
        <v/>
      </c>
      <c r="AD1969" s="32" t="str">
        <f t="shared" si="1981"/>
        <v/>
      </c>
      <c r="AE1969" s="32" t="str">
        <f t="shared" si="1981"/>
        <v/>
      </c>
      <c r="AF1969" s="32" t="str">
        <f t="shared" si="1981"/>
        <v/>
      </c>
      <c r="AG1969" s="32" t="str">
        <f t="shared" si="1981"/>
        <v/>
      </c>
      <c r="AH1969" s="33"/>
    </row>
    <row r="1970" hidden="1" outlineLevel="3">
      <c r="A1970" s="16" t="b">
        <v>0</v>
      </c>
      <c r="B1970" s="17"/>
      <c r="C1970" s="18"/>
      <c r="D1970" s="19"/>
      <c r="E1970" s="20"/>
      <c r="F1970" s="21"/>
      <c r="G1970" s="22"/>
      <c r="H1970" s="22"/>
      <c r="I1970" s="45"/>
      <c r="J1970" s="22"/>
      <c r="K1970" s="23"/>
      <c r="L1970" s="22"/>
      <c r="M1970" s="23"/>
      <c r="N1970" s="23"/>
      <c r="O1970" s="24"/>
      <c r="P1970" s="16" t="b">
        <v>0</v>
      </c>
      <c r="Q1970" s="24"/>
      <c r="R1970" s="48" t="str">
        <f t="shared" si="1882"/>
        <v/>
      </c>
      <c r="S1970" s="26"/>
      <c r="T1970" s="49" t="str">
        <f t="shared" si="1883"/>
        <v/>
      </c>
      <c r="U1970" s="24"/>
      <c r="V1970" s="66">
        <v>2.0</v>
      </c>
      <c r="W1970" s="29" t="str">
        <f t="shared" si="1874"/>
        <v>/</v>
      </c>
      <c r="X1970" s="37" t="s">
        <v>1253</v>
      </c>
      <c r="Y1970" s="31"/>
      <c r="Z1970" s="26" t="str">
        <f t="shared" si="5"/>
        <v/>
      </c>
      <c r="AA1970" s="26" t="str">
        <f t="shared" si="6"/>
        <v/>
      </c>
      <c r="AB1970" s="32" t="str">
        <f t="shared" si="7"/>
        <v/>
      </c>
      <c r="AC1970" s="32" t="str">
        <f t="shared" ref="AC1970:AG1970" si="1982">IF(J1970&lt;&gt;"", IF(AND($P1970=FALSE, $A1970=FALSE), -J1970, IF(AND($P1970=FALSE, $A1970=TRUE), 0, IF($P1970=TRUE, (J1970 / $R1970) * 100 * ($S1970 / 100)-J1970, ))), )</f>
        <v/>
      </c>
      <c r="AD1970" s="32" t="str">
        <f t="shared" si="1982"/>
        <v/>
      </c>
      <c r="AE1970" s="32" t="str">
        <f t="shared" si="1982"/>
        <v/>
      </c>
      <c r="AF1970" s="32" t="str">
        <f t="shared" si="1982"/>
        <v/>
      </c>
      <c r="AG1970" s="32" t="str">
        <f t="shared" si="1982"/>
        <v/>
      </c>
      <c r="AH1970" s="33"/>
    </row>
    <row r="1971" hidden="1" outlineLevel="3">
      <c r="A1971" s="16" t="b">
        <v>0</v>
      </c>
      <c r="B1971" s="17"/>
      <c r="C1971" s="18"/>
      <c r="D1971" s="19"/>
      <c r="E1971" s="20"/>
      <c r="F1971" s="21"/>
      <c r="G1971" s="22"/>
      <c r="H1971" s="22"/>
      <c r="I1971" s="45"/>
      <c r="J1971" s="22"/>
      <c r="K1971" s="23"/>
      <c r="L1971" s="22"/>
      <c r="M1971" s="23"/>
      <c r="N1971" s="23"/>
      <c r="O1971" s="24"/>
      <c r="P1971" s="16" t="b">
        <v>0</v>
      </c>
      <c r="Q1971" s="24"/>
      <c r="R1971" s="48" t="str">
        <f t="shared" si="1882"/>
        <v/>
      </c>
      <c r="S1971" s="26"/>
      <c r="T1971" s="49" t="str">
        <f t="shared" si="1883"/>
        <v/>
      </c>
      <c r="U1971" s="24"/>
      <c r="V1971" s="66" t="s">
        <v>29</v>
      </c>
      <c r="W1971" s="29" t="str">
        <f t="shared" si="1874"/>
        <v>/</v>
      </c>
      <c r="X1971" s="37" t="s">
        <v>1254</v>
      </c>
      <c r="Y1971" s="31"/>
      <c r="Z1971" s="26" t="str">
        <f t="shared" si="5"/>
        <v/>
      </c>
      <c r="AA1971" s="26" t="str">
        <f t="shared" si="6"/>
        <v/>
      </c>
      <c r="AB1971" s="32" t="str">
        <f t="shared" si="7"/>
        <v/>
      </c>
      <c r="AC1971" s="32" t="str">
        <f t="shared" ref="AC1971:AG1971" si="1983">IF(J1971&lt;&gt;"", IF(AND($P1971=FALSE, $A1971=FALSE), -J1971, IF(AND($P1971=FALSE, $A1971=TRUE), 0, IF($P1971=TRUE, (J1971 / $R1971) * 100 * ($S1971 / 100)-J1971, ))), )</f>
        <v/>
      </c>
      <c r="AD1971" s="32" t="str">
        <f t="shared" si="1983"/>
        <v/>
      </c>
      <c r="AE1971" s="32" t="str">
        <f t="shared" si="1983"/>
        <v/>
      </c>
      <c r="AF1971" s="32" t="str">
        <f t="shared" si="1983"/>
        <v/>
      </c>
      <c r="AG1971" s="32" t="str">
        <f t="shared" si="1983"/>
        <v/>
      </c>
      <c r="AH1971" s="33"/>
    </row>
    <row r="1972" hidden="1" outlineLevel="3">
      <c r="A1972" s="16" t="b">
        <v>0</v>
      </c>
      <c r="B1972" s="17"/>
      <c r="C1972" s="18"/>
      <c r="D1972" s="19"/>
      <c r="E1972" s="20"/>
      <c r="F1972" s="21"/>
      <c r="G1972" s="22"/>
      <c r="H1972" s="22"/>
      <c r="I1972" s="45"/>
      <c r="J1972" s="22"/>
      <c r="K1972" s="23"/>
      <c r="L1972" s="22"/>
      <c r="M1972" s="23"/>
      <c r="N1972" s="23"/>
      <c r="O1972" s="24"/>
      <c r="P1972" s="16" t="b">
        <v>0</v>
      </c>
      <c r="Q1972" s="24"/>
      <c r="R1972" s="48" t="str">
        <f t="shared" si="1882"/>
        <v/>
      </c>
      <c r="S1972" s="26"/>
      <c r="T1972" s="49" t="str">
        <f t="shared" si="1883"/>
        <v/>
      </c>
      <c r="U1972" s="24"/>
      <c r="V1972" s="66" t="s">
        <v>29</v>
      </c>
      <c r="W1972" s="29" t="str">
        <f t="shared" si="1874"/>
        <v>/</v>
      </c>
      <c r="X1972" s="37" t="s">
        <v>1244</v>
      </c>
      <c r="Y1972" s="31"/>
      <c r="Z1972" s="26" t="str">
        <f t="shared" si="5"/>
        <v/>
      </c>
      <c r="AA1972" s="26" t="str">
        <f t="shared" si="6"/>
        <v/>
      </c>
      <c r="AB1972" s="32" t="str">
        <f t="shared" si="7"/>
        <v/>
      </c>
      <c r="AC1972" s="32" t="str">
        <f t="shared" ref="AC1972:AG1972" si="1984">IF(J1972&lt;&gt;"", IF(AND($P1972=FALSE, $A1972=FALSE), -J1972, IF(AND($P1972=FALSE, $A1972=TRUE), 0, IF($P1972=TRUE, (J1972 / $R1972) * 100 * ($S1972 / 100)-J1972, ))), )</f>
        <v/>
      </c>
      <c r="AD1972" s="32" t="str">
        <f t="shared" si="1984"/>
        <v/>
      </c>
      <c r="AE1972" s="32" t="str">
        <f t="shared" si="1984"/>
        <v/>
      </c>
      <c r="AF1972" s="32" t="str">
        <f t="shared" si="1984"/>
        <v/>
      </c>
      <c r="AG1972" s="32" t="str">
        <f t="shared" si="1984"/>
        <v/>
      </c>
      <c r="AH1972" s="33"/>
    </row>
    <row r="1973" hidden="1" outlineLevel="3">
      <c r="A1973" s="16" t="b">
        <v>0</v>
      </c>
      <c r="B1973" s="17"/>
      <c r="C1973" s="18"/>
      <c r="D1973" s="19"/>
      <c r="E1973" s="20"/>
      <c r="F1973" s="21"/>
      <c r="G1973" s="22"/>
      <c r="H1973" s="22"/>
      <c r="I1973" s="45"/>
      <c r="J1973" s="22"/>
      <c r="K1973" s="23"/>
      <c r="L1973" s="22"/>
      <c r="M1973" s="23"/>
      <c r="N1973" s="23"/>
      <c r="O1973" s="24"/>
      <c r="P1973" s="16" t="b">
        <v>0</v>
      </c>
      <c r="Q1973" s="24"/>
      <c r="R1973" s="48" t="str">
        <f t="shared" si="1882"/>
        <v/>
      </c>
      <c r="S1973" s="26"/>
      <c r="T1973" s="49" t="str">
        <f t="shared" si="1883"/>
        <v/>
      </c>
      <c r="U1973" s="24"/>
      <c r="V1973" s="66" t="s">
        <v>29</v>
      </c>
      <c r="W1973" s="29" t="str">
        <f t="shared" si="1874"/>
        <v>/</v>
      </c>
      <c r="X1973" s="37" t="s">
        <v>1255</v>
      </c>
      <c r="Y1973" s="31"/>
      <c r="Z1973" s="26" t="str">
        <f t="shared" si="5"/>
        <v/>
      </c>
      <c r="AA1973" s="26" t="str">
        <f t="shared" si="6"/>
        <v/>
      </c>
      <c r="AB1973" s="32" t="str">
        <f t="shared" si="7"/>
        <v/>
      </c>
      <c r="AC1973" s="32" t="str">
        <f t="shared" ref="AC1973:AG1973" si="1985">IF(J1973&lt;&gt;"", IF(AND($P1973=FALSE, $A1973=FALSE), -J1973, IF(AND($P1973=FALSE, $A1973=TRUE), 0, IF($P1973=TRUE, (J1973 / $R1973) * 100 * ($S1973 / 100)-J1973, ))), )</f>
        <v/>
      </c>
      <c r="AD1973" s="32" t="str">
        <f t="shared" si="1985"/>
        <v/>
      </c>
      <c r="AE1973" s="32" t="str">
        <f t="shared" si="1985"/>
        <v/>
      </c>
      <c r="AF1973" s="32" t="str">
        <f t="shared" si="1985"/>
        <v/>
      </c>
      <c r="AG1973" s="32" t="str">
        <f t="shared" si="1985"/>
        <v/>
      </c>
      <c r="AH1973" s="33"/>
    </row>
    <row r="1974" hidden="1" outlineLevel="2" collapsed="1">
      <c r="A1974" s="16" t="b">
        <v>0</v>
      </c>
      <c r="B1974" s="17"/>
      <c r="C1974" s="18"/>
      <c r="D1974" s="42">
        <v>45333.0</v>
      </c>
      <c r="E1974" s="20" t="s">
        <v>24</v>
      </c>
      <c r="F1974" s="53" t="s">
        <v>1216</v>
      </c>
      <c r="G1974" s="45">
        <v>2.0</v>
      </c>
      <c r="H1974" s="45"/>
      <c r="I1974" s="45">
        <v>1.0</v>
      </c>
      <c r="J1974" s="36">
        <v>1.0</v>
      </c>
      <c r="K1974" s="23"/>
      <c r="L1974" s="36">
        <v>1.0</v>
      </c>
      <c r="M1974" s="23"/>
      <c r="N1974" s="23"/>
      <c r="O1974" s="24"/>
      <c r="P1974" s="16" t="b">
        <v>0</v>
      </c>
      <c r="Q1974" s="24"/>
      <c r="R1974" s="48">
        <f t="shared" si="1882"/>
        <v>5</v>
      </c>
      <c r="S1974" s="26">
        <v>22.5</v>
      </c>
      <c r="T1974" s="49" t="str">
        <f t="shared" si="1883"/>
        <v>+350</v>
      </c>
      <c r="U1974" s="24"/>
      <c r="V1974" s="28" t="str">
        <f t="shared" ref="V1974:V1975" si="1987">IF(ISBLANK($D1974), "0",)</f>
        <v/>
      </c>
      <c r="W1974" s="29" t="str">
        <f t="shared" si="1874"/>
        <v/>
      </c>
      <c r="X1974" s="30"/>
      <c r="Y1974" s="31"/>
      <c r="Z1974" s="26">
        <f t="shared" si="5"/>
        <v>-2</v>
      </c>
      <c r="AA1974" s="26">
        <f t="shared" si="6"/>
        <v>-1</v>
      </c>
      <c r="AB1974" s="32" t="str">
        <f t="shared" si="7"/>
        <v/>
      </c>
      <c r="AC1974" s="32">
        <f t="shared" ref="AC1974:AG1974" si="1986">IF(J1974&lt;&gt;"", IF(AND($P1974=FALSE, $A1974=FALSE), -J1974, IF(AND($P1974=FALSE, $A1974=TRUE), 0, IF($P1974=TRUE, (J1974 / $R1974) * 100 * ($S1974 / 100)-J1974, ))), )</f>
        <v>-1</v>
      </c>
      <c r="AD1974" s="32" t="str">
        <f t="shared" si="1986"/>
        <v/>
      </c>
      <c r="AE1974" s="32">
        <f t="shared" si="1986"/>
        <v>-1</v>
      </c>
      <c r="AF1974" s="32" t="str">
        <f t="shared" si="1986"/>
        <v/>
      </c>
      <c r="AG1974" s="32" t="str">
        <f t="shared" si="1986"/>
        <v/>
      </c>
      <c r="AH1974" s="33"/>
    </row>
    <row r="1975" hidden="1" outlineLevel="3">
      <c r="A1975" s="16" t="b">
        <v>0</v>
      </c>
      <c r="B1975" s="17"/>
      <c r="C1975" s="18"/>
      <c r="D1975" s="19"/>
      <c r="E1975" s="20"/>
      <c r="F1975" s="21"/>
      <c r="G1975" s="22"/>
      <c r="H1975" s="22"/>
      <c r="I1975" s="45"/>
      <c r="J1975" s="22"/>
      <c r="K1975" s="23"/>
      <c r="L1975" s="22"/>
      <c r="M1975" s="23"/>
      <c r="N1975" s="23"/>
      <c r="O1975" s="24"/>
      <c r="P1975" s="16" t="b">
        <v>0</v>
      </c>
      <c r="Q1975" s="24"/>
      <c r="R1975" s="48" t="str">
        <f t="shared" si="1882"/>
        <v/>
      </c>
      <c r="S1975" s="26"/>
      <c r="T1975" s="49" t="str">
        <f t="shared" si="1883"/>
        <v/>
      </c>
      <c r="U1975" s="24"/>
      <c r="V1975" s="28" t="str">
        <f t="shared" si="1987"/>
        <v>0</v>
      </c>
      <c r="W1975" s="29" t="str">
        <f t="shared" si="1874"/>
        <v>/</v>
      </c>
      <c r="X1975" s="37" t="s">
        <v>491</v>
      </c>
      <c r="Y1975" s="31"/>
      <c r="Z1975" s="26" t="str">
        <f t="shared" si="5"/>
        <v/>
      </c>
      <c r="AA1975" s="26" t="str">
        <f t="shared" si="6"/>
        <v/>
      </c>
      <c r="AB1975" s="32" t="str">
        <f t="shared" si="7"/>
        <v/>
      </c>
      <c r="AC1975" s="32" t="str">
        <f t="shared" ref="AC1975:AG1975" si="1988">IF(J1975&lt;&gt;"", IF(AND($P1975=FALSE, $A1975=FALSE), -J1975, IF(AND($P1975=FALSE, $A1975=TRUE), 0, IF($P1975=TRUE, (J1975 / $R1975) * 100 * ($S1975 / 100)-J1975, ))), )</f>
        <v/>
      </c>
      <c r="AD1975" s="32" t="str">
        <f t="shared" si="1988"/>
        <v/>
      </c>
      <c r="AE1975" s="32" t="str">
        <f t="shared" si="1988"/>
        <v/>
      </c>
      <c r="AF1975" s="32" t="str">
        <f t="shared" si="1988"/>
        <v/>
      </c>
      <c r="AG1975" s="32" t="str">
        <f t="shared" si="1988"/>
        <v/>
      </c>
      <c r="AH1975" s="33"/>
    </row>
    <row r="1976" hidden="1" outlineLevel="3">
      <c r="A1976" s="16" t="b">
        <v>0</v>
      </c>
      <c r="B1976" s="17"/>
      <c r="C1976" s="18"/>
      <c r="D1976" s="19"/>
      <c r="E1976" s="20"/>
      <c r="F1976" s="21"/>
      <c r="G1976" s="22"/>
      <c r="H1976" s="22"/>
      <c r="I1976" s="45"/>
      <c r="J1976" s="22"/>
      <c r="K1976" s="23"/>
      <c r="L1976" s="22"/>
      <c r="M1976" s="23"/>
      <c r="N1976" s="23"/>
      <c r="O1976" s="24"/>
      <c r="P1976" s="16" t="b">
        <v>0</v>
      </c>
      <c r="Q1976" s="24"/>
      <c r="R1976" s="48" t="str">
        <f t="shared" si="1882"/>
        <v/>
      </c>
      <c r="S1976" s="26"/>
      <c r="T1976" s="49" t="str">
        <f t="shared" si="1883"/>
        <v/>
      </c>
      <c r="U1976" s="24"/>
      <c r="V1976" s="66" t="s">
        <v>29</v>
      </c>
      <c r="W1976" s="29" t="str">
        <f t="shared" si="1874"/>
        <v>/</v>
      </c>
      <c r="X1976" s="37" t="s">
        <v>1241</v>
      </c>
      <c r="Y1976" s="31"/>
      <c r="Z1976" s="26" t="str">
        <f t="shared" si="5"/>
        <v/>
      </c>
      <c r="AA1976" s="26" t="str">
        <f t="shared" si="6"/>
        <v/>
      </c>
      <c r="AB1976" s="32" t="str">
        <f t="shared" si="7"/>
        <v/>
      </c>
      <c r="AC1976" s="32" t="str">
        <f t="shared" ref="AC1976:AG1976" si="1989">IF(J1976&lt;&gt;"", IF(AND($P1976=FALSE, $A1976=FALSE), -J1976, IF(AND($P1976=FALSE, $A1976=TRUE), 0, IF($P1976=TRUE, (J1976 / $R1976) * 100 * ($S1976 / 100)-J1976, ))), )</f>
        <v/>
      </c>
      <c r="AD1976" s="32" t="str">
        <f t="shared" si="1989"/>
        <v/>
      </c>
      <c r="AE1976" s="32" t="str">
        <f t="shared" si="1989"/>
        <v/>
      </c>
      <c r="AF1976" s="32" t="str">
        <f t="shared" si="1989"/>
        <v/>
      </c>
      <c r="AG1976" s="32" t="str">
        <f t="shared" si="1989"/>
        <v/>
      </c>
      <c r="AH1976" s="33"/>
    </row>
    <row r="1977" hidden="1" outlineLevel="3">
      <c r="A1977" s="16" t="b">
        <v>0</v>
      </c>
      <c r="B1977" s="17"/>
      <c r="C1977" s="18"/>
      <c r="D1977" s="19"/>
      <c r="E1977" s="20"/>
      <c r="F1977" s="21"/>
      <c r="G1977" s="22"/>
      <c r="H1977" s="22"/>
      <c r="I1977" s="45"/>
      <c r="J1977" s="22"/>
      <c r="K1977" s="23"/>
      <c r="L1977" s="22"/>
      <c r="M1977" s="23"/>
      <c r="N1977" s="23"/>
      <c r="O1977" s="24"/>
      <c r="P1977" s="16" t="b">
        <v>0</v>
      </c>
      <c r="Q1977" s="24"/>
      <c r="R1977" s="48" t="str">
        <f t="shared" si="1882"/>
        <v/>
      </c>
      <c r="S1977" s="26"/>
      <c r="T1977" s="49" t="str">
        <f t="shared" si="1883"/>
        <v/>
      </c>
      <c r="U1977" s="24"/>
      <c r="V1977" s="66">
        <v>4.0</v>
      </c>
      <c r="W1977" s="29" t="str">
        <f t="shared" si="1874"/>
        <v>/</v>
      </c>
      <c r="X1977" s="37" t="s">
        <v>495</v>
      </c>
      <c r="Y1977" s="31"/>
      <c r="Z1977" s="26" t="str">
        <f t="shared" si="5"/>
        <v/>
      </c>
      <c r="AA1977" s="26" t="str">
        <f t="shared" si="6"/>
        <v/>
      </c>
      <c r="AB1977" s="32" t="str">
        <f t="shared" si="7"/>
        <v/>
      </c>
      <c r="AC1977" s="32" t="str">
        <f t="shared" ref="AC1977:AG1977" si="1990">IF(J1977&lt;&gt;"", IF(AND($P1977=FALSE, $A1977=FALSE), -J1977, IF(AND($P1977=FALSE, $A1977=TRUE), 0, IF($P1977=TRUE, (J1977 / $R1977) * 100 * ($S1977 / 100)-J1977, ))), )</f>
        <v/>
      </c>
      <c r="AD1977" s="32" t="str">
        <f t="shared" si="1990"/>
        <v/>
      </c>
      <c r="AE1977" s="32" t="str">
        <f t="shared" si="1990"/>
        <v/>
      </c>
      <c r="AF1977" s="32" t="str">
        <f t="shared" si="1990"/>
        <v/>
      </c>
      <c r="AG1977" s="32" t="str">
        <f t="shared" si="1990"/>
        <v/>
      </c>
      <c r="AH1977" s="33"/>
    </row>
    <row r="1978" hidden="1" outlineLevel="2" collapsed="1">
      <c r="A1978" s="16" t="b">
        <v>0</v>
      </c>
      <c r="B1978" s="17"/>
      <c r="C1978" s="18"/>
      <c r="D1978" s="42">
        <v>45333.0</v>
      </c>
      <c r="E1978" s="20" t="s">
        <v>24</v>
      </c>
      <c r="F1978" s="53" t="s">
        <v>1216</v>
      </c>
      <c r="G1978" s="45">
        <v>0.5</v>
      </c>
      <c r="H1978" s="45"/>
      <c r="I1978" s="45"/>
      <c r="J1978" s="36">
        <v>1.0</v>
      </c>
      <c r="K1978" s="23"/>
      <c r="L1978" s="22"/>
      <c r="M1978" s="23"/>
      <c r="N1978" s="23"/>
      <c r="O1978" s="24"/>
      <c r="P1978" s="16" t="b">
        <v>0</v>
      </c>
      <c r="Q1978" s="24"/>
      <c r="R1978" s="48">
        <f t="shared" si="1882"/>
        <v>1.5</v>
      </c>
      <c r="S1978" s="26">
        <v>22.5</v>
      </c>
      <c r="T1978" s="49" t="str">
        <f t="shared" si="1883"/>
        <v>+1400</v>
      </c>
      <c r="U1978" s="24"/>
      <c r="V1978" s="28" t="str">
        <f>IF(ISBLANK($D1978), "0",)</f>
        <v/>
      </c>
      <c r="W1978" s="29" t="str">
        <f t="shared" si="1874"/>
        <v/>
      </c>
      <c r="X1978" s="30"/>
      <c r="Y1978" s="31"/>
      <c r="Z1978" s="26">
        <f t="shared" si="5"/>
        <v>-0.5</v>
      </c>
      <c r="AA1978" s="26" t="str">
        <f t="shared" si="6"/>
        <v/>
      </c>
      <c r="AB1978" s="32" t="str">
        <f t="shared" si="7"/>
        <v/>
      </c>
      <c r="AC1978" s="32">
        <f t="shared" ref="AC1978:AG1978" si="1991">IF(J1978&lt;&gt;"", IF(AND($P1978=FALSE, $A1978=FALSE), -J1978, IF(AND($P1978=FALSE, $A1978=TRUE), 0, IF($P1978=TRUE, (J1978 / $R1978) * 100 * ($S1978 / 100)-J1978, ))), )</f>
        <v>-1</v>
      </c>
      <c r="AD1978" s="32" t="str">
        <f t="shared" si="1991"/>
        <v/>
      </c>
      <c r="AE1978" s="32" t="str">
        <f t="shared" si="1991"/>
        <v/>
      </c>
      <c r="AF1978" s="32" t="str">
        <f t="shared" si="1991"/>
        <v/>
      </c>
      <c r="AG1978" s="32" t="str">
        <f t="shared" si="1991"/>
        <v/>
      </c>
      <c r="AH1978" s="33"/>
    </row>
    <row r="1979" hidden="1" outlineLevel="3">
      <c r="A1979" s="16" t="b">
        <v>0</v>
      </c>
      <c r="B1979" s="17"/>
      <c r="C1979" s="18"/>
      <c r="D1979" s="19"/>
      <c r="E1979" s="20"/>
      <c r="F1979" s="21"/>
      <c r="G1979" s="22"/>
      <c r="H1979" s="22"/>
      <c r="I1979" s="45"/>
      <c r="J1979" s="22"/>
      <c r="K1979" s="23"/>
      <c r="L1979" s="22"/>
      <c r="M1979" s="23"/>
      <c r="N1979" s="23"/>
      <c r="O1979" s="24"/>
      <c r="P1979" s="16" t="b">
        <v>0</v>
      </c>
      <c r="Q1979" s="24"/>
      <c r="R1979" s="48" t="str">
        <f t="shared" si="1882"/>
        <v/>
      </c>
      <c r="S1979" s="26"/>
      <c r="T1979" s="49" t="str">
        <f t="shared" si="1883"/>
        <v/>
      </c>
      <c r="U1979" s="24"/>
      <c r="V1979" s="66" t="s">
        <v>29</v>
      </c>
      <c r="W1979" s="29" t="str">
        <f t="shared" si="1874"/>
        <v>/</v>
      </c>
      <c r="X1979" s="37" t="s">
        <v>1256</v>
      </c>
      <c r="Y1979" s="31"/>
      <c r="Z1979" s="26" t="str">
        <f t="shared" si="5"/>
        <v/>
      </c>
      <c r="AA1979" s="26" t="str">
        <f t="shared" si="6"/>
        <v/>
      </c>
      <c r="AB1979" s="32" t="str">
        <f t="shared" si="7"/>
        <v/>
      </c>
      <c r="AC1979" s="32" t="str">
        <f t="shared" ref="AC1979:AG1979" si="1992">IF(J1979&lt;&gt;"", IF(AND($P1979=FALSE, $A1979=FALSE), -J1979, IF(AND($P1979=FALSE, $A1979=TRUE), 0, IF($P1979=TRUE, (J1979 / $R1979) * 100 * ($S1979 / 100)-J1979, ))), )</f>
        <v/>
      </c>
      <c r="AD1979" s="32" t="str">
        <f t="shared" si="1992"/>
        <v/>
      </c>
      <c r="AE1979" s="32" t="str">
        <f t="shared" si="1992"/>
        <v/>
      </c>
      <c r="AF1979" s="32" t="str">
        <f t="shared" si="1992"/>
        <v/>
      </c>
      <c r="AG1979" s="32" t="str">
        <f t="shared" si="1992"/>
        <v/>
      </c>
      <c r="AH1979" s="33"/>
    </row>
    <row r="1980" hidden="1" outlineLevel="3">
      <c r="A1980" s="16" t="b">
        <v>0</v>
      </c>
      <c r="B1980" s="17"/>
      <c r="C1980" s="18"/>
      <c r="D1980" s="19"/>
      <c r="E1980" s="20"/>
      <c r="F1980" s="21"/>
      <c r="G1980" s="22"/>
      <c r="H1980" s="22"/>
      <c r="I1980" s="45"/>
      <c r="J1980" s="22"/>
      <c r="K1980" s="23"/>
      <c r="L1980" s="22"/>
      <c r="M1980" s="23"/>
      <c r="N1980" s="23"/>
      <c r="O1980" s="24"/>
      <c r="P1980" s="16" t="b">
        <v>0</v>
      </c>
      <c r="Q1980" s="24"/>
      <c r="R1980" s="48" t="str">
        <f t="shared" si="1882"/>
        <v/>
      </c>
      <c r="S1980" s="26"/>
      <c r="T1980" s="49" t="str">
        <f t="shared" si="1883"/>
        <v/>
      </c>
      <c r="U1980" s="24"/>
      <c r="V1980" s="66" t="s">
        <v>1257</v>
      </c>
      <c r="W1980" s="29" t="str">
        <f t="shared" si="1874"/>
        <v>/</v>
      </c>
      <c r="X1980" s="37" t="s">
        <v>1258</v>
      </c>
      <c r="Y1980" s="31"/>
      <c r="Z1980" s="26" t="str">
        <f t="shared" si="5"/>
        <v/>
      </c>
      <c r="AA1980" s="26" t="str">
        <f t="shared" si="6"/>
        <v/>
      </c>
      <c r="AB1980" s="32" t="str">
        <f t="shared" si="7"/>
        <v/>
      </c>
      <c r="AC1980" s="32" t="str">
        <f t="shared" ref="AC1980:AG1980" si="1993">IF(J1980&lt;&gt;"", IF(AND($P1980=FALSE, $A1980=FALSE), -J1980, IF(AND($P1980=FALSE, $A1980=TRUE), 0, IF($P1980=TRUE, (J1980 / $R1980) * 100 * ($S1980 / 100)-J1980, ))), )</f>
        <v/>
      </c>
      <c r="AD1980" s="32" t="str">
        <f t="shared" si="1993"/>
        <v/>
      </c>
      <c r="AE1980" s="32" t="str">
        <f t="shared" si="1993"/>
        <v/>
      </c>
      <c r="AF1980" s="32" t="str">
        <f t="shared" si="1993"/>
        <v/>
      </c>
      <c r="AG1980" s="32" t="str">
        <f t="shared" si="1993"/>
        <v/>
      </c>
      <c r="AH1980" s="33"/>
    </row>
    <row r="1981" hidden="1" outlineLevel="3">
      <c r="A1981" s="16" t="b">
        <v>0</v>
      </c>
      <c r="B1981" s="17"/>
      <c r="C1981" s="18"/>
      <c r="D1981" s="19"/>
      <c r="E1981" s="20"/>
      <c r="F1981" s="21"/>
      <c r="G1981" s="22"/>
      <c r="H1981" s="22"/>
      <c r="I1981" s="45"/>
      <c r="J1981" s="22"/>
      <c r="K1981" s="23"/>
      <c r="L1981" s="22"/>
      <c r="M1981" s="23"/>
      <c r="N1981" s="23"/>
      <c r="O1981" s="24"/>
      <c r="P1981" s="16" t="b">
        <v>0</v>
      </c>
      <c r="Q1981" s="24"/>
      <c r="R1981" s="48" t="str">
        <f t="shared" si="1882"/>
        <v/>
      </c>
      <c r="S1981" s="26"/>
      <c r="T1981" s="49" t="str">
        <f t="shared" si="1883"/>
        <v/>
      </c>
      <c r="U1981" s="24"/>
      <c r="V1981" s="66" t="s">
        <v>29</v>
      </c>
      <c r="W1981" s="29" t="str">
        <f t="shared" si="1874"/>
        <v>/</v>
      </c>
      <c r="X1981" s="37" t="s">
        <v>1259</v>
      </c>
      <c r="Y1981" s="31"/>
      <c r="Z1981" s="26" t="str">
        <f t="shared" si="5"/>
        <v/>
      </c>
      <c r="AA1981" s="26" t="str">
        <f t="shared" si="6"/>
        <v/>
      </c>
      <c r="AB1981" s="32" t="str">
        <f t="shared" si="7"/>
        <v/>
      </c>
      <c r="AC1981" s="32" t="str">
        <f t="shared" ref="AC1981:AG1981" si="1994">IF(J1981&lt;&gt;"", IF(AND($P1981=FALSE, $A1981=FALSE), -J1981, IF(AND($P1981=FALSE, $A1981=TRUE), 0, IF($P1981=TRUE, (J1981 / $R1981) * 100 * ($S1981 / 100)-J1981, ))), )</f>
        <v/>
      </c>
      <c r="AD1981" s="32" t="str">
        <f t="shared" si="1994"/>
        <v/>
      </c>
      <c r="AE1981" s="32" t="str">
        <f t="shared" si="1994"/>
        <v/>
      </c>
      <c r="AF1981" s="32" t="str">
        <f t="shared" si="1994"/>
        <v/>
      </c>
      <c r="AG1981" s="32" t="str">
        <f t="shared" si="1994"/>
        <v/>
      </c>
      <c r="AH1981" s="33"/>
    </row>
    <row r="1982" hidden="1" outlineLevel="2" collapsed="1">
      <c r="A1982" s="16" t="b">
        <v>0</v>
      </c>
      <c r="B1982" s="17"/>
      <c r="C1982" s="18"/>
      <c r="D1982" s="42">
        <v>45333.0</v>
      </c>
      <c r="E1982" s="20" t="s">
        <v>24</v>
      </c>
      <c r="F1982" s="53" t="s">
        <v>1216</v>
      </c>
      <c r="G1982" s="45">
        <v>0.25</v>
      </c>
      <c r="H1982" s="45"/>
      <c r="I1982" s="45">
        <v>0.5</v>
      </c>
      <c r="J1982" s="36">
        <v>0.5</v>
      </c>
      <c r="K1982" s="23"/>
      <c r="L1982" s="22"/>
      <c r="M1982" s="23"/>
      <c r="N1982" s="23"/>
      <c r="O1982" s="24"/>
      <c r="P1982" s="16" t="b">
        <v>0</v>
      </c>
      <c r="Q1982" s="24"/>
      <c r="R1982" s="48">
        <f t="shared" si="1882"/>
        <v>1.25</v>
      </c>
      <c r="S1982" s="26">
        <v>57.5</v>
      </c>
      <c r="T1982" s="49" t="str">
        <f t="shared" si="1883"/>
        <v>+4500</v>
      </c>
      <c r="U1982" s="24"/>
      <c r="V1982" s="28" t="str">
        <f t="shared" ref="V1982:V1986" si="1996">IF(ISBLANK($D1982), "0",)</f>
        <v/>
      </c>
      <c r="W1982" s="29" t="str">
        <f t="shared" si="1874"/>
        <v/>
      </c>
      <c r="X1982" s="30"/>
      <c r="Y1982" s="31"/>
      <c r="Z1982" s="26">
        <f t="shared" si="5"/>
        <v>-0.25</v>
      </c>
      <c r="AA1982" s="26">
        <f t="shared" si="6"/>
        <v>-0.5</v>
      </c>
      <c r="AB1982" s="32" t="str">
        <f t="shared" si="7"/>
        <v/>
      </c>
      <c r="AC1982" s="32">
        <f t="shared" ref="AC1982:AG1982" si="1995">IF(J1982&lt;&gt;"", IF(AND($P1982=FALSE, $A1982=FALSE), -J1982, IF(AND($P1982=FALSE, $A1982=TRUE), 0, IF($P1982=TRUE, (J1982 / $R1982) * 100 * ($S1982 / 100)-J1982, ))), )</f>
        <v>-0.5</v>
      </c>
      <c r="AD1982" s="32" t="str">
        <f t="shared" si="1995"/>
        <v/>
      </c>
      <c r="AE1982" s="32" t="str">
        <f t="shared" si="1995"/>
        <v/>
      </c>
      <c r="AF1982" s="32" t="str">
        <f t="shared" si="1995"/>
        <v/>
      </c>
      <c r="AG1982" s="32" t="str">
        <f t="shared" si="1995"/>
        <v/>
      </c>
      <c r="AH1982" s="33"/>
    </row>
    <row r="1983" hidden="1" outlineLevel="3">
      <c r="A1983" s="16" t="b">
        <v>0</v>
      </c>
      <c r="B1983" s="17"/>
      <c r="C1983" s="18"/>
      <c r="D1983" s="19"/>
      <c r="E1983" s="20"/>
      <c r="F1983" s="21"/>
      <c r="G1983" s="22"/>
      <c r="H1983" s="22"/>
      <c r="I1983" s="45"/>
      <c r="J1983" s="22"/>
      <c r="K1983" s="23"/>
      <c r="L1983" s="22"/>
      <c r="M1983" s="23"/>
      <c r="N1983" s="23"/>
      <c r="O1983" s="24"/>
      <c r="P1983" s="16" t="b">
        <v>0</v>
      </c>
      <c r="Q1983" s="24"/>
      <c r="R1983" s="48" t="str">
        <f t="shared" si="1882"/>
        <v/>
      </c>
      <c r="S1983" s="26"/>
      <c r="T1983" s="49" t="str">
        <f t="shared" si="1883"/>
        <v/>
      </c>
      <c r="U1983" s="24"/>
      <c r="V1983" s="28" t="str">
        <f t="shared" si="1996"/>
        <v>0</v>
      </c>
      <c r="W1983" s="29" t="str">
        <f t="shared" si="1874"/>
        <v>/</v>
      </c>
      <c r="X1983" s="37" t="s">
        <v>1260</v>
      </c>
      <c r="Y1983" s="31"/>
      <c r="Z1983" s="26" t="str">
        <f t="shared" si="5"/>
        <v/>
      </c>
      <c r="AA1983" s="26" t="str">
        <f t="shared" si="6"/>
        <v/>
      </c>
      <c r="AB1983" s="32" t="str">
        <f t="shared" si="7"/>
        <v/>
      </c>
      <c r="AC1983" s="32" t="str">
        <f t="shared" ref="AC1983:AG1983" si="1997">IF(J1983&lt;&gt;"", IF(AND($P1983=FALSE, $A1983=FALSE), -J1983, IF(AND($P1983=FALSE, $A1983=TRUE), 0, IF($P1983=TRUE, (J1983 / $R1983) * 100 * ($S1983 / 100)-J1983, ))), )</f>
        <v/>
      </c>
      <c r="AD1983" s="32" t="str">
        <f t="shared" si="1997"/>
        <v/>
      </c>
      <c r="AE1983" s="32" t="str">
        <f t="shared" si="1997"/>
        <v/>
      </c>
      <c r="AF1983" s="32" t="str">
        <f t="shared" si="1997"/>
        <v/>
      </c>
      <c r="AG1983" s="32" t="str">
        <f t="shared" si="1997"/>
        <v/>
      </c>
      <c r="AH1983" s="33"/>
    </row>
    <row r="1984" hidden="1" outlineLevel="2" collapsed="1">
      <c r="A1984" s="16" t="b">
        <v>0</v>
      </c>
      <c r="B1984" s="17"/>
      <c r="C1984" s="18"/>
      <c r="D1984" s="42">
        <v>45333.0</v>
      </c>
      <c r="E1984" s="20" t="s">
        <v>24</v>
      </c>
      <c r="F1984" s="53" t="s">
        <v>1216</v>
      </c>
      <c r="G1984" s="45">
        <v>1.0</v>
      </c>
      <c r="H1984" s="45"/>
      <c r="I1984" s="45"/>
      <c r="J1984" s="22"/>
      <c r="K1984" s="23"/>
      <c r="L1984" s="36">
        <v>1.0</v>
      </c>
      <c r="M1984" s="23"/>
      <c r="N1984" s="23"/>
      <c r="O1984" s="24"/>
      <c r="P1984" s="16" t="b">
        <v>0</v>
      </c>
      <c r="Q1984" s="24"/>
      <c r="R1984" s="48">
        <f t="shared" si="1882"/>
        <v>2</v>
      </c>
      <c r="S1984" s="26">
        <v>6.7</v>
      </c>
      <c r="T1984" s="49" t="str">
        <f t="shared" si="1883"/>
        <v>+235</v>
      </c>
      <c r="U1984" s="24"/>
      <c r="V1984" s="28" t="str">
        <f t="shared" si="1996"/>
        <v/>
      </c>
      <c r="W1984" s="29" t="str">
        <f t="shared" si="1874"/>
        <v/>
      </c>
      <c r="X1984" s="30"/>
      <c r="Y1984" s="31"/>
      <c r="Z1984" s="26">
        <f t="shared" si="5"/>
        <v>-1</v>
      </c>
      <c r="AA1984" s="26" t="str">
        <f t="shared" si="6"/>
        <v/>
      </c>
      <c r="AB1984" s="32" t="str">
        <f t="shared" si="7"/>
        <v/>
      </c>
      <c r="AC1984" s="32" t="str">
        <f t="shared" ref="AC1984:AG1984" si="1998">IF(J1984&lt;&gt;"", IF(AND($P1984=FALSE, $A1984=FALSE), -J1984, IF(AND($P1984=FALSE, $A1984=TRUE), 0, IF($P1984=TRUE, (J1984 / $R1984) * 100 * ($S1984 / 100)-J1984, ))), )</f>
        <v/>
      </c>
      <c r="AD1984" s="32" t="str">
        <f t="shared" si="1998"/>
        <v/>
      </c>
      <c r="AE1984" s="32">
        <f t="shared" si="1998"/>
        <v>-1</v>
      </c>
      <c r="AF1984" s="32" t="str">
        <f t="shared" si="1998"/>
        <v/>
      </c>
      <c r="AG1984" s="32" t="str">
        <f t="shared" si="1998"/>
        <v/>
      </c>
      <c r="AH1984" s="33"/>
    </row>
    <row r="1985" hidden="1" outlineLevel="3">
      <c r="A1985" s="16" t="b">
        <v>0</v>
      </c>
      <c r="B1985" s="17"/>
      <c r="C1985" s="18"/>
      <c r="D1985" s="19"/>
      <c r="E1985" s="20"/>
      <c r="F1985" s="21"/>
      <c r="G1985" s="22"/>
      <c r="H1985" s="22"/>
      <c r="I1985" s="45"/>
      <c r="J1985" s="22"/>
      <c r="K1985" s="23"/>
      <c r="L1985" s="22"/>
      <c r="M1985" s="23"/>
      <c r="N1985" s="23"/>
      <c r="O1985" s="24"/>
      <c r="P1985" s="16" t="b">
        <v>0</v>
      </c>
      <c r="Q1985" s="24"/>
      <c r="R1985" s="48" t="str">
        <f t="shared" si="1882"/>
        <v/>
      </c>
      <c r="S1985" s="26"/>
      <c r="T1985" s="49" t="str">
        <f t="shared" si="1883"/>
        <v/>
      </c>
      <c r="U1985" s="24"/>
      <c r="V1985" s="28" t="str">
        <f t="shared" si="1996"/>
        <v>0</v>
      </c>
      <c r="W1985" s="29" t="str">
        <f t="shared" si="1874"/>
        <v>/</v>
      </c>
      <c r="X1985" s="37" t="s">
        <v>27</v>
      </c>
      <c r="Y1985" s="31"/>
      <c r="Z1985" s="26" t="str">
        <f t="shared" si="5"/>
        <v/>
      </c>
      <c r="AA1985" s="26" t="str">
        <f t="shared" si="6"/>
        <v/>
      </c>
      <c r="AB1985" s="32" t="str">
        <f t="shared" si="7"/>
        <v/>
      </c>
      <c r="AC1985" s="32" t="str">
        <f t="shared" ref="AC1985:AG1985" si="1999">IF(J1985&lt;&gt;"", IF(AND($P1985=FALSE, $A1985=FALSE), -J1985, IF(AND($P1985=FALSE, $A1985=TRUE), 0, IF($P1985=TRUE, (J1985 / $R1985) * 100 * ($S1985 / 100)-J1985, ))), )</f>
        <v/>
      </c>
      <c r="AD1985" s="32" t="str">
        <f t="shared" si="1999"/>
        <v/>
      </c>
      <c r="AE1985" s="32" t="str">
        <f t="shared" si="1999"/>
        <v/>
      </c>
      <c r="AF1985" s="32" t="str">
        <f t="shared" si="1999"/>
        <v/>
      </c>
      <c r="AG1985" s="32" t="str">
        <f t="shared" si="1999"/>
        <v/>
      </c>
      <c r="AH1985" s="33"/>
    </row>
    <row r="1986" hidden="1" outlineLevel="2" collapsed="1">
      <c r="A1986" s="16" t="b">
        <v>0</v>
      </c>
      <c r="B1986" s="17"/>
      <c r="C1986" s="18"/>
      <c r="D1986" s="42">
        <v>45333.0</v>
      </c>
      <c r="E1986" s="20" t="s">
        <v>24</v>
      </c>
      <c r="F1986" s="53" t="s">
        <v>1216</v>
      </c>
      <c r="G1986" s="45">
        <v>3.0</v>
      </c>
      <c r="H1986" s="45"/>
      <c r="I1986" s="45">
        <v>5.0</v>
      </c>
      <c r="J1986" s="36">
        <v>2.0</v>
      </c>
      <c r="K1986" s="23"/>
      <c r="L1986" s="36">
        <v>1.58</v>
      </c>
      <c r="M1986" s="23"/>
      <c r="N1986" s="23"/>
      <c r="O1986" s="24"/>
      <c r="P1986" s="16" t="b">
        <v>0</v>
      </c>
      <c r="Q1986" s="24"/>
      <c r="R1986" s="48">
        <f t="shared" si="1882"/>
        <v>11.58</v>
      </c>
      <c r="S1986" s="26">
        <v>24.68</v>
      </c>
      <c r="T1986" s="49" t="str">
        <f t="shared" si="1883"/>
        <v>+113</v>
      </c>
      <c r="U1986" s="24"/>
      <c r="V1986" s="28" t="str">
        <f t="shared" si="1996"/>
        <v/>
      </c>
      <c r="W1986" s="29" t="str">
        <f t="shared" si="1874"/>
        <v/>
      </c>
      <c r="X1986" s="30"/>
      <c r="Y1986" s="31"/>
      <c r="Z1986" s="26">
        <f t="shared" si="5"/>
        <v>-3</v>
      </c>
      <c r="AA1986" s="26">
        <f t="shared" si="6"/>
        <v>-5</v>
      </c>
      <c r="AB1986" s="32" t="str">
        <f t="shared" si="7"/>
        <v/>
      </c>
      <c r="AC1986" s="32">
        <f t="shared" ref="AC1986:AG1986" si="2000">IF(J1986&lt;&gt;"", IF(AND($P1986=FALSE, $A1986=FALSE), -J1986, IF(AND($P1986=FALSE, $A1986=TRUE), 0, IF($P1986=TRUE, (J1986 / $R1986) * 100 * ($S1986 / 100)-J1986, ))), )</f>
        <v>-2</v>
      </c>
      <c r="AD1986" s="32" t="str">
        <f t="shared" si="2000"/>
        <v/>
      </c>
      <c r="AE1986" s="32">
        <f t="shared" si="2000"/>
        <v>-1.58</v>
      </c>
      <c r="AF1986" s="32" t="str">
        <f t="shared" si="2000"/>
        <v/>
      </c>
      <c r="AG1986" s="32" t="str">
        <f t="shared" si="2000"/>
        <v/>
      </c>
      <c r="AH1986" s="33"/>
    </row>
    <row r="1987" hidden="1" outlineLevel="3">
      <c r="A1987" s="16" t="b">
        <v>0</v>
      </c>
      <c r="B1987" s="17"/>
      <c r="C1987" s="18"/>
      <c r="D1987" s="42"/>
      <c r="E1987" s="20"/>
      <c r="F1987" s="53"/>
      <c r="G1987" s="45"/>
      <c r="H1987" s="45"/>
      <c r="I1987" s="45"/>
      <c r="J1987" s="36"/>
      <c r="K1987" s="23"/>
      <c r="L1987" s="36"/>
      <c r="M1987" s="23"/>
      <c r="N1987" s="23"/>
      <c r="O1987" s="24"/>
      <c r="P1987" s="16" t="b">
        <v>0</v>
      </c>
      <c r="Q1987" s="24"/>
      <c r="R1987" s="48" t="str">
        <f t="shared" si="1882"/>
        <v/>
      </c>
      <c r="S1987" s="26"/>
      <c r="T1987" s="49" t="str">
        <f t="shared" si="1883"/>
        <v/>
      </c>
      <c r="U1987" s="24"/>
      <c r="V1987" s="66" t="s">
        <v>29</v>
      </c>
      <c r="W1987" s="29" t="str">
        <f t="shared" si="1874"/>
        <v>/</v>
      </c>
      <c r="X1987" s="30" t="s">
        <v>680</v>
      </c>
      <c r="Y1987" s="31"/>
      <c r="Z1987" s="26" t="str">
        <f t="shared" si="5"/>
        <v/>
      </c>
      <c r="AA1987" s="26" t="str">
        <f t="shared" si="6"/>
        <v/>
      </c>
      <c r="AB1987" s="32" t="str">
        <f t="shared" si="7"/>
        <v/>
      </c>
      <c r="AC1987" s="32" t="str">
        <f t="shared" ref="AC1987:AG1987" si="2001">IF(J1987&lt;&gt;"", IF(AND($P1987=FALSE, $A1987=FALSE), -J1987, IF(AND($P1987=FALSE, $A1987=TRUE), 0, IF($P1987=TRUE, (J1987 / $R1987) * 100 * ($S1987 / 100)-J1987, ))), )</f>
        <v/>
      </c>
      <c r="AD1987" s="32" t="str">
        <f t="shared" si="2001"/>
        <v/>
      </c>
      <c r="AE1987" s="32" t="str">
        <f t="shared" si="2001"/>
        <v/>
      </c>
      <c r="AF1987" s="32" t="str">
        <f t="shared" si="2001"/>
        <v/>
      </c>
      <c r="AG1987" s="32" t="str">
        <f t="shared" si="2001"/>
        <v/>
      </c>
      <c r="AH1987" s="33"/>
    </row>
    <row r="1988" hidden="1" outlineLevel="3">
      <c r="A1988" s="16" t="b">
        <v>0</v>
      </c>
      <c r="B1988" s="17"/>
      <c r="C1988" s="18"/>
      <c r="D1988" s="42"/>
      <c r="E1988" s="20"/>
      <c r="F1988" s="53"/>
      <c r="G1988" s="45"/>
      <c r="H1988" s="45"/>
      <c r="I1988" s="45"/>
      <c r="J1988" s="36"/>
      <c r="K1988" s="23"/>
      <c r="L1988" s="36"/>
      <c r="M1988" s="23"/>
      <c r="N1988" s="23"/>
      <c r="O1988" s="24"/>
      <c r="P1988" s="16" t="b">
        <v>0</v>
      </c>
      <c r="Q1988" s="24"/>
      <c r="R1988" s="48" t="str">
        <f t="shared" si="1882"/>
        <v/>
      </c>
      <c r="S1988" s="26"/>
      <c r="T1988" s="49" t="str">
        <f t="shared" si="1883"/>
        <v/>
      </c>
      <c r="U1988" s="24"/>
      <c r="V1988" s="66" t="s">
        <v>29</v>
      </c>
      <c r="W1988" s="29" t="str">
        <f t="shared" si="1874"/>
        <v>/</v>
      </c>
      <c r="X1988" s="30" t="s">
        <v>683</v>
      </c>
      <c r="Y1988" s="31"/>
      <c r="Z1988" s="26" t="str">
        <f t="shared" si="5"/>
        <v/>
      </c>
      <c r="AA1988" s="26" t="str">
        <f t="shared" si="6"/>
        <v/>
      </c>
      <c r="AB1988" s="32" t="str">
        <f t="shared" si="7"/>
        <v/>
      </c>
      <c r="AC1988" s="32" t="str">
        <f t="shared" ref="AC1988:AG1988" si="2002">IF(J1988&lt;&gt;"", IF(AND($P1988=FALSE, $A1988=FALSE), -J1988, IF(AND($P1988=FALSE, $A1988=TRUE), 0, IF($P1988=TRUE, (J1988 / $R1988) * 100 * ($S1988 / 100)-J1988, ))), )</f>
        <v/>
      </c>
      <c r="AD1988" s="32" t="str">
        <f t="shared" si="2002"/>
        <v/>
      </c>
      <c r="AE1988" s="32" t="str">
        <f t="shared" si="2002"/>
        <v/>
      </c>
      <c r="AF1988" s="32" t="str">
        <f t="shared" si="2002"/>
        <v/>
      </c>
      <c r="AG1988" s="32" t="str">
        <f t="shared" si="2002"/>
        <v/>
      </c>
      <c r="AH1988" s="33"/>
    </row>
    <row r="1989" hidden="1" outlineLevel="3">
      <c r="A1989" s="16" t="b">
        <v>0</v>
      </c>
      <c r="B1989" s="17"/>
      <c r="C1989" s="18"/>
      <c r="D1989" s="42"/>
      <c r="E1989" s="20"/>
      <c r="F1989" s="53"/>
      <c r="G1989" s="45"/>
      <c r="H1989" s="45"/>
      <c r="I1989" s="45"/>
      <c r="J1989" s="36"/>
      <c r="K1989" s="23"/>
      <c r="L1989" s="36"/>
      <c r="M1989" s="23"/>
      <c r="N1989" s="23"/>
      <c r="O1989" s="24"/>
      <c r="P1989" s="16" t="b">
        <v>0</v>
      </c>
      <c r="Q1989" s="24"/>
      <c r="R1989" s="48" t="str">
        <f t="shared" si="1882"/>
        <v/>
      </c>
      <c r="S1989" s="26"/>
      <c r="T1989" s="49" t="str">
        <f t="shared" si="1883"/>
        <v/>
      </c>
      <c r="U1989" s="24"/>
      <c r="V1989" s="66">
        <v>4.0</v>
      </c>
      <c r="W1989" s="29" t="str">
        <f t="shared" si="1874"/>
        <v>/</v>
      </c>
      <c r="X1989" s="30" t="s">
        <v>397</v>
      </c>
      <c r="Y1989" s="31"/>
      <c r="Z1989" s="26" t="str">
        <f t="shared" si="5"/>
        <v/>
      </c>
      <c r="AA1989" s="26" t="str">
        <f t="shared" si="6"/>
        <v/>
      </c>
      <c r="AB1989" s="32" t="str">
        <f t="shared" si="7"/>
        <v/>
      </c>
      <c r="AC1989" s="32" t="str">
        <f t="shared" ref="AC1989:AG1989" si="2003">IF(J1989&lt;&gt;"", IF(AND($P1989=FALSE, $A1989=FALSE), -J1989, IF(AND($P1989=FALSE, $A1989=TRUE), 0, IF($P1989=TRUE, (J1989 / $R1989) * 100 * ($S1989 / 100)-J1989, ))), )</f>
        <v/>
      </c>
      <c r="AD1989" s="32" t="str">
        <f t="shared" si="2003"/>
        <v/>
      </c>
      <c r="AE1989" s="32" t="str">
        <f t="shared" si="2003"/>
        <v/>
      </c>
      <c r="AF1989" s="32" t="str">
        <f t="shared" si="2003"/>
        <v/>
      </c>
      <c r="AG1989" s="32" t="str">
        <f t="shared" si="2003"/>
        <v/>
      </c>
      <c r="AH1989" s="33"/>
    </row>
    <row r="1990" hidden="1" outlineLevel="3">
      <c r="A1990" s="16" t="b">
        <v>0</v>
      </c>
      <c r="B1990" s="17"/>
      <c r="C1990" s="18"/>
      <c r="D1990" s="42"/>
      <c r="E1990" s="20"/>
      <c r="F1990" s="53"/>
      <c r="G1990" s="45"/>
      <c r="H1990" s="45"/>
      <c r="I1990" s="45"/>
      <c r="J1990" s="36"/>
      <c r="K1990" s="23"/>
      <c r="L1990" s="36"/>
      <c r="M1990" s="23"/>
      <c r="N1990" s="23"/>
      <c r="O1990" s="24"/>
      <c r="P1990" s="16" t="b">
        <v>0</v>
      </c>
      <c r="Q1990" s="24"/>
      <c r="R1990" s="48" t="str">
        <f t="shared" si="1882"/>
        <v/>
      </c>
      <c r="S1990" s="26"/>
      <c r="T1990" s="49" t="str">
        <f t="shared" si="1883"/>
        <v/>
      </c>
      <c r="U1990" s="24"/>
      <c r="V1990" s="66">
        <v>39.0</v>
      </c>
      <c r="W1990" s="29" t="str">
        <f t="shared" si="1874"/>
        <v>/</v>
      </c>
      <c r="X1990" s="30" t="s">
        <v>1261</v>
      </c>
      <c r="Y1990" s="31"/>
      <c r="Z1990" s="26" t="str">
        <f t="shared" si="5"/>
        <v/>
      </c>
      <c r="AA1990" s="26" t="str">
        <f t="shared" si="6"/>
        <v/>
      </c>
      <c r="AB1990" s="32" t="str">
        <f t="shared" si="7"/>
        <v/>
      </c>
      <c r="AC1990" s="32" t="str">
        <f t="shared" ref="AC1990:AG1990" si="2004">IF(J1990&lt;&gt;"", IF(AND($P1990=FALSE, $A1990=FALSE), -J1990, IF(AND($P1990=FALSE, $A1990=TRUE), 0, IF($P1990=TRUE, (J1990 / $R1990) * 100 * ($S1990 / 100)-J1990, ))), )</f>
        <v/>
      </c>
      <c r="AD1990" s="32" t="str">
        <f t="shared" si="2004"/>
        <v/>
      </c>
      <c r="AE1990" s="32" t="str">
        <f t="shared" si="2004"/>
        <v/>
      </c>
      <c r="AF1990" s="32" t="str">
        <f t="shared" si="2004"/>
        <v/>
      </c>
      <c r="AG1990" s="32" t="str">
        <f t="shared" si="2004"/>
        <v/>
      </c>
      <c r="AH1990" s="33"/>
    </row>
    <row r="1991" hidden="1" outlineLevel="2" collapsed="1">
      <c r="A1991" s="16" t="b">
        <v>0</v>
      </c>
      <c r="B1991" s="17"/>
      <c r="C1991" s="18"/>
      <c r="D1991" s="42">
        <v>45333.0</v>
      </c>
      <c r="E1991" s="20" t="s">
        <v>24</v>
      </c>
      <c r="F1991" s="53" t="s">
        <v>1216</v>
      </c>
      <c r="G1991" s="45">
        <v>1.0</v>
      </c>
      <c r="H1991" s="45"/>
      <c r="I1991" s="45">
        <v>2.5</v>
      </c>
      <c r="J1991" s="36"/>
      <c r="K1991" s="23"/>
      <c r="L1991" s="36"/>
      <c r="M1991" s="23"/>
      <c r="N1991" s="23"/>
      <c r="O1991" s="24"/>
      <c r="P1991" s="16" t="b">
        <v>1</v>
      </c>
      <c r="Q1991" s="24"/>
      <c r="R1991" s="48">
        <f t="shared" si="1882"/>
        <v>3.5</v>
      </c>
      <c r="S1991" s="26">
        <v>10.85</v>
      </c>
      <c r="T1991" s="49" t="str">
        <f t="shared" si="1883"/>
        <v>+210</v>
      </c>
      <c r="U1991" s="24"/>
      <c r="V1991" s="28" t="str">
        <f>IF(ISBLANK($D1991), "0",)</f>
        <v/>
      </c>
      <c r="W1991" s="29" t="str">
        <f t="shared" si="1874"/>
        <v/>
      </c>
      <c r="X1991" s="30"/>
      <c r="Y1991" s="31"/>
      <c r="Z1991" s="26">
        <f t="shared" si="5"/>
        <v>2.1</v>
      </c>
      <c r="AA1991" s="26">
        <f t="shared" si="6"/>
        <v>5.25</v>
      </c>
      <c r="AB1991" s="32" t="str">
        <f t="shared" si="7"/>
        <v/>
      </c>
      <c r="AC1991" s="32" t="str">
        <f t="shared" ref="AC1991:AG1991" si="2005">IF(J1991&lt;&gt;"", IF(AND($P1991=FALSE, $A1991=FALSE), -J1991, IF(AND($P1991=FALSE, $A1991=TRUE), 0, IF($P1991=TRUE, (J1991 / $R1991) * 100 * ($S1991 / 100)-J1991, ))), )</f>
        <v/>
      </c>
      <c r="AD1991" s="32" t="str">
        <f t="shared" si="2005"/>
        <v/>
      </c>
      <c r="AE1991" s="32" t="str">
        <f t="shared" si="2005"/>
        <v/>
      </c>
      <c r="AF1991" s="32" t="str">
        <f t="shared" si="2005"/>
        <v/>
      </c>
      <c r="AG1991" s="32" t="str">
        <f t="shared" si="2005"/>
        <v/>
      </c>
      <c r="AH1991" s="33"/>
    </row>
    <row r="1992" hidden="1" outlineLevel="3">
      <c r="A1992" s="16" t="b">
        <v>0</v>
      </c>
      <c r="B1992" s="17"/>
      <c r="C1992" s="18"/>
      <c r="D1992" s="42"/>
      <c r="E1992" s="20"/>
      <c r="F1992" s="53"/>
      <c r="G1992" s="45"/>
      <c r="H1992" s="45"/>
      <c r="I1992" s="45"/>
      <c r="J1992" s="36"/>
      <c r="K1992" s="23"/>
      <c r="L1992" s="36"/>
      <c r="M1992" s="23"/>
      <c r="N1992" s="23"/>
      <c r="O1992" s="24"/>
      <c r="P1992" s="16" t="b">
        <v>0</v>
      </c>
      <c r="Q1992" s="24"/>
      <c r="R1992" s="48" t="str">
        <f t="shared" si="1882"/>
        <v/>
      </c>
      <c r="S1992" s="26"/>
      <c r="T1992" s="49" t="str">
        <f t="shared" si="1883"/>
        <v/>
      </c>
      <c r="U1992" s="24"/>
      <c r="V1992" s="66" t="s">
        <v>29</v>
      </c>
      <c r="W1992" s="29" t="str">
        <f t="shared" si="1874"/>
        <v>/</v>
      </c>
      <c r="X1992" s="30" t="s">
        <v>1262</v>
      </c>
      <c r="Y1992" s="31"/>
      <c r="Z1992" s="26" t="str">
        <f t="shared" si="5"/>
        <v/>
      </c>
      <c r="AA1992" s="26" t="str">
        <f t="shared" si="6"/>
        <v/>
      </c>
      <c r="AB1992" s="32" t="str">
        <f t="shared" si="7"/>
        <v/>
      </c>
      <c r="AC1992" s="32" t="str">
        <f t="shared" ref="AC1992:AG1992" si="2006">IF(J1992&lt;&gt;"", IF(AND($P1992=FALSE, $A1992=FALSE), -J1992, IF(AND($P1992=FALSE, $A1992=TRUE), 0, IF($P1992=TRUE, (J1992 / $R1992) * 100 * ($S1992 / 100)-J1992, ))), )</f>
        <v/>
      </c>
      <c r="AD1992" s="32" t="str">
        <f t="shared" si="2006"/>
        <v/>
      </c>
      <c r="AE1992" s="32" t="str">
        <f t="shared" si="2006"/>
        <v/>
      </c>
      <c r="AF1992" s="32" t="str">
        <f t="shared" si="2006"/>
        <v/>
      </c>
      <c r="AG1992" s="32" t="str">
        <f t="shared" si="2006"/>
        <v/>
      </c>
      <c r="AH1992" s="33"/>
    </row>
    <row r="1993" hidden="1" outlineLevel="2" collapsed="1">
      <c r="A1993" s="16" t="b">
        <v>0</v>
      </c>
      <c r="B1993" s="17"/>
      <c r="C1993" s="18"/>
      <c r="D1993" s="42">
        <v>45333.0</v>
      </c>
      <c r="E1993" s="20" t="s">
        <v>24</v>
      </c>
      <c r="F1993" s="53" t="s">
        <v>1216</v>
      </c>
      <c r="G1993" s="45">
        <v>0.0</v>
      </c>
      <c r="H1993" s="45"/>
      <c r="I1993" s="45"/>
      <c r="J1993" s="22"/>
      <c r="K1993" s="23">
        <v>10.0</v>
      </c>
      <c r="L1993" s="36"/>
      <c r="M1993" s="23"/>
      <c r="N1993" s="23"/>
      <c r="O1993" s="24"/>
      <c r="P1993" s="16" t="b">
        <v>0</v>
      </c>
      <c r="Q1993" s="24"/>
      <c r="R1993" s="48">
        <f t="shared" si="1882"/>
        <v>10</v>
      </c>
      <c r="S1993" s="26">
        <v>54.9</v>
      </c>
      <c r="T1993" s="49" t="str">
        <f t="shared" si="1883"/>
        <v>+449</v>
      </c>
      <c r="U1993" s="24"/>
      <c r="V1993" s="28" t="str">
        <f t="shared" ref="V1993:V1994" si="2008">IF(ISBLANK($D1993), "0",)</f>
        <v/>
      </c>
      <c r="W1993" s="29" t="str">
        <f t="shared" si="1874"/>
        <v/>
      </c>
      <c r="X1993" s="30"/>
      <c r="Y1993" s="31"/>
      <c r="Z1993" s="26">
        <f t="shared" si="5"/>
        <v>0</v>
      </c>
      <c r="AA1993" s="26" t="str">
        <f t="shared" si="6"/>
        <v/>
      </c>
      <c r="AB1993" s="32" t="str">
        <f t="shared" si="7"/>
        <v/>
      </c>
      <c r="AC1993" s="32" t="str">
        <f t="shared" ref="AC1993:AG1993" si="2007">IF(J1993&lt;&gt;"", IF(AND($P1993=FALSE, $A1993=FALSE), -J1993, IF(AND($P1993=FALSE, $A1993=TRUE), 0, IF($P1993=TRUE, (J1993 / $R1993) * 100 * ($S1993 / 100)-J1993, ))), )</f>
        <v/>
      </c>
      <c r="AD1993" s="32">
        <f t="shared" si="2007"/>
        <v>-10</v>
      </c>
      <c r="AE1993" s="32" t="str">
        <f t="shared" si="2007"/>
        <v/>
      </c>
      <c r="AF1993" s="32" t="str">
        <f t="shared" si="2007"/>
        <v/>
      </c>
      <c r="AG1993" s="32" t="str">
        <f t="shared" si="2007"/>
        <v/>
      </c>
      <c r="AH1993" s="33"/>
    </row>
    <row r="1994" hidden="1" outlineLevel="3">
      <c r="A1994" s="16" t="b">
        <v>0</v>
      </c>
      <c r="B1994" s="17"/>
      <c r="C1994" s="18"/>
      <c r="D1994" s="42"/>
      <c r="E1994" s="20"/>
      <c r="F1994" s="53"/>
      <c r="G1994" s="45"/>
      <c r="H1994" s="45"/>
      <c r="I1994" s="45"/>
      <c r="J1994" s="36"/>
      <c r="K1994" s="23"/>
      <c r="L1994" s="36"/>
      <c r="M1994" s="23"/>
      <c r="N1994" s="23"/>
      <c r="O1994" s="24"/>
      <c r="P1994" s="16" t="b">
        <v>0</v>
      </c>
      <c r="Q1994" s="24"/>
      <c r="R1994" s="48" t="str">
        <f t="shared" si="1882"/>
        <v/>
      </c>
      <c r="S1994" s="26"/>
      <c r="T1994" s="49" t="str">
        <f t="shared" si="1883"/>
        <v/>
      </c>
      <c r="U1994" s="24"/>
      <c r="V1994" s="28" t="str">
        <f t="shared" si="2008"/>
        <v>0</v>
      </c>
      <c r="W1994" s="29" t="str">
        <f t="shared" si="1874"/>
        <v>/</v>
      </c>
      <c r="X1994" s="37" t="s">
        <v>444</v>
      </c>
      <c r="Y1994" s="31"/>
      <c r="Z1994" s="26" t="str">
        <f t="shared" si="5"/>
        <v/>
      </c>
      <c r="AA1994" s="26" t="str">
        <f t="shared" si="6"/>
        <v/>
      </c>
      <c r="AB1994" s="32" t="str">
        <f t="shared" si="7"/>
        <v/>
      </c>
      <c r="AC1994" s="32" t="str">
        <f t="shared" ref="AC1994:AG1994" si="2009">IF(J1994&lt;&gt;"", IF(AND($P1994=FALSE, $A1994=FALSE), -J1994, IF(AND($P1994=FALSE, $A1994=TRUE), 0, IF($P1994=TRUE, (J1994 / $R1994) * 100 * ($S1994 / 100)-J1994, ))), )</f>
        <v/>
      </c>
      <c r="AD1994" s="32" t="str">
        <f t="shared" si="2009"/>
        <v/>
      </c>
      <c r="AE1994" s="32" t="str">
        <f t="shared" si="2009"/>
        <v/>
      </c>
      <c r="AF1994" s="32" t="str">
        <f t="shared" si="2009"/>
        <v/>
      </c>
      <c r="AG1994" s="32" t="str">
        <f t="shared" si="2009"/>
        <v/>
      </c>
      <c r="AH1994" s="33"/>
    </row>
    <row r="1995" hidden="1" outlineLevel="3">
      <c r="A1995" s="16" t="b">
        <v>0</v>
      </c>
      <c r="B1995" s="17"/>
      <c r="C1995" s="18"/>
      <c r="D1995" s="42"/>
      <c r="E1995" s="20"/>
      <c r="F1995" s="53"/>
      <c r="G1995" s="45"/>
      <c r="H1995" s="45"/>
      <c r="I1995" s="45"/>
      <c r="J1995" s="36"/>
      <c r="K1995" s="23"/>
      <c r="L1995" s="36"/>
      <c r="M1995" s="23"/>
      <c r="N1995" s="23"/>
      <c r="O1995" s="24"/>
      <c r="P1995" s="16" t="b">
        <v>0</v>
      </c>
      <c r="Q1995" s="24"/>
      <c r="R1995" s="48" t="str">
        <f t="shared" si="1882"/>
        <v/>
      </c>
      <c r="S1995" s="26"/>
      <c r="T1995" s="49" t="str">
        <f t="shared" si="1883"/>
        <v/>
      </c>
      <c r="U1995" s="24"/>
      <c r="V1995" s="66" t="s">
        <v>29</v>
      </c>
      <c r="W1995" s="29" t="str">
        <f t="shared" si="1874"/>
        <v>/</v>
      </c>
      <c r="X1995" s="37" t="s">
        <v>1263</v>
      </c>
      <c r="Y1995" s="31"/>
      <c r="Z1995" s="26" t="str">
        <f t="shared" si="5"/>
        <v/>
      </c>
      <c r="AA1995" s="26" t="str">
        <f t="shared" si="6"/>
        <v/>
      </c>
      <c r="AB1995" s="32" t="str">
        <f t="shared" si="7"/>
        <v/>
      </c>
      <c r="AC1995" s="32" t="str">
        <f t="shared" ref="AC1995:AG1995" si="2010">IF(J1995&lt;&gt;"", IF(AND($P1995=FALSE, $A1995=FALSE), -J1995, IF(AND($P1995=FALSE, $A1995=TRUE), 0, IF($P1995=TRUE, (J1995 / $R1995) * 100 * ($S1995 / 100)-J1995, ))), )</f>
        <v/>
      </c>
      <c r="AD1995" s="32" t="str">
        <f t="shared" si="2010"/>
        <v/>
      </c>
      <c r="AE1995" s="32" t="str">
        <f t="shared" si="2010"/>
        <v/>
      </c>
      <c r="AF1995" s="32" t="str">
        <f t="shared" si="2010"/>
        <v/>
      </c>
      <c r="AG1995" s="32" t="str">
        <f t="shared" si="2010"/>
        <v/>
      </c>
      <c r="AH1995" s="33"/>
    </row>
    <row r="1996" hidden="1" outlineLevel="3">
      <c r="A1996" s="16" t="b">
        <v>0</v>
      </c>
      <c r="B1996" s="17"/>
      <c r="C1996" s="18"/>
      <c r="D1996" s="42"/>
      <c r="E1996" s="20"/>
      <c r="F1996" s="53"/>
      <c r="G1996" s="45"/>
      <c r="H1996" s="45"/>
      <c r="I1996" s="45"/>
      <c r="J1996" s="36"/>
      <c r="K1996" s="23"/>
      <c r="L1996" s="36"/>
      <c r="M1996" s="23"/>
      <c r="N1996" s="23"/>
      <c r="O1996" s="24"/>
      <c r="P1996" s="16" t="b">
        <v>0</v>
      </c>
      <c r="Q1996" s="24"/>
      <c r="R1996" s="48" t="str">
        <f t="shared" si="1882"/>
        <v/>
      </c>
      <c r="S1996" s="26"/>
      <c r="T1996" s="49" t="str">
        <f t="shared" si="1883"/>
        <v/>
      </c>
      <c r="U1996" s="24"/>
      <c r="V1996" s="66" t="s">
        <v>29</v>
      </c>
      <c r="W1996" s="29" t="str">
        <f t="shared" si="1874"/>
        <v>/</v>
      </c>
      <c r="X1996" s="37" t="s">
        <v>1264</v>
      </c>
      <c r="Y1996" s="31"/>
      <c r="Z1996" s="26" t="str">
        <f t="shared" si="5"/>
        <v/>
      </c>
      <c r="AA1996" s="26" t="str">
        <f t="shared" si="6"/>
        <v/>
      </c>
      <c r="AB1996" s="32" t="str">
        <f t="shared" si="7"/>
        <v/>
      </c>
      <c r="AC1996" s="32" t="str">
        <f t="shared" ref="AC1996:AG1996" si="2011">IF(J1996&lt;&gt;"", IF(AND($P1996=FALSE, $A1996=FALSE), -J1996, IF(AND($P1996=FALSE, $A1996=TRUE), 0, IF($P1996=TRUE, (J1996 / $R1996) * 100 * ($S1996 / 100)-J1996, ))), )</f>
        <v/>
      </c>
      <c r="AD1996" s="32" t="str">
        <f t="shared" si="2011"/>
        <v/>
      </c>
      <c r="AE1996" s="32" t="str">
        <f t="shared" si="2011"/>
        <v/>
      </c>
      <c r="AF1996" s="32" t="str">
        <f t="shared" si="2011"/>
        <v/>
      </c>
      <c r="AG1996" s="32" t="str">
        <f t="shared" si="2011"/>
        <v/>
      </c>
      <c r="AH1996" s="33"/>
    </row>
    <row r="1997" hidden="1" outlineLevel="2">
      <c r="A1997" s="16" t="b">
        <v>0</v>
      </c>
      <c r="B1997" s="17"/>
      <c r="C1997" s="18"/>
      <c r="D1997" s="42">
        <v>45333.0</v>
      </c>
      <c r="E1997" s="20" t="s">
        <v>24</v>
      </c>
      <c r="F1997" s="53" t="s">
        <v>1216</v>
      </c>
      <c r="G1997" s="45">
        <v>10.0</v>
      </c>
      <c r="H1997" s="45"/>
      <c r="I1997" s="23">
        <v>40.0</v>
      </c>
      <c r="J1997" s="22"/>
      <c r="K1997" s="23"/>
      <c r="L1997" s="36"/>
      <c r="M1997" s="23"/>
      <c r="N1997" s="23"/>
      <c r="O1997" s="24"/>
      <c r="P1997" s="16" t="b">
        <v>0</v>
      </c>
      <c r="Q1997" s="24"/>
      <c r="R1997" s="48">
        <f t="shared" si="1882"/>
        <v>50</v>
      </c>
      <c r="S1997" s="26">
        <v>100.0</v>
      </c>
      <c r="T1997" s="49">
        <f t="shared" si="1883"/>
        <v>-100</v>
      </c>
      <c r="U1997" s="24"/>
      <c r="V1997" s="28" t="str">
        <f>IF(ISBLANK($D1997), "0",)</f>
        <v/>
      </c>
      <c r="W1997" s="29" t="str">
        <f t="shared" si="1874"/>
        <v/>
      </c>
      <c r="X1997" s="30"/>
      <c r="Y1997" s="31"/>
      <c r="Z1997" s="26">
        <f t="shared" si="5"/>
        <v>-10</v>
      </c>
      <c r="AA1997" s="26">
        <f t="shared" si="6"/>
        <v>-40</v>
      </c>
      <c r="AB1997" s="32" t="str">
        <f t="shared" si="7"/>
        <v/>
      </c>
      <c r="AC1997" s="32" t="str">
        <f t="shared" ref="AC1997:AG1997" si="2012">IF(J1997&lt;&gt;"", IF(AND($P1997=FALSE, $A1997=FALSE), -J1997, IF(AND($P1997=FALSE, $A1997=TRUE), 0, IF($P1997=TRUE, (J1997 / $R1997) * 100 * ($S1997 / 100)-J1997, ))), )</f>
        <v/>
      </c>
      <c r="AD1997" s="32" t="str">
        <f t="shared" si="2012"/>
        <v/>
      </c>
      <c r="AE1997" s="32" t="str">
        <f t="shared" si="2012"/>
        <v/>
      </c>
      <c r="AF1997" s="32" t="str">
        <f t="shared" si="2012"/>
        <v/>
      </c>
      <c r="AG1997" s="32" t="str">
        <f t="shared" si="2012"/>
        <v/>
      </c>
      <c r="AH1997" s="33"/>
    </row>
    <row r="1998" hidden="1" outlineLevel="3">
      <c r="A1998" s="16" t="b">
        <v>0</v>
      </c>
      <c r="B1998" s="17"/>
      <c r="C1998" s="18"/>
      <c r="D1998" s="42"/>
      <c r="E1998" s="20"/>
      <c r="F1998" s="53"/>
      <c r="G1998" s="45"/>
      <c r="H1998" s="45"/>
      <c r="I1998" s="45"/>
      <c r="J1998" s="36"/>
      <c r="K1998" s="23"/>
      <c r="L1998" s="36"/>
      <c r="M1998" s="23"/>
      <c r="N1998" s="23"/>
      <c r="O1998" s="24"/>
      <c r="P1998" s="16" t="b">
        <v>0</v>
      </c>
      <c r="Q1998" s="24"/>
      <c r="R1998" s="48" t="str">
        <f t="shared" si="1882"/>
        <v/>
      </c>
      <c r="S1998" s="26"/>
      <c r="T1998" s="49" t="str">
        <f t="shared" si="1883"/>
        <v/>
      </c>
      <c r="U1998" s="24"/>
      <c r="V1998" s="66">
        <v>33.0</v>
      </c>
      <c r="W1998" s="29" t="str">
        <f t="shared" si="1874"/>
        <v>/</v>
      </c>
      <c r="X1998" s="37" t="s">
        <v>1265</v>
      </c>
      <c r="Y1998" s="31"/>
      <c r="Z1998" s="26" t="str">
        <f t="shared" si="5"/>
        <v/>
      </c>
      <c r="AA1998" s="26" t="str">
        <f t="shared" si="6"/>
        <v/>
      </c>
      <c r="AB1998" s="32" t="str">
        <f t="shared" si="7"/>
        <v/>
      </c>
      <c r="AC1998" s="32" t="str">
        <f t="shared" ref="AC1998:AG1998" si="2013">IF(J1998&lt;&gt;"", IF(AND($P1998=FALSE, $A1998=FALSE), -J1998, IF(AND($P1998=FALSE, $A1998=TRUE), 0, IF($P1998=TRUE, (J1998 / $R1998) * 100 * ($S1998 / 100)-J1998, ))), )</f>
        <v/>
      </c>
      <c r="AD1998" s="32" t="str">
        <f t="shared" si="2013"/>
        <v/>
      </c>
      <c r="AE1998" s="32" t="str">
        <f t="shared" si="2013"/>
        <v/>
      </c>
      <c r="AF1998" s="32" t="str">
        <f t="shared" si="2013"/>
        <v/>
      </c>
      <c r="AG1998" s="32" t="str">
        <f t="shared" si="2013"/>
        <v/>
      </c>
      <c r="AH1998" s="33"/>
    </row>
    <row r="1999" hidden="1" outlineLevel="1" collapsed="1">
      <c r="A1999" s="81" t="b">
        <v>0</v>
      </c>
      <c r="B1999" s="17"/>
      <c r="C1999" s="18"/>
      <c r="D1999" s="42">
        <v>45334.0</v>
      </c>
      <c r="E1999" s="43" t="s">
        <v>60</v>
      </c>
      <c r="F1999" s="53" t="s">
        <v>1208</v>
      </c>
      <c r="G1999" s="45">
        <v>3.0</v>
      </c>
      <c r="H1999" s="48"/>
      <c r="I1999" s="45">
        <v>3.0</v>
      </c>
      <c r="J1999" s="79"/>
      <c r="K1999" s="79"/>
      <c r="L1999" s="79"/>
      <c r="M1999" s="79"/>
      <c r="N1999" s="79"/>
      <c r="O1999" s="47"/>
      <c r="P1999" s="20" t="b">
        <v>1</v>
      </c>
      <c r="Q1999" s="24"/>
      <c r="R1999" s="48">
        <f t="shared" si="1882"/>
        <v>6</v>
      </c>
      <c r="S1999" s="45">
        <v>20.72</v>
      </c>
      <c r="T1999" s="49" t="str">
        <f t="shared" si="1883"/>
        <v>+245</v>
      </c>
      <c r="U1999" s="47"/>
      <c r="V1999" s="28"/>
      <c r="W1999" s="29"/>
      <c r="X1999" s="30"/>
      <c r="Y1999" s="84"/>
      <c r="Z1999" s="26">
        <f t="shared" si="5"/>
        <v>7.36</v>
      </c>
      <c r="AA1999" s="26">
        <f t="shared" si="6"/>
        <v>7.36</v>
      </c>
      <c r="AB1999" s="32" t="str">
        <f t="shared" si="7"/>
        <v/>
      </c>
      <c r="AC1999" s="32" t="str">
        <f t="shared" ref="AC1999:AG1999" si="2014">IF(J1999&lt;&gt;"", IF(AND($P1999=FALSE, $A1999=FALSE), -J1999, IF(AND($P1999=FALSE, $A1999=TRUE), 0, IF($P1999=TRUE, (J1999 / $R1999) * 100 * ($S1999 / 100)-J1999, ))), )</f>
        <v/>
      </c>
      <c r="AD1999" s="32" t="str">
        <f t="shared" si="2014"/>
        <v/>
      </c>
      <c r="AE1999" s="32" t="str">
        <f t="shared" si="2014"/>
        <v/>
      </c>
      <c r="AF1999" s="32" t="str">
        <f t="shared" si="2014"/>
        <v/>
      </c>
      <c r="AG1999" s="32" t="str">
        <f t="shared" si="2014"/>
        <v/>
      </c>
      <c r="AH1999" s="33"/>
    </row>
    <row r="2000" hidden="1" outlineLevel="3">
      <c r="A2000" s="16" t="b">
        <v>0</v>
      </c>
      <c r="B2000" s="17"/>
      <c r="C2000" s="18"/>
      <c r="D2000" s="42"/>
      <c r="E2000" s="20"/>
      <c r="F2000" s="53"/>
      <c r="G2000" s="45"/>
      <c r="H2000" s="45"/>
      <c r="I2000" s="45"/>
      <c r="J2000" s="36"/>
      <c r="K2000" s="23"/>
      <c r="L2000" s="36"/>
      <c r="M2000" s="23"/>
      <c r="N2000" s="23"/>
      <c r="O2000" s="24"/>
      <c r="P2000" s="16" t="b">
        <v>0</v>
      </c>
      <c r="Q2000" s="24"/>
      <c r="R2000" s="48" t="str">
        <f t="shared" si="1882"/>
        <v/>
      </c>
      <c r="S2000" s="26"/>
      <c r="T2000" s="49" t="str">
        <f t="shared" si="1883"/>
        <v/>
      </c>
      <c r="U2000" s="24"/>
      <c r="V2000" s="66" t="s">
        <v>29</v>
      </c>
      <c r="W2000" s="29" t="str">
        <f t="shared" ref="W2000:W2001" si="2016">IF(ISBLANK($D2000), "/",)</f>
        <v>/</v>
      </c>
      <c r="X2000" s="37" t="s">
        <v>1266</v>
      </c>
      <c r="Y2000" s="31"/>
      <c r="Z2000" s="26" t="str">
        <f t="shared" si="5"/>
        <v/>
      </c>
      <c r="AA2000" s="26" t="str">
        <f t="shared" si="6"/>
        <v/>
      </c>
      <c r="AB2000" s="32" t="str">
        <f t="shared" si="7"/>
        <v/>
      </c>
      <c r="AC2000" s="32" t="str">
        <f t="shared" ref="AC2000:AG2000" si="2015">IF(J2000&lt;&gt;"", IF(AND($P2000=FALSE, $A2000=FALSE), -J2000, IF(AND($P2000=FALSE, $A2000=TRUE), 0, IF($P2000=TRUE, (J2000 / $R2000) * 100 * ($S2000 / 100)-J2000, ))), )</f>
        <v/>
      </c>
      <c r="AD2000" s="32" t="str">
        <f t="shared" si="2015"/>
        <v/>
      </c>
      <c r="AE2000" s="32" t="str">
        <f t="shared" si="2015"/>
        <v/>
      </c>
      <c r="AF2000" s="32" t="str">
        <f t="shared" si="2015"/>
        <v/>
      </c>
      <c r="AG2000" s="32" t="str">
        <f t="shared" si="2015"/>
        <v/>
      </c>
      <c r="AH2000" s="33"/>
    </row>
    <row r="2001" hidden="1" outlineLevel="3">
      <c r="A2001" s="16" t="b">
        <v>0</v>
      </c>
      <c r="B2001" s="17"/>
      <c r="C2001" s="18"/>
      <c r="D2001" s="42"/>
      <c r="E2001" s="20"/>
      <c r="F2001" s="53"/>
      <c r="G2001" s="45"/>
      <c r="H2001" s="45"/>
      <c r="I2001" s="45"/>
      <c r="J2001" s="36"/>
      <c r="K2001" s="23"/>
      <c r="L2001" s="36"/>
      <c r="M2001" s="23"/>
      <c r="N2001" s="23"/>
      <c r="O2001" s="24"/>
      <c r="P2001" s="16" t="b">
        <v>0</v>
      </c>
      <c r="Q2001" s="24"/>
      <c r="R2001" s="48" t="str">
        <f t="shared" si="1882"/>
        <v/>
      </c>
      <c r="S2001" s="26"/>
      <c r="T2001" s="49" t="str">
        <f t="shared" si="1883"/>
        <v/>
      </c>
      <c r="U2001" s="24"/>
      <c r="V2001" s="66" t="s">
        <v>29</v>
      </c>
      <c r="W2001" s="29" t="str">
        <f t="shared" si="2016"/>
        <v>/</v>
      </c>
      <c r="X2001" s="37" t="s">
        <v>1267</v>
      </c>
      <c r="Y2001" s="31"/>
      <c r="Z2001" s="26" t="str">
        <f t="shared" si="5"/>
        <v/>
      </c>
      <c r="AA2001" s="26" t="str">
        <f t="shared" si="6"/>
        <v/>
      </c>
      <c r="AB2001" s="32" t="str">
        <f t="shared" si="7"/>
        <v/>
      </c>
      <c r="AC2001" s="32" t="str">
        <f t="shared" ref="AC2001:AG2001" si="2017">IF(J2001&lt;&gt;"", IF(AND($P2001=FALSE, $A2001=FALSE), -J2001, IF(AND($P2001=FALSE, $A2001=TRUE), 0, IF($P2001=TRUE, (J2001 / $R2001) * 100 * ($S2001 / 100)-J2001, ))), )</f>
        <v/>
      </c>
      <c r="AD2001" s="32" t="str">
        <f t="shared" si="2017"/>
        <v/>
      </c>
      <c r="AE2001" s="32" t="str">
        <f t="shared" si="2017"/>
        <v/>
      </c>
      <c r="AF2001" s="32" t="str">
        <f t="shared" si="2017"/>
        <v/>
      </c>
      <c r="AG2001" s="32" t="str">
        <f t="shared" si="2017"/>
        <v/>
      </c>
      <c r="AH2001" s="33"/>
    </row>
    <row r="2002" hidden="1" outlineLevel="1" collapsed="1">
      <c r="A2002" s="81" t="b">
        <v>0</v>
      </c>
      <c r="B2002" s="17"/>
      <c r="C2002" s="18"/>
      <c r="D2002" s="42">
        <v>45335.0</v>
      </c>
      <c r="E2002" s="43" t="s">
        <v>60</v>
      </c>
      <c r="F2002" s="53" t="s">
        <v>1208</v>
      </c>
      <c r="G2002" s="45">
        <v>3.0</v>
      </c>
      <c r="H2002" s="48"/>
      <c r="I2002" s="45">
        <v>3.0</v>
      </c>
      <c r="J2002" s="79"/>
      <c r="K2002" s="79"/>
      <c r="L2002" s="79"/>
      <c r="M2002" s="79"/>
      <c r="N2002" s="79"/>
      <c r="O2002" s="47"/>
      <c r="P2002" s="20" t="b">
        <v>1</v>
      </c>
      <c r="Q2002" s="24"/>
      <c r="R2002" s="48">
        <f t="shared" si="1882"/>
        <v>6</v>
      </c>
      <c r="S2002" s="45">
        <v>18.36</v>
      </c>
      <c r="T2002" s="49" t="str">
        <f t="shared" si="1883"/>
        <v>+206</v>
      </c>
      <c r="U2002" s="47"/>
      <c r="V2002" s="28"/>
      <c r="W2002" s="29"/>
      <c r="X2002" s="30"/>
      <c r="Y2002" s="84"/>
      <c r="Z2002" s="26">
        <f t="shared" si="5"/>
        <v>6.18</v>
      </c>
      <c r="AA2002" s="26">
        <f t="shared" si="6"/>
        <v>6.18</v>
      </c>
      <c r="AB2002" s="32" t="str">
        <f t="shared" si="7"/>
        <v/>
      </c>
      <c r="AC2002" s="32" t="str">
        <f t="shared" ref="AC2002:AG2002" si="2018">IF(J2002&lt;&gt;"", IF(AND($P2002=FALSE, $A2002=FALSE), -J2002, IF(AND($P2002=FALSE, $A2002=TRUE), 0, IF($P2002=TRUE, (J2002 / $R2002) * 100 * ($S2002 / 100)-J2002, ))), )</f>
        <v/>
      </c>
      <c r="AD2002" s="32" t="str">
        <f t="shared" si="2018"/>
        <v/>
      </c>
      <c r="AE2002" s="32" t="str">
        <f t="shared" si="2018"/>
        <v/>
      </c>
      <c r="AF2002" s="32" t="str">
        <f t="shared" si="2018"/>
        <v/>
      </c>
      <c r="AG2002" s="32" t="str">
        <f t="shared" si="2018"/>
        <v/>
      </c>
      <c r="AH2002" s="33"/>
    </row>
    <row r="2003" hidden="1" outlineLevel="3">
      <c r="A2003" s="16" t="b">
        <v>0</v>
      </c>
      <c r="B2003" s="17"/>
      <c r="C2003" s="18"/>
      <c r="D2003" s="42"/>
      <c r="E2003" s="20"/>
      <c r="F2003" s="53"/>
      <c r="G2003" s="45"/>
      <c r="H2003" s="45"/>
      <c r="I2003" s="45"/>
      <c r="J2003" s="36"/>
      <c r="K2003" s="23"/>
      <c r="L2003" s="36"/>
      <c r="M2003" s="23"/>
      <c r="N2003" s="23"/>
      <c r="O2003" s="24"/>
      <c r="P2003" s="16" t="b">
        <v>0</v>
      </c>
      <c r="Q2003" s="24"/>
      <c r="R2003" s="48" t="str">
        <f t="shared" si="1882"/>
        <v/>
      </c>
      <c r="S2003" s="26"/>
      <c r="T2003" s="49" t="str">
        <f t="shared" si="1883"/>
        <v/>
      </c>
      <c r="U2003" s="24"/>
      <c r="V2003" s="66" t="s">
        <v>29</v>
      </c>
      <c r="W2003" s="29" t="str">
        <f t="shared" ref="W2003:W2004" si="2020">IF(ISBLANK($D2003), "/",)</f>
        <v>/</v>
      </c>
      <c r="X2003" s="37" t="s">
        <v>1268</v>
      </c>
      <c r="Y2003" s="31"/>
      <c r="Z2003" s="26" t="str">
        <f t="shared" si="5"/>
        <v/>
      </c>
      <c r="AA2003" s="26" t="str">
        <f t="shared" si="6"/>
        <v/>
      </c>
      <c r="AB2003" s="32" t="str">
        <f t="shared" si="7"/>
        <v/>
      </c>
      <c r="AC2003" s="32" t="str">
        <f t="shared" ref="AC2003:AG2003" si="2019">IF(J2003&lt;&gt;"", IF(AND($P2003=FALSE, $A2003=FALSE), -J2003, IF(AND($P2003=FALSE, $A2003=TRUE), 0, IF($P2003=TRUE, (J2003 / $R2003) * 100 * ($S2003 / 100)-J2003, ))), )</f>
        <v/>
      </c>
      <c r="AD2003" s="32" t="str">
        <f t="shared" si="2019"/>
        <v/>
      </c>
      <c r="AE2003" s="32" t="str">
        <f t="shared" si="2019"/>
        <v/>
      </c>
      <c r="AF2003" s="32" t="str">
        <f t="shared" si="2019"/>
        <v/>
      </c>
      <c r="AG2003" s="32" t="str">
        <f t="shared" si="2019"/>
        <v/>
      </c>
      <c r="AH2003" s="33"/>
    </row>
    <row r="2004" hidden="1" outlineLevel="3">
      <c r="A2004" s="16" t="b">
        <v>0</v>
      </c>
      <c r="B2004" s="17"/>
      <c r="C2004" s="18"/>
      <c r="D2004" s="42"/>
      <c r="E2004" s="20"/>
      <c r="F2004" s="53"/>
      <c r="G2004" s="45"/>
      <c r="H2004" s="45"/>
      <c r="I2004" s="45"/>
      <c r="J2004" s="36"/>
      <c r="K2004" s="23"/>
      <c r="L2004" s="36"/>
      <c r="M2004" s="23"/>
      <c r="N2004" s="23"/>
      <c r="O2004" s="24"/>
      <c r="P2004" s="16" t="b">
        <v>0</v>
      </c>
      <c r="Q2004" s="24"/>
      <c r="R2004" s="48" t="str">
        <f t="shared" si="1882"/>
        <v/>
      </c>
      <c r="S2004" s="26"/>
      <c r="T2004" s="49" t="str">
        <f t="shared" si="1883"/>
        <v/>
      </c>
      <c r="U2004" s="24"/>
      <c r="V2004" s="66" t="s">
        <v>29</v>
      </c>
      <c r="W2004" s="29" t="str">
        <f t="shared" si="2020"/>
        <v>/</v>
      </c>
      <c r="X2004" s="37" t="s">
        <v>1269</v>
      </c>
      <c r="Y2004" s="31"/>
      <c r="Z2004" s="26" t="str">
        <f t="shared" si="5"/>
        <v/>
      </c>
      <c r="AA2004" s="26" t="str">
        <f t="shared" si="6"/>
        <v/>
      </c>
      <c r="AB2004" s="32" t="str">
        <f t="shared" si="7"/>
        <v/>
      </c>
      <c r="AC2004" s="32" t="str">
        <f t="shared" ref="AC2004:AG2004" si="2021">IF(J2004&lt;&gt;"", IF(AND($P2004=FALSE, $A2004=FALSE), -J2004, IF(AND($P2004=FALSE, $A2004=TRUE), 0, IF($P2004=TRUE, (J2004 / $R2004) * 100 * ($S2004 / 100)-J2004, ))), )</f>
        <v/>
      </c>
      <c r="AD2004" s="32" t="str">
        <f t="shared" si="2021"/>
        <v/>
      </c>
      <c r="AE2004" s="32" t="str">
        <f t="shared" si="2021"/>
        <v/>
      </c>
      <c r="AF2004" s="32" t="str">
        <f t="shared" si="2021"/>
        <v/>
      </c>
      <c r="AG2004" s="32" t="str">
        <f t="shared" si="2021"/>
        <v/>
      </c>
      <c r="AH2004" s="33"/>
    </row>
    <row r="2005" hidden="1" outlineLevel="2">
      <c r="A2005" s="81" t="b">
        <v>0</v>
      </c>
      <c r="B2005" s="17"/>
      <c r="C2005" s="18"/>
      <c r="D2005" s="42">
        <v>45335.0</v>
      </c>
      <c r="E2005" s="43" t="s">
        <v>60</v>
      </c>
      <c r="F2005" s="53" t="s">
        <v>1208</v>
      </c>
      <c r="G2005" s="45">
        <v>3.0</v>
      </c>
      <c r="H2005" s="48"/>
      <c r="I2005" s="45">
        <v>3.0</v>
      </c>
      <c r="J2005" s="79"/>
      <c r="K2005" s="79"/>
      <c r="L2005" s="79"/>
      <c r="M2005" s="79"/>
      <c r="N2005" s="79"/>
      <c r="O2005" s="47"/>
      <c r="P2005" s="20" t="b">
        <v>1</v>
      </c>
      <c r="Q2005" s="24"/>
      <c r="R2005" s="48">
        <f t="shared" si="1882"/>
        <v>6</v>
      </c>
      <c r="S2005" s="45">
        <v>17.13</v>
      </c>
      <c r="T2005" s="49" t="str">
        <f t="shared" si="1883"/>
        <v>+186</v>
      </c>
      <c r="U2005" s="47"/>
      <c r="V2005" s="28"/>
      <c r="W2005" s="29"/>
      <c r="X2005" s="30"/>
      <c r="Y2005" s="84"/>
      <c r="Z2005" s="26">
        <f t="shared" si="5"/>
        <v>5.565</v>
      </c>
      <c r="AA2005" s="26">
        <f t="shared" si="6"/>
        <v>5.565</v>
      </c>
      <c r="AB2005" s="32" t="str">
        <f t="shared" si="7"/>
        <v/>
      </c>
      <c r="AC2005" s="32" t="str">
        <f t="shared" ref="AC2005:AG2005" si="2022">IF(J2005&lt;&gt;"", IF(AND($P2005=FALSE, $A2005=FALSE), -J2005, IF(AND($P2005=FALSE, $A2005=TRUE), 0, IF($P2005=TRUE, (J2005 / $R2005) * 100 * ($S2005 / 100)-J2005, ))), )</f>
        <v/>
      </c>
      <c r="AD2005" s="32" t="str">
        <f t="shared" si="2022"/>
        <v/>
      </c>
      <c r="AE2005" s="32" t="str">
        <f t="shared" si="2022"/>
        <v/>
      </c>
      <c r="AF2005" s="32" t="str">
        <f t="shared" si="2022"/>
        <v/>
      </c>
      <c r="AG2005" s="32" t="str">
        <f t="shared" si="2022"/>
        <v/>
      </c>
      <c r="AH2005" s="33"/>
    </row>
    <row r="2006" hidden="1" outlineLevel="3">
      <c r="A2006" s="16" t="b">
        <v>0</v>
      </c>
      <c r="B2006" s="17"/>
      <c r="C2006" s="18"/>
      <c r="D2006" s="42"/>
      <c r="E2006" s="20"/>
      <c r="F2006" s="53"/>
      <c r="G2006" s="45"/>
      <c r="H2006" s="45"/>
      <c r="I2006" s="45"/>
      <c r="J2006" s="36"/>
      <c r="K2006" s="23"/>
      <c r="L2006" s="36"/>
      <c r="M2006" s="23"/>
      <c r="N2006" s="23"/>
      <c r="O2006" s="24"/>
      <c r="P2006" s="16" t="b">
        <v>0</v>
      </c>
      <c r="Q2006" s="24"/>
      <c r="R2006" s="48" t="str">
        <f t="shared" si="1882"/>
        <v/>
      </c>
      <c r="S2006" s="26"/>
      <c r="T2006" s="49" t="str">
        <f t="shared" si="1883"/>
        <v/>
      </c>
      <c r="U2006" s="24"/>
      <c r="V2006" s="66" t="s">
        <v>29</v>
      </c>
      <c r="W2006" s="29" t="str">
        <f t="shared" ref="W2006:W2773" si="2024">IF(ISBLANK($D2006), "/",)</f>
        <v>/</v>
      </c>
      <c r="X2006" s="37" t="s">
        <v>1270</v>
      </c>
      <c r="Y2006" s="31"/>
      <c r="Z2006" s="26" t="str">
        <f t="shared" si="5"/>
        <v/>
      </c>
      <c r="AA2006" s="26" t="str">
        <f t="shared" si="6"/>
        <v/>
      </c>
      <c r="AB2006" s="32" t="str">
        <f t="shared" si="7"/>
        <v/>
      </c>
      <c r="AC2006" s="32" t="str">
        <f t="shared" ref="AC2006:AG2006" si="2023">IF(J2006&lt;&gt;"", IF(AND($P2006=FALSE, $A2006=FALSE), -J2006, IF(AND($P2006=FALSE, $A2006=TRUE), 0, IF($P2006=TRUE, (J2006 / $R2006) * 100 * ($S2006 / 100)-J2006, ))), )</f>
        <v/>
      </c>
      <c r="AD2006" s="32" t="str">
        <f t="shared" si="2023"/>
        <v/>
      </c>
      <c r="AE2006" s="32" t="str">
        <f t="shared" si="2023"/>
        <v/>
      </c>
      <c r="AF2006" s="32" t="str">
        <f t="shared" si="2023"/>
        <v/>
      </c>
      <c r="AG2006" s="32" t="str">
        <f t="shared" si="2023"/>
        <v/>
      </c>
      <c r="AH2006" s="33"/>
    </row>
    <row r="2007" hidden="1" outlineLevel="3">
      <c r="A2007" s="16" t="b">
        <v>0</v>
      </c>
      <c r="B2007" s="17"/>
      <c r="C2007" s="18"/>
      <c r="D2007" s="42"/>
      <c r="E2007" s="20"/>
      <c r="F2007" s="53"/>
      <c r="G2007" s="45"/>
      <c r="H2007" s="45"/>
      <c r="I2007" s="45"/>
      <c r="J2007" s="36"/>
      <c r="K2007" s="23"/>
      <c r="L2007" s="36"/>
      <c r="M2007" s="23"/>
      <c r="N2007" s="23"/>
      <c r="O2007" s="24"/>
      <c r="P2007" s="16" t="b">
        <v>0</v>
      </c>
      <c r="Q2007" s="24"/>
      <c r="R2007" s="48" t="str">
        <f t="shared" si="1882"/>
        <v/>
      </c>
      <c r="S2007" s="26"/>
      <c r="T2007" s="49" t="str">
        <f t="shared" si="1883"/>
        <v/>
      </c>
      <c r="U2007" s="24"/>
      <c r="V2007" s="66" t="s">
        <v>29</v>
      </c>
      <c r="W2007" s="29" t="str">
        <f t="shared" si="2024"/>
        <v>/</v>
      </c>
      <c r="X2007" s="37" t="s">
        <v>1271</v>
      </c>
      <c r="Y2007" s="31"/>
      <c r="Z2007" s="26" t="str">
        <f t="shared" si="5"/>
        <v/>
      </c>
      <c r="AA2007" s="26" t="str">
        <f t="shared" si="6"/>
        <v/>
      </c>
      <c r="AB2007" s="32" t="str">
        <f t="shared" si="7"/>
        <v/>
      </c>
      <c r="AC2007" s="32" t="str">
        <f t="shared" ref="AC2007:AG2007" si="2025">IF(J2007&lt;&gt;"", IF(AND($P2007=FALSE, $A2007=FALSE), -J2007, IF(AND($P2007=FALSE, $A2007=TRUE), 0, IF($P2007=TRUE, (J2007 / $R2007) * 100 * ($S2007 / 100)-J2007, ))), )</f>
        <v/>
      </c>
      <c r="AD2007" s="32" t="str">
        <f t="shared" si="2025"/>
        <v/>
      </c>
      <c r="AE2007" s="32" t="str">
        <f t="shared" si="2025"/>
        <v/>
      </c>
      <c r="AF2007" s="32" t="str">
        <f t="shared" si="2025"/>
        <v/>
      </c>
      <c r="AG2007" s="32" t="str">
        <f t="shared" si="2025"/>
        <v/>
      </c>
      <c r="AH2007" s="33"/>
    </row>
    <row r="2008" hidden="1" outlineLevel="1" collapsed="1">
      <c r="A2008" s="81" t="b">
        <v>0</v>
      </c>
      <c r="B2008" s="17"/>
      <c r="C2008" s="18"/>
      <c r="D2008" s="42">
        <v>45336.0</v>
      </c>
      <c r="E2008" s="43" t="s">
        <v>60</v>
      </c>
      <c r="F2008" s="53" t="s">
        <v>1208</v>
      </c>
      <c r="G2008" s="45">
        <v>1.5</v>
      </c>
      <c r="H2008" s="48"/>
      <c r="I2008" s="45">
        <v>1.5</v>
      </c>
      <c r="J2008" s="79"/>
      <c r="K2008" s="79"/>
      <c r="L2008" s="79"/>
      <c r="M2008" s="79"/>
      <c r="N2008" s="79"/>
      <c r="O2008" s="47"/>
      <c r="P2008" s="20" t="b">
        <v>1</v>
      </c>
      <c r="Q2008" s="24"/>
      <c r="R2008" s="48">
        <f t="shared" si="1882"/>
        <v>3</v>
      </c>
      <c r="S2008" s="45">
        <v>9.99</v>
      </c>
      <c r="T2008" s="49" t="str">
        <f t="shared" si="1883"/>
        <v>+233</v>
      </c>
      <c r="U2008" s="47"/>
      <c r="V2008" s="28" t="str">
        <f>IF(ISBLANK($D2008), "0",)</f>
        <v/>
      </c>
      <c r="W2008" s="29" t="str">
        <f t="shared" si="2024"/>
        <v/>
      </c>
      <c r="X2008" s="30"/>
      <c r="Y2008" s="84"/>
      <c r="Z2008" s="26">
        <f t="shared" si="5"/>
        <v>3.495</v>
      </c>
      <c r="AA2008" s="26">
        <f t="shared" si="6"/>
        <v>3.495</v>
      </c>
      <c r="AB2008" s="32" t="str">
        <f t="shared" si="7"/>
        <v/>
      </c>
      <c r="AC2008" s="32" t="str">
        <f t="shared" ref="AC2008:AG2008" si="2026">IF(J2008&lt;&gt;"", IF(AND($P2008=FALSE, $A2008=FALSE), -J2008, IF(AND($P2008=FALSE, $A2008=TRUE), 0, IF($P2008=TRUE, (J2008 / $R2008) * 100 * ($S2008 / 100)-J2008, ))), )</f>
        <v/>
      </c>
      <c r="AD2008" s="32" t="str">
        <f t="shared" si="2026"/>
        <v/>
      </c>
      <c r="AE2008" s="32" t="str">
        <f t="shared" si="2026"/>
        <v/>
      </c>
      <c r="AF2008" s="32" t="str">
        <f t="shared" si="2026"/>
        <v/>
      </c>
      <c r="AG2008" s="32" t="str">
        <f t="shared" si="2026"/>
        <v/>
      </c>
      <c r="AH2008" s="33"/>
    </row>
    <row r="2009" hidden="1" outlineLevel="3">
      <c r="A2009" s="16" t="b">
        <v>0</v>
      </c>
      <c r="B2009" s="17"/>
      <c r="C2009" s="18"/>
      <c r="D2009" s="42"/>
      <c r="E2009" s="20"/>
      <c r="F2009" s="53"/>
      <c r="G2009" s="45"/>
      <c r="H2009" s="45"/>
      <c r="I2009" s="45"/>
      <c r="J2009" s="36"/>
      <c r="K2009" s="23"/>
      <c r="L2009" s="36"/>
      <c r="M2009" s="23"/>
      <c r="N2009" s="23"/>
      <c r="O2009" s="24"/>
      <c r="P2009" s="16" t="b">
        <v>0</v>
      </c>
      <c r="Q2009" s="24"/>
      <c r="R2009" s="48" t="str">
        <f t="shared" si="1882"/>
        <v/>
      </c>
      <c r="S2009" s="26"/>
      <c r="T2009" s="49" t="str">
        <f t="shared" si="1883"/>
        <v/>
      </c>
      <c r="U2009" s="24"/>
      <c r="V2009" s="66" t="s">
        <v>29</v>
      </c>
      <c r="W2009" s="29" t="str">
        <f t="shared" si="2024"/>
        <v>/</v>
      </c>
      <c r="X2009" s="37" t="s">
        <v>1272</v>
      </c>
      <c r="Y2009" s="31"/>
      <c r="Z2009" s="26" t="str">
        <f t="shared" si="5"/>
        <v/>
      </c>
      <c r="AA2009" s="26" t="str">
        <f t="shared" si="6"/>
        <v/>
      </c>
      <c r="AB2009" s="32" t="str">
        <f t="shared" si="7"/>
        <v/>
      </c>
      <c r="AC2009" s="32" t="str">
        <f t="shared" ref="AC2009:AG2009" si="2027">IF(J2009&lt;&gt;"", IF(AND($P2009=FALSE, $A2009=FALSE), -J2009, IF(AND($P2009=FALSE, $A2009=TRUE), 0, IF($P2009=TRUE, (J2009 / $R2009) * 100 * ($S2009 / 100)-J2009, ))), )</f>
        <v/>
      </c>
      <c r="AD2009" s="32" t="str">
        <f t="shared" si="2027"/>
        <v/>
      </c>
      <c r="AE2009" s="32" t="str">
        <f t="shared" si="2027"/>
        <v/>
      </c>
      <c r="AF2009" s="32" t="str">
        <f t="shared" si="2027"/>
        <v/>
      </c>
      <c r="AG2009" s="32" t="str">
        <f t="shared" si="2027"/>
        <v/>
      </c>
      <c r="AH2009" s="33"/>
    </row>
    <row r="2010" hidden="1" outlineLevel="3">
      <c r="A2010" s="16" t="b">
        <v>0</v>
      </c>
      <c r="B2010" s="17"/>
      <c r="C2010" s="18"/>
      <c r="D2010" s="42"/>
      <c r="E2010" s="20"/>
      <c r="F2010" s="53"/>
      <c r="G2010" s="45"/>
      <c r="H2010" s="45"/>
      <c r="I2010" s="45"/>
      <c r="J2010" s="36"/>
      <c r="K2010" s="23"/>
      <c r="L2010" s="36"/>
      <c r="M2010" s="23"/>
      <c r="N2010" s="23"/>
      <c r="O2010" s="24"/>
      <c r="P2010" s="16" t="b">
        <v>0</v>
      </c>
      <c r="Q2010" s="24"/>
      <c r="R2010" s="48" t="str">
        <f t="shared" si="1882"/>
        <v/>
      </c>
      <c r="S2010" s="26"/>
      <c r="T2010" s="49" t="str">
        <f t="shared" si="1883"/>
        <v/>
      </c>
      <c r="U2010" s="24"/>
      <c r="V2010" s="66" t="s">
        <v>29</v>
      </c>
      <c r="W2010" s="29" t="str">
        <f t="shared" si="2024"/>
        <v>/</v>
      </c>
      <c r="X2010" s="37" t="s">
        <v>1273</v>
      </c>
      <c r="Y2010" s="31"/>
      <c r="Z2010" s="26" t="str">
        <f t="shared" si="5"/>
        <v/>
      </c>
      <c r="AA2010" s="26" t="str">
        <f t="shared" si="6"/>
        <v/>
      </c>
      <c r="AB2010" s="32" t="str">
        <f t="shared" si="7"/>
        <v/>
      </c>
      <c r="AC2010" s="32" t="str">
        <f t="shared" ref="AC2010:AG2010" si="2028">IF(J2010&lt;&gt;"", IF(AND($P2010=FALSE, $A2010=FALSE), -J2010, IF(AND($P2010=FALSE, $A2010=TRUE), 0, IF($P2010=TRUE, (J2010 / $R2010) * 100 * ($S2010 / 100)-J2010, ))), )</f>
        <v/>
      </c>
      <c r="AD2010" s="32" t="str">
        <f t="shared" si="2028"/>
        <v/>
      </c>
      <c r="AE2010" s="32" t="str">
        <f t="shared" si="2028"/>
        <v/>
      </c>
      <c r="AF2010" s="32" t="str">
        <f t="shared" si="2028"/>
        <v/>
      </c>
      <c r="AG2010" s="32" t="str">
        <f t="shared" si="2028"/>
        <v/>
      </c>
      <c r="AH2010" s="33"/>
    </row>
    <row r="2011" hidden="1" outlineLevel="3">
      <c r="A2011" s="16" t="b">
        <v>0</v>
      </c>
      <c r="B2011" s="17"/>
      <c r="C2011" s="18"/>
      <c r="D2011" s="42"/>
      <c r="E2011" s="20"/>
      <c r="F2011" s="53"/>
      <c r="G2011" s="45"/>
      <c r="H2011" s="45"/>
      <c r="I2011" s="45"/>
      <c r="J2011" s="36"/>
      <c r="K2011" s="23"/>
      <c r="L2011" s="36"/>
      <c r="M2011" s="23"/>
      <c r="N2011" s="23"/>
      <c r="O2011" s="24"/>
      <c r="P2011" s="16" t="b">
        <v>0</v>
      </c>
      <c r="Q2011" s="24"/>
      <c r="R2011" s="48" t="str">
        <f t="shared" si="1882"/>
        <v/>
      </c>
      <c r="S2011" s="26"/>
      <c r="T2011" s="49" t="str">
        <f t="shared" si="1883"/>
        <v/>
      </c>
      <c r="U2011" s="24"/>
      <c r="V2011" s="66" t="s">
        <v>29</v>
      </c>
      <c r="W2011" s="29" t="str">
        <f t="shared" si="2024"/>
        <v>/</v>
      </c>
      <c r="X2011" s="37" t="s">
        <v>1274</v>
      </c>
      <c r="Y2011" s="31"/>
      <c r="Z2011" s="26" t="str">
        <f t="shared" si="5"/>
        <v/>
      </c>
      <c r="AA2011" s="26" t="str">
        <f t="shared" si="6"/>
        <v/>
      </c>
      <c r="AB2011" s="32" t="str">
        <f t="shared" si="7"/>
        <v/>
      </c>
      <c r="AC2011" s="32" t="str">
        <f t="shared" ref="AC2011:AG2011" si="2029">IF(J2011&lt;&gt;"", IF(AND($P2011=FALSE, $A2011=FALSE), -J2011, IF(AND($P2011=FALSE, $A2011=TRUE), 0, IF($P2011=TRUE, (J2011 / $R2011) * 100 * ($S2011 / 100)-J2011, ))), )</f>
        <v/>
      </c>
      <c r="AD2011" s="32" t="str">
        <f t="shared" si="2029"/>
        <v/>
      </c>
      <c r="AE2011" s="32" t="str">
        <f t="shared" si="2029"/>
        <v/>
      </c>
      <c r="AF2011" s="32" t="str">
        <f t="shared" si="2029"/>
        <v/>
      </c>
      <c r="AG2011" s="32" t="str">
        <f t="shared" si="2029"/>
        <v/>
      </c>
      <c r="AH2011" s="33"/>
    </row>
    <row r="2012" hidden="1" outlineLevel="2" collapsed="1">
      <c r="A2012" s="81" t="b">
        <v>0</v>
      </c>
      <c r="B2012" s="17"/>
      <c r="C2012" s="18"/>
      <c r="D2012" s="42">
        <v>45336.0</v>
      </c>
      <c r="E2012" s="43" t="s">
        <v>60</v>
      </c>
      <c r="F2012" s="53" t="s">
        <v>1208</v>
      </c>
      <c r="G2012" s="45">
        <v>3.0</v>
      </c>
      <c r="H2012" s="48"/>
      <c r="I2012" s="45">
        <v>3.0</v>
      </c>
      <c r="J2012" s="79"/>
      <c r="K2012" s="79"/>
      <c r="L2012" s="79"/>
      <c r="M2012" s="79"/>
      <c r="N2012" s="79"/>
      <c r="O2012" s="47"/>
      <c r="P2012" s="20" t="b">
        <v>0</v>
      </c>
      <c r="Q2012" s="24"/>
      <c r="R2012" s="48">
        <f t="shared" si="1882"/>
        <v>6</v>
      </c>
      <c r="S2012" s="45">
        <v>28.72</v>
      </c>
      <c r="T2012" s="49" t="str">
        <f t="shared" si="1883"/>
        <v>+379</v>
      </c>
      <c r="U2012" s="47"/>
      <c r="V2012" s="28" t="str">
        <f>IF(ISBLANK($D2012), "0",)</f>
        <v/>
      </c>
      <c r="W2012" s="29" t="str">
        <f t="shared" si="2024"/>
        <v/>
      </c>
      <c r="X2012" s="30"/>
      <c r="Y2012" s="84"/>
      <c r="Z2012" s="26">
        <f t="shared" si="5"/>
        <v>-3</v>
      </c>
      <c r="AA2012" s="26">
        <f t="shared" si="6"/>
        <v>-3</v>
      </c>
      <c r="AB2012" s="32" t="str">
        <f t="shared" si="7"/>
        <v/>
      </c>
      <c r="AC2012" s="32" t="str">
        <f t="shared" ref="AC2012:AG2012" si="2030">IF(J2012&lt;&gt;"", IF(AND($P2012=FALSE, $A2012=FALSE), -J2012, IF(AND($P2012=FALSE, $A2012=TRUE), 0, IF($P2012=TRUE, (J2012 / $R2012) * 100 * ($S2012 / 100)-J2012, ))), )</f>
        <v/>
      </c>
      <c r="AD2012" s="32" t="str">
        <f t="shared" si="2030"/>
        <v/>
      </c>
      <c r="AE2012" s="32" t="str">
        <f t="shared" si="2030"/>
        <v/>
      </c>
      <c r="AF2012" s="32" t="str">
        <f t="shared" si="2030"/>
        <v/>
      </c>
      <c r="AG2012" s="32" t="str">
        <f t="shared" si="2030"/>
        <v/>
      </c>
      <c r="AH2012" s="33"/>
    </row>
    <row r="2013" hidden="1" outlineLevel="3">
      <c r="A2013" s="16" t="b">
        <v>0</v>
      </c>
      <c r="B2013" s="17"/>
      <c r="C2013" s="18"/>
      <c r="D2013" s="42"/>
      <c r="E2013" s="20"/>
      <c r="F2013" s="53"/>
      <c r="G2013" s="45"/>
      <c r="H2013" s="45"/>
      <c r="I2013" s="45"/>
      <c r="J2013" s="36"/>
      <c r="K2013" s="23"/>
      <c r="L2013" s="36"/>
      <c r="M2013" s="23"/>
      <c r="N2013" s="23"/>
      <c r="O2013" s="24"/>
      <c r="P2013" s="16" t="b">
        <v>0</v>
      </c>
      <c r="Q2013" s="24"/>
      <c r="R2013" s="48" t="str">
        <f t="shared" si="1882"/>
        <v/>
      </c>
      <c r="S2013" s="26"/>
      <c r="T2013" s="49" t="str">
        <f t="shared" si="1883"/>
        <v/>
      </c>
      <c r="U2013" s="24"/>
      <c r="V2013" s="66" t="s">
        <v>29</v>
      </c>
      <c r="W2013" s="29" t="str">
        <f t="shared" si="2024"/>
        <v>/</v>
      </c>
      <c r="X2013" s="37" t="s">
        <v>1275</v>
      </c>
      <c r="Y2013" s="31"/>
      <c r="Z2013" s="26" t="str">
        <f t="shared" si="5"/>
        <v/>
      </c>
      <c r="AA2013" s="26" t="str">
        <f t="shared" si="6"/>
        <v/>
      </c>
      <c r="AB2013" s="32" t="str">
        <f t="shared" si="7"/>
        <v/>
      </c>
      <c r="AC2013" s="32" t="str">
        <f t="shared" ref="AC2013:AG2013" si="2031">IF(J2013&lt;&gt;"", IF(AND($P2013=FALSE, $A2013=FALSE), -J2013, IF(AND($P2013=FALSE, $A2013=TRUE), 0, IF($P2013=TRUE, (J2013 / $R2013) * 100 * ($S2013 / 100)-J2013, ))), )</f>
        <v/>
      </c>
      <c r="AD2013" s="32" t="str">
        <f t="shared" si="2031"/>
        <v/>
      </c>
      <c r="AE2013" s="32" t="str">
        <f t="shared" si="2031"/>
        <v/>
      </c>
      <c r="AF2013" s="32" t="str">
        <f t="shared" si="2031"/>
        <v/>
      </c>
      <c r="AG2013" s="32" t="str">
        <f t="shared" si="2031"/>
        <v/>
      </c>
      <c r="AH2013" s="33"/>
    </row>
    <row r="2014" hidden="1" outlineLevel="3">
      <c r="A2014" s="16" t="b">
        <v>0</v>
      </c>
      <c r="B2014" s="17"/>
      <c r="C2014" s="18"/>
      <c r="D2014" s="42"/>
      <c r="E2014" s="20"/>
      <c r="F2014" s="53"/>
      <c r="G2014" s="45"/>
      <c r="H2014" s="45"/>
      <c r="I2014" s="45"/>
      <c r="J2014" s="36"/>
      <c r="K2014" s="23"/>
      <c r="L2014" s="36"/>
      <c r="M2014" s="23"/>
      <c r="N2014" s="23"/>
      <c r="O2014" s="24"/>
      <c r="P2014" s="16" t="b">
        <v>0</v>
      </c>
      <c r="Q2014" s="24"/>
      <c r="R2014" s="48" t="str">
        <f t="shared" si="1882"/>
        <v/>
      </c>
      <c r="S2014" s="26"/>
      <c r="T2014" s="49" t="str">
        <f t="shared" si="1883"/>
        <v/>
      </c>
      <c r="U2014" s="24"/>
      <c r="V2014" s="66">
        <v>5.0</v>
      </c>
      <c r="W2014" s="29" t="str">
        <f t="shared" si="2024"/>
        <v>/</v>
      </c>
      <c r="X2014" s="37" t="s">
        <v>1276</v>
      </c>
      <c r="Y2014" s="31"/>
      <c r="Z2014" s="26" t="str">
        <f t="shared" si="5"/>
        <v/>
      </c>
      <c r="AA2014" s="26" t="str">
        <f t="shared" si="6"/>
        <v/>
      </c>
      <c r="AB2014" s="32" t="str">
        <f t="shared" si="7"/>
        <v/>
      </c>
      <c r="AC2014" s="32" t="str">
        <f t="shared" ref="AC2014:AG2014" si="2032">IF(J2014&lt;&gt;"", IF(AND($P2014=FALSE, $A2014=FALSE), -J2014, IF(AND($P2014=FALSE, $A2014=TRUE), 0, IF($P2014=TRUE, (J2014 / $R2014) * 100 * ($S2014 / 100)-J2014, ))), )</f>
        <v/>
      </c>
      <c r="AD2014" s="32" t="str">
        <f t="shared" si="2032"/>
        <v/>
      </c>
      <c r="AE2014" s="32" t="str">
        <f t="shared" si="2032"/>
        <v/>
      </c>
      <c r="AF2014" s="32" t="str">
        <f t="shared" si="2032"/>
        <v/>
      </c>
      <c r="AG2014" s="32" t="str">
        <f t="shared" si="2032"/>
        <v/>
      </c>
      <c r="AH2014" s="33"/>
    </row>
    <row r="2015" hidden="1" outlineLevel="2">
      <c r="A2015" s="81" t="b">
        <v>0</v>
      </c>
      <c r="B2015" s="17"/>
      <c r="C2015" s="18"/>
      <c r="D2015" s="42">
        <v>45336.0</v>
      </c>
      <c r="E2015" s="43" t="s">
        <v>60</v>
      </c>
      <c r="F2015" s="53" t="s">
        <v>1208</v>
      </c>
      <c r="G2015" s="45">
        <v>3.0</v>
      </c>
      <c r="H2015" s="48"/>
      <c r="I2015" s="45">
        <v>3.0</v>
      </c>
      <c r="J2015" s="79"/>
      <c r="K2015" s="79"/>
      <c r="L2015" s="79"/>
      <c r="M2015" s="79"/>
      <c r="N2015" s="79"/>
      <c r="O2015" s="47"/>
      <c r="P2015" s="20" t="b">
        <v>0</v>
      </c>
      <c r="Q2015" s="24"/>
      <c r="R2015" s="48">
        <f t="shared" si="1882"/>
        <v>6</v>
      </c>
      <c r="S2015" s="45">
        <v>24.24</v>
      </c>
      <c r="T2015" s="49" t="str">
        <f t="shared" si="1883"/>
        <v>+304</v>
      </c>
      <c r="U2015" s="47"/>
      <c r="V2015" s="28" t="str">
        <f>IF(ISBLANK($D2015), "0",)</f>
        <v/>
      </c>
      <c r="W2015" s="29" t="str">
        <f t="shared" si="2024"/>
        <v/>
      </c>
      <c r="X2015" s="30"/>
      <c r="Y2015" s="84"/>
      <c r="Z2015" s="26">
        <f t="shared" si="5"/>
        <v>-3</v>
      </c>
      <c r="AA2015" s="26">
        <f t="shared" si="6"/>
        <v>-3</v>
      </c>
      <c r="AB2015" s="32" t="str">
        <f t="shared" si="7"/>
        <v/>
      </c>
      <c r="AC2015" s="32" t="str">
        <f t="shared" ref="AC2015:AG2015" si="2033">IF(J2015&lt;&gt;"", IF(AND($P2015=FALSE, $A2015=FALSE), -J2015, IF(AND($P2015=FALSE, $A2015=TRUE), 0, IF($P2015=TRUE, (J2015 / $R2015) * 100 * ($S2015 / 100)-J2015, ))), )</f>
        <v/>
      </c>
      <c r="AD2015" s="32" t="str">
        <f t="shared" si="2033"/>
        <v/>
      </c>
      <c r="AE2015" s="32" t="str">
        <f t="shared" si="2033"/>
        <v/>
      </c>
      <c r="AF2015" s="32" t="str">
        <f t="shared" si="2033"/>
        <v/>
      </c>
      <c r="AG2015" s="32" t="str">
        <f t="shared" si="2033"/>
        <v/>
      </c>
      <c r="AH2015" s="33"/>
    </row>
    <row r="2016" hidden="1" outlineLevel="3">
      <c r="A2016" s="16" t="b">
        <v>0</v>
      </c>
      <c r="B2016" s="17"/>
      <c r="C2016" s="18"/>
      <c r="D2016" s="42"/>
      <c r="E2016" s="20"/>
      <c r="F2016" s="53"/>
      <c r="G2016" s="45"/>
      <c r="H2016" s="45"/>
      <c r="I2016" s="45"/>
      <c r="J2016" s="36"/>
      <c r="K2016" s="23"/>
      <c r="L2016" s="36"/>
      <c r="M2016" s="23"/>
      <c r="N2016" s="23"/>
      <c r="O2016" s="24"/>
      <c r="P2016" s="16" t="b">
        <v>0</v>
      </c>
      <c r="Q2016" s="24"/>
      <c r="R2016" s="48" t="str">
        <f t="shared" si="1882"/>
        <v/>
      </c>
      <c r="S2016" s="26"/>
      <c r="T2016" s="49" t="str">
        <f t="shared" si="1883"/>
        <v/>
      </c>
      <c r="U2016" s="24"/>
      <c r="V2016" s="66" t="s">
        <v>29</v>
      </c>
      <c r="W2016" s="29" t="str">
        <f t="shared" si="2024"/>
        <v>/</v>
      </c>
      <c r="X2016" s="37" t="s">
        <v>1277</v>
      </c>
      <c r="Y2016" s="31"/>
      <c r="Z2016" s="26" t="str">
        <f t="shared" si="5"/>
        <v/>
      </c>
      <c r="AA2016" s="26" t="str">
        <f t="shared" si="6"/>
        <v/>
      </c>
      <c r="AB2016" s="32" t="str">
        <f t="shared" si="7"/>
        <v/>
      </c>
      <c r="AC2016" s="32" t="str">
        <f t="shared" ref="AC2016:AG2016" si="2034">IF(J2016&lt;&gt;"", IF(AND($P2016=FALSE, $A2016=FALSE), -J2016, IF(AND($P2016=FALSE, $A2016=TRUE), 0, IF($P2016=TRUE, (J2016 / $R2016) * 100 * ($S2016 / 100)-J2016, ))), )</f>
        <v/>
      </c>
      <c r="AD2016" s="32" t="str">
        <f t="shared" si="2034"/>
        <v/>
      </c>
      <c r="AE2016" s="32" t="str">
        <f t="shared" si="2034"/>
        <v/>
      </c>
      <c r="AF2016" s="32" t="str">
        <f t="shared" si="2034"/>
        <v/>
      </c>
      <c r="AG2016" s="32" t="str">
        <f t="shared" si="2034"/>
        <v/>
      </c>
      <c r="AH2016" s="33"/>
    </row>
    <row r="2017" hidden="1" outlineLevel="3">
      <c r="A2017" s="16" t="b">
        <v>0</v>
      </c>
      <c r="B2017" s="17"/>
      <c r="C2017" s="18"/>
      <c r="D2017" s="42"/>
      <c r="E2017" s="20"/>
      <c r="F2017" s="53"/>
      <c r="G2017" s="45"/>
      <c r="H2017" s="45"/>
      <c r="I2017" s="45"/>
      <c r="J2017" s="36"/>
      <c r="K2017" s="23"/>
      <c r="L2017" s="36"/>
      <c r="M2017" s="23"/>
      <c r="N2017" s="23"/>
      <c r="O2017" s="24"/>
      <c r="P2017" s="16" t="b">
        <v>0</v>
      </c>
      <c r="Q2017" s="24"/>
      <c r="R2017" s="48" t="str">
        <f t="shared" si="1882"/>
        <v/>
      </c>
      <c r="S2017" s="26"/>
      <c r="T2017" s="49" t="str">
        <f t="shared" si="1883"/>
        <v/>
      </c>
      <c r="U2017" s="24"/>
      <c r="V2017" s="66">
        <v>9.0</v>
      </c>
      <c r="W2017" s="29" t="str">
        <f t="shared" si="2024"/>
        <v>/</v>
      </c>
      <c r="X2017" s="37" t="s">
        <v>1278</v>
      </c>
      <c r="Y2017" s="31"/>
      <c r="Z2017" s="26" t="str">
        <f t="shared" si="5"/>
        <v/>
      </c>
      <c r="AA2017" s="26" t="str">
        <f t="shared" si="6"/>
        <v/>
      </c>
      <c r="AB2017" s="32" t="str">
        <f t="shared" si="7"/>
        <v/>
      </c>
      <c r="AC2017" s="32" t="str">
        <f t="shared" ref="AC2017:AG2017" si="2035">IF(J2017&lt;&gt;"", IF(AND($P2017=FALSE, $A2017=FALSE), -J2017, IF(AND($P2017=FALSE, $A2017=TRUE), 0, IF($P2017=TRUE, (J2017 / $R2017) * 100 * ($S2017 / 100)-J2017, ))), )</f>
        <v/>
      </c>
      <c r="AD2017" s="32" t="str">
        <f t="shared" si="2035"/>
        <v/>
      </c>
      <c r="AE2017" s="32" t="str">
        <f t="shared" si="2035"/>
        <v/>
      </c>
      <c r="AF2017" s="32" t="str">
        <f t="shared" si="2035"/>
        <v/>
      </c>
      <c r="AG2017" s="32" t="str">
        <f t="shared" si="2035"/>
        <v/>
      </c>
      <c r="AH2017" s="33"/>
    </row>
    <row r="2018" hidden="1" outlineLevel="1" collapsed="1">
      <c r="A2018" s="81" t="b">
        <v>0</v>
      </c>
      <c r="B2018" s="17"/>
      <c r="C2018" s="18"/>
      <c r="D2018" s="42">
        <v>45336.0</v>
      </c>
      <c r="E2018" s="43" t="s">
        <v>60</v>
      </c>
      <c r="F2018" s="53" t="s">
        <v>1208</v>
      </c>
      <c r="G2018" s="45">
        <v>3.0</v>
      </c>
      <c r="H2018" s="48"/>
      <c r="I2018" s="45">
        <v>3.0</v>
      </c>
      <c r="J2018" s="79"/>
      <c r="K2018" s="79"/>
      <c r="L2018" s="79"/>
      <c r="M2018" s="79"/>
      <c r="N2018" s="79"/>
      <c r="O2018" s="47"/>
      <c r="P2018" s="20" t="b">
        <v>1</v>
      </c>
      <c r="Q2018" s="24"/>
      <c r="R2018" s="48">
        <f t="shared" si="1882"/>
        <v>6</v>
      </c>
      <c r="S2018" s="45">
        <v>11.61</v>
      </c>
      <c r="T2018" s="49">
        <f t="shared" si="1883"/>
        <v>-107</v>
      </c>
      <c r="U2018" s="47"/>
      <c r="V2018" s="28" t="str">
        <f>IF(ISBLANK($D2018), "0",)</f>
        <v/>
      </c>
      <c r="W2018" s="29" t="str">
        <f t="shared" si="2024"/>
        <v/>
      </c>
      <c r="X2018" s="30"/>
      <c r="Y2018" s="84"/>
      <c r="Z2018" s="26">
        <f t="shared" si="5"/>
        <v>2.805</v>
      </c>
      <c r="AA2018" s="26">
        <f t="shared" si="6"/>
        <v>2.805</v>
      </c>
      <c r="AB2018" s="32" t="str">
        <f t="shared" si="7"/>
        <v/>
      </c>
      <c r="AC2018" s="32" t="str">
        <f t="shared" ref="AC2018:AG2018" si="2036">IF(J2018&lt;&gt;"", IF(AND($P2018=FALSE, $A2018=FALSE), -J2018, IF(AND($P2018=FALSE, $A2018=TRUE), 0, IF($P2018=TRUE, (J2018 / $R2018) * 100 * ($S2018 / 100)-J2018, ))), )</f>
        <v/>
      </c>
      <c r="AD2018" s="32" t="str">
        <f t="shared" si="2036"/>
        <v/>
      </c>
      <c r="AE2018" s="32" t="str">
        <f t="shared" si="2036"/>
        <v/>
      </c>
      <c r="AF2018" s="32" t="str">
        <f t="shared" si="2036"/>
        <v/>
      </c>
      <c r="AG2018" s="32" t="str">
        <f t="shared" si="2036"/>
        <v/>
      </c>
      <c r="AH2018" s="33"/>
    </row>
    <row r="2019" hidden="1" outlineLevel="3">
      <c r="A2019" s="16" t="b">
        <v>0</v>
      </c>
      <c r="B2019" s="17"/>
      <c r="C2019" s="18"/>
      <c r="D2019" s="42"/>
      <c r="E2019" s="20"/>
      <c r="F2019" s="53"/>
      <c r="G2019" s="45"/>
      <c r="H2019" s="45"/>
      <c r="I2019" s="45"/>
      <c r="J2019" s="36"/>
      <c r="K2019" s="23"/>
      <c r="L2019" s="36"/>
      <c r="M2019" s="23"/>
      <c r="N2019" s="23"/>
      <c r="O2019" s="24"/>
      <c r="P2019" s="16" t="b">
        <v>0</v>
      </c>
      <c r="Q2019" s="24"/>
      <c r="R2019" s="48" t="str">
        <f t="shared" si="1882"/>
        <v/>
      </c>
      <c r="S2019" s="26"/>
      <c r="T2019" s="49" t="str">
        <f t="shared" si="1883"/>
        <v/>
      </c>
      <c r="U2019" s="24"/>
      <c r="V2019" s="66" t="s">
        <v>29</v>
      </c>
      <c r="W2019" s="29" t="str">
        <f t="shared" si="2024"/>
        <v>/</v>
      </c>
      <c r="X2019" s="37" t="s">
        <v>1279</v>
      </c>
      <c r="Y2019" s="31"/>
      <c r="Z2019" s="26" t="str">
        <f t="shared" si="5"/>
        <v/>
      </c>
      <c r="AA2019" s="26" t="str">
        <f t="shared" si="6"/>
        <v/>
      </c>
      <c r="AB2019" s="32" t="str">
        <f t="shared" si="7"/>
        <v/>
      </c>
      <c r="AC2019" s="32" t="str">
        <f t="shared" ref="AC2019:AG2019" si="2037">IF(J2019&lt;&gt;"", IF(AND($P2019=FALSE, $A2019=FALSE), -J2019, IF(AND($P2019=FALSE, $A2019=TRUE), 0, IF($P2019=TRUE, (J2019 / $R2019) * 100 * ($S2019 / 100)-J2019, ))), )</f>
        <v/>
      </c>
      <c r="AD2019" s="32" t="str">
        <f t="shared" si="2037"/>
        <v/>
      </c>
      <c r="AE2019" s="32" t="str">
        <f t="shared" si="2037"/>
        <v/>
      </c>
      <c r="AF2019" s="32" t="str">
        <f t="shared" si="2037"/>
        <v/>
      </c>
      <c r="AG2019" s="32" t="str">
        <f t="shared" si="2037"/>
        <v/>
      </c>
      <c r="AH2019" s="33"/>
    </row>
    <row r="2020" hidden="1" outlineLevel="3">
      <c r="A2020" s="16" t="b">
        <v>0</v>
      </c>
      <c r="B2020" s="17"/>
      <c r="C2020" s="18"/>
      <c r="D2020" s="42"/>
      <c r="E2020" s="20"/>
      <c r="F2020" s="53"/>
      <c r="G2020" s="45"/>
      <c r="H2020" s="45"/>
      <c r="I2020" s="45"/>
      <c r="J2020" s="36"/>
      <c r="K2020" s="23"/>
      <c r="L2020" s="36"/>
      <c r="M2020" s="23"/>
      <c r="N2020" s="23"/>
      <c r="O2020" s="24"/>
      <c r="P2020" s="16" t="b">
        <v>0</v>
      </c>
      <c r="Q2020" s="24"/>
      <c r="R2020" s="48" t="str">
        <f t="shared" si="1882"/>
        <v/>
      </c>
      <c r="S2020" s="26"/>
      <c r="T2020" s="49" t="str">
        <f t="shared" si="1883"/>
        <v/>
      </c>
      <c r="U2020" s="24"/>
      <c r="V2020" s="66" t="s">
        <v>29</v>
      </c>
      <c r="W2020" s="29" t="str">
        <f t="shared" si="2024"/>
        <v>/</v>
      </c>
      <c r="X2020" s="37" t="s">
        <v>1280</v>
      </c>
      <c r="Y2020" s="31"/>
      <c r="Z2020" s="26" t="str">
        <f t="shared" si="5"/>
        <v/>
      </c>
      <c r="AA2020" s="26" t="str">
        <f t="shared" si="6"/>
        <v/>
      </c>
      <c r="AB2020" s="32" t="str">
        <f t="shared" si="7"/>
        <v/>
      </c>
      <c r="AC2020" s="32" t="str">
        <f t="shared" ref="AC2020:AG2020" si="2038">IF(J2020&lt;&gt;"", IF(AND($P2020=FALSE, $A2020=FALSE), -J2020, IF(AND($P2020=FALSE, $A2020=TRUE), 0, IF($P2020=TRUE, (J2020 / $R2020) * 100 * ($S2020 / 100)-J2020, ))), )</f>
        <v/>
      </c>
      <c r="AD2020" s="32" t="str">
        <f t="shared" si="2038"/>
        <v/>
      </c>
      <c r="AE2020" s="32" t="str">
        <f t="shared" si="2038"/>
        <v/>
      </c>
      <c r="AF2020" s="32" t="str">
        <f t="shared" si="2038"/>
        <v/>
      </c>
      <c r="AG2020" s="32" t="str">
        <f t="shared" si="2038"/>
        <v/>
      </c>
      <c r="AH2020" s="33"/>
    </row>
    <row r="2021" hidden="1" outlineLevel="3">
      <c r="A2021" s="16" t="b">
        <v>0</v>
      </c>
      <c r="B2021" s="17"/>
      <c r="C2021" s="18"/>
      <c r="D2021" s="42"/>
      <c r="E2021" s="20"/>
      <c r="F2021" s="53"/>
      <c r="G2021" s="45"/>
      <c r="H2021" s="45"/>
      <c r="I2021" s="45"/>
      <c r="J2021" s="36"/>
      <c r="K2021" s="23"/>
      <c r="L2021" s="36"/>
      <c r="M2021" s="23"/>
      <c r="N2021" s="23"/>
      <c r="O2021" s="24"/>
      <c r="P2021" s="16" t="b">
        <v>0</v>
      </c>
      <c r="Q2021" s="24"/>
      <c r="R2021" s="48" t="str">
        <f t="shared" si="1882"/>
        <v/>
      </c>
      <c r="S2021" s="26"/>
      <c r="T2021" s="49" t="str">
        <f t="shared" si="1883"/>
        <v/>
      </c>
      <c r="U2021" s="24"/>
      <c r="V2021" s="66" t="s">
        <v>29</v>
      </c>
      <c r="W2021" s="29" t="str">
        <f t="shared" si="2024"/>
        <v>/</v>
      </c>
      <c r="X2021" s="37" t="s">
        <v>1281</v>
      </c>
      <c r="Y2021" s="31"/>
      <c r="Z2021" s="26" t="str">
        <f t="shared" si="5"/>
        <v/>
      </c>
      <c r="AA2021" s="26" t="str">
        <f t="shared" si="6"/>
        <v/>
      </c>
      <c r="AB2021" s="32" t="str">
        <f t="shared" si="7"/>
        <v/>
      </c>
      <c r="AC2021" s="32" t="str">
        <f t="shared" ref="AC2021:AG2021" si="2039">IF(J2021&lt;&gt;"", IF(AND($P2021=FALSE, $A2021=FALSE), -J2021, IF(AND($P2021=FALSE, $A2021=TRUE), 0, IF($P2021=TRUE, (J2021 / $R2021) * 100 * ($S2021 / 100)-J2021, ))), )</f>
        <v/>
      </c>
      <c r="AD2021" s="32" t="str">
        <f t="shared" si="2039"/>
        <v/>
      </c>
      <c r="AE2021" s="32" t="str">
        <f t="shared" si="2039"/>
        <v/>
      </c>
      <c r="AF2021" s="32" t="str">
        <f t="shared" si="2039"/>
        <v/>
      </c>
      <c r="AG2021" s="32" t="str">
        <f t="shared" si="2039"/>
        <v/>
      </c>
      <c r="AH2021" s="33"/>
    </row>
    <row r="2022" hidden="1" outlineLevel="1" collapsed="1">
      <c r="A2022" s="81" t="b">
        <v>0</v>
      </c>
      <c r="B2022" s="17"/>
      <c r="C2022" s="18"/>
      <c r="D2022" s="42">
        <v>45348.0</v>
      </c>
      <c r="E2022" s="43" t="s">
        <v>60</v>
      </c>
      <c r="F2022" s="53" t="s">
        <v>1208</v>
      </c>
      <c r="G2022" s="45">
        <v>1.0</v>
      </c>
      <c r="H2022" s="48"/>
      <c r="I2022" s="45">
        <v>2.5</v>
      </c>
      <c r="J2022" s="79"/>
      <c r="K2022" s="79"/>
      <c r="L2022" s="79"/>
      <c r="M2022" s="79"/>
      <c r="N2022" s="79"/>
      <c r="O2022" s="47"/>
      <c r="P2022" s="20" t="b">
        <v>0</v>
      </c>
      <c r="Q2022" s="24"/>
      <c r="R2022" s="48">
        <f t="shared" si="1882"/>
        <v>3.5</v>
      </c>
      <c r="S2022" s="45">
        <v>31.97</v>
      </c>
      <c r="T2022" s="49" t="str">
        <f t="shared" si="1883"/>
        <v>+813</v>
      </c>
      <c r="U2022" s="47"/>
      <c r="V2022" s="28" t="str">
        <f>IF(ISBLANK($D2022), "0",)</f>
        <v/>
      </c>
      <c r="W2022" s="29" t="str">
        <f t="shared" si="2024"/>
        <v/>
      </c>
      <c r="X2022" s="30"/>
      <c r="Y2022" s="84"/>
      <c r="Z2022" s="26">
        <f t="shared" si="5"/>
        <v>-1</v>
      </c>
      <c r="AA2022" s="26">
        <f t="shared" si="6"/>
        <v>-2.5</v>
      </c>
      <c r="AB2022" s="32" t="str">
        <f t="shared" si="7"/>
        <v/>
      </c>
      <c r="AC2022" s="32" t="str">
        <f t="shared" ref="AC2022:AG2022" si="2040">IF(J2022&lt;&gt;"", IF(AND($P2022=FALSE, $A2022=FALSE), -J2022, IF(AND($P2022=FALSE, $A2022=TRUE), 0, IF($P2022=TRUE, (J2022 / $R2022) * 100 * ($S2022 / 100)-J2022, ))), )</f>
        <v/>
      </c>
      <c r="AD2022" s="32" t="str">
        <f t="shared" si="2040"/>
        <v/>
      </c>
      <c r="AE2022" s="32" t="str">
        <f t="shared" si="2040"/>
        <v/>
      </c>
      <c r="AF2022" s="32" t="str">
        <f t="shared" si="2040"/>
        <v/>
      </c>
      <c r="AG2022" s="32" t="str">
        <f t="shared" si="2040"/>
        <v/>
      </c>
      <c r="AH2022" s="33"/>
    </row>
    <row r="2023" hidden="1" outlineLevel="3">
      <c r="A2023" s="16" t="b">
        <v>0</v>
      </c>
      <c r="B2023" s="17"/>
      <c r="C2023" s="18"/>
      <c r="D2023" s="42"/>
      <c r="E2023" s="20"/>
      <c r="F2023" s="53"/>
      <c r="G2023" s="45"/>
      <c r="H2023" s="45"/>
      <c r="I2023" s="45"/>
      <c r="J2023" s="36"/>
      <c r="K2023" s="23"/>
      <c r="L2023" s="36"/>
      <c r="M2023" s="23"/>
      <c r="N2023" s="23"/>
      <c r="O2023" s="24"/>
      <c r="P2023" s="16" t="b">
        <v>0</v>
      </c>
      <c r="Q2023" s="24"/>
      <c r="R2023" s="48" t="str">
        <f t="shared" si="1882"/>
        <v/>
      </c>
      <c r="S2023" s="26"/>
      <c r="T2023" s="49" t="str">
        <f t="shared" si="1883"/>
        <v/>
      </c>
      <c r="U2023" s="24"/>
      <c r="V2023" s="66">
        <v>4.0</v>
      </c>
      <c r="W2023" s="29" t="str">
        <f t="shared" si="2024"/>
        <v>/</v>
      </c>
      <c r="X2023" s="37" t="s">
        <v>1282</v>
      </c>
      <c r="Y2023" s="31"/>
      <c r="Z2023" s="26" t="str">
        <f t="shared" si="5"/>
        <v/>
      </c>
      <c r="AA2023" s="26" t="str">
        <f t="shared" si="6"/>
        <v/>
      </c>
      <c r="AB2023" s="32" t="str">
        <f t="shared" si="7"/>
        <v/>
      </c>
      <c r="AC2023" s="32" t="str">
        <f t="shared" ref="AC2023:AG2023" si="2041">IF(J2023&lt;&gt;"", IF(AND($P2023=FALSE, $A2023=FALSE), -J2023, IF(AND($P2023=FALSE, $A2023=TRUE), 0, IF($P2023=TRUE, (J2023 / $R2023) * 100 * ($S2023 / 100)-J2023, ))), )</f>
        <v/>
      </c>
      <c r="AD2023" s="32" t="str">
        <f t="shared" si="2041"/>
        <v/>
      </c>
      <c r="AE2023" s="32" t="str">
        <f t="shared" si="2041"/>
        <v/>
      </c>
      <c r="AF2023" s="32" t="str">
        <f t="shared" si="2041"/>
        <v/>
      </c>
      <c r="AG2023" s="32" t="str">
        <f t="shared" si="2041"/>
        <v/>
      </c>
      <c r="AH2023" s="33"/>
    </row>
    <row r="2024" hidden="1" outlineLevel="3">
      <c r="A2024" s="16" t="b">
        <v>0</v>
      </c>
      <c r="B2024" s="17"/>
      <c r="C2024" s="18"/>
      <c r="D2024" s="42"/>
      <c r="E2024" s="20"/>
      <c r="F2024" s="53"/>
      <c r="G2024" s="45"/>
      <c r="H2024" s="45"/>
      <c r="I2024" s="45"/>
      <c r="J2024" s="36"/>
      <c r="K2024" s="23"/>
      <c r="L2024" s="36"/>
      <c r="M2024" s="23"/>
      <c r="N2024" s="23"/>
      <c r="O2024" s="24"/>
      <c r="P2024" s="16" t="b">
        <v>0</v>
      </c>
      <c r="Q2024" s="24"/>
      <c r="R2024" s="48" t="str">
        <f t="shared" si="1882"/>
        <v/>
      </c>
      <c r="S2024" s="26"/>
      <c r="T2024" s="49" t="str">
        <f t="shared" si="1883"/>
        <v/>
      </c>
      <c r="U2024" s="24"/>
      <c r="V2024" s="66" t="s">
        <v>29</v>
      </c>
      <c r="W2024" s="29" t="str">
        <f t="shared" si="2024"/>
        <v>/</v>
      </c>
      <c r="X2024" s="37" t="s">
        <v>1283</v>
      </c>
      <c r="Y2024" s="31"/>
      <c r="Z2024" s="26" t="str">
        <f t="shared" si="5"/>
        <v/>
      </c>
      <c r="AA2024" s="26" t="str">
        <f t="shared" si="6"/>
        <v/>
      </c>
      <c r="AB2024" s="32" t="str">
        <f t="shared" si="7"/>
        <v/>
      </c>
      <c r="AC2024" s="32" t="str">
        <f t="shared" ref="AC2024:AG2024" si="2042">IF(J2024&lt;&gt;"", IF(AND($P2024=FALSE, $A2024=FALSE), -J2024, IF(AND($P2024=FALSE, $A2024=TRUE), 0, IF($P2024=TRUE, (J2024 / $R2024) * 100 * ($S2024 / 100)-J2024, ))), )</f>
        <v/>
      </c>
      <c r="AD2024" s="32" t="str">
        <f t="shared" si="2042"/>
        <v/>
      </c>
      <c r="AE2024" s="32" t="str">
        <f t="shared" si="2042"/>
        <v/>
      </c>
      <c r="AF2024" s="32" t="str">
        <f t="shared" si="2042"/>
        <v/>
      </c>
      <c r="AG2024" s="32" t="str">
        <f t="shared" si="2042"/>
        <v/>
      </c>
      <c r="AH2024" s="33"/>
    </row>
    <row r="2025" hidden="1" outlineLevel="3">
      <c r="A2025" s="16" t="b">
        <v>0</v>
      </c>
      <c r="B2025" s="17"/>
      <c r="C2025" s="18"/>
      <c r="D2025" s="42"/>
      <c r="E2025" s="20"/>
      <c r="F2025" s="53"/>
      <c r="G2025" s="45"/>
      <c r="H2025" s="45"/>
      <c r="I2025" s="45"/>
      <c r="J2025" s="36"/>
      <c r="K2025" s="23"/>
      <c r="L2025" s="36"/>
      <c r="M2025" s="23"/>
      <c r="N2025" s="23"/>
      <c r="O2025" s="24"/>
      <c r="P2025" s="16" t="b">
        <v>0</v>
      </c>
      <c r="Q2025" s="24"/>
      <c r="R2025" s="48" t="str">
        <f t="shared" si="1882"/>
        <v/>
      </c>
      <c r="S2025" s="26"/>
      <c r="T2025" s="49" t="str">
        <f t="shared" si="1883"/>
        <v/>
      </c>
      <c r="U2025" s="24"/>
      <c r="V2025" s="66" t="s">
        <v>29</v>
      </c>
      <c r="W2025" s="29" t="str">
        <f t="shared" si="2024"/>
        <v>/</v>
      </c>
      <c r="X2025" s="37" t="s">
        <v>1284</v>
      </c>
      <c r="Y2025" s="31"/>
      <c r="Z2025" s="26" t="str">
        <f t="shared" si="5"/>
        <v/>
      </c>
      <c r="AA2025" s="26" t="str">
        <f t="shared" si="6"/>
        <v/>
      </c>
      <c r="AB2025" s="32" t="str">
        <f t="shared" si="7"/>
        <v/>
      </c>
      <c r="AC2025" s="32" t="str">
        <f t="shared" ref="AC2025:AG2025" si="2043">IF(J2025&lt;&gt;"", IF(AND($P2025=FALSE, $A2025=FALSE), -J2025, IF(AND($P2025=FALSE, $A2025=TRUE), 0, IF($P2025=TRUE, (J2025 / $R2025) * 100 * ($S2025 / 100)-J2025, ))), )</f>
        <v/>
      </c>
      <c r="AD2025" s="32" t="str">
        <f t="shared" si="2043"/>
        <v/>
      </c>
      <c r="AE2025" s="32" t="str">
        <f t="shared" si="2043"/>
        <v/>
      </c>
      <c r="AF2025" s="32" t="str">
        <f t="shared" si="2043"/>
        <v/>
      </c>
      <c r="AG2025" s="32" t="str">
        <f t="shared" si="2043"/>
        <v/>
      </c>
      <c r="AH2025" s="33"/>
    </row>
    <row r="2026" hidden="1" outlineLevel="3">
      <c r="A2026" s="16" t="b">
        <v>0</v>
      </c>
      <c r="B2026" s="17"/>
      <c r="C2026" s="18"/>
      <c r="D2026" s="42"/>
      <c r="E2026" s="20"/>
      <c r="F2026" s="53"/>
      <c r="G2026" s="45"/>
      <c r="H2026" s="45"/>
      <c r="I2026" s="45"/>
      <c r="J2026" s="36"/>
      <c r="K2026" s="23"/>
      <c r="L2026" s="36"/>
      <c r="M2026" s="23"/>
      <c r="N2026" s="23"/>
      <c r="O2026" s="24"/>
      <c r="P2026" s="16" t="b">
        <v>0</v>
      </c>
      <c r="Q2026" s="24"/>
      <c r="R2026" s="48" t="str">
        <f t="shared" si="1882"/>
        <v/>
      </c>
      <c r="S2026" s="26"/>
      <c r="T2026" s="49" t="str">
        <f t="shared" si="1883"/>
        <v/>
      </c>
      <c r="U2026" s="24"/>
      <c r="V2026" s="66" t="s">
        <v>29</v>
      </c>
      <c r="W2026" s="29" t="str">
        <f t="shared" si="2024"/>
        <v>/</v>
      </c>
      <c r="X2026" s="37" t="s">
        <v>1285</v>
      </c>
      <c r="Y2026" s="31"/>
      <c r="Z2026" s="26" t="str">
        <f t="shared" si="5"/>
        <v/>
      </c>
      <c r="AA2026" s="26" t="str">
        <f t="shared" si="6"/>
        <v/>
      </c>
      <c r="AB2026" s="32" t="str">
        <f t="shared" si="7"/>
        <v/>
      </c>
      <c r="AC2026" s="32" t="str">
        <f t="shared" ref="AC2026:AG2026" si="2044">IF(J2026&lt;&gt;"", IF(AND($P2026=FALSE, $A2026=FALSE), -J2026, IF(AND($P2026=FALSE, $A2026=TRUE), 0, IF($P2026=TRUE, (J2026 / $R2026) * 100 * ($S2026 / 100)-J2026, ))), )</f>
        <v/>
      </c>
      <c r="AD2026" s="32" t="str">
        <f t="shared" si="2044"/>
        <v/>
      </c>
      <c r="AE2026" s="32" t="str">
        <f t="shared" si="2044"/>
        <v/>
      </c>
      <c r="AF2026" s="32" t="str">
        <f t="shared" si="2044"/>
        <v/>
      </c>
      <c r="AG2026" s="32" t="str">
        <f t="shared" si="2044"/>
        <v/>
      </c>
      <c r="AH2026" s="33"/>
    </row>
    <row r="2027" hidden="1" outlineLevel="3">
      <c r="A2027" s="16" t="b">
        <v>0</v>
      </c>
      <c r="B2027" s="17"/>
      <c r="C2027" s="18"/>
      <c r="D2027" s="42"/>
      <c r="E2027" s="20"/>
      <c r="F2027" s="53"/>
      <c r="G2027" s="45"/>
      <c r="H2027" s="45"/>
      <c r="I2027" s="45"/>
      <c r="J2027" s="36"/>
      <c r="K2027" s="23"/>
      <c r="L2027" s="36"/>
      <c r="M2027" s="23"/>
      <c r="N2027" s="23"/>
      <c r="O2027" s="24"/>
      <c r="P2027" s="16" t="b">
        <v>0</v>
      </c>
      <c r="Q2027" s="24"/>
      <c r="R2027" s="48" t="str">
        <f t="shared" si="1882"/>
        <v/>
      </c>
      <c r="S2027" s="26"/>
      <c r="T2027" s="49" t="str">
        <f t="shared" si="1883"/>
        <v/>
      </c>
      <c r="U2027" s="24"/>
      <c r="V2027" s="66" t="s">
        <v>29</v>
      </c>
      <c r="W2027" s="29" t="str">
        <f t="shared" si="2024"/>
        <v>/</v>
      </c>
      <c r="X2027" s="37" t="s">
        <v>1286</v>
      </c>
      <c r="Y2027" s="31"/>
      <c r="Z2027" s="26" t="str">
        <f t="shared" si="5"/>
        <v/>
      </c>
      <c r="AA2027" s="26" t="str">
        <f t="shared" si="6"/>
        <v/>
      </c>
      <c r="AB2027" s="32" t="str">
        <f t="shared" si="7"/>
        <v/>
      </c>
      <c r="AC2027" s="32" t="str">
        <f t="shared" ref="AC2027:AG2027" si="2045">IF(J2027&lt;&gt;"", IF(AND($P2027=FALSE, $A2027=FALSE), -J2027, IF(AND($P2027=FALSE, $A2027=TRUE), 0, IF($P2027=TRUE, (J2027 / $R2027) * 100 * ($S2027 / 100)-J2027, ))), )</f>
        <v/>
      </c>
      <c r="AD2027" s="32" t="str">
        <f t="shared" si="2045"/>
        <v/>
      </c>
      <c r="AE2027" s="32" t="str">
        <f t="shared" si="2045"/>
        <v/>
      </c>
      <c r="AF2027" s="32" t="str">
        <f t="shared" si="2045"/>
        <v/>
      </c>
      <c r="AG2027" s="32" t="str">
        <f t="shared" si="2045"/>
        <v/>
      </c>
      <c r="AH2027" s="33"/>
    </row>
    <row r="2028" hidden="1" outlineLevel="3">
      <c r="A2028" s="16" t="b">
        <v>0</v>
      </c>
      <c r="B2028" s="17"/>
      <c r="C2028" s="18"/>
      <c r="D2028" s="42"/>
      <c r="E2028" s="20"/>
      <c r="F2028" s="53"/>
      <c r="G2028" s="45"/>
      <c r="H2028" s="45"/>
      <c r="I2028" s="45"/>
      <c r="J2028" s="36"/>
      <c r="K2028" s="23"/>
      <c r="L2028" s="36"/>
      <c r="M2028" s="23"/>
      <c r="N2028" s="23"/>
      <c r="O2028" s="24"/>
      <c r="P2028" s="16" t="b">
        <v>0</v>
      </c>
      <c r="Q2028" s="24"/>
      <c r="R2028" s="48" t="str">
        <f t="shared" si="1882"/>
        <v/>
      </c>
      <c r="S2028" s="26"/>
      <c r="T2028" s="49" t="str">
        <f t="shared" si="1883"/>
        <v/>
      </c>
      <c r="U2028" s="24"/>
      <c r="V2028" s="66" t="s">
        <v>29</v>
      </c>
      <c r="W2028" s="29" t="str">
        <f t="shared" si="2024"/>
        <v>/</v>
      </c>
      <c r="X2028" s="37" t="s">
        <v>1287</v>
      </c>
      <c r="Y2028" s="31"/>
      <c r="Z2028" s="26" t="str">
        <f t="shared" si="5"/>
        <v/>
      </c>
      <c r="AA2028" s="26" t="str">
        <f t="shared" si="6"/>
        <v/>
      </c>
      <c r="AB2028" s="32" t="str">
        <f t="shared" si="7"/>
        <v/>
      </c>
      <c r="AC2028" s="32" t="str">
        <f t="shared" ref="AC2028:AG2028" si="2046">IF(J2028&lt;&gt;"", IF(AND($P2028=FALSE, $A2028=FALSE), -J2028, IF(AND($P2028=FALSE, $A2028=TRUE), 0, IF($P2028=TRUE, (J2028 / $R2028) * 100 * ($S2028 / 100)-J2028, ))), )</f>
        <v/>
      </c>
      <c r="AD2028" s="32" t="str">
        <f t="shared" si="2046"/>
        <v/>
      </c>
      <c r="AE2028" s="32" t="str">
        <f t="shared" si="2046"/>
        <v/>
      </c>
      <c r="AF2028" s="32" t="str">
        <f t="shared" si="2046"/>
        <v/>
      </c>
      <c r="AG2028" s="32" t="str">
        <f t="shared" si="2046"/>
        <v/>
      </c>
      <c r="AH2028" s="33"/>
    </row>
    <row r="2029" hidden="1" outlineLevel="3">
      <c r="A2029" s="16" t="b">
        <v>0</v>
      </c>
      <c r="B2029" s="17"/>
      <c r="C2029" s="18"/>
      <c r="D2029" s="42"/>
      <c r="E2029" s="20"/>
      <c r="F2029" s="53"/>
      <c r="G2029" s="45"/>
      <c r="H2029" s="45"/>
      <c r="I2029" s="45"/>
      <c r="J2029" s="36"/>
      <c r="K2029" s="23"/>
      <c r="L2029" s="36"/>
      <c r="M2029" s="23"/>
      <c r="N2029" s="23"/>
      <c r="O2029" s="24"/>
      <c r="P2029" s="16" t="b">
        <v>0</v>
      </c>
      <c r="Q2029" s="24"/>
      <c r="R2029" s="48" t="str">
        <f t="shared" si="1882"/>
        <v/>
      </c>
      <c r="S2029" s="26"/>
      <c r="T2029" s="49" t="str">
        <f t="shared" si="1883"/>
        <v/>
      </c>
      <c r="U2029" s="24"/>
      <c r="V2029" s="66" t="s">
        <v>29</v>
      </c>
      <c r="W2029" s="29" t="str">
        <f t="shared" si="2024"/>
        <v>/</v>
      </c>
      <c r="X2029" s="37" t="s">
        <v>1288</v>
      </c>
      <c r="Y2029" s="31"/>
      <c r="Z2029" s="26" t="str">
        <f t="shared" si="5"/>
        <v/>
      </c>
      <c r="AA2029" s="26" t="str">
        <f t="shared" si="6"/>
        <v/>
      </c>
      <c r="AB2029" s="32" t="str">
        <f t="shared" si="7"/>
        <v/>
      </c>
      <c r="AC2029" s="32" t="str">
        <f t="shared" ref="AC2029:AG2029" si="2047">IF(J2029&lt;&gt;"", IF(AND($P2029=FALSE, $A2029=FALSE), -J2029, IF(AND($P2029=FALSE, $A2029=TRUE), 0, IF($P2029=TRUE, (J2029 / $R2029) * 100 * ($S2029 / 100)-J2029, ))), )</f>
        <v/>
      </c>
      <c r="AD2029" s="32" t="str">
        <f t="shared" si="2047"/>
        <v/>
      </c>
      <c r="AE2029" s="32" t="str">
        <f t="shared" si="2047"/>
        <v/>
      </c>
      <c r="AF2029" s="32" t="str">
        <f t="shared" si="2047"/>
        <v/>
      </c>
      <c r="AG2029" s="32" t="str">
        <f t="shared" si="2047"/>
        <v/>
      </c>
      <c r="AH2029" s="33"/>
    </row>
    <row r="2030" hidden="1" outlineLevel="3">
      <c r="A2030" s="16" t="b">
        <v>0</v>
      </c>
      <c r="B2030" s="17"/>
      <c r="C2030" s="18"/>
      <c r="D2030" s="42"/>
      <c r="E2030" s="20"/>
      <c r="F2030" s="53"/>
      <c r="G2030" s="45"/>
      <c r="H2030" s="45"/>
      <c r="I2030" s="45"/>
      <c r="J2030" s="36"/>
      <c r="K2030" s="23"/>
      <c r="L2030" s="36"/>
      <c r="M2030" s="23"/>
      <c r="N2030" s="23"/>
      <c r="O2030" s="24"/>
      <c r="P2030" s="16" t="b">
        <v>0</v>
      </c>
      <c r="Q2030" s="24"/>
      <c r="R2030" s="48" t="str">
        <f t="shared" si="1882"/>
        <v/>
      </c>
      <c r="S2030" s="26"/>
      <c r="T2030" s="49" t="str">
        <f t="shared" si="1883"/>
        <v/>
      </c>
      <c r="U2030" s="24"/>
      <c r="V2030" s="66" t="s">
        <v>29</v>
      </c>
      <c r="W2030" s="29" t="str">
        <f t="shared" si="2024"/>
        <v>/</v>
      </c>
      <c r="X2030" s="37" t="s">
        <v>1289</v>
      </c>
      <c r="Y2030" s="31"/>
      <c r="Z2030" s="26" t="str">
        <f t="shared" si="5"/>
        <v/>
      </c>
      <c r="AA2030" s="26" t="str">
        <f t="shared" si="6"/>
        <v/>
      </c>
      <c r="AB2030" s="32" t="str">
        <f t="shared" si="7"/>
        <v/>
      </c>
      <c r="AC2030" s="32" t="str">
        <f t="shared" ref="AC2030:AG2030" si="2048">IF(J2030&lt;&gt;"", IF(AND($P2030=FALSE, $A2030=FALSE), -J2030, IF(AND($P2030=FALSE, $A2030=TRUE), 0, IF($P2030=TRUE, (J2030 / $R2030) * 100 * ($S2030 / 100)-J2030, ))), )</f>
        <v/>
      </c>
      <c r="AD2030" s="32" t="str">
        <f t="shared" si="2048"/>
        <v/>
      </c>
      <c r="AE2030" s="32" t="str">
        <f t="shared" si="2048"/>
        <v/>
      </c>
      <c r="AF2030" s="32" t="str">
        <f t="shared" si="2048"/>
        <v/>
      </c>
      <c r="AG2030" s="32" t="str">
        <f t="shared" si="2048"/>
        <v/>
      </c>
      <c r="AH2030" s="33"/>
    </row>
    <row r="2031" hidden="1" outlineLevel="2" collapsed="1">
      <c r="A2031" s="81" t="b">
        <v>0</v>
      </c>
      <c r="B2031" s="17"/>
      <c r="C2031" s="18"/>
      <c r="D2031" s="42">
        <v>45348.0</v>
      </c>
      <c r="E2031" s="43" t="s">
        <v>60</v>
      </c>
      <c r="F2031" s="53" t="s">
        <v>1208</v>
      </c>
      <c r="G2031" s="45">
        <v>3.0</v>
      </c>
      <c r="H2031" s="48"/>
      <c r="I2031" s="45">
        <v>3.0</v>
      </c>
      <c r="J2031" s="79"/>
      <c r="K2031" s="79"/>
      <c r="L2031" s="79"/>
      <c r="M2031" s="79"/>
      <c r="N2031" s="79"/>
      <c r="O2031" s="47"/>
      <c r="P2031" s="20" t="b">
        <v>0</v>
      </c>
      <c r="Q2031" s="24"/>
      <c r="R2031" s="48">
        <f t="shared" si="1882"/>
        <v>6</v>
      </c>
      <c r="S2031" s="45">
        <v>21.78</v>
      </c>
      <c r="T2031" s="49" t="str">
        <f t="shared" si="1883"/>
        <v>+263</v>
      </c>
      <c r="U2031" s="47"/>
      <c r="V2031" s="28" t="str">
        <f>IF(ISBLANK($D2031), "0",)</f>
        <v/>
      </c>
      <c r="W2031" s="29" t="str">
        <f t="shared" si="2024"/>
        <v/>
      </c>
      <c r="X2031" s="30"/>
      <c r="Y2031" s="84"/>
      <c r="Z2031" s="26">
        <f t="shared" si="5"/>
        <v>-3</v>
      </c>
      <c r="AA2031" s="26">
        <f t="shared" si="6"/>
        <v>-3</v>
      </c>
      <c r="AB2031" s="32" t="str">
        <f t="shared" si="7"/>
        <v/>
      </c>
      <c r="AC2031" s="32" t="str">
        <f t="shared" ref="AC2031:AG2031" si="2049">IF(J2031&lt;&gt;"", IF(AND($P2031=FALSE, $A2031=FALSE), -J2031, IF(AND($P2031=FALSE, $A2031=TRUE), 0, IF($P2031=TRUE, (J2031 / $R2031) * 100 * ($S2031 / 100)-J2031, ))), )</f>
        <v/>
      </c>
      <c r="AD2031" s="32" t="str">
        <f t="shared" si="2049"/>
        <v/>
      </c>
      <c r="AE2031" s="32" t="str">
        <f t="shared" si="2049"/>
        <v/>
      </c>
      <c r="AF2031" s="32" t="str">
        <f t="shared" si="2049"/>
        <v/>
      </c>
      <c r="AG2031" s="32" t="str">
        <f t="shared" si="2049"/>
        <v/>
      </c>
      <c r="AH2031" s="33"/>
    </row>
    <row r="2032" hidden="1" outlineLevel="3">
      <c r="A2032" s="16" t="b">
        <v>0</v>
      </c>
      <c r="B2032" s="17"/>
      <c r="C2032" s="18"/>
      <c r="D2032" s="42"/>
      <c r="E2032" s="20"/>
      <c r="F2032" s="53"/>
      <c r="G2032" s="45"/>
      <c r="H2032" s="45"/>
      <c r="I2032" s="45"/>
      <c r="J2032" s="36"/>
      <c r="K2032" s="23"/>
      <c r="L2032" s="36"/>
      <c r="M2032" s="23"/>
      <c r="N2032" s="23"/>
      <c r="O2032" s="24"/>
      <c r="P2032" s="16" t="b">
        <v>0</v>
      </c>
      <c r="Q2032" s="24"/>
      <c r="R2032" s="48" t="str">
        <f t="shared" si="1882"/>
        <v/>
      </c>
      <c r="S2032" s="26"/>
      <c r="T2032" s="49" t="str">
        <f t="shared" si="1883"/>
        <v/>
      </c>
      <c r="U2032" s="24"/>
      <c r="V2032" s="66">
        <v>6.0</v>
      </c>
      <c r="W2032" s="29" t="str">
        <f t="shared" si="2024"/>
        <v>/</v>
      </c>
      <c r="X2032" s="37" t="s">
        <v>1290</v>
      </c>
      <c r="Y2032" s="31"/>
      <c r="Z2032" s="26" t="str">
        <f t="shared" si="5"/>
        <v/>
      </c>
      <c r="AA2032" s="26" t="str">
        <f t="shared" si="6"/>
        <v/>
      </c>
      <c r="AB2032" s="32" t="str">
        <f t="shared" si="7"/>
        <v/>
      </c>
      <c r="AC2032" s="32" t="str">
        <f t="shared" ref="AC2032:AG2032" si="2050">IF(J2032&lt;&gt;"", IF(AND($P2032=FALSE, $A2032=FALSE), -J2032, IF(AND($P2032=FALSE, $A2032=TRUE), 0, IF($P2032=TRUE, (J2032 / $R2032) * 100 * ($S2032 / 100)-J2032, ))), )</f>
        <v/>
      </c>
      <c r="AD2032" s="32" t="str">
        <f t="shared" si="2050"/>
        <v/>
      </c>
      <c r="AE2032" s="32" t="str">
        <f t="shared" si="2050"/>
        <v/>
      </c>
      <c r="AF2032" s="32" t="str">
        <f t="shared" si="2050"/>
        <v/>
      </c>
      <c r="AG2032" s="32" t="str">
        <f t="shared" si="2050"/>
        <v/>
      </c>
      <c r="AH2032" s="33"/>
    </row>
    <row r="2033" hidden="1" outlineLevel="3">
      <c r="A2033" s="16" t="b">
        <v>0</v>
      </c>
      <c r="B2033" s="17"/>
      <c r="C2033" s="18"/>
      <c r="D2033" s="42"/>
      <c r="E2033" s="20"/>
      <c r="F2033" s="53"/>
      <c r="G2033" s="45"/>
      <c r="H2033" s="45"/>
      <c r="I2033" s="45"/>
      <c r="J2033" s="36"/>
      <c r="K2033" s="23"/>
      <c r="L2033" s="36"/>
      <c r="M2033" s="23"/>
      <c r="N2033" s="23"/>
      <c r="O2033" s="24"/>
      <c r="P2033" s="16" t="b">
        <v>0</v>
      </c>
      <c r="Q2033" s="24"/>
      <c r="R2033" s="48" t="str">
        <f t="shared" si="1882"/>
        <v/>
      </c>
      <c r="S2033" s="26"/>
      <c r="T2033" s="49" t="str">
        <f t="shared" si="1883"/>
        <v/>
      </c>
      <c r="U2033" s="24"/>
      <c r="V2033" s="66" t="s">
        <v>29</v>
      </c>
      <c r="W2033" s="29" t="str">
        <f t="shared" si="2024"/>
        <v>/</v>
      </c>
      <c r="X2033" s="37" t="s">
        <v>1291</v>
      </c>
      <c r="Y2033" s="31"/>
      <c r="Z2033" s="26" t="str">
        <f t="shared" si="5"/>
        <v/>
      </c>
      <c r="AA2033" s="26" t="str">
        <f t="shared" si="6"/>
        <v/>
      </c>
      <c r="AB2033" s="32" t="str">
        <f t="shared" si="7"/>
        <v/>
      </c>
      <c r="AC2033" s="32" t="str">
        <f t="shared" ref="AC2033:AG2033" si="2051">IF(J2033&lt;&gt;"", IF(AND($P2033=FALSE, $A2033=FALSE), -J2033, IF(AND($P2033=FALSE, $A2033=TRUE), 0, IF($P2033=TRUE, (J2033 / $R2033) * 100 * ($S2033 / 100)-J2033, ))), )</f>
        <v/>
      </c>
      <c r="AD2033" s="32" t="str">
        <f t="shared" si="2051"/>
        <v/>
      </c>
      <c r="AE2033" s="32" t="str">
        <f t="shared" si="2051"/>
        <v/>
      </c>
      <c r="AF2033" s="32" t="str">
        <f t="shared" si="2051"/>
        <v/>
      </c>
      <c r="AG2033" s="32" t="str">
        <f t="shared" si="2051"/>
        <v/>
      </c>
      <c r="AH2033" s="33"/>
    </row>
    <row r="2034" hidden="1" outlineLevel="2">
      <c r="A2034" s="81" t="b">
        <v>0</v>
      </c>
      <c r="B2034" s="17"/>
      <c r="C2034" s="18"/>
      <c r="D2034" s="42">
        <v>45348.0</v>
      </c>
      <c r="E2034" s="43" t="s">
        <v>60</v>
      </c>
      <c r="F2034" s="53" t="s">
        <v>1208</v>
      </c>
      <c r="G2034" s="45">
        <v>2.0</v>
      </c>
      <c r="H2034" s="48"/>
      <c r="I2034" s="45">
        <v>4.0</v>
      </c>
      <c r="J2034" s="79"/>
      <c r="K2034" s="79"/>
      <c r="L2034" s="79"/>
      <c r="M2034" s="79"/>
      <c r="N2034" s="79"/>
      <c r="O2034" s="47"/>
      <c r="P2034" s="20" t="b">
        <v>1</v>
      </c>
      <c r="Q2034" s="24"/>
      <c r="R2034" s="48">
        <f t="shared" si="1882"/>
        <v>6</v>
      </c>
      <c r="S2034" s="45">
        <v>13.92</v>
      </c>
      <c r="T2034" s="49" t="str">
        <f t="shared" si="1883"/>
        <v>+132</v>
      </c>
      <c r="U2034" s="47"/>
      <c r="V2034" s="28" t="str">
        <f>IF(ISBLANK($D2034), "0",)</f>
        <v/>
      </c>
      <c r="W2034" s="29" t="str">
        <f t="shared" si="2024"/>
        <v/>
      </c>
      <c r="X2034" s="30"/>
      <c r="Y2034" s="84"/>
      <c r="Z2034" s="26">
        <f t="shared" si="5"/>
        <v>2.64</v>
      </c>
      <c r="AA2034" s="26">
        <f t="shared" si="6"/>
        <v>5.28</v>
      </c>
      <c r="AB2034" s="32" t="str">
        <f t="shared" si="7"/>
        <v/>
      </c>
      <c r="AC2034" s="32" t="str">
        <f t="shared" ref="AC2034:AG2034" si="2052">IF(J2034&lt;&gt;"", IF(AND($P2034=FALSE, $A2034=FALSE), -J2034, IF(AND($P2034=FALSE, $A2034=TRUE), 0, IF($P2034=TRUE, (J2034 / $R2034) * 100 * ($S2034 / 100)-J2034, ))), )</f>
        <v/>
      </c>
      <c r="AD2034" s="32" t="str">
        <f t="shared" si="2052"/>
        <v/>
      </c>
      <c r="AE2034" s="32" t="str">
        <f t="shared" si="2052"/>
        <v/>
      </c>
      <c r="AF2034" s="32" t="str">
        <f t="shared" si="2052"/>
        <v/>
      </c>
      <c r="AG2034" s="32" t="str">
        <f t="shared" si="2052"/>
        <v/>
      </c>
      <c r="AH2034" s="33"/>
    </row>
    <row r="2035" hidden="1" outlineLevel="3">
      <c r="A2035" s="16" t="b">
        <v>0</v>
      </c>
      <c r="B2035" s="17"/>
      <c r="C2035" s="18"/>
      <c r="D2035" s="42"/>
      <c r="E2035" s="20"/>
      <c r="F2035" s="53"/>
      <c r="G2035" s="45"/>
      <c r="H2035" s="45"/>
      <c r="I2035" s="45"/>
      <c r="J2035" s="36"/>
      <c r="K2035" s="23"/>
      <c r="L2035" s="36"/>
      <c r="M2035" s="23"/>
      <c r="N2035" s="23"/>
      <c r="O2035" s="24"/>
      <c r="P2035" s="16" t="b">
        <v>0</v>
      </c>
      <c r="Q2035" s="24"/>
      <c r="R2035" s="48" t="str">
        <f t="shared" si="1882"/>
        <v/>
      </c>
      <c r="S2035" s="26"/>
      <c r="T2035" s="49" t="str">
        <f t="shared" si="1883"/>
        <v/>
      </c>
      <c r="U2035" s="24"/>
      <c r="V2035" s="66" t="s">
        <v>29</v>
      </c>
      <c r="W2035" s="29" t="str">
        <f t="shared" si="2024"/>
        <v>/</v>
      </c>
      <c r="X2035" s="37" t="s">
        <v>1292</v>
      </c>
      <c r="Y2035" s="31"/>
      <c r="Z2035" s="26" t="str">
        <f t="shared" si="5"/>
        <v/>
      </c>
      <c r="AA2035" s="26" t="str">
        <f t="shared" si="6"/>
        <v/>
      </c>
      <c r="AB2035" s="32" t="str">
        <f t="shared" si="7"/>
        <v/>
      </c>
      <c r="AC2035" s="32" t="str">
        <f t="shared" ref="AC2035:AG2035" si="2053">IF(J2035&lt;&gt;"", IF(AND($P2035=FALSE, $A2035=FALSE), -J2035, IF(AND($P2035=FALSE, $A2035=TRUE), 0, IF($P2035=TRUE, (J2035 / $R2035) * 100 * ($S2035 / 100)-J2035, ))), )</f>
        <v/>
      </c>
      <c r="AD2035" s="32" t="str">
        <f t="shared" si="2053"/>
        <v/>
      </c>
      <c r="AE2035" s="32" t="str">
        <f t="shared" si="2053"/>
        <v/>
      </c>
      <c r="AF2035" s="32" t="str">
        <f t="shared" si="2053"/>
        <v/>
      </c>
      <c r="AG2035" s="32" t="str">
        <f t="shared" si="2053"/>
        <v/>
      </c>
      <c r="AH2035" s="33"/>
    </row>
    <row r="2036" hidden="1" outlineLevel="3">
      <c r="A2036" s="16" t="b">
        <v>0</v>
      </c>
      <c r="B2036" s="17"/>
      <c r="C2036" s="18"/>
      <c r="D2036" s="42"/>
      <c r="E2036" s="20"/>
      <c r="F2036" s="53"/>
      <c r="G2036" s="45"/>
      <c r="H2036" s="45"/>
      <c r="I2036" s="45"/>
      <c r="J2036" s="36"/>
      <c r="K2036" s="23"/>
      <c r="L2036" s="36"/>
      <c r="M2036" s="23"/>
      <c r="N2036" s="23"/>
      <c r="O2036" s="24"/>
      <c r="P2036" s="16" t="b">
        <v>0</v>
      </c>
      <c r="Q2036" s="24"/>
      <c r="R2036" s="48" t="str">
        <f t="shared" si="1882"/>
        <v/>
      </c>
      <c r="S2036" s="26"/>
      <c r="T2036" s="49" t="str">
        <f t="shared" si="1883"/>
        <v/>
      </c>
      <c r="U2036" s="24"/>
      <c r="V2036" s="66" t="s">
        <v>29</v>
      </c>
      <c r="W2036" s="29" t="str">
        <f t="shared" si="2024"/>
        <v>/</v>
      </c>
      <c r="X2036" s="37" t="s">
        <v>1293</v>
      </c>
      <c r="Y2036" s="31"/>
      <c r="Z2036" s="26" t="str">
        <f t="shared" si="5"/>
        <v/>
      </c>
      <c r="AA2036" s="26" t="str">
        <f t="shared" si="6"/>
        <v/>
      </c>
      <c r="AB2036" s="32" t="str">
        <f t="shared" si="7"/>
        <v/>
      </c>
      <c r="AC2036" s="32" t="str">
        <f t="shared" ref="AC2036:AG2036" si="2054">IF(J2036&lt;&gt;"", IF(AND($P2036=FALSE, $A2036=FALSE), -J2036, IF(AND($P2036=FALSE, $A2036=TRUE), 0, IF($P2036=TRUE, (J2036 / $R2036) * 100 * ($S2036 / 100)-J2036, ))), )</f>
        <v/>
      </c>
      <c r="AD2036" s="32" t="str">
        <f t="shared" si="2054"/>
        <v/>
      </c>
      <c r="AE2036" s="32" t="str">
        <f t="shared" si="2054"/>
        <v/>
      </c>
      <c r="AF2036" s="32" t="str">
        <f t="shared" si="2054"/>
        <v/>
      </c>
      <c r="AG2036" s="32" t="str">
        <f t="shared" si="2054"/>
        <v/>
      </c>
      <c r="AH2036" s="33"/>
    </row>
    <row r="2037" hidden="1" outlineLevel="1" collapsed="1">
      <c r="A2037" s="81" t="b">
        <v>0</v>
      </c>
      <c r="B2037" s="17"/>
      <c r="C2037" s="18"/>
      <c r="D2037" s="42">
        <v>45349.0</v>
      </c>
      <c r="E2037" s="43" t="s">
        <v>60</v>
      </c>
      <c r="F2037" s="53" t="s">
        <v>1208</v>
      </c>
      <c r="G2037" s="45">
        <v>3.0</v>
      </c>
      <c r="H2037" s="48"/>
      <c r="I2037" s="45">
        <v>3.0</v>
      </c>
      <c r="J2037" s="79"/>
      <c r="K2037" s="79"/>
      <c r="L2037" s="79"/>
      <c r="M2037" s="79"/>
      <c r="N2037" s="79"/>
      <c r="O2037" s="47"/>
      <c r="P2037" s="20" t="b">
        <v>1</v>
      </c>
      <c r="Q2037" s="24"/>
      <c r="R2037" s="48">
        <f t="shared" si="1882"/>
        <v>6</v>
      </c>
      <c r="S2037" s="45">
        <v>24.35</v>
      </c>
      <c r="T2037" s="49" t="str">
        <f t="shared" si="1883"/>
        <v>+306</v>
      </c>
      <c r="U2037" s="47"/>
      <c r="V2037" s="28" t="str">
        <f>IF(ISBLANK($D2037), "0",)</f>
        <v/>
      </c>
      <c r="W2037" s="29" t="str">
        <f t="shared" si="2024"/>
        <v/>
      </c>
      <c r="X2037" s="30"/>
      <c r="Y2037" s="84"/>
      <c r="Z2037" s="26">
        <f t="shared" si="5"/>
        <v>9.175</v>
      </c>
      <c r="AA2037" s="26">
        <f t="shared" si="6"/>
        <v>9.175</v>
      </c>
      <c r="AB2037" s="32" t="str">
        <f t="shared" si="7"/>
        <v/>
      </c>
      <c r="AC2037" s="32" t="str">
        <f t="shared" ref="AC2037:AG2037" si="2055">IF(J2037&lt;&gt;"", IF(AND($P2037=FALSE, $A2037=FALSE), -J2037, IF(AND($P2037=FALSE, $A2037=TRUE), 0, IF($P2037=TRUE, (J2037 / $R2037) * 100 * ($S2037 / 100)-J2037, ))), )</f>
        <v/>
      </c>
      <c r="AD2037" s="32" t="str">
        <f t="shared" si="2055"/>
        <v/>
      </c>
      <c r="AE2037" s="32" t="str">
        <f t="shared" si="2055"/>
        <v/>
      </c>
      <c r="AF2037" s="32" t="str">
        <f t="shared" si="2055"/>
        <v/>
      </c>
      <c r="AG2037" s="32" t="str">
        <f t="shared" si="2055"/>
        <v/>
      </c>
      <c r="AH2037" s="33"/>
    </row>
    <row r="2038" hidden="1" outlineLevel="3">
      <c r="A2038" s="16" t="b">
        <v>0</v>
      </c>
      <c r="B2038" s="17"/>
      <c r="C2038" s="18"/>
      <c r="D2038" s="42"/>
      <c r="E2038" s="20"/>
      <c r="F2038" s="53"/>
      <c r="G2038" s="45"/>
      <c r="H2038" s="45"/>
      <c r="I2038" s="45"/>
      <c r="J2038" s="36"/>
      <c r="K2038" s="23"/>
      <c r="L2038" s="36"/>
      <c r="M2038" s="23"/>
      <c r="N2038" s="23"/>
      <c r="O2038" s="24"/>
      <c r="P2038" s="16" t="b">
        <v>0</v>
      </c>
      <c r="Q2038" s="24"/>
      <c r="R2038" s="48" t="str">
        <f t="shared" si="1882"/>
        <v/>
      </c>
      <c r="S2038" s="26"/>
      <c r="T2038" s="49" t="str">
        <f t="shared" si="1883"/>
        <v/>
      </c>
      <c r="U2038" s="24"/>
      <c r="V2038" s="66" t="s">
        <v>29</v>
      </c>
      <c r="W2038" s="29" t="str">
        <f t="shared" si="2024"/>
        <v>/</v>
      </c>
      <c r="X2038" s="37" t="s">
        <v>1294</v>
      </c>
      <c r="Y2038" s="31"/>
      <c r="Z2038" s="26" t="str">
        <f t="shared" si="5"/>
        <v/>
      </c>
      <c r="AA2038" s="26" t="str">
        <f t="shared" si="6"/>
        <v/>
      </c>
      <c r="AB2038" s="32" t="str">
        <f t="shared" si="7"/>
        <v/>
      </c>
      <c r="AC2038" s="32" t="str">
        <f t="shared" ref="AC2038:AG2038" si="2056">IF(J2038&lt;&gt;"", IF(AND($P2038=FALSE, $A2038=FALSE), -J2038, IF(AND($P2038=FALSE, $A2038=TRUE), 0, IF($P2038=TRUE, (J2038 / $R2038) * 100 * ($S2038 / 100)-J2038, ))), )</f>
        <v/>
      </c>
      <c r="AD2038" s="32" t="str">
        <f t="shared" si="2056"/>
        <v/>
      </c>
      <c r="AE2038" s="32" t="str">
        <f t="shared" si="2056"/>
        <v/>
      </c>
      <c r="AF2038" s="32" t="str">
        <f t="shared" si="2056"/>
        <v/>
      </c>
      <c r="AG2038" s="32" t="str">
        <f t="shared" si="2056"/>
        <v/>
      </c>
      <c r="AH2038" s="33"/>
    </row>
    <row r="2039" hidden="1" outlineLevel="3">
      <c r="A2039" s="16" t="b">
        <v>0</v>
      </c>
      <c r="B2039" s="17"/>
      <c r="C2039" s="18"/>
      <c r="D2039" s="42"/>
      <c r="E2039" s="20"/>
      <c r="F2039" s="53"/>
      <c r="G2039" s="45"/>
      <c r="H2039" s="45"/>
      <c r="I2039" s="45"/>
      <c r="J2039" s="36"/>
      <c r="K2039" s="23"/>
      <c r="L2039" s="36"/>
      <c r="M2039" s="23"/>
      <c r="N2039" s="23"/>
      <c r="O2039" s="24"/>
      <c r="P2039" s="16" t="b">
        <v>0</v>
      </c>
      <c r="Q2039" s="24"/>
      <c r="R2039" s="48" t="str">
        <f t="shared" si="1882"/>
        <v/>
      </c>
      <c r="S2039" s="26"/>
      <c r="T2039" s="49" t="str">
        <f t="shared" si="1883"/>
        <v/>
      </c>
      <c r="U2039" s="24"/>
      <c r="V2039" s="66" t="s">
        <v>29</v>
      </c>
      <c r="W2039" s="29" t="str">
        <f t="shared" si="2024"/>
        <v>/</v>
      </c>
      <c r="X2039" s="37" t="s">
        <v>1295</v>
      </c>
      <c r="Y2039" s="31"/>
      <c r="Z2039" s="26" t="str">
        <f t="shared" si="5"/>
        <v/>
      </c>
      <c r="AA2039" s="26" t="str">
        <f t="shared" si="6"/>
        <v/>
      </c>
      <c r="AB2039" s="32" t="str">
        <f t="shared" si="7"/>
        <v/>
      </c>
      <c r="AC2039" s="32" t="str">
        <f t="shared" ref="AC2039:AG2039" si="2057">IF(J2039&lt;&gt;"", IF(AND($P2039=FALSE, $A2039=FALSE), -J2039, IF(AND($P2039=FALSE, $A2039=TRUE), 0, IF($P2039=TRUE, (J2039 / $R2039) * 100 * ($S2039 / 100)-J2039, ))), )</f>
        <v/>
      </c>
      <c r="AD2039" s="32" t="str">
        <f t="shared" si="2057"/>
        <v/>
      </c>
      <c r="AE2039" s="32" t="str">
        <f t="shared" si="2057"/>
        <v/>
      </c>
      <c r="AF2039" s="32" t="str">
        <f t="shared" si="2057"/>
        <v/>
      </c>
      <c r="AG2039" s="32" t="str">
        <f t="shared" si="2057"/>
        <v/>
      </c>
      <c r="AH2039" s="33"/>
    </row>
    <row r="2040" hidden="1" outlineLevel="2" collapsed="1">
      <c r="A2040" s="81" t="b">
        <v>0</v>
      </c>
      <c r="B2040" s="17"/>
      <c r="C2040" s="18"/>
      <c r="D2040" s="42">
        <v>45349.0</v>
      </c>
      <c r="E2040" s="43" t="s">
        <v>60</v>
      </c>
      <c r="F2040" s="53" t="s">
        <v>1208</v>
      </c>
      <c r="G2040" s="45">
        <v>3.0</v>
      </c>
      <c r="H2040" s="48"/>
      <c r="I2040" s="45">
        <v>3.0</v>
      </c>
      <c r="J2040" s="79"/>
      <c r="K2040" s="79"/>
      <c r="L2040" s="79"/>
      <c r="M2040" s="79"/>
      <c r="N2040" s="79"/>
      <c r="O2040" s="47"/>
      <c r="P2040" s="20" t="b">
        <v>1</v>
      </c>
      <c r="Q2040" s="24"/>
      <c r="R2040" s="48">
        <f t="shared" si="1882"/>
        <v>6</v>
      </c>
      <c r="S2040" s="45">
        <v>12.96</v>
      </c>
      <c r="T2040" s="49" t="str">
        <f t="shared" si="1883"/>
        <v>+116</v>
      </c>
      <c r="U2040" s="47"/>
      <c r="V2040" s="28" t="str">
        <f>IF(ISBLANK($D2040), "0",)</f>
        <v/>
      </c>
      <c r="W2040" s="29" t="str">
        <f t="shared" si="2024"/>
        <v/>
      </c>
      <c r="X2040" s="30"/>
      <c r="Y2040" s="84"/>
      <c r="Z2040" s="26">
        <f t="shared" si="5"/>
        <v>3.48</v>
      </c>
      <c r="AA2040" s="26">
        <f t="shared" si="6"/>
        <v>3.48</v>
      </c>
      <c r="AB2040" s="32" t="str">
        <f t="shared" si="7"/>
        <v/>
      </c>
      <c r="AC2040" s="32" t="str">
        <f t="shared" ref="AC2040:AG2040" si="2058">IF(J2040&lt;&gt;"", IF(AND($P2040=FALSE, $A2040=FALSE), -J2040, IF(AND($P2040=FALSE, $A2040=TRUE), 0, IF($P2040=TRUE, (J2040 / $R2040) * 100 * ($S2040 / 100)-J2040, ))), )</f>
        <v/>
      </c>
      <c r="AD2040" s="32" t="str">
        <f t="shared" si="2058"/>
        <v/>
      </c>
      <c r="AE2040" s="32" t="str">
        <f t="shared" si="2058"/>
        <v/>
      </c>
      <c r="AF2040" s="32" t="str">
        <f t="shared" si="2058"/>
        <v/>
      </c>
      <c r="AG2040" s="32" t="str">
        <f t="shared" si="2058"/>
        <v/>
      </c>
      <c r="AH2040" s="33"/>
    </row>
    <row r="2041" hidden="1" outlineLevel="3">
      <c r="A2041" s="16" t="b">
        <v>0</v>
      </c>
      <c r="B2041" s="17"/>
      <c r="C2041" s="18"/>
      <c r="D2041" s="42"/>
      <c r="E2041" s="20"/>
      <c r="F2041" s="53"/>
      <c r="G2041" s="45"/>
      <c r="H2041" s="45"/>
      <c r="I2041" s="45"/>
      <c r="J2041" s="36"/>
      <c r="K2041" s="23"/>
      <c r="L2041" s="36"/>
      <c r="M2041" s="23"/>
      <c r="N2041" s="23"/>
      <c r="O2041" s="24"/>
      <c r="P2041" s="16" t="b">
        <v>0</v>
      </c>
      <c r="Q2041" s="24"/>
      <c r="R2041" s="48" t="str">
        <f t="shared" si="1882"/>
        <v/>
      </c>
      <c r="S2041" s="26"/>
      <c r="T2041" s="49" t="str">
        <f t="shared" si="1883"/>
        <v/>
      </c>
      <c r="U2041" s="24"/>
      <c r="V2041" s="66" t="s">
        <v>29</v>
      </c>
      <c r="W2041" s="29" t="str">
        <f t="shared" si="2024"/>
        <v>/</v>
      </c>
      <c r="X2041" s="37" t="s">
        <v>1296</v>
      </c>
      <c r="Y2041" s="31"/>
      <c r="Z2041" s="26" t="str">
        <f t="shared" si="5"/>
        <v/>
      </c>
      <c r="AA2041" s="26" t="str">
        <f t="shared" si="6"/>
        <v/>
      </c>
      <c r="AB2041" s="32" t="str">
        <f t="shared" si="7"/>
        <v/>
      </c>
      <c r="AC2041" s="32" t="str">
        <f t="shared" ref="AC2041:AG2041" si="2059">IF(J2041&lt;&gt;"", IF(AND($P2041=FALSE, $A2041=FALSE), -J2041, IF(AND($P2041=FALSE, $A2041=TRUE), 0, IF($P2041=TRUE, (J2041 / $R2041) * 100 * ($S2041 / 100)-J2041, ))), )</f>
        <v/>
      </c>
      <c r="AD2041" s="32" t="str">
        <f t="shared" si="2059"/>
        <v/>
      </c>
      <c r="AE2041" s="32" t="str">
        <f t="shared" si="2059"/>
        <v/>
      </c>
      <c r="AF2041" s="32" t="str">
        <f t="shared" si="2059"/>
        <v/>
      </c>
      <c r="AG2041" s="32" t="str">
        <f t="shared" si="2059"/>
        <v/>
      </c>
      <c r="AH2041" s="33"/>
    </row>
    <row r="2042" hidden="1" outlineLevel="3">
      <c r="A2042" s="16" t="b">
        <v>0</v>
      </c>
      <c r="B2042" s="17"/>
      <c r="C2042" s="18"/>
      <c r="D2042" s="42"/>
      <c r="E2042" s="20"/>
      <c r="F2042" s="53"/>
      <c r="G2042" s="45"/>
      <c r="H2042" s="45"/>
      <c r="I2042" s="45"/>
      <c r="J2042" s="36"/>
      <c r="K2042" s="23"/>
      <c r="L2042" s="36"/>
      <c r="M2042" s="23"/>
      <c r="N2042" s="23"/>
      <c r="O2042" s="24"/>
      <c r="P2042" s="16" t="b">
        <v>0</v>
      </c>
      <c r="Q2042" s="24"/>
      <c r="R2042" s="48" t="str">
        <f t="shared" si="1882"/>
        <v/>
      </c>
      <c r="S2042" s="26"/>
      <c r="T2042" s="49" t="str">
        <f t="shared" si="1883"/>
        <v/>
      </c>
      <c r="U2042" s="24"/>
      <c r="V2042" s="66" t="s">
        <v>29</v>
      </c>
      <c r="W2042" s="29" t="str">
        <f t="shared" si="2024"/>
        <v>/</v>
      </c>
      <c r="X2042" s="37" t="s">
        <v>1297</v>
      </c>
      <c r="Y2042" s="31"/>
      <c r="Z2042" s="26" t="str">
        <f t="shared" si="5"/>
        <v/>
      </c>
      <c r="AA2042" s="26" t="str">
        <f t="shared" si="6"/>
        <v/>
      </c>
      <c r="AB2042" s="32" t="str">
        <f t="shared" si="7"/>
        <v/>
      </c>
      <c r="AC2042" s="32" t="str">
        <f t="shared" ref="AC2042:AG2042" si="2060">IF(J2042&lt;&gt;"", IF(AND($P2042=FALSE, $A2042=FALSE), -J2042, IF(AND($P2042=FALSE, $A2042=TRUE), 0, IF($P2042=TRUE, (J2042 / $R2042) * 100 * ($S2042 / 100)-J2042, ))), )</f>
        <v/>
      </c>
      <c r="AD2042" s="32" t="str">
        <f t="shared" si="2060"/>
        <v/>
      </c>
      <c r="AE2042" s="32" t="str">
        <f t="shared" si="2060"/>
        <v/>
      </c>
      <c r="AF2042" s="32" t="str">
        <f t="shared" si="2060"/>
        <v/>
      </c>
      <c r="AG2042" s="32" t="str">
        <f t="shared" si="2060"/>
        <v/>
      </c>
      <c r="AH2042" s="33"/>
    </row>
    <row r="2043" hidden="1" outlineLevel="3">
      <c r="A2043" s="16" t="b">
        <v>0</v>
      </c>
      <c r="B2043" s="17"/>
      <c r="C2043" s="18"/>
      <c r="D2043" s="42"/>
      <c r="E2043" s="20"/>
      <c r="F2043" s="53"/>
      <c r="G2043" s="45"/>
      <c r="H2043" s="45"/>
      <c r="I2043" s="45"/>
      <c r="J2043" s="36"/>
      <c r="K2043" s="23"/>
      <c r="L2043" s="36"/>
      <c r="M2043" s="23"/>
      <c r="N2043" s="23"/>
      <c r="O2043" s="24"/>
      <c r="P2043" s="16" t="b">
        <v>0</v>
      </c>
      <c r="Q2043" s="24"/>
      <c r="R2043" s="48" t="str">
        <f t="shared" si="1882"/>
        <v/>
      </c>
      <c r="S2043" s="26"/>
      <c r="T2043" s="49" t="str">
        <f t="shared" si="1883"/>
        <v/>
      </c>
      <c r="U2043" s="24"/>
      <c r="V2043" s="66" t="s">
        <v>29</v>
      </c>
      <c r="W2043" s="29" t="str">
        <f t="shared" si="2024"/>
        <v>/</v>
      </c>
      <c r="X2043" s="37" t="s">
        <v>1298</v>
      </c>
      <c r="Y2043" s="31"/>
      <c r="Z2043" s="26" t="str">
        <f t="shared" si="5"/>
        <v/>
      </c>
      <c r="AA2043" s="26" t="str">
        <f t="shared" si="6"/>
        <v/>
      </c>
      <c r="AB2043" s="32" t="str">
        <f t="shared" si="7"/>
        <v/>
      </c>
      <c r="AC2043" s="32" t="str">
        <f t="shared" ref="AC2043:AG2043" si="2061">IF(J2043&lt;&gt;"", IF(AND($P2043=FALSE, $A2043=FALSE), -J2043, IF(AND($P2043=FALSE, $A2043=TRUE), 0, IF($P2043=TRUE, (J2043 / $R2043) * 100 * ($S2043 / 100)-J2043, ))), )</f>
        <v/>
      </c>
      <c r="AD2043" s="32" t="str">
        <f t="shared" si="2061"/>
        <v/>
      </c>
      <c r="AE2043" s="32" t="str">
        <f t="shared" si="2061"/>
        <v/>
      </c>
      <c r="AF2043" s="32" t="str">
        <f t="shared" si="2061"/>
        <v/>
      </c>
      <c r="AG2043" s="32" t="str">
        <f t="shared" si="2061"/>
        <v/>
      </c>
      <c r="AH2043" s="33"/>
    </row>
    <row r="2044" hidden="1" outlineLevel="3">
      <c r="A2044" s="16" t="b">
        <v>0</v>
      </c>
      <c r="B2044" s="17"/>
      <c r="C2044" s="18"/>
      <c r="D2044" s="42"/>
      <c r="E2044" s="20"/>
      <c r="F2044" s="53"/>
      <c r="G2044" s="45"/>
      <c r="H2044" s="45"/>
      <c r="I2044" s="45"/>
      <c r="J2044" s="36"/>
      <c r="K2044" s="23"/>
      <c r="L2044" s="36"/>
      <c r="M2044" s="23"/>
      <c r="N2044" s="23"/>
      <c r="O2044" s="24"/>
      <c r="P2044" s="16" t="b">
        <v>0</v>
      </c>
      <c r="Q2044" s="24"/>
      <c r="R2044" s="48" t="str">
        <f t="shared" si="1882"/>
        <v/>
      </c>
      <c r="S2044" s="26"/>
      <c r="T2044" s="49" t="str">
        <f t="shared" si="1883"/>
        <v/>
      </c>
      <c r="U2044" s="24"/>
      <c r="V2044" s="66" t="s">
        <v>29</v>
      </c>
      <c r="W2044" s="29" t="str">
        <f t="shared" si="2024"/>
        <v>/</v>
      </c>
      <c r="X2044" s="37" t="s">
        <v>1299</v>
      </c>
      <c r="Y2044" s="31"/>
      <c r="Z2044" s="26" t="str">
        <f t="shared" si="5"/>
        <v/>
      </c>
      <c r="AA2044" s="26" t="str">
        <f t="shared" si="6"/>
        <v/>
      </c>
      <c r="AB2044" s="32" t="str">
        <f t="shared" si="7"/>
        <v/>
      </c>
      <c r="AC2044" s="32" t="str">
        <f t="shared" ref="AC2044:AG2044" si="2062">IF(J2044&lt;&gt;"", IF(AND($P2044=FALSE, $A2044=FALSE), -J2044, IF(AND($P2044=FALSE, $A2044=TRUE), 0, IF($P2044=TRUE, (J2044 / $R2044) * 100 * ($S2044 / 100)-J2044, ))), )</f>
        <v/>
      </c>
      <c r="AD2044" s="32" t="str">
        <f t="shared" si="2062"/>
        <v/>
      </c>
      <c r="AE2044" s="32" t="str">
        <f t="shared" si="2062"/>
        <v/>
      </c>
      <c r="AF2044" s="32" t="str">
        <f t="shared" si="2062"/>
        <v/>
      </c>
      <c r="AG2044" s="32" t="str">
        <f t="shared" si="2062"/>
        <v/>
      </c>
      <c r="AH2044" s="33"/>
    </row>
    <row r="2045" hidden="1" outlineLevel="2" collapsed="1">
      <c r="A2045" s="81" t="b">
        <v>0</v>
      </c>
      <c r="B2045" s="17"/>
      <c r="C2045" s="18"/>
      <c r="D2045" s="42">
        <v>45349.0</v>
      </c>
      <c r="E2045" s="43" t="s">
        <v>60</v>
      </c>
      <c r="F2045" s="53" t="s">
        <v>1208</v>
      </c>
      <c r="G2045" s="45">
        <v>3.0</v>
      </c>
      <c r="H2045" s="48"/>
      <c r="I2045" s="45">
        <v>3.0</v>
      </c>
      <c r="J2045" s="79"/>
      <c r="K2045" s="79"/>
      <c r="L2045" s="79"/>
      <c r="M2045" s="79"/>
      <c r="N2045" s="79"/>
      <c r="O2045" s="47"/>
      <c r="P2045" s="20" t="b">
        <v>0</v>
      </c>
      <c r="Q2045" s="24"/>
      <c r="R2045" s="48">
        <f t="shared" si="1882"/>
        <v>6</v>
      </c>
      <c r="S2045" s="45">
        <v>19.75</v>
      </c>
      <c r="T2045" s="49" t="str">
        <f t="shared" si="1883"/>
        <v>+229</v>
      </c>
      <c r="U2045" s="47"/>
      <c r="V2045" s="28" t="str">
        <f>IF(ISBLANK($D2045), "0",)</f>
        <v/>
      </c>
      <c r="W2045" s="29" t="str">
        <f t="shared" si="2024"/>
        <v/>
      </c>
      <c r="X2045" s="30"/>
      <c r="Y2045" s="84"/>
      <c r="Z2045" s="26">
        <f t="shared" si="5"/>
        <v>-3</v>
      </c>
      <c r="AA2045" s="26">
        <f t="shared" si="6"/>
        <v>-3</v>
      </c>
      <c r="AB2045" s="32" t="str">
        <f t="shared" si="7"/>
        <v/>
      </c>
      <c r="AC2045" s="32" t="str">
        <f t="shared" ref="AC2045:AG2045" si="2063">IF(J2045&lt;&gt;"", IF(AND($P2045=FALSE, $A2045=FALSE), -J2045, IF(AND($P2045=FALSE, $A2045=TRUE), 0, IF($P2045=TRUE, (J2045 / $R2045) * 100 * ($S2045 / 100)-J2045, ))), )</f>
        <v/>
      </c>
      <c r="AD2045" s="32" t="str">
        <f t="shared" si="2063"/>
        <v/>
      </c>
      <c r="AE2045" s="32" t="str">
        <f t="shared" si="2063"/>
        <v/>
      </c>
      <c r="AF2045" s="32" t="str">
        <f t="shared" si="2063"/>
        <v/>
      </c>
      <c r="AG2045" s="32" t="str">
        <f t="shared" si="2063"/>
        <v/>
      </c>
      <c r="AH2045" s="33"/>
    </row>
    <row r="2046" hidden="1" outlineLevel="3">
      <c r="A2046" s="16" t="b">
        <v>0</v>
      </c>
      <c r="B2046" s="17"/>
      <c r="C2046" s="18"/>
      <c r="D2046" s="42"/>
      <c r="E2046" s="20"/>
      <c r="F2046" s="53"/>
      <c r="G2046" s="45"/>
      <c r="H2046" s="45"/>
      <c r="I2046" s="45"/>
      <c r="J2046" s="36"/>
      <c r="K2046" s="23"/>
      <c r="L2046" s="36"/>
      <c r="M2046" s="23"/>
      <c r="N2046" s="23"/>
      <c r="O2046" s="24"/>
      <c r="P2046" s="16" t="b">
        <v>0</v>
      </c>
      <c r="Q2046" s="24"/>
      <c r="R2046" s="48" t="str">
        <f t="shared" si="1882"/>
        <v/>
      </c>
      <c r="S2046" s="26"/>
      <c r="T2046" s="49" t="str">
        <f t="shared" si="1883"/>
        <v/>
      </c>
      <c r="U2046" s="24"/>
      <c r="V2046" s="66">
        <v>12.0</v>
      </c>
      <c r="W2046" s="29" t="str">
        <f t="shared" si="2024"/>
        <v>/</v>
      </c>
      <c r="X2046" s="37" t="s">
        <v>1300</v>
      </c>
      <c r="Y2046" s="31"/>
      <c r="Z2046" s="26" t="str">
        <f t="shared" si="5"/>
        <v/>
      </c>
      <c r="AA2046" s="26" t="str">
        <f t="shared" si="6"/>
        <v/>
      </c>
      <c r="AB2046" s="32" t="str">
        <f t="shared" si="7"/>
        <v/>
      </c>
      <c r="AC2046" s="32" t="str">
        <f t="shared" ref="AC2046:AG2046" si="2064">IF(J2046&lt;&gt;"", IF(AND($P2046=FALSE, $A2046=FALSE), -J2046, IF(AND($P2046=FALSE, $A2046=TRUE), 0, IF($P2046=TRUE, (J2046 / $R2046) * 100 * ($S2046 / 100)-J2046, ))), )</f>
        <v/>
      </c>
      <c r="AD2046" s="32" t="str">
        <f t="shared" si="2064"/>
        <v/>
      </c>
      <c r="AE2046" s="32" t="str">
        <f t="shared" si="2064"/>
        <v/>
      </c>
      <c r="AF2046" s="32" t="str">
        <f t="shared" si="2064"/>
        <v/>
      </c>
      <c r="AG2046" s="32" t="str">
        <f t="shared" si="2064"/>
        <v/>
      </c>
      <c r="AH2046" s="33"/>
    </row>
    <row r="2047" ht="16.5" hidden="1" customHeight="1" outlineLevel="3">
      <c r="A2047" s="16" t="b">
        <v>0</v>
      </c>
      <c r="B2047" s="17"/>
      <c r="C2047" s="18"/>
      <c r="D2047" s="42"/>
      <c r="E2047" s="20"/>
      <c r="F2047" s="53"/>
      <c r="G2047" s="45"/>
      <c r="H2047" s="45"/>
      <c r="I2047" s="45"/>
      <c r="J2047" s="36"/>
      <c r="K2047" s="23"/>
      <c r="L2047" s="36"/>
      <c r="M2047" s="23"/>
      <c r="N2047" s="23"/>
      <c r="O2047" s="24"/>
      <c r="P2047" s="16" t="b">
        <v>0</v>
      </c>
      <c r="Q2047" s="24"/>
      <c r="R2047" s="48" t="str">
        <f t="shared" si="1882"/>
        <v/>
      </c>
      <c r="S2047" s="26"/>
      <c r="T2047" s="49" t="str">
        <f t="shared" si="1883"/>
        <v/>
      </c>
      <c r="U2047" s="24"/>
      <c r="V2047" s="66">
        <v>3.0</v>
      </c>
      <c r="W2047" s="29" t="str">
        <f t="shared" si="2024"/>
        <v>/</v>
      </c>
      <c r="X2047" s="37" t="s">
        <v>1301</v>
      </c>
      <c r="Y2047" s="31"/>
      <c r="Z2047" s="26" t="str">
        <f t="shared" si="5"/>
        <v/>
      </c>
      <c r="AA2047" s="26" t="str">
        <f t="shared" si="6"/>
        <v/>
      </c>
      <c r="AB2047" s="32" t="str">
        <f t="shared" si="7"/>
        <v/>
      </c>
      <c r="AC2047" s="32" t="str">
        <f t="shared" ref="AC2047:AG2047" si="2065">IF(J2047&lt;&gt;"", IF(AND($P2047=FALSE, $A2047=FALSE), -J2047, IF(AND($P2047=FALSE, $A2047=TRUE), 0, IF($P2047=TRUE, (J2047 / $R2047) * 100 * ($S2047 / 100)-J2047, ))), )</f>
        <v/>
      </c>
      <c r="AD2047" s="32" t="str">
        <f t="shared" si="2065"/>
        <v/>
      </c>
      <c r="AE2047" s="32" t="str">
        <f t="shared" si="2065"/>
        <v/>
      </c>
      <c r="AF2047" s="32" t="str">
        <f t="shared" si="2065"/>
        <v/>
      </c>
      <c r="AG2047" s="32" t="str">
        <f t="shared" si="2065"/>
        <v/>
      </c>
      <c r="AH2047" s="33"/>
    </row>
    <row r="2048" hidden="1" outlineLevel="2">
      <c r="A2048" s="81" t="b">
        <v>0</v>
      </c>
      <c r="B2048" s="17"/>
      <c r="C2048" s="18"/>
      <c r="D2048" s="42">
        <v>45349.0</v>
      </c>
      <c r="E2048" s="43" t="s">
        <v>60</v>
      </c>
      <c r="F2048" s="53" t="s">
        <v>1208</v>
      </c>
      <c r="G2048" s="45">
        <v>1.0</v>
      </c>
      <c r="H2048" s="48"/>
      <c r="I2048" s="45">
        <v>1.5</v>
      </c>
      <c r="J2048" s="79"/>
      <c r="K2048" s="79"/>
      <c r="L2048" s="79"/>
      <c r="M2048" s="79"/>
      <c r="N2048" s="79"/>
      <c r="O2048" s="47"/>
      <c r="P2048" s="20" t="b">
        <v>0</v>
      </c>
      <c r="Q2048" s="24"/>
      <c r="R2048" s="48">
        <f t="shared" si="1882"/>
        <v>2.5</v>
      </c>
      <c r="S2048" s="45">
        <v>27.28</v>
      </c>
      <c r="T2048" s="49" t="str">
        <f t="shared" si="1883"/>
        <v>+991</v>
      </c>
      <c r="U2048" s="47"/>
      <c r="V2048" s="28" t="str">
        <f>IF(ISBLANK($D2048), "0",)</f>
        <v/>
      </c>
      <c r="W2048" s="29" t="str">
        <f t="shared" si="2024"/>
        <v/>
      </c>
      <c r="X2048" s="30"/>
      <c r="Y2048" s="84"/>
      <c r="Z2048" s="26">
        <f t="shared" si="5"/>
        <v>-1</v>
      </c>
      <c r="AA2048" s="26">
        <f t="shared" si="6"/>
        <v>-1.5</v>
      </c>
      <c r="AB2048" s="32" t="str">
        <f t="shared" si="7"/>
        <v/>
      </c>
      <c r="AC2048" s="32" t="str">
        <f t="shared" ref="AC2048:AG2048" si="2066">IF(J2048&lt;&gt;"", IF(AND($P2048=FALSE, $A2048=FALSE), -J2048, IF(AND($P2048=FALSE, $A2048=TRUE), 0, IF($P2048=TRUE, (J2048 / $R2048) * 100 * ($S2048 / 100)-J2048, ))), )</f>
        <v/>
      </c>
      <c r="AD2048" s="32" t="str">
        <f t="shared" si="2066"/>
        <v/>
      </c>
      <c r="AE2048" s="32" t="str">
        <f t="shared" si="2066"/>
        <v/>
      </c>
      <c r="AF2048" s="32" t="str">
        <f t="shared" si="2066"/>
        <v/>
      </c>
      <c r="AG2048" s="32" t="str">
        <f t="shared" si="2066"/>
        <v/>
      </c>
      <c r="AH2048" s="33"/>
    </row>
    <row r="2049" hidden="1" outlineLevel="3">
      <c r="A2049" s="16" t="b">
        <v>0</v>
      </c>
      <c r="B2049" s="17"/>
      <c r="C2049" s="18"/>
      <c r="D2049" s="42"/>
      <c r="E2049" s="20"/>
      <c r="F2049" s="53"/>
      <c r="G2049" s="45"/>
      <c r="H2049" s="45"/>
      <c r="I2049" s="45"/>
      <c r="J2049" s="36"/>
      <c r="K2049" s="23"/>
      <c r="L2049" s="36"/>
      <c r="M2049" s="23"/>
      <c r="N2049" s="23"/>
      <c r="O2049" s="24"/>
      <c r="P2049" s="16" t="b">
        <v>0</v>
      </c>
      <c r="Q2049" s="24"/>
      <c r="R2049" s="48" t="str">
        <f t="shared" si="1882"/>
        <v/>
      </c>
      <c r="S2049" s="26"/>
      <c r="T2049" s="49" t="str">
        <f t="shared" si="1883"/>
        <v/>
      </c>
      <c r="U2049" s="24"/>
      <c r="V2049" s="66" t="s">
        <v>29</v>
      </c>
      <c r="W2049" s="29" t="str">
        <f t="shared" si="2024"/>
        <v>/</v>
      </c>
      <c r="X2049" s="37" t="s">
        <v>1302</v>
      </c>
      <c r="Y2049" s="31"/>
      <c r="Z2049" s="26" t="str">
        <f t="shared" si="5"/>
        <v/>
      </c>
      <c r="AA2049" s="26" t="str">
        <f t="shared" si="6"/>
        <v/>
      </c>
      <c r="AB2049" s="32" t="str">
        <f t="shared" si="7"/>
        <v/>
      </c>
      <c r="AC2049" s="32" t="str">
        <f t="shared" ref="AC2049:AG2049" si="2067">IF(J2049&lt;&gt;"", IF(AND($P2049=FALSE, $A2049=FALSE), -J2049, IF(AND($P2049=FALSE, $A2049=TRUE), 0, IF($P2049=TRUE, (J2049 / $R2049) * 100 * ($S2049 / 100)-J2049, ))), )</f>
        <v/>
      </c>
      <c r="AD2049" s="32" t="str">
        <f t="shared" si="2067"/>
        <v/>
      </c>
      <c r="AE2049" s="32" t="str">
        <f t="shared" si="2067"/>
        <v/>
      </c>
      <c r="AF2049" s="32" t="str">
        <f t="shared" si="2067"/>
        <v/>
      </c>
      <c r="AG2049" s="32" t="str">
        <f t="shared" si="2067"/>
        <v/>
      </c>
      <c r="AH2049" s="33"/>
    </row>
    <row r="2050" hidden="1" outlineLevel="3">
      <c r="A2050" s="16" t="b">
        <v>0</v>
      </c>
      <c r="B2050" s="17"/>
      <c r="C2050" s="18"/>
      <c r="D2050" s="42"/>
      <c r="E2050" s="20"/>
      <c r="F2050" s="53"/>
      <c r="G2050" s="45"/>
      <c r="H2050" s="45"/>
      <c r="I2050" s="45"/>
      <c r="J2050" s="36"/>
      <c r="K2050" s="23"/>
      <c r="L2050" s="36"/>
      <c r="M2050" s="23"/>
      <c r="N2050" s="23"/>
      <c r="O2050" s="24"/>
      <c r="P2050" s="16" t="b">
        <v>0</v>
      </c>
      <c r="Q2050" s="24"/>
      <c r="R2050" s="48" t="str">
        <f t="shared" si="1882"/>
        <v/>
      </c>
      <c r="S2050" s="26"/>
      <c r="T2050" s="49" t="str">
        <f t="shared" si="1883"/>
        <v/>
      </c>
      <c r="U2050" s="24"/>
      <c r="V2050" s="66">
        <v>4.0</v>
      </c>
      <c r="W2050" s="29" t="str">
        <f t="shared" si="2024"/>
        <v>/</v>
      </c>
      <c r="X2050" s="37" t="s">
        <v>1303</v>
      </c>
      <c r="Y2050" s="31"/>
      <c r="Z2050" s="26" t="str">
        <f t="shared" si="5"/>
        <v/>
      </c>
      <c r="AA2050" s="26" t="str">
        <f t="shared" si="6"/>
        <v/>
      </c>
      <c r="AB2050" s="32" t="str">
        <f t="shared" si="7"/>
        <v/>
      </c>
      <c r="AC2050" s="32" t="str">
        <f t="shared" ref="AC2050:AG2050" si="2068">IF(J2050&lt;&gt;"", IF(AND($P2050=FALSE, $A2050=FALSE), -J2050, IF(AND($P2050=FALSE, $A2050=TRUE), 0, IF($P2050=TRUE, (J2050 / $R2050) * 100 * ($S2050 / 100)-J2050, ))), )</f>
        <v/>
      </c>
      <c r="AD2050" s="32" t="str">
        <f t="shared" si="2068"/>
        <v/>
      </c>
      <c r="AE2050" s="32" t="str">
        <f t="shared" si="2068"/>
        <v/>
      </c>
      <c r="AF2050" s="32" t="str">
        <f t="shared" si="2068"/>
        <v/>
      </c>
      <c r="AG2050" s="32" t="str">
        <f t="shared" si="2068"/>
        <v/>
      </c>
      <c r="AH2050" s="33"/>
    </row>
    <row r="2051" hidden="1" outlineLevel="3">
      <c r="A2051" s="16" t="b">
        <v>0</v>
      </c>
      <c r="B2051" s="17"/>
      <c r="C2051" s="18"/>
      <c r="D2051" s="42"/>
      <c r="E2051" s="20"/>
      <c r="F2051" s="53"/>
      <c r="G2051" s="45"/>
      <c r="H2051" s="45"/>
      <c r="I2051" s="45"/>
      <c r="J2051" s="36"/>
      <c r="K2051" s="23"/>
      <c r="L2051" s="36"/>
      <c r="M2051" s="23"/>
      <c r="N2051" s="23"/>
      <c r="O2051" s="24"/>
      <c r="P2051" s="16" t="b">
        <v>0</v>
      </c>
      <c r="Q2051" s="24"/>
      <c r="R2051" s="48" t="str">
        <f t="shared" si="1882"/>
        <v/>
      </c>
      <c r="S2051" s="26"/>
      <c r="T2051" s="49" t="str">
        <f t="shared" si="1883"/>
        <v/>
      </c>
      <c r="U2051" s="24"/>
      <c r="V2051" s="66" t="s">
        <v>29</v>
      </c>
      <c r="W2051" s="29" t="str">
        <f t="shared" si="2024"/>
        <v>/</v>
      </c>
      <c r="X2051" s="37" t="s">
        <v>1304</v>
      </c>
      <c r="Y2051" s="31"/>
      <c r="Z2051" s="26" t="str">
        <f t="shared" si="5"/>
        <v/>
      </c>
      <c r="AA2051" s="26" t="str">
        <f t="shared" si="6"/>
        <v/>
      </c>
      <c r="AB2051" s="32" t="str">
        <f t="shared" si="7"/>
        <v/>
      </c>
      <c r="AC2051" s="32" t="str">
        <f t="shared" ref="AC2051:AG2051" si="2069">IF(J2051&lt;&gt;"", IF(AND($P2051=FALSE, $A2051=FALSE), -J2051, IF(AND($P2051=FALSE, $A2051=TRUE), 0, IF($P2051=TRUE, (J2051 / $R2051) * 100 * ($S2051 / 100)-J2051, ))), )</f>
        <v/>
      </c>
      <c r="AD2051" s="32" t="str">
        <f t="shared" si="2069"/>
        <v/>
      </c>
      <c r="AE2051" s="32" t="str">
        <f t="shared" si="2069"/>
        <v/>
      </c>
      <c r="AF2051" s="32" t="str">
        <f t="shared" si="2069"/>
        <v/>
      </c>
      <c r="AG2051" s="32" t="str">
        <f t="shared" si="2069"/>
        <v/>
      </c>
      <c r="AH2051" s="33"/>
    </row>
    <row r="2052" hidden="1" outlineLevel="3">
      <c r="A2052" s="16" t="b">
        <v>0</v>
      </c>
      <c r="B2052" s="17"/>
      <c r="C2052" s="18"/>
      <c r="D2052" s="42"/>
      <c r="E2052" s="20"/>
      <c r="F2052" s="53"/>
      <c r="G2052" s="45"/>
      <c r="H2052" s="45"/>
      <c r="I2052" s="45"/>
      <c r="J2052" s="36"/>
      <c r="K2052" s="23"/>
      <c r="L2052" s="36"/>
      <c r="M2052" s="23"/>
      <c r="N2052" s="23"/>
      <c r="O2052" s="24"/>
      <c r="P2052" s="16" t="b">
        <v>0</v>
      </c>
      <c r="Q2052" s="24"/>
      <c r="R2052" s="48" t="str">
        <f t="shared" si="1882"/>
        <v/>
      </c>
      <c r="S2052" s="26"/>
      <c r="T2052" s="49" t="str">
        <f t="shared" si="1883"/>
        <v/>
      </c>
      <c r="U2052" s="24"/>
      <c r="V2052" s="66">
        <v>1.0</v>
      </c>
      <c r="W2052" s="29" t="str">
        <f t="shared" si="2024"/>
        <v>/</v>
      </c>
      <c r="X2052" s="37" t="s">
        <v>1305</v>
      </c>
      <c r="Y2052" s="31"/>
      <c r="Z2052" s="26" t="str">
        <f t="shared" si="5"/>
        <v/>
      </c>
      <c r="AA2052" s="26" t="str">
        <f t="shared" si="6"/>
        <v/>
      </c>
      <c r="AB2052" s="32" t="str">
        <f t="shared" si="7"/>
        <v/>
      </c>
      <c r="AC2052" s="32" t="str">
        <f t="shared" ref="AC2052:AG2052" si="2070">IF(J2052&lt;&gt;"", IF(AND($P2052=FALSE, $A2052=FALSE), -J2052, IF(AND($P2052=FALSE, $A2052=TRUE), 0, IF($P2052=TRUE, (J2052 / $R2052) * 100 * ($S2052 / 100)-J2052, ))), )</f>
        <v/>
      </c>
      <c r="AD2052" s="32" t="str">
        <f t="shared" si="2070"/>
        <v/>
      </c>
      <c r="AE2052" s="32" t="str">
        <f t="shared" si="2070"/>
        <v/>
      </c>
      <c r="AF2052" s="32" t="str">
        <f t="shared" si="2070"/>
        <v/>
      </c>
      <c r="AG2052" s="32" t="str">
        <f t="shared" si="2070"/>
        <v/>
      </c>
      <c r="AH2052" s="33"/>
    </row>
    <row r="2053" hidden="1" outlineLevel="3">
      <c r="A2053" s="16" t="b">
        <v>0</v>
      </c>
      <c r="B2053" s="17"/>
      <c r="C2053" s="18"/>
      <c r="D2053" s="42"/>
      <c r="E2053" s="20"/>
      <c r="F2053" s="53"/>
      <c r="G2053" s="45"/>
      <c r="H2053" s="45"/>
      <c r="I2053" s="45"/>
      <c r="J2053" s="36"/>
      <c r="K2053" s="23"/>
      <c r="L2053" s="36"/>
      <c r="M2053" s="23"/>
      <c r="N2053" s="23"/>
      <c r="O2053" s="24"/>
      <c r="P2053" s="16" t="b">
        <v>0</v>
      </c>
      <c r="Q2053" s="24"/>
      <c r="R2053" s="48" t="str">
        <f t="shared" si="1882"/>
        <v/>
      </c>
      <c r="S2053" s="26"/>
      <c r="T2053" s="49" t="str">
        <f t="shared" si="1883"/>
        <v/>
      </c>
      <c r="U2053" s="24"/>
      <c r="V2053" s="28" t="str">
        <f>IF(ISBLANK($D2053), "0",)</f>
        <v>0</v>
      </c>
      <c r="W2053" s="29" t="str">
        <f t="shared" si="2024"/>
        <v>/</v>
      </c>
      <c r="X2053" s="37" t="s">
        <v>1306</v>
      </c>
      <c r="Y2053" s="31"/>
      <c r="Z2053" s="26" t="str">
        <f t="shared" si="5"/>
        <v/>
      </c>
      <c r="AA2053" s="26" t="str">
        <f t="shared" si="6"/>
        <v/>
      </c>
      <c r="AB2053" s="32" t="str">
        <f t="shared" si="7"/>
        <v/>
      </c>
      <c r="AC2053" s="32" t="str">
        <f t="shared" ref="AC2053:AG2053" si="2071">IF(J2053&lt;&gt;"", IF(AND($P2053=FALSE, $A2053=FALSE), -J2053, IF(AND($P2053=FALSE, $A2053=TRUE), 0, IF($P2053=TRUE, (J2053 / $R2053) * 100 * ($S2053 / 100)-J2053, ))), )</f>
        <v/>
      </c>
      <c r="AD2053" s="32" t="str">
        <f t="shared" si="2071"/>
        <v/>
      </c>
      <c r="AE2053" s="32" t="str">
        <f t="shared" si="2071"/>
        <v/>
      </c>
      <c r="AF2053" s="32" t="str">
        <f t="shared" si="2071"/>
        <v/>
      </c>
      <c r="AG2053" s="32" t="str">
        <f t="shared" si="2071"/>
        <v/>
      </c>
      <c r="AH2053" s="33"/>
    </row>
    <row r="2054" hidden="1" outlineLevel="3">
      <c r="A2054" s="16" t="b">
        <v>0</v>
      </c>
      <c r="B2054" s="17"/>
      <c r="C2054" s="18"/>
      <c r="D2054" s="42"/>
      <c r="E2054" s="20"/>
      <c r="F2054" s="53"/>
      <c r="G2054" s="45"/>
      <c r="H2054" s="45"/>
      <c r="I2054" s="45"/>
      <c r="J2054" s="36"/>
      <c r="K2054" s="23"/>
      <c r="L2054" s="36"/>
      <c r="M2054" s="23"/>
      <c r="N2054" s="23"/>
      <c r="O2054" s="24"/>
      <c r="P2054" s="16" t="b">
        <v>0</v>
      </c>
      <c r="Q2054" s="24"/>
      <c r="R2054" s="48" t="str">
        <f t="shared" si="1882"/>
        <v/>
      </c>
      <c r="S2054" s="26"/>
      <c r="T2054" s="49" t="str">
        <f t="shared" si="1883"/>
        <v/>
      </c>
      <c r="U2054" s="24"/>
      <c r="V2054" s="66" t="s">
        <v>29</v>
      </c>
      <c r="W2054" s="29" t="str">
        <f t="shared" si="2024"/>
        <v>/</v>
      </c>
      <c r="X2054" s="37" t="s">
        <v>1307</v>
      </c>
      <c r="Y2054" s="31"/>
      <c r="Z2054" s="26" t="str">
        <f t="shared" si="5"/>
        <v/>
      </c>
      <c r="AA2054" s="26" t="str">
        <f t="shared" si="6"/>
        <v/>
      </c>
      <c r="AB2054" s="32" t="str">
        <f t="shared" si="7"/>
        <v/>
      </c>
      <c r="AC2054" s="32" t="str">
        <f t="shared" ref="AC2054:AG2054" si="2072">IF(J2054&lt;&gt;"", IF(AND($P2054=FALSE, $A2054=FALSE), -J2054, IF(AND($P2054=FALSE, $A2054=TRUE), 0, IF($P2054=TRUE, (J2054 / $R2054) * 100 * ($S2054 / 100)-J2054, ))), )</f>
        <v/>
      </c>
      <c r="AD2054" s="32" t="str">
        <f t="shared" si="2072"/>
        <v/>
      </c>
      <c r="AE2054" s="32" t="str">
        <f t="shared" si="2072"/>
        <v/>
      </c>
      <c r="AF2054" s="32" t="str">
        <f t="shared" si="2072"/>
        <v/>
      </c>
      <c r="AG2054" s="32" t="str">
        <f t="shared" si="2072"/>
        <v/>
      </c>
      <c r="AH2054" s="33"/>
    </row>
    <row r="2055" hidden="1" outlineLevel="1" collapsed="1">
      <c r="A2055" s="81" t="b">
        <v>0</v>
      </c>
      <c r="B2055" s="17"/>
      <c r="C2055" s="18"/>
      <c r="D2055" s="42">
        <v>45350.0</v>
      </c>
      <c r="E2055" s="43" t="s">
        <v>60</v>
      </c>
      <c r="F2055" s="53" t="s">
        <v>1208</v>
      </c>
      <c r="G2055" s="45">
        <v>3.0</v>
      </c>
      <c r="H2055" s="48"/>
      <c r="I2055" s="45">
        <v>5.0</v>
      </c>
      <c r="J2055" s="79"/>
      <c r="K2055" s="79"/>
      <c r="L2055" s="79"/>
      <c r="M2055" s="79"/>
      <c r="N2055" s="79"/>
      <c r="O2055" s="47"/>
      <c r="P2055" s="20" t="b">
        <v>1</v>
      </c>
      <c r="Q2055" s="24"/>
      <c r="R2055" s="48">
        <f t="shared" si="1882"/>
        <v>8</v>
      </c>
      <c r="S2055" s="45">
        <v>15.69</v>
      </c>
      <c r="T2055" s="49">
        <f t="shared" si="1883"/>
        <v>-104</v>
      </c>
      <c r="U2055" s="47"/>
      <c r="V2055" s="28" t="str">
        <f>IF(ISBLANK($D2055), "0",)</f>
        <v/>
      </c>
      <c r="W2055" s="29" t="str">
        <f t="shared" si="2024"/>
        <v/>
      </c>
      <c r="X2055" s="30"/>
      <c r="Y2055" s="84"/>
      <c r="Z2055" s="26">
        <f t="shared" si="5"/>
        <v>2.88375</v>
      </c>
      <c r="AA2055" s="26">
        <f t="shared" si="6"/>
        <v>4.80625</v>
      </c>
      <c r="AB2055" s="32" t="str">
        <f t="shared" si="7"/>
        <v/>
      </c>
      <c r="AC2055" s="32" t="str">
        <f t="shared" ref="AC2055:AG2055" si="2073">IF(J2055&lt;&gt;"", IF(AND($P2055=FALSE, $A2055=FALSE), -J2055, IF(AND($P2055=FALSE, $A2055=TRUE), 0, IF($P2055=TRUE, (J2055 / $R2055) * 100 * ($S2055 / 100)-J2055, ))), )</f>
        <v/>
      </c>
      <c r="AD2055" s="32" t="str">
        <f t="shared" si="2073"/>
        <v/>
      </c>
      <c r="AE2055" s="32" t="str">
        <f t="shared" si="2073"/>
        <v/>
      </c>
      <c r="AF2055" s="32" t="str">
        <f t="shared" si="2073"/>
        <v/>
      </c>
      <c r="AG2055" s="32" t="str">
        <f t="shared" si="2073"/>
        <v/>
      </c>
      <c r="AH2055" s="33"/>
    </row>
    <row r="2056" hidden="1" outlineLevel="3">
      <c r="A2056" s="16" t="b">
        <v>0</v>
      </c>
      <c r="B2056" s="17"/>
      <c r="C2056" s="18"/>
      <c r="D2056" s="42"/>
      <c r="E2056" s="20"/>
      <c r="F2056" s="53"/>
      <c r="G2056" s="45"/>
      <c r="H2056" s="45"/>
      <c r="I2056" s="45"/>
      <c r="J2056" s="36"/>
      <c r="K2056" s="23"/>
      <c r="L2056" s="36"/>
      <c r="M2056" s="23"/>
      <c r="N2056" s="23"/>
      <c r="O2056" s="24"/>
      <c r="P2056" s="16" t="b">
        <v>0</v>
      </c>
      <c r="Q2056" s="24"/>
      <c r="R2056" s="48" t="str">
        <f t="shared" si="1882"/>
        <v/>
      </c>
      <c r="S2056" s="26"/>
      <c r="T2056" s="49" t="str">
        <f t="shared" si="1883"/>
        <v/>
      </c>
      <c r="U2056" s="24"/>
      <c r="V2056" s="66">
        <v>30.0</v>
      </c>
      <c r="W2056" s="29" t="str">
        <f t="shared" si="2024"/>
        <v>/</v>
      </c>
      <c r="X2056" s="37" t="s">
        <v>1308</v>
      </c>
      <c r="Y2056" s="31"/>
      <c r="Z2056" s="26" t="str">
        <f t="shared" si="5"/>
        <v/>
      </c>
      <c r="AA2056" s="26" t="str">
        <f t="shared" si="6"/>
        <v/>
      </c>
      <c r="AB2056" s="32" t="str">
        <f t="shared" si="7"/>
        <v/>
      </c>
      <c r="AC2056" s="32" t="str">
        <f t="shared" ref="AC2056:AG2056" si="2074">IF(J2056&lt;&gt;"", IF(AND($P2056=FALSE, $A2056=FALSE), -J2056, IF(AND($P2056=FALSE, $A2056=TRUE), 0, IF($P2056=TRUE, (J2056 / $R2056) * 100 * ($S2056 / 100)-J2056, ))), )</f>
        <v/>
      </c>
      <c r="AD2056" s="32" t="str">
        <f t="shared" si="2074"/>
        <v/>
      </c>
      <c r="AE2056" s="32" t="str">
        <f t="shared" si="2074"/>
        <v/>
      </c>
      <c r="AF2056" s="32" t="str">
        <f t="shared" si="2074"/>
        <v/>
      </c>
      <c r="AG2056" s="32" t="str">
        <f t="shared" si="2074"/>
        <v/>
      </c>
      <c r="AH2056" s="33"/>
    </row>
    <row r="2057" hidden="1" outlineLevel="1" collapsed="1">
      <c r="A2057" s="81" t="b">
        <v>0</v>
      </c>
      <c r="B2057" s="17"/>
      <c r="C2057" s="18"/>
      <c r="D2057" s="42">
        <v>45351.0</v>
      </c>
      <c r="E2057" s="43" t="s">
        <v>60</v>
      </c>
      <c r="F2057" s="53" t="s">
        <v>1208</v>
      </c>
      <c r="G2057" s="45">
        <v>3.0</v>
      </c>
      <c r="H2057" s="48"/>
      <c r="I2057" s="45">
        <v>47.0</v>
      </c>
      <c r="J2057" s="79"/>
      <c r="K2057" s="79"/>
      <c r="L2057" s="79"/>
      <c r="M2057" s="79"/>
      <c r="N2057" s="79"/>
      <c r="O2057" s="47"/>
      <c r="P2057" s="20" t="b">
        <v>1</v>
      </c>
      <c r="Q2057" s="24"/>
      <c r="R2057" s="48">
        <f t="shared" si="1882"/>
        <v>50</v>
      </c>
      <c r="S2057" s="45">
        <v>100.0</v>
      </c>
      <c r="T2057" s="49">
        <f t="shared" si="1883"/>
        <v>-100</v>
      </c>
      <c r="U2057" s="47"/>
      <c r="V2057" s="28" t="str">
        <f>IF(ISBLANK($D2057), "0",)</f>
        <v/>
      </c>
      <c r="W2057" s="29" t="str">
        <f t="shared" si="2024"/>
        <v/>
      </c>
      <c r="X2057" s="30"/>
      <c r="Y2057" s="84"/>
      <c r="Z2057" s="26">
        <f t="shared" si="5"/>
        <v>3</v>
      </c>
      <c r="AA2057" s="26">
        <f t="shared" si="6"/>
        <v>47</v>
      </c>
      <c r="AB2057" s="32" t="str">
        <f t="shared" si="7"/>
        <v/>
      </c>
      <c r="AC2057" s="32" t="str">
        <f t="shared" ref="AC2057:AG2057" si="2075">IF(J2057&lt;&gt;"", IF(AND($P2057=FALSE, $A2057=FALSE), -J2057, IF(AND($P2057=FALSE, $A2057=TRUE), 0, IF($P2057=TRUE, (J2057 / $R2057) * 100 * ($S2057 / 100)-J2057, ))), )</f>
        <v/>
      </c>
      <c r="AD2057" s="32" t="str">
        <f t="shared" si="2075"/>
        <v/>
      </c>
      <c r="AE2057" s="32" t="str">
        <f t="shared" si="2075"/>
        <v/>
      </c>
      <c r="AF2057" s="32" t="str">
        <f t="shared" si="2075"/>
        <v/>
      </c>
      <c r="AG2057" s="32" t="str">
        <f t="shared" si="2075"/>
        <v/>
      </c>
      <c r="AH2057" s="33"/>
    </row>
    <row r="2058" hidden="1" outlineLevel="3">
      <c r="A2058" s="16" t="b">
        <v>0</v>
      </c>
      <c r="B2058" s="17"/>
      <c r="C2058" s="18"/>
      <c r="D2058" s="42"/>
      <c r="E2058" s="20"/>
      <c r="F2058" s="53"/>
      <c r="G2058" s="45"/>
      <c r="H2058" s="45"/>
      <c r="I2058" s="45"/>
      <c r="J2058" s="36"/>
      <c r="K2058" s="23"/>
      <c r="L2058" s="36"/>
      <c r="M2058" s="23"/>
      <c r="N2058" s="23"/>
      <c r="O2058" s="24"/>
      <c r="P2058" s="16" t="b">
        <v>0</v>
      </c>
      <c r="Q2058" s="24"/>
      <c r="R2058" s="48" t="str">
        <f t="shared" si="1882"/>
        <v/>
      </c>
      <c r="S2058" s="26"/>
      <c r="T2058" s="49" t="str">
        <f t="shared" si="1883"/>
        <v/>
      </c>
      <c r="U2058" s="24"/>
      <c r="V2058" s="66">
        <v>8.0</v>
      </c>
      <c r="W2058" s="29" t="str">
        <f t="shared" si="2024"/>
        <v>/</v>
      </c>
      <c r="X2058" s="37" t="s">
        <v>1309</v>
      </c>
      <c r="Y2058" s="31"/>
      <c r="Z2058" s="26" t="str">
        <f t="shared" si="5"/>
        <v/>
      </c>
      <c r="AA2058" s="26" t="str">
        <f t="shared" si="6"/>
        <v/>
      </c>
      <c r="AB2058" s="32" t="str">
        <f t="shared" si="7"/>
        <v/>
      </c>
      <c r="AC2058" s="32" t="str">
        <f t="shared" ref="AC2058:AG2058" si="2076">IF(J2058&lt;&gt;"", IF(AND($P2058=FALSE, $A2058=FALSE), -J2058, IF(AND($P2058=FALSE, $A2058=TRUE), 0, IF($P2058=TRUE, (J2058 / $R2058) * 100 * ($S2058 / 100)-J2058, ))), )</f>
        <v/>
      </c>
      <c r="AD2058" s="32" t="str">
        <f t="shared" si="2076"/>
        <v/>
      </c>
      <c r="AE2058" s="32" t="str">
        <f t="shared" si="2076"/>
        <v/>
      </c>
      <c r="AF2058" s="32" t="str">
        <f t="shared" si="2076"/>
        <v/>
      </c>
      <c r="AG2058" s="32" t="str">
        <f t="shared" si="2076"/>
        <v/>
      </c>
      <c r="AH2058" s="33"/>
    </row>
    <row r="2059" hidden="1" outlineLevel="2" collapsed="1">
      <c r="A2059" s="81" t="b">
        <v>0</v>
      </c>
      <c r="B2059" s="17"/>
      <c r="C2059" s="18"/>
      <c r="D2059" s="42">
        <v>45351.0</v>
      </c>
      <c r="E2059" s="43" t="s">
        <v>60</v>
      </c>
      <c r="F2059" s="53" t="s">
        <v>1208</v>
      </c>
      <c r="G2059" s="45">
        <v>3.0</v>
      </c>
      <c r="H2059" s="48"/>
      <c r="I2059" s="45">
        <v>3.0</v>
      </c>
      <c r="J2059" s="79"/>
      <c r="K2059" s="79"/>
      <c r="L2059" s="79"/>
      <c r="M2059" s="79"/>
      <c r="N2059" s="79"/>
      <c r="O2059" s="47"/>
      <c r="P2059" s="20" t="b">
        <v>0</v>
      </c>
      <c r="Q2059" s="24"/>
      <c r="R2059" s="48">
        <f t="shared" si="1882"/>
        <v>6</v>
      </c>
      <c r="S2059" s="45">
        <v>19.94</v>
      </c>
      <c r="T2059" s="49" t="str">
        <f t="shared" si="1883"/>
        <v>+232</v>
      </c>
      <c r="U2059" s="47"/>
      <c r="V2059" s="34"/>
      <c r="W2059" s="29" t="str">
        <f t="shared" si="2024"/>
        <v/>
      </c>
      <c r="X2059" s="30"/>
      <c r="Y2059" s="84"/>
      <c r="Z2059" s="26">
        <f t="shared" si="5"/>
        <v>-3</v>
      </c>
      <c r="AA2059" s="26">
        <f t="shared" si="6"/>
        <v>-3</v>
      </c>
      <c r="AB2059" s="32" t="str">
        <f t="shared" si="7"/>
        <v/>
      </c>
      <c r="AC2059" s="32" t="str">
        <f t="shared" ref="AC2059:AG2059" si="2077">IF(J2059&lt;&gt;"", IF(AND($P2059=FALSE, $A2059=FALSE), -J2059, IF(AND($P2059=FALSE, $A2059=TRUE), 0, IF($P2059=TRUE, (J2059 / $R2059) * 100 * ($S2059 / 100)-J2059, ))), )</f>
        <v/>
      </c>
      <c r="AD2059" s="32" t="str">
        <f t="shared" si="2077"/>
        <v/>
      </c>
      <c r="AE2059" s="32" t="str">
        <f t="shared" si="2077"/>
        <v/>
      </c>
      <c r="AF2059" s="32" t="str">
        <f t="shared" si="2077"/>
        <v/>
      </c>
      <c r="AG2059" s="32" t="str">
        <f t="shared" si="2077"/>
        <v/>
      </c>
      <c r="AH2059" s="33"/>
    </row>
    <row r="2060" hidden="1" outlineLevel="3">
      <c r="A2060" s="16" t="b">
        <v>0</v>
      </c>
      <c r="B2060" s="17"/>
      <c r="C2060" s="18"/>
      <c r="D2060" s="42"/>
      <c r="E2060" s="20"/>
      <c r="F2060" s="53"/>
      <c r="G2060" s="45"/>
      <c r="H2060" s="45"/>
      <c r="I2060" s="45"/>
      <c r="J2060" s="36"/>
      <c r="K2060" s="23"/>
      <c r="L2060" s="36"/>
      <c r="M2060" s="23"/>
      <c r="N2060" s="23"/>
      <c r="O2060" s="24"/>
      <c r="P2060" s="16" t="b">
        <v>0</v>
      </c>
      <c r="Q2060" s="24"/>
      <c r="R2060" s="48" t="str">
        <f t="shared" si="1882"/>
        <v/>
      </c>
      <c r="S2060" s="26"/>
      <c r="T2060" s="49" t="str">
        <f t="shared" si="1883"/>
        <v/>
      </c>
      <c r="U2060" s="24"/>
      <c r="V2060" s="66">
        <v>10.0</v>
      </c>
      <c r="W2060" s="29" t="str">
        <f t="shared" si="2024"/>
        <v>/</v>
      </c>
      <c r="X2060" s="37" t="s">
        <v>1310</v>
      </c>
      <c r="Y2060" s="31"/>
      <c r="Z2060" s="26" t="str">
        <f t="shared" si="5"/>
        <v/>
      </c>
      <c r="AA2060" s="26" t="str">
        <f t="shared" si="6"/>
        <v/>
      </c>
      <c r="AB2060" s="32" t="str">
        <f t="shared" si="7"/>
        <v/>
      </c>
      <c r="AC2060" s="32" t="str">
        <f t="shared" ref="AC2060:AG2060" si="2078">IF(J2060&lt;&gt;"", IF(AND($P2060=FALSE, $A2060=FALSE), -J2060, IF(AND($P2060=FALSE, $A2060=TRUE), 0, IF($P2060=TRUE, (J2060 / $R2060) * 100 * ($S2060 / 100)-J2060, ))), )</f>
        <v/>
      </c>
      <c r="AD2060" s="32" t="str">
        <f t="shared" si="2078"/>
        <v/>
      </c>
      <c r="AE2060" s="32" t="str">
        <f t="shared" si="2078"/>
        <v/>
      </c>
      <c r="AF2060" s="32" t="str">
        <f t="shared" si="2078"/>
        <v/>
      </c>
      <c r="AG2060" s="32" t="str">
        <f t="shared" si="2078"/>
        <v/>
      </c>
      <c r="AH2060" s="33"/>
    </row>
    <row r="2061" hidden="1" outlineLevel="3">
      <c r="A2061" s="16" t="b">
        <v>0</v>
      </c>
      <c r="B2061" s="17"/>
      <c r="C2061" s="18"/>
      <c r="D2061" s="42"/>
      <c r="E2061" s="20"/>
      <c r="F2061" s="53"/>
      <c r="G2061" s="45"/>
      <c r="H2061" s="45"/>
      <c r="I2061" s="45"/>
      <c r="J2061" s="36"/>
      <c r="K2061" s="23"/>
      <c r="L2061" s="36"/>
      <c r="M2061" s="23"/>
      <c r="N2061" s="23"/>
      <c r="O2061" s="24"/>
      <c r="P2061" s="16" t="b">
        <v>0</v>
      </c>
      <c r="Q2061" s="24"/>
      <c r="R2061" s="48" t="str">
        <f t="shared" si="1882"/>
        <v/>
      </c>
      <c r="S2061" s="26"/>
      <c r="T2061" s="49" t="str">
        <f t="shared" si="1883"/>
        <v/>
      </c>
      <c r="U2061" s="24"/>
      <c r="V2061" s="66">
        <v>3.0</v>
      </c>
      <c r="W2061" s="29" t="str">
        <f t="shared" si="2024"/>
        <v>/</v>
      </c>
      <c r="X2061" s="37" t="s">
        <v>1311</v>
      </c>
      <c r="Y2061" s="31"/>
      <c r="Z2061" s="26" t="str">
        <f t="shared" si="5"/>
        <v/>
      </c>
      <c r="AA2061" s="26" t="str">
        <f t="shared" si="6"/>
        <v/>
      </c>
      <c r="AB2061" s="32" t="str">
        <f t="shared" si="7"/>
        <v/>
      </c>
      <c r="AC2061" s="32" t="str">
        <f t="shared" ref="AC2061:AG2061" si="2079">IF(J2061&lt;&gt;"", IF(AND($P2061=FALSE, $A2061=FALSE), -J2061, IF(AND($P2061=FALSE, $A2061=TRUE), 0, IF($P2061=TRUE, (J2061 / $R2061) * 100 * ($S2061 / 100)-J2061, ))), )</f>
        <v/>
      </c>
      <c r="AD2061" s="32" t="str">
        <f t="shared" si="2079"/>
        <v/>
      </c>
      <c r="AE2061" s="32" t="str">
        <f t="shared" si="2079"/>
        <v/>
      </c>
      <c r="AF2061" s="32" t="str">
        <f t="shared" si="2079"/>
        <v/>
      </c>
      <c r="AG2061" s="32" t="str">
        <f t="shared" si="2079"/>
        <v/>
      </c>
      <c r="AH2061" s="33"/>
    </row>
    <row r="2062" hidden="1" outlineLevel="2" collapsed="1">
      <c r="A2062" s="81" t="b">
        <v>0</v>
      </c>
      <c r="B2062" s="17"/>
      <c r="C2062" s="18"/>
      <c r="D2062" s="42">
        <v>45351.0</v>
      </c>
      <c r="E2062" s="43" t="s">
        <v>60</v>
      </c>
      <c r="F2062" s="53" t="s">
        <v>1208</v>
      </c>
      <c r="G2062" s="45">
        <v>3.0</v>
      </c>
      <c r="H2062" s="48"/>
      <c r="I2062" s="45">
        <v>3.0</v>
      </c>
      <c r="J2062" s="79"/>
      <c r="K2062" s="79"/>
      <c r="L2062" s="79"/>
      <c r="M2062" s="79"/>
      <c r="N2062" s="79"/>
      <c r="O2062" s="47"/>
      <c r="P2062" s="20" t="b">
        <v>0</v>
      </c>
      <c r="Q2062" s="24"/>
      <c r="R2062" s="48">
        <f t="shared" si="1882"/>
        <v>6</v>
      </c>
      <c r="S2062" s="45">
        <v>17.89</v>
      </c>
      <c r="T2062" s="49" t="str">
        <f t="shared" si="1883"/>
        <v>+198</v>
      </c>
      <c r="U2062" s="47"/>
      <c r="V2062" s="28" t="str">
        <f>IF(ISBLANK($D2062), "0",)</f>
        <v/>
      </c>
      <c r="W2062" s="29" t="str">
        <f t="shared" si="2024"/>
        <v/>
      </c>
      <c r="X2062" s="30"/>
      <c r="Y2062" s="84"/>
      <c r="Z2062" s="26">
        <f t="shared" si="5"/>
        <v>-3</v>
      </c>
      <c r="AA2062" s="26">
        <f t="shared" si="6"/>
        <v>-3</v>
      </c>
      <c r="AB2062" s="32" t="str">
        <f t="shared" si="7"/>
        <v/>
      </c>
      <c r="AC2062" s="32" t="str">
        <f t="shared" ref="AC2062:AG2062" si="2080">IF(J2062&lt;&gt;"", IF(AND($P2062=FALSE, $A2062=FALSE), -J2062, IF(AND($P2062=FALSE, $A2062=TRUE), 0, IF($P2062=TRUE, (J2062 / $R2062) * 100 * ($S2062 / 100)-J2062, ))), )</f>
        <v/>
      </c>
      <c r="AD2062" s="32" t="str">
        <f t="shared" si="2080"/>
        <v/>
      </c>
      <c r="AE2062" s="32" t="str">
        <f t="shared" si="2080"/>
        <v/>
      </c>
      <c r="AF2062" s="32" t="str">
        <f t="shared" si="2080"/>
        <v/>
      </c>
      <c r="AG2062" s="32" t="str">
        <f t="shared" si="2080"/>
        <v/>
      </c>
      <c r="AH2062" s="33"/>
    </row>
    <row r="2063" hidden="1" outlineLevel="3">
      <c r="A2063" s="16" t="b">
        <v>0</v>
      </c>
      <c r="B2063" s="17"/>
      <c r="C2063" s="18"/>
      <c r="D2063" s="42"/>
      <c r="E2063" s="20"/>
      <c r="F2063" s="53"/>
      <c r="G2063" s="45"/>
      <c r="H2063" s="45"/>
      <c r="I2063" s="45"/>
      <c r="J2063" s="36"/>
      <c r="K2063" s="23"/>
      <c r="L2063" s="36"/>
      <c r="M2063" s="23"/>
      <c r="N2063" s="23"/>
      <c r="O2063" s="24"/>
      <c r="P2063" s="16" t="b">
        <v>0</v>
      </c>
      <c r="Q2063" s="24"/>
      <c r="R2063" s="48" t="str">
        <f t="shared" si="1882"/>
        <v/>
      </c>
      <c r="S2063" s="26"/>
      <c r="T2063" s="49" t="str">
        <f t="shared" si="1883"/>
        <v/>
      </c>
      <c r="U2063" s="24"/>
      <c r="V2063" s="66">
        <v>18.0</v>
      </c>
      <c r="W2063" s="29" t="str">
        <f t="shared" si="2024"/>
        <v>/</v>
      </c>
      <c r="X2063" s="37" t="s">
        <v>1312</v>
      </c>
      <c r="Y2063" s="31"/>
      <c r="Z2063" s="26" t="str">
        <f t="shared" si="5"/>
        <v/>
      </c>
      <c r="AA2063" s="26" t="str">
        <f t="shared" si="6"/>
        <v/>
      </c>
      <c r="AB2063" s="32" t="str">
        <f t="shared" si="7"/>
        <v/>
      </c>
      <c r="AC2063" s="32" t="str">
        <f t="shared" ref="AC2063:AG2063" si="2081">IF(J2063&lt;&gt;"", IF(AND($P2063=FALSE, $A2063=FALSE), -J2063, IF(AND($P2063=FALSE, $A2063=TRUE), 0, IF($P2063=TRUE, (J2063 / $R2063) * 100 * ($S2063 / 100)-J2063, ))), )</f>
        <v/>
      </c>
      <c r="AD2063" s="32" t="str">
        <f t="shared" si="2081"/>
        <v/>
      </c>
      <c r="AE2063" s="32" t="str">
        <f t="shared" si="2081"/>
        <v/>
      </c>
      <c r="AF2063" s="32" t="str">
        <f t="shared" si="2081"/>
        <v/>
      </c>
      <c r="AG2063" s="32" t="str">
        <f t="shared" si="2081"/>
        <v/>
      </c>
      <c r="AH2063" s="33"/>
    </row>
    <row r="2064" hidden="1" outlineLevel="3">
      <c r="A2064" s="16" t="b">
        <v>0</v>
      </c>
      <c r="B2064" s="17"/>
      <c r="C2064" s="18"/>
      <c r="D2064" s="42"/>
      <c r="E2064" s="20"/>
      <c r="F2064" s="53"/>
      <c r="G2064" s="45"/>
      <c r="H2064" s="45"/>
      <c r="I2064" s="45"/>
      <c r="J2064" s="36"/>
      <c r="K2064" s="23"/>
      <c r="L2064" s="36"/>
      <c r="M2064" s="23"/>
      <c r="N2064" s="23"/>
      <c r="O2064" s="24"/>
      <c r="P2064" s="16" t="b">
        <v>0</v>
      </c>
      <c r="Q2064" s="24"/>
      <c r="R2064" s="48" t="str">
        <f t="shared" si="1882"/>
        <v/>
      </c>
      <c r="S2064" s="26"/>
      <c r="T2064" s="49" t="str">
        <f t="shared" si="1883"/>
        <v/>
      </c>
      <c r="U2064" s="24"/>
      <c r="V2064" s="66">
        <v>2.0</v>
      </c>
      <c r="W2064" s="29" t="str">
        <f t="shared" si="2024"/>
        <v>/</v>
      </c>
      <c r="X2064" s="37" t="s">
        <v>1313</v>
      </c>
      <c r="Y2064" s="31"/>
      <c r="Z2064" s="26" t="str">
        <f t="shared" si="5"/>
        <v/>
      </c>
      <c r="AA2064" s="26" t="str">
        <f t="shared" si="6"/>
        <v/>
      </c>
      <c r="AB2064" s="32" t="str">
        <f t="shared" si="7"/>
        <v/>
      </c>
      <c r="AC2064" s="32" t="str">
        <f t="shared" ref="AC2064:AG2064" si="2082">IF(J2064&lt;&gt;"", IF(AND($P2064=FALSE, $A2064=FALSE), -J2064, IF(AND($P2064=FALSE, $A2064=TRUE), 0, IF($P2064=TRUE, (J2064 / $R2064) * 100 * ($S2064 / 100)-J2064, ))), )</f>
        <v/>
      </c>
      <c r="AD2064" s="32" t="str">
        <f t="shared" si="2082"/>
        <v/>
      </c>
      <c r="AE2064" s="32" t="str">
        <f t="shared" si="2082"/>
        <v/>
      </c>
      <c r="AF2064" s="32" t="str">
        <f t="shared" si="2082"/>
        <v/>
      </c>
      <c r="AG2064" s="32" t="str">
        <f t="shared" si="2082"/>
        <v/>
      </c>
      <c r="AH2064" s="33"/>
    </row>
    <row r="2065" hidden="1" outlineLevel="2">
      <c r="A2065" s="81" t="b">
        <v>0</v>
      </c>
      <c r="B2065" s="17"/>
      <c r="C2065" s="18"/>
      <c r="D2065" s="42">
        <v>45351.0</v>
      </c>
      <c r="E2065" s="43" t="s">
        <v>60</v>
      </c>
      <c r="F2065" s="53" t="s">
        <v>1208</v>
      </c>
      <c r="G2065" s="45">
        <v>1.5</v>
      </c>
      <c r="H2065" s="48"/>
      <c r="I2065" s="45">
        <v>1.5</v>
      </c>
      <c r="J2065" s="79"/>
      <c r="K2065" s="79"/>
      <c r="L2065" s="79"/>
      <c r="M2065" s="79"/>
      <c r="N2065" s="79"/>
      <c r="O2065" s="47"/>
      <c r="P2065" s="20" t="b">
        <v>0</v>
      </c>
      <c r="Q2065" s="24"/>
      <c r="R2065" s="48">
        <f t="shared" si="1882"/>
        <v>3</v>
      </c>
      <c r="S2065" s="45">
        <v>14.62</v>
      </c>
      <c r="T2065" s="49" t="str">
        <f t="shared" si="1883"/>
        <v>+387</v>
      </c>
      <c r="U2065" s="47"/>
      <c r="V2065" s="28" t="str">
        <f>IF(ISBLANK($D2065), "0",)</f>
        <v/>
      </c>
      <c r="W2065" s="29" t="str">
        <f t="shared" si="2024"/>
        <v/>
      </c>
      <c r="X2065" s="30"/>
      <c r="Y2065" s="84"/>
      <c r="Z2065" s="26">
        <f t="shared" si="5"/>
        <v>-1.5</v>
      </c>
      <c r="AA2065" s="26">
        <f t="shared" si="6"/>
        <v>-1.5</v>
      </c>
      <c r="AB2065" s="32" t="str">
        <f t="shared" si="7"/>
        <v/>
      </c>
      <c r="AC2065" s="32" t="str">
        <f t="shared" ref="AC2065:AG2065" si="2083">IF(J2065&lt;&gt;"", IF(AND($P2065=FALSE, $A2065=FALSE), -J2065, IF(AND($P2065=FALSE, $A2065=TRUE), 0, IF($P2065=TRUE, (J2065 / $R2065) * 100 * ($S2065 / 100)-J2065, ))), )</f>
        <v/>
      </c>
      <c r="AD2065" s="32" t="str">
        <f t="shared" si="2083"/>
        <v/>
      </c>
      <c r="AE2065" s="32" t="str">
        <f t="shared" si="2083"/>
        <v/>
      </c>
      <c r="AF2065" s="32" t="str">
        <f t="shared" si="2083"/>
        <v/>
      </c>
      <c r="AG2065" s="32" t="str">
        <f t="shared" si="2083"/>
        <v/>
      </c>
      <c r="AH2065" s="33"/>
    </row>
    <row r="2066" hidden="1" outlineLevel="3">
      <c r="A2066" s="16" t="b">
        <v>0</v>
      </c>
      <c r="B2066" s="17"/>
      <c r="C2066" s="18"/>
      <c r="D2066" s="42"/>
      <c r="E2066" s="20"/>
      <c r="F2066" s="53"/>
      <c r="G2066" s="45"/>
      <c r="H2066" s="45"/>
      <c r="I2066" s="45"/>
      <c r="J2066" s="36"/>
      <c r="K2066" s="23"/>
      <c r="L2066" s="36"/>
      <c r="M2066" s="23"/>
      <c r="N2066" s="23"/>
      <c r="O2066" s="24"/>
      <c r="P2066" s="16" t="b">
        <v>0</v>
      </c>
      <c r="Q2066" s="24"/>
      <c r="R2066" s="48" t="str">
        <f t="shared" si="1882"/>
        <v/>
      </c>
      <c r="S2066" s="26"/>
      <c r="T2066" s="49" t="str">
        <f t="shared" si="1883"/>
        <v/>
      </c>
      <c r="U2066" s="24"/>
      <c r="V2066" s="66" t="s">
        <v>1314</v>
      </c>
      <c r="W2066" s="29" t="str">
        <f t="shared" si="2024"/>
        <v>/</v>
      </c>
      <c r="X2066" s="37" t="s">
        <v>1315</v>
      </c>
      <c r="Y2066" s="31"/>
      <c r="Z2066" s="26" t="str">
        <f t="shared" si="5"/>
        <v/>
      </c>
      <c r="AA2066" s="26" t="str">
        <f t="shared" si="6"/>
        <v/>
      </c>
      <c r="AB2066" s="32" t="str">
        <f t="shared" si="7"/>
        <v/>
      </c>
      <c r="AC2066" s="32" t="str">
        <f t="shared" ref="AC2066:AG2066" si="2084">IF(J2066&lt;&gt;"", IF(AND($P2066=FALSE, $A2066=FALSE), -J2066, IF(AND($P2066=FALSE, $A2066=TRUE), 0, IF($P2066=TRUE, (J2066 / $R2066) * 100 * ($S2066 / 100)-J2066, ))), )</f>
        <v/>
      </c>
      <c r="AD2066" s="32" t="str">
        <f t="shared" si="2084"/>
        <v/>
      </c>
      <c r="AE2066" s="32" t="str">
        <f t="shared" si="2084"/>
        <v/>
      </c>
      <c r="AF2066" s="32" t="str">
        <f t="shared" si="2084"/>
        <v/>
      </c>
      <c r="AG2066" s="32" t="str">
        <f t="shared" si="2084"/>
        <v/>
      </c>
      <c r="AH2066" s="33"/>
    </row>
    <row r="2067" hidden="1" outlineLevel="3">
      <c r="A2067" s="16" t="b">
        <v>0</v>
      </c>
      <c r="B2067" s="17"/>
      <c r="C2067" s="18"/>
      <c r="D2067" s="42"/>
      <c r="E2067" s="20"/>
      <c r="F2067" s="53"/>
      <c r="G2067" s="45"/>
      <c r="H2067" s="45"/>
      <c r="I2067" s="45"/>
      <c r="J2067" s="36"/>
      <c r="K2067" s="23"/>
      <c r="L2067" s="36"/>
      <c r="M2067" s="23"/>
      <c r="N2067" s="23"/>
      <c r="O2067" s="24"/>
      <c r="P2067" s="16" t="b">
        <v>0</v>
      </c>
      <c r="Q2067" s="24"/>
      <c r="R2067" s="48" t="str">
        <f t="shared" si="1882"/>
        <v/>
      </c>
      <c r="S2067" s="26"/>
      <c r="T2067" s="49" t="str">
        <f t="shared" si="1883"/>
        <v/>
      </c>
      <c r="U2067" s="24"/>
      <c r="V2067" s="66">
        <v>2.0</v>
      </c>
      <c r="W2067" s="29" t="str">
        <f t="shared" si="2024"/>
        <v>/</v>
      </c>
      <c r="X2067" s="37" t="s">
        <v>1316</v>
      </c>
      <c r="Y2067" s="31"/>
      <c r="Z2067" s="26" t="str">
        <f t="shared" si="5"/>
        <v/>
      </c>
      <c r="AA2067" s="26" t="str">
        <f t="shared" si="6"/>
        <v/>
      </c>
      <c r="AB2067" s="32" t="str">
        <f t="shared" si="7"/>
        <v/>
      </c>
      <c r="AC2067" s="32" t="str">
        <f t="shared" ref="AC2067:AG2067" si="2085">IF(J2067&lt;&gt;"", IF(AND($P2067=FALSE, $A2067=FALSE), -J2067, IF(AND($P2067=FALSE, $A2067=TRUE), 0, IF($P2067=TRUE, (J2067 / $R2067) * 100 * ($S2067 / 100)-J2067, ))), )</f>
        <v/>
      </c>
      <c r="AD2067" s="32" t="str">
        <f t="shared" si="2085"/>
        <v/>
      </c>
      <c r="AE2067" s="32" t="str">
        <f t="shared" si="2085"/>
        <v/>
      </c>
      <c r="AF2067" s="32" t="str">
        <f t="shared" si="2085"/>
        <v/>
      </c>
      <c r="AG2067" s="32" t="str">
        <f t="shared" si="2085"/>
        <v/>
      </c>
      <c r="AH2067" s="33"/>
    </row>
    <row r="2068" hidden="1" outlineLevel="1" collapsed="1">
      <c r="A2068" s="81" t="b">
        <v>0</v>
      </c>
      <c r="B2068" s="17"/>
      <c r="C2068" s="18"/>
      <c r="D2068" s="42">
        <v>45352.0</v>
      </c>
      <c r="E2068" s="43" t="s">
        <v>60</v>
      </c>
      <c r="F2068" s="53" t="s">
        <v>1317</v>
      </c>
      <c r="G2068" s="45">
        <v>3.0</v>
      </c>
      <c r="H2068" s="48"/>
      <c r="I2068" s="45">
        <v>3.0</v>
      </c>
      <c r="J2068" s="79"/>
      <c r="K2068" s="79"/>
      <c r="L2068" s="79"/>
      <c r="M2068" s="79"/>
      <c r="N2068" s="79"/>
      <c r="O2068" s="47"/>
      <c r="P2068" s="20" t="b">
        <v>0</v>
      </c>
      <c r="Q2068" s="24"/>
      <c r="R2068" s="48">
        <f t="shared" si="1882"/>
        <v>6</v>
      </c>
      <c r="S2068" s="45">
        <v>19.65</v>
      </c>
      <c r="T2068" s="49" t="str">
        <f t="shared" si="1883"/>
        <v>+228</v>
      </c>
      <c r="U2068" s="47"/>
      <c r="V2068" s="28" t="str">
        <f>IF(ISBLANK($D2068), "0",)</f>
        <v/>
      </c>
      <c r="W2068" s="29" t="str">
        <f t="shared" si="2024"/>
        <v/>
      </c>
      <c r="X2068" s="30"/>
      <c r="Y2068" s="84"/>
      <c r="Z2068" s="26">
        <f t="shared" si="5"/>
        <v>-3</v>
      </c>
      <c r="AA2068" s="26">
        <f t="shared" si="6"/>
        <v>-3</v>
      </c>
      <c r="AB2068" s="32" t="str">
        <f t="shared" si="7"/>
        <v/>
      </c>
      <c r="AC2068" s="32" t="str">
        <f t="shared" ref="AC2068:AG2068" si="2086">IF(J2068&lt;&gt;"", IF(AND($P2068=FALSE, $A2068=FALSE), -J2068, IF(AND($P2068=FALSE, $A2068=TRUE), 0, IF($P2068=TRUE, (J2068 / $R2068) * 100 * ($S2068 / 100)-J2068, ))), )</f>
        <v/>
      </c>
      <c r="AD2068" s="32" t="str">
        <f t="shared" si="2086"/>
        <v/>
      </c>
      <c r="AE2068" s="32" t="str">
        <f t="shared" si="2086"/>
        <v/>
      </c>
      <c r="AF2068" s="32" t="str">
        <f t="shared" si="2086"/>
        <v/>
      </c>
      <c r="AG2068" s="32" t="str">
        <f t="shared" si="2086"/>
        <v/>
      </c>
      <c r="AH2068" s="33"/>
    </row>
    <row r="2069" hidden="1" outlineLevel="3">
      <c r="A2069" s="16" t="b">
        <v>0</v>
      </c>
      <c r="B2069" s="17"/>
      <c r="C2069" s="18"/>
      <c r="D2069" s="42"/>
      <c r="E2069" s="20"/>
      <c r="F2069" s="53"/>
      <c r="G2069" s="45"/>
      <c r="H2069" s="45"/>
      <c r="I2069" s="45"/>
      <c r="J2069" s="36"/>
      <c r="K2069" s="23"/>
      <c r="L2069" s="36"/>
      <c r="M2069" s="23"/>
      <c r="N2069" s="23"/>
      <c r="O2069" s="24"/>
      <c r="P2069" s="16" t="b">
        <v>0</v>
      </c>
      <c r="Q2069" s="24"/>
      <c r="R2069" s="48" t="str">
        <f t="shared" si="1882"/>
        <v/>
      </c>
      <c r="S2069" s="26"/>
      <c r="T2069" s="49" t="str">
        <f t="shared" si="1883"/>
        <v/>
      </c>
      <c r="U2069" s="24"/>
      <c r="V2069" s="66">
        <v>11.0</v>
      </c>
      <c r="W2069" s="29" t="str">
        <f t="shared" si="2024"/>
        <v>/</v>
      </c>
      <c r="X2069" s="37" t="s">
        <v>1318</v>
      </c>
      <c r="Y2069" s="31"/>
      <c r="Z2069" s="26" t="str">
        <f t="shared" si="5"/>
        <v/>
      </c>
      <c r="AA2069" s="26" t="str">
        <f t="shared" si="6"/>
        <v/>
      </c>
      <c r="AB2069" s="32" t="str">
        <f t="shared" si="7"/>
        <v/>
      </c>
      <c r="AC2069" s="32" t="str">
        <f t="shared" ref="AC2069:AG2069" si="2087">IF(J2069&lt;&gt;"", IF(AND($P2069=FALSE, $A2069=FALSE), -J2069, IF(AND($P2069=FALSE, $A2069=TRUE), 0, IF($P2069=TRUE, (J2069 / $R2069) * 100 * ($S2069 / 100)-J2069, ))), )</f>
        <v/>
      </c>
      <c r="AD2069" s="32" t="str">
        <f t="shared" si="2087"/>
        <v/>
      </c>
      <c r="AE2069" s="32" t="str">
        <f t="shared" si="2087"/>
        <v/>
      </c>
      <c r="AF2069" s="32" t="str">
        <f t="shared" si="2087"/>
        <v/>
      </c>
      <c r="AG2069" s="32" t="str">
        <f t="shared" si="2087"/>
        <v/>
      </c>
      <c r="AH2069" s="33"/>
    </row>
    <row r="2070" hidden="1" outlineLevel="3">
      <c r="A2070" s="16" t="b">
        <v>0</v>
      </c>
      <c r="B2070" s="17"/>
      <c r="C2070" s="18"/>
      <c r="D2070" s="42"/>
      <c r="E2070" s="20"/>
      <c r="F2070" s="53"/>
      <c r="G2070" s="45"/>
      <c r="H2070" s="45"/>
      <c r="I2070" s="45"/>
      <c r="J2070" s="36"/>
      <c r="K2070" s="23"/>
      <c r="L2070" s="36"/>
      <c r="M2070" s="23"/>
      <c r="N2070" s="23"/>
      <c r="O2070" s="24"/>
      <c r="P2070" s="16" t="b">
        <v>0</v>
      </c>
      <c r="Q2070" s="24"/>
      <c r="R2070" s="48" t="str">
        <f t="shared" si="1882"/>
        <v/>
      </c>
      <c r="S2070" s="26"/>
      <c r="T2070" s="49" t="str">
        <f t="shared" si="1883"/>
        <v/>
      </c>
      <c r="U2070" s="24"/>
      <c r="V2070" s="66">
        <v>6.0</v>
      </c>
      <c r="W2070" s="29" t="str">
        <f t="shared" si="2024"/>
        <v>/</v>
      </c>
      <c r="X2070" s="37" t="s">
        <v>1319</v>
      </c>
      <c r="Y2070" s="31"/>
      <c r="Z2070" s="26" t="str">
        <f t="shared" si="5"/>
        <v/>
      </c>
      <c r="AA2070" s="26" t="str">
        <f t="shared" si="6"/>
        <v/>
      </c>
      <c r="AB2070" s="32" t="str">
        <f t="shared" si="7"/>
        <v/>
      </c>
      <c r="AC2070" s="32" t="str">
        <f t="shared" ref="AC2070:AG2070" si="2088">IF(J2070&lt;&gt;"", IF(AND($P2070=FALSE, $A2070=FALSE), -J2070, IF(AND($P2070=FALSE, $A2070=TRUE), 0, IF($P2070=TRUE, (J2070 / $R2070) * 100 * ($S2070 / 100)-J2070, ))), )</f>
        <v/>
      </c>
      <c r="AD2070" s="32" t="str">
        <f t="shared" si="2088"/>
        <v/>
      </c>
      <c r="AE2070" s="32" t="str">
        <f t="shared" si="2088"/>
        <v/>
      </c>
      <c r="AF2070" s="32" t="str">
        <f t="shared" si="2088"/>
        <v/>
      </c>
      <c r="AG2070" s="32" t="str">
        <f t="shared" si="2088"/>
        <v/>
      </c>
      <c r="AH2070" s="33"/>
    </row>
    <row r="2071" hidden="1" outlineLevel="2">
      <c r="A2071" s="81" t="b">
        <v>0</v>
      </c>
      <c r="B2071" s="17"/>
      <c r="C2071" s="18"/>
      <c r="D2071" s="42">
        <v>45352.0</v>
      </c>
      <c r="E2071" s="43" t="s">
        <v>60</v>
      </c>
      <c r="F2071" s="53" t="s">
        <v>1317</v>
      </c>
      <c r="G2071" s="45">
        <v>3.0</v>
      </c>
      <c r="H2071" s="48"/>
      <c r="I2071" s="45">
        <v>3.0</v>
      </c>
      <c r="J2071" s="79"/>
      <c r="K2071" s="79"/>
      <c r="L2071" s="79"/>
      <c r="M2071" s="79"/>
      <c r="N2071" s="79"/>
      <c r="O2071" s="47"/>
      <c r="P2071" s="20" t="b">
        <v>1</v>
      </c>
      <c r="Q2071" s="24"/>
      <c r="R2071" s="48">
        <f t="shared" si="1882"/>
        <v>6</v>
      </c>
      <c r="S2071" s="45">
        <v>21.35</v>
      </c>
      <c r="T2071" s="49" t="str">
        <f t="shared" si="1883"/>
        <v>+256</v>
      </c>
      <c r="U2071" s="47"/>
      <c r="V2071" s="28" t="str">
        <f>IF(ISBLANK($D2071), "0",)</f>
        <v/>
      </c>
      <c r="W2071" s="29" t="str">
        <f t="shared" si="2024"/>
        <v/>
      </c>
      <c r="X2071" s="30"/>
      <c r="Y2071" s="84"/>
      <c r="Z2071" s="26">
        <f t="shared" si="5"/>
        <v>7.675</v>
      </c>
      <c r="AA2071" s="26">
        <f t="shared" si="6"/>
        <v>7.675</v>
      </c>
      <c r="AB2071" s="32" t="str">
        <f t="shared" si="7"/>
        <v/>
      </c>
      <c r="AC2071" s="32" t="str">
        <f t="shared" ref="AC2071:AG2071" si="2089">IF(J2071&lt;&gt;"", IF(AND($P2071=FALSE, $A2071=FALSE), -J2071, IF(AND($P2071=FALSE, $A2071=TRUE), 0, IF($P2071=TRUE, (J2071 / $R2071) * 100 * ($S2071 / 100)-J2071, ))), )</f>
        <v/>
      </c>
      <c r="AD2071" s="32" t="str">
        <f t="shared" si="2089"/>
        <v/>
      </c>
      <c r="AE2071" s="32" t="str">
        <f t="shared" si="2089"/>
        <v/>
      </c>
      <c r="AF2071" s="32" t="str">
        <f t="shared" si="2089"/>
        <v/>
      </c>
      <c r="AG2071" s="32" t="str">
        <f t="shared" si="2089"/>
        <v/>
      </c>
      <c r="AH2071" s="33"/>
    </row>
    <row r="2072" hidden="1" outlineLevel="3">
      <c r="A2072" s="16" t="b">
        <v>0</v>
      </c>
      <c r="B2072" s="17"/>
      <c r="C2072" s="18"/>
      <c r="D2072" s="42"/>
      <c r="E2072" s="20"/>
      <c r="F2072" s="53"/>
      <c r="G2072" s="45"/>
      <c r="H2072" s="45"/>
      <c r="I2072" s="45"/>
      <c r="J2072" s="36"/>
      <c r="K2072" s="23"/>
      <c r="L2072" s="36"/>
      <c r="M2072" s="23"/>
      <c r="N2072" s="23"/>
      <c r="O2072" s="24"/>
      <c r="P2072" s="16" t="b">
        <v>0</v>
      </c>
      <c r="Q2072" s="24"/>
      <c r="R2072" s="48" t="str">
        <f t="shared" si="1882"/>
        <v/>
      </c>
      <c r="S2072" s="26"/>
      <c r="T2072" s="49" t="str">
        <f t="shared" si="1883"/>
        <v/>
      </c>
      <c r="U2072" s="24"/>
      <c r="V2072" s="66" t="s">
        <v>29</v>
      </c>
      <c r="W2072" s="29" t="str">
        <f t="shared" si="2024"/>
        <v>/</v>
      </c>
      <c r="X2072" s="37" t="s">
        <v>1320</v>
      </c>
      <c r="Y2072" s="31"/>
      <c r="Z2072" s="26" t="str">
        <f t="shared" si="5"/>
        <v/>
      </c>
      <c r="AA2072" s="26" t="str">
        <f t="shared" si="6"/>
        <v/>
      </c>
      <c r="AB2072" s="32" t="str">
        <f t="shared" si="7"/>
        <v/>
      </c>
      <c r="AC2072" s="32" t="str">
        <f t="shared" ref="AC2072:AG2072" si="2090">IF(J2072&lt;&gt;"", IF(AND($P2072=FALSE, $A2072=FALSE), -J2072, IF(AND($P2072=FALSE, $A2072=TRUE), 0, IF($P2072=TRUE, (J2072 / $R2072) * 100 * ($S2072 / 100)-J2072, ))), )</f>
        <v/>
      </c>
      <c r="AD2072" s="32" t="str">
        <f t="shared" si="2090"/>
        <v/>
      </c>
      <c r="AE2072" s="32" t="str">
        <f t="shared" si="2090"/>
        <v/>
      </c>
      <c r="AF2072" s="32" t="str">
        <f t="shared" si="2090"/>
        <v/>
      </c>
      <c r="AG2072" s="32" t="str">
        <f t="shared" si="2090"/>
        <v/>
      </c>
      <c r="AH2072" s="33"/>
    </row>
    <row r="2073" hidden="1" outlineLevel="3">
      <c r="A2073" s="16" t="b">
        <v>0</v>
      </c>
      <c r="B2073" s="17"/>
      <c r="C2073" s="18"/>
      <c r="D2073" s="42"/>
      <c r="E2073" s="20"/>
      <c r="F2073" s="53"/>
      <c r="G2073" s="45"/>
      <c r="H2073" s="45"/>
      <c r="I2073" s="45"/>
      <c r="J2073" s="36"/>
      <c r="K2073" s="23"/>
      <c r="L2073" s="36"/>
      <c r="M2073" s="23"/>
      <c r="N2073" s="23"/>
      <c r="O2073" s="24"/>
      <c r="P2073" s="16" t="b">
        <v>0</v>
      </c>
      <c r="Q2073" s="24"/>
      <c r="R2073" s="48" t="str">
        <f t="shared" si="1882"/>
        <v/>
      </c>
      <c r="S2073" s="26"/>
      <c r="T2073" s="49" t="str">
        <f t="shared" si="1883"/>
        <v/>
      </c>
      <c r="U2073" s="24"/>
      <c r="V2073" s="66" t="s">
        <v>29</v>
      </c>
      <c r="W2073" s="29" t="str">
        <f t="shared" si="2024"/>
        <v>/</v>
      </c>
      <c r="X2073" s="37" t="s">
        <v>1321</v>
      </c>
      <c r="Y2073" s="31"/>
      <c r="Z2073" s="26" t="str">
        <f t="shared" si="5"/>
        <v/>
      </c>
      <c r="AA2073" s="26" t="str">
        <f t="shared" si="6"/>
        <v/>
      </c>
      <c r="AB2073" s="32" t="str">
        <f t="shared" si="7"/>
        <v/>
      </c>
      <c r="AC2073" s="32" t="str">
        <f t="shared" ref="AC2073:AG2073" si="2091">IF(J2073&lt;&gt;"", IF(AND($P2073=FALSE, $A2073=FALSE), -J2073, IF(AND($P2073=FALSE, $A2073=TRUE), 0, IF($P2073=TRUE, (J2073 / $R2073) * 100 * ($S2073 / 100)-J2073, ))), )</f>
        <v/>
      </c>
      <c r="AD2073" s="32" t="str">
        <f t="shared" si="2091"/>
        <v/>
      </c>
      <c r="AE2073" s="32" t="str">
        <f t="shared" si="2091"/>
        <v/>
      </c>
      <c r="AF2073" s="32" t="str">
        <f t="shared" si="2091"/>
        <v/>
      </c>
      <c r="AG2073" s="32" t="str">
        <f t="shared" si="2091"/>
        <v/>
      </c>
      <c r="AH2073" s="33"/>
    </row>
    <row r="2074" hidden="1" outlineLevel="1" collapsed="1">
      <c r="A2074" s="81" t="b">
        <v>0</v>
      </c>
      <c r="B2074" s="17"/>
      <c r="C2074" s="18"/>
      <c r="D2074" s="42">
        <v>45353.0</v>
      </c>
      <c r="E2074" s="43" t="s">
        <v>60</v>
      </c>
      <c r="F2074" s="53" t="s">
        <v>1317</v>
      </c>
      <c r="G2074" s="45">
        <v>3.0</v>
      </c>
      <c r="H2074" s="48"/>
      <c r="I2074" s="45">
        <v>5.0</v>
      </c>
      <c r="J2074" s="79"/>
      <c r="K2074" s="79"/>
      <c r="L2074" s="79"/>
      <c r="M2074" s="79"/>
      <c r="N2074" s="79"/>
      <c r="O2074" s="47"/>
      <c r="P2074" s="20" t="b">
        <v>0</v>
      </c>
      <c r="Q2074" s="24"/>
      <c r="R2074" s="48">
        <f t="shared" si="1882"/>
        <v>8</v>
      </c>
      <c r="S2074" s="45">
        <v>26.67</v>
      </c>
      <c r="T2074" s="49" t="str">
        <f t="shared" si="1883"/>
        <v>+233</v>
      </c>
      <c r="U2074" s="47"/>
      <c r="V2074" s="28" t="str">
        <f>IF(ISBLANK($D2074), "0",)</f>
        <v/>
      </c>
      <c r="W2074" s="29" t="str">
        <f t="shared" si="2024"/>
        <v/>
      </c>
      <c r="X2074" s="30"/>
      <c r="Y2074" s="84"/>
      <c r="Z2074" s="26">
        <f t="shared" si="5"/>
        <v>-3</v>
      </c>
      <c r="AA2074" s="26">
        <f t="shared" si="6"/>
        <v>-5</v>
      </c>
      <c r="AB2074" s="32" t="str">
        <f t="shared" si="7"/>
        <v/>
      </c>
      <c r="AC2074" s="32" t="str">
        <f t="shared" ref="AC2074:AG2074" si="2092">IF(J2074&lt;&gt;"", IF(AND($P2074=FALSE, $A2074=FALSE), -J2074, IF(AND($P2074=FALSE, $A2074=TRUE), 0, IF($P2074=TRUE, (J2074 / $R2074) * 100 * ($S2074 / 100)-J2074, ))), )</f>
        <v/>
      </c>
      <c r="AD2074" s="32" t="str">
        <f t="shared" si="2092"/>
        <v/>
      </c>
      <c r="AE2074" s="32" t="str">
        <f t="shared" si="2092"/>
        <v/>
      </c>
      <c r="AF2074" s="32" t="str">
        <f t="shared" si="2092"/>
        <v/>
      </c>
      <c r="AG2074" s="32" t="str">
        <f t="shared" si="2092"/>
        <v/>
      </c>
      <c r="AH2074" s="33"/>
    </row>
    <row r="2075" hidden="1" outlineLevel="3">
      <c r="A2075" s="16" t="b">
        <v>0</v>
      </c>
      <c r="B2075" s="17"/>
      <c r="C2075" s="18"/>
      <c r="D2075" s="42"/>
      <c r="E2075" s="20"/>
      <c r="F2075" s="53"/>
      <c r="G2075" s="45"/>
      <c r="H2075" s="45"/>
      <c r="I2075" s="45"/>
      <c r="J2075" s="36"/>
      <c r="K2075" s="23"/>
      <c r="L2075" s="36"/>
      <c r="M2075" s="23"/>
      <c r="N2075" s="23"/>
      <c r="O2075" s="24"/>
      <c r="P2075" s="16" t="b">
        <v>0</v>
      </c>
      <c r="Q2075" s="24"/>
      <c r="R2075" s="48" t="str">
        <f t="shared" si="1882"/>
        <v/>
      </c>
      <c r="S2075" s="26"/>
      <c r="T2075" s="49" t="str">
        <f t="shared" si="1883"/>
        <v/>
      </c>
      <c r="U2075" s="24"/>
      <c r="V2075" s="66">
        <v>17.0</v>
      </c>
      <c r="W2075" s="29" t="str">
        <f t="shared" si="2024"/>
        <v>/</v>
      </c>
      <c r="X2075" s="37" t="s">
        <v>1322</v>
      </c>
      <c r="Y2075" s="31"/>
      <c r="Z2075" s="26" t="str">
        <f t="shared" si="5"/>
        <v/>
      </c>
      <c r="AA2075" s="26" t="str">
        <f t="shared" si="6"/>
        <v/>
      </c>
      <c r="AB2075" s="32" t="str">
        <f t="shared" si="7"/>
        <v/>
      </c>
      <c r="AC2075" s="32" t="str">
        <f t="shared" ref="AC2075:AG2075" si="2093">IF(J2075&lt;&gt;"", IF(AND($P2075=FALSE, $A2075=FALSE), -J2075, IF(AND($P2075=FALSE, $A2075=TRUE), 0, IF($P2075=TRUE, (J2075 / $R2075) * 100 * ($S2075 / 100)-J2075, ))), )</f>
        <v/>
      </c>
      <c r="AD2075" s="32" t="str">
        <f t="shared" si="2093"/>
        <v/>
      </c>
      <c r="AE2075" s="32" t="str">
        <f t="shared" si="2093"/>
        <v/>
      </c>
      <c r="AF2075" s="32" t="str">
        <f t="shared" si="2093"/>
        <v/>
      </c>
      <c r="AG2075" s="32" t="str">
        <f t="shared" si="2093"/>
        <v/>
      </c>
      <c r="AH2075" s="33"/>
    </row>
    <row r="2076" hidden="1" outlineLevel="3">
      <c r="A2076" s="16" t="b">
        <v>0</v>
      </c>
      <c r="B2076" s="17"/>
      <c r="C2076" s="18"/>
      <c r="D2076" s="42"/>
      <c r="E2076" s="20"/>
      <c r="F2076" s="53"/>
      <c r="G2076" s="45"/>
      <c r="H2076" s="45"/>
      <c r="I2076" s="45"/>
      <c r="J2076" s="36"/>
      <c r="K2076" s="23"/>
      <c r="L2076" s="36"/>
      <c r="M2076" s="23"/>
      <c r="N2076" s="23"/>
      <c r="O2076" s="24"/>
      <c r="P2076" s="16" t="b">
        <v>0</v>
      </c>
      <c r="Q2076" s="24"/>
      <c r="R2076" s="48" t="str">
        <f t="shared" si="1882"/>
        <v/>
      </c>
      <c r="S2076" s="26"/>
      <c r="T2076" s="49" t="str">
        <f t="shared" si="1883"/>
        <v/>
      </c>
      <c r="U2076" s="24"/>
      <c r="V2076" s="66">
        <v>5.0</v>
      </c>
      <c r="W2076" s="29" t="str">
        <f t="shared" si="2024"/>
        <v>/</v>
      </c>
      <c r="X2076" s="37" t="s">
        <v>1323</v>
      </c>
      <c r="Y2076" s="31"/>
      <c r="Z2076" s="26" t="str">
        <f t="shared" si="5"/>
        <v/>
      </c>
      <c r="AA2076" s="26" t="str">
        <f t="shared" si="6"/>
        <v/>
      </c>
      <c r="AB2076" s="32" t="str">
        <f t="shared" si="7"/>
        <v/>
      </c>
      <c r="AC2076" s="32" t="str">
        <f t="shared" ref="AC2076:AG2076" si="2094">IF(J2076&lt;&gt;"", IF(AND($P2076=FALSE, $A2076=FALSE), -J2076, IF(AND($P2076=FALSE, $A2076=TRUE), 0, IF($P2076=TRUE, (J2076 / $R2076) * 100 * ($S2076 / 100)-J2076, ))), )</f>
        <v/>
      </c>
      <c r="AD2076" s="32" t="str">
        <f t="shared" si="2094"/>
        <v/>
      </c>
      <c r="AE2076" s="32" t="str">
        <f t="shared" si="2094"/>
        <v/>
      </c>
      <c r="AF2076" s="32" t="str">
        <f t="shared" si="2094"/>
        <v/>
      </c>
      <c r="AG2076" s="32" t="str">
        <f t="shared" si="2094"/>
        <v/>
      </c>
      <c r="AH2076" s="33"/>
    </row>
    <row r="2077" hidden="1" outlineLevel="2">
      <c r="A2077" s="81" t="b">
        <v>0</v>
      </c>
      <c r="B2077" s="17"/>
      <c r="C2077" s="18"/>
      <c r="D2077" s="42">
        <v>45353.0</v>
      </c>
      <c r="E2077" s="43" t="s">
        <v>60</v>
      </c>
      <c r="F2077" s="53" t="s">
        <v>1317</v>
      </c>
      <c r="G2077" s="45">
        <v>5.0</v>
      </c>
      <c r="H2077" s="48"/>
      <c r="I2077" s="45">
        <v>5.0</v>
      </c>
      <c r="J2077" s="79"/>
      <c r="K2077" s="79"/>
      <c r="L2077" s="79"/>
      <c r="M2077" s="79"/>
      <c r="N2077" s="79"/>
      <c r="O2077" s="47"/>
      <c r="P2077" s="20" t="b">
        <v>0</v>
      </c>
      <c r="Q2077" s="24"/>
      <c r="R2077" s="48">
        <f t="shared" si="1882"/>
        <v>10</v>
      </c>
      <c r="S2077" s="45">
        <v>25.0</v>
      </c>
      <c r="T2077" s="49" t="str">
        <f t="shared" si="1883"/>
        <v>+150</v>
      </c>
      <c r="U2077" s="47"/>
      <c r="V2077" s="28" t="str">
        <f>IF(ISBLANK($D2077), "0",)</f>
        <v/>
      </c>
      <c r="W2077" s="29" t="str">
        <f t="shared" si="2024"/>
        <v/>
      </c>
      <c r="X2077" s="30"/>
      <c r="Y2077" s="84"/>
      <c r="Z2077" s="26">
        <f t="shared" si="5"/>
        <v>-5</v>
      </c>
      <c r="AA2077" s="26">
        <f t="shared" si="6"/>
        <v>-5</v>
      </c>
      <c r="AB2077" s="32" t="str">
        <f t="shared" si="7"/>
        <v/>
      </c>
      <c r="AC2077" s="32" t="str">
        <f t="shared" ref="AC2077:AG2077" si="2095">IF(J2077&lt;&gt;"", IF(AND($P2077=FALSE, $A2077=FALSE), -J2077, IF(AND($P2077=FALSE, $A2077=TRUE), 0, IF($P2077=TRUE, (J2077 / $R2077) * 100 * ($S2077 / 100)-J2077, ))), )</f>
        <v/>
      </c>
      <c r="AD2077" s="32" t="str">
        <f t="shared" si="2095"/>
        <v/>
      </c>
      <c r="AE2077" s="32" t="str">
        <f t="shared" si="2095"/>
        <v/>
      </c>
      <c r="AF2077" s="32" t="str">
        <f t="shared" si="2095"/>
        <v/>
      </c>
      <c r="AG2077" s="32" t="str">
        <f t="shared" si="2095"/>
        <v/>
      </c>
      <c r="AH2077" s="33"/>
    </row>
    <row r="2078" hidden="1" outlineLevel="3">
      <c r="A2078" s="16" t="b">
        <v>0</v>
      </c>
      <c r="B2078" s="17"/>
      <c r="C2078" s="18"/>
      <c r="D2078" s="42"/>
      <c r="E2078" s="20"/>
      <c r="F2078" s="53"/>
      <c r="G2078" s="45"/>
      <c r="H2078" s="45"/>
      <c r="I2078" s="45"/>
      <c r="J2078" s="36"/>
      <c r="K2078" s="23"/>
      <c r="L2078" s="36"/>
      <c r="M2078" s="23"/>
      <c r="N2078" s="23"/>
      <c r="O2078" s="24"/>
      <c r="P2078" s="16" t="b">
        <v>0</v>
      </c>
      <c r="Q2078" s="24"/>
      <c r="R2078" s="48" t="str">
        <f t="shared" si="1882"/>
        <v/>
      </c>
      <c r="S2078" s="26"/>
      <c r="T2078" s="49" t="str">
        <f t="shared" si="1883"/>
        <v/>
      </c>
      <c r="U2078" s="24"/>
      <c r="V2078" s="66" t="s">
        <v>29</v>
      </c>
      <c r="W2078" s="29" t="str">
        <f t="shared" si="2024"/>
        <v>/</v>
      </c>
      <c r="X2078" s="37" t="s">
        <v>861</v>
      </c>
      <c r="Y2078" s="31"/>
      <c r="Z2078" s="26" t="str">
        <f t="shared" si="5"/>
        <v/>
      </c>
      <c r="AA2078" s="26" t="str">
        <f t="shared" si="6"/>
        <v/>
      </c>
      <c r="AB2078" s="32" t="str">
        <f t="shared" si="7"/>
        <v/>
      </c>
      <c r="AC2078" s="32" t="str">
        <f t="shared" ref="AC2078:AG2078" si="2096">IF(J2078&lt;&gt;"", IF(AND($P2078=FALSE, $A2078=FALSE), -J2078, IF(AND($P2078=FALSE, $A2078=TRUE), 0, IF($P2078=TRUE, (J2078 / $R2078) * 100 * ($S2078 / 100)-J2078, ))), )</f>
        <v/>
      </c>
      <c r="AD2078" s="32" t="str">
        <f t="shared" si="2096"/>
        <v/>
      </c>
      <c r="AE2078" s="32" t="str">
        <f t="shared" si="2096"/>
        <v/>
      </c>
      <c r="AF2078" s="32" t="str">
        <f t="shared" si="2096"/>
        <v/>
      </c>
      <c r="AG2078" s="32" t="str">
        <f t="shared" si="2096"/>
        <v/>
      </c>
      <c r="AH2078" s="33"/>
    </row>
    <row r="2079" hidden="1" outlineLevel="3">
      <c r="A2079" s="16" t="b">
        <v>0</v>
      </c>
      <c r="B2079" s="17"/>
      <c r="C2079" s="18"/>
      <c r="D2079" s="42"/>
      <c r="E2079" s="20"/>
      <c r="F2079" s="53"/>
      <c r="G2079" s="45"/>
      <c r="H2079" s="45"/>
      <c r="I2079" s="45"/>
      <c r="J2079" s="36"/>
      <c r="K2079" s="23"/>
      <c r="L2079" s="36"/>
      <c r="M2079" s="23"/>
      <c r="N2079" s="23"/>
      <c r="O2079" s="24"/>
      <c r="P2079" s="16" t="b">
        <v>0</v>
      </c>
      <c r="Q2079" s="24"/>
      <c r="R2079" s="48" t="str">
        <f t="shared" si="1882"/>
        <v/>
      </c>
      <c r="S2079" s="26"/>
      <c r="T2079" s="49" t="str">
        <f t="shared" si="1883"/>
        <v/>
      </c>
      <c r="U2079" s="24"/>
      <c r="V2079" s="66" t="s">
        <v>29</v>
      </c>
      <c r="W2079" s="29" t="str">
        <f t="shared" si="2024"/>
        <v>/</v>
      </c>
      <c r="X2079" s="37" t="s">
        <v>195</v>
      </c>
      <c r="Y2079" s="31"/>
      <c r="Z2079" s="26" t="str">
        <f t="shared" si="5"/>
        <v/>
      </c>
      <c r="AA2079" s="26" t="str">
        <f t="shared" si="6"/>
        <v/>
      </c>
      <c r="AB2079" s="32" t="str">
        <f t="shared" si="7"/>
        <v/>
      </c>
      <c r="AC2079" s="32" t="str">
        <f t="shared" ref="AC2079:AG2079" si="2097">IF(J2079&lt;&gt;"", IF(AND($P2079=FALSE, $A2079=FALSE), -J2079, IF(AND($P2079=FALSE, $A2079=TRUE), 0, IF($P2079=TRUE, (J2079 / $R2079) * 100 * ($S2079 / 100)-J2079, ))), )</f>
        <v/>
      </c>
      <c r="AD2079" s="32" t="str">
        <f t="shared" si="2097"/>
        <v/>
      </c>
      <c r="AE2079" s="32" t="str">
        <f t="shared" si="2097"/>
        <v/>
      </c>
      <c r="AF2079" s="32" t="str">
        <f t="shared" si="2097"/>
        <v/>
      </c>
      <c r="AG2079" s="32" t="str">
        <f t="shared" si="2097"/>
        <v/>
      </c>
      <c r="AH2079" s="33"/>
    </row>
    <row r="2080" hidden="1" outlineLevel="3">
      <c r="A2080" s="16" t="b">
        <v>0</v>
      </c>
      <c r="B2080" s="17"/>
      <c r="C2080" s="18"/>
      <c r="D2080" s="42"/>
      <c r="E2080" s="20"/>
      <c r="F2080" s="53"/>
      <c r="G2080" s="45"/>
      <c r="H2080" s="45"/>
      <c r="I2080" s="45"/>
      <c r="J2080" s="36"/>
      <c r="K2080" s="23"/>
      <c r="L2080" s="36"/>
      <c r="M2080" s="23"/>
      <c r="N2080" s="23"/>
      <c r="O2080" s="24"/>
      <c r="P2080" s="16" t="b">
        <v>0</v>
      </c>
      <c r="Q2080" s="24"/>
      <c r="R2080" s="48" t="str">
        <f t="shared" si="1882"/>
        <v/>
      </c>
      <c r="S2080" s="26"/>
      <c r="T2080" s="49" t="str">
        <f t="shared" si="1883"/>
        <v/>
      </c>
      <c r="U2080" s="24"/>
      <c r="V2080" s="66">
        <v>17.0</v>
      </c>
      <c r="W2080" s="29" t="str">
        <f t="shared" si="2024"/>
        <v>/</v>
      </c>
      <c r="X2080" s="37" t="s">
        <v>197</v>
      </c>
      <c r="Y2080" s="31"/>
      <c r="Z2080" s="26" t="str">
        <f t="shared" si="5"/>
        <v/>
      </c>
      <c r="AA2080" s="26" t="str">
        <f t="shared" si="6"/>
        <v/>
      </c>
      <c r="AB2080" s="32" t="str">
        <f t="shared" si="7"/>
        <v/>
      </c>
      <c r="AC2080" s="32" t="str">
        <f t="shared" ref="AC2080:AG2080" si="2098">IF(J2080&lt;&gt;"", IF(AND($P2080=FALSE, $A2080=FALSE), -J2080, IF(AND($P2080=FALSE, $A2080=TRUE), 0, IF($P2080=TRUE, (J2080 / $R2080) * 100 * ($S2080 / 100)-J2080, ))), )</f>
        <v/>
      </c>
      <c r="AD2080" s="32" t="str">
        <f t="shared" si="2098"/>
        <v/>
      </c>
      <c r="AE2080" s="32" t="str">
        <f t="shared" si="2098"/>
        <v/>
      </c>
      <c r="AF2080" s="32" t="str">
        <f t="shared" si="2098"/>
        <v/>
      </c>
      <c r="AG2080" s="32" t="str">
        <f t="shared" si="2098"/>
        <v/>
      </c>
      <c r="AH2080" s="33"/>
    </row>
    <row r="2081" hidden="1" outlineLevel="1" collapsed="1">
      <c r="A2081" s="81" t="b">
        <v>0</v>
      </c>
      <c r="B2081" s="17"/>
      <c r="C2081" s="18"/>
      <c r="D2081" s="42">
        <v>45356.0</v>
      </c>
      <c r="E2081" s="43" t="s">
        <v>60</v>
      </c>
      <c r="F2081" s="53" t="s">
        <v>1317</v>
      </c>
      <c r="G2081" s="45">
        <v>3.0</v>
      </c>
      <c r="H2081" s="48"/>
      <c r="I2081" s="45">
        <v>3.0</v>
      </c>
      <c r="J2081" s="79"/>
      <c r="K2081" s="79"/>
      <c r="L2081" s="79"/>
      <c r="M2081" s="79"/>
      <c r="N2081" s="79"/>
      <c r="O2081" s="47"/>
      <c r="P2081" s="20" t="b">
        <v>1</v>
      </c>
      <c r="Q2081" s="24"/>
      <c r="R2081" s="48">
        <f t="shared" si="1882"/>
        <v>6</v>
      </c>
      <c r="S2081" s="45">
        <v>16.47</v>
      </c>
      <c r="T2081" s="49" t="str">
        <f t="shared" si="1883"/>
        <v>+175</v>
      </c>
      <c r="U2081" s="47"/>
      <c r="V2081" s="28" t="str">
        <f>IF(ISBLANK($D2081), "0",)</f>
        <v/>
      </c>
      <c r="W2081" s="29" t="str">
        <f t="shared" si="2024"/>
        <v/>
      </c>
      <c r="X2081" s="30"/>
      <c r="Y2081" s="84"/>
      <c r="Z2081" s="26">
        <f t="shared" si="5"/>
        <v>5.235</v>
      </c>
      <c r="AA2081" s="26">
        <f t="shared" si="6"/>
        <v>5.235</v>
      </c>
      <c r="AB2081" s="32" t="str">
        <f t="shared" si="7"/>
        <v/>
      </c>
      <c r="AC2081" s="32" t="str">
        <f t="shared" ref="AC2081:AG2081" si="2099">IF(J2081&lt;&gt;"", IF(AND($P2081=FALSE, $A2081=FALSE), -J2081, IF(AND($P2081=FALSE, $A2081=TRUE), 0, IF($P2081=TRUE, (J2081 / $R2081) * 100 * ($S2081 / 100)-J2081, ))), )</f>
        <v/>
      </c>
      <c r="AD2081" s="32" t="str">
        <f t="shared" si="2099"/>
        <v/>
      </c>
      <c r="AE2081" s="32" t="str">
        <f t="shared" si="2099"/>
        <v/>
      </c>
      <c r="AF2081" s="32" t="str">
        <f t="shared" si="2099"/>
        <v/>
      </c>
      <c r="AG2081" s="32" t="str">
        <f t="shared" si="2099"/>
        <v/>
      </c>
      <c r="AH2081" s="33"/>
    </row>
    <row r="2082" hidden="1" outlineLevel="3">
      <c r="A2082" s="16"/>
      <c r="B2082" s="17"/>
      <c r="C2082" s="18"/>
      <c r="D2082" s="42"/>
      <c r="E2082" s="20"/>
      <c r="F2082" s="53"/>
      <c r="G2082" s="45"/>
      <c r="H2082" s="45"/>
      <c r="I2082" s="45"/>
      <c r="J2082" s="36"/>
      <c r="K2082" s="23"/>
      <c r="L2082" s="36"/>
      <c r="M2082" s="23"/>
      <c r="N2082" s="23"/>
      <c r="O2082" s="24"/>
      <c r="P2082" s="16"/>
      <c r="Q2082" s="24"/>
      <c r="R2082" s="48"/>
      <c r="S2082" s="26"/>
      <c r="T2082" s="49"/>
      <c r="U2082" s="24"/>
      <c r="V2082" s="66" t="s">
        <v>29</v>
      </c>
      <c r="W2082" s="29" t="str">
        <f t="shared" si="2024"/>
        <v>/</v>
      </c>
      <c r="X2082" s="37" t="s">
        <v>1324</v>
      </c>
      <c r="Y2082" s="31"/>
      <c r="Z2082" s="26" t="str">
        <f t="shared" si="5"/>
        <v/>
      </c>
      <c r="AA2082" s="26" t="str">
        <f t="shared" si="6"/>
        <v/>
      </c>
      <c r="AB2082" s="32" t="str">
        <f t="shared" si="7"/>
        <v/>
      </c>
      <c r="AC2082" s="32" t="str">
        <f t="shared" ref="AC2082:AG2082" si="2100">IF(J2082&lt;&gt;"", IF(AND($P2082=FALSE, $A2082=FALSE), -J2082, IF(AND($P2082=FALSE, $A2082=TRUE), 0, IF($P2082=TRUE, (J2082 / $R2082) * 100 * ($S2082 / 100)-J2082, ))), )</f>
        <v/>
      </c>
      <c r="AD2082" s="32" t="str">
        <f t="shared" si="2100"/>
        <v/>
      </c>
      <c r="AE2082" s="32" t="str">
        <f t="shared" si="2100"/>
        <v/>
      </c>
      <c r="AF2082" s="32" t="str">
        <f t="shared" si="2100"/>
        <v/>
      </c>
      <c r="AG2082" s="32" t="str">
        <f t="shared" si="2100"/>
        <v/>
      </c>
      <c r="AH2082" s="33"/>
    </row>
    <row r="2083" hidden="1" outlineLevel="3">
      <c r="A2083" s="16"/>
      <c r="B2083" s="17"/>
      <c r="C2083" s="18"/>
      <c r="D2083" s="42"/>
      <c r="E2083" s="20"/>
      <c r="F2083" s="53"/>
      <c r="G2083" s="45"/>
      <c r="H2083" s="45"/>
      <c r="I2083" s="45"/>
      <c r="J2083" s="36"/>
      <c r="K2083" s="23"/>
      <c r="L2083" s="36"/>
      <c r="M2083" s="23"/>
      <c r="N2083" s="23"/>
      <c r="O2083" s="24"/>
      <c r="P2083" s="16"/>
      <c r="Q2083" s="24"/>
      <c r="R2083" s="48"/>
      <c r="S2083" s="26"/>
      <c r="T2083" s="49"/>
      <c r="U2083" s="24"/>
      <c r="V2083" s="66" t="s">
        <v>29</v>
      </c>
      <c r="W2083" s="29" t="str">
        <f t="shared" si="2024"/>
        <v>/</v>
      </c>
      <c r="X2083" s="37" t="s">
        <v>814</v>
      </c>
      <c r="Y2083" s="31"/>
      <c r="Z2083" s="26" t="str">
        <f t="shared" si="5"/>
        <v/>
      </c>
      <c r="AA2083" s="26" t="str">
        <f t="shared" si="6"/>
        <v/>
      </c>
      <c r="AB2083" s="32" t="str">
        <f t="shared" si="7"/>
        <v/>
      </c>
      <c r="AC2083" s="32" t="str">
        <f t="shared" ref="AC2083:AG2083" si="2101">IF(J2083&lt;&gt;"", IF(AND($P2083=FALSE, $A2083=FALSE), -J2083, IF(AND($P2083=FALSE, $A2083=TRUE), 0, IF($P2083=TRUE, (J2083 / $R2083) * 100 * ($S2083 / 100)-J2083, ))), )</f>
        <v/>
      </c>
      <c r="AD2083" s="32" t="str">
        <f t="shared" si="2101"/>
        <v/>
      </c>
      <c r="AE2083" s="32" t="str">
        <f t="shared" si="2101"/>
        <v/>
      </c>
      <c r="AF2083" s="32" t="str">
        <f t="shared" si="2101"/>
        <v/>
      </c>
      <c r="AG2083" s="32" t="str">
        <f t="shared" si="2101"/>
        <v/>
      </c>
      <c r="AH2083" s="33"/>
    </row>
    <row r="2084" hidden="1" outlineLevel="3">
      <c r="A2084" s="16" t="b">
        <v>0</v>
      </c>
      <c r="B2084" s="17"/>
      <c r="C2084" s="18"/>
      <c r="D2084" s="42"/>
      <c r="E2084" s="20"/>
      <c r="F2084" s="53"/>
      <c r="G2084" s="45"/>
      <c r="H2084" s="45"/>
      <c r="I2084" s="45"/>
      <c r="J2084" s="36"/>
      <c r="K2084" s="23"/>
      <c r="L2084" s="36"/>
      <c r="M2084" s="23"/>
      <c r="N2084" s="23"/>
      <c r="O2084" s="24"/>
      <c r="P2084" s="16" t="b">
        <v>0</v>
      </c>
      <c r="Q2084" s="24"/>
      <c r="R2084" s="48" t="str">
        <f t="shared" ref="R2084:R2351" si="2103">IF(G2084 &lt;&gt; "",SUM(G2084:O2084),)</f>
        <v/>
      </c>
      <c r="S2084" s="26"/>
      <c r="T2084" s="49" t="str">
        <f t="shared" ref="T2084:T2455" si="2104">IFERROR(IF((S2084-R2084)&gt;R2084,"+"&amp;ROUND(((S2084-R2084)/R2084)*100,0),ROUND((S2084/(R2084-S2084))*100+100, 0)),)</f>
        <v/>
      </c>
      <c r="U2084" s="24"/>
      <c r="V2084" s="66" t="s">
        <v>29</v>
      </c>
      <c r="W2084" s="29" t="str">
        <f t="shared" si="2024"/>
        <v>/</v>
      </c>
      <c r="X2084" s="37" t="s">
        <v>1325</v>
      </c>
      <c r="Y2084" s="31"/>
      <c r="Z2084" s="26" t="str">
        <f t="shared" si="5"/>
        <v/>
      </c>
      <c r="AA2084" s="26" t="str">
        <f t="shared" si="6"/>
        <v/>
      </c>
      <c r="AB2084" s="32" t="str">
        <f t="shared" si="7"/>
        <v/>
      </c>
      <c r="AC2084" s="32" t="str">
        <f t="shared" ref="AC2084:AG2084" si="2102">IF(J2084&lt;&gt;"", IF(AND($P2084=FALSE, $A2084=FALSE), -J2084, IF(AND($P2084=FALSE, $A2084=TRUE), 0, IF($P2084=TRUE, (J2084 / $R2084) * 100 * ($S2084 / 100)-J2084, ))), )</f>
        <v/>
      </c>
      <c r="AD2084" s="32" t="str">
        <f t="shared" si="2102"/>
        <v/>
      </c>
      <c r="AE2084" s="32" t="str">
        <f t="shared" si="2102"/>
        <v/>
      </c>
      <c r="AF2084" s="32" t="str">
        <f t="shared" si="2102"/>
        <v/>
      </c>
      <c r="AG2084" s="32" t="str">
        <f t="shared" si="2102"/>
        <v/>
      </c>
      <c r="AH2084" s="33"/>
    </row>
    <row r="2085" hidden="1" outlineLevel="2">
      <c r="A2085" s="81" t="b">
        <v>0</v>
      </c>
      <c r="B2085" s="17"/>
      <c r="C2085" s="18"/>
      <c r="D2085" s="42">
        <v>45356.0</v>
      </c>
      <c r="E2085" s="43" t="s">
        <v>60</v>
      </c>
      <c r="F2085" s="53" t="s">
        <v>1317</v>
      </c>
      <c r="G2085" s="45">
        <v>1.5</v>
      </c>
      <c r="H2085" s="48"/>
      <c r="I2085" s="45">
        <v>1.5</v>
      </c>
      <c r="J2085" s="79"/>
      <c r="K2085" s="79"/>
      <c r="L2085" s="79"/>
      <c r="M2085" s="79"/>
      <c r="N2085" s="79"/>
      <c r="O2085" s="47"/>
      <c r="P2085" s="20" t="b">
        <v>0</v>
      </c>
      <c r="Q2085" s="24"/>
      <c r="R2085" s="48">
        <f t="shared" si="2103"/>
        <v>3</v>
      </c>
      <c r="S2085" s="45">
        <v>14.13</v>
      </c>
      <c r="T2085" s="49" t="str">
        <f t="shared" si="2104"/>
        <v>+371</v>
      </c>
      <c r="U2085" s="47"/>
      <c r="V2085" s="28" t="str">
        <f>IF(ISBLANK($D2085), "0",)</f>
        <v/>
      </c>
      <c r="W2085" s="29" t="str">
        <f t="shared" si="2024"/>
        <v/>
      </c>
      <c r="X2085" s="30"/>
      <c r="Y2085" s="84"/>
      <c r="Z2085" s="26">
        <f t="shared" si="5"/>
        <v>-1.5</v>
      </c>
      <c r="AA2085" s="26">
        <f t="shared" si="6"/>
        <v>-1.5</v>
      </c>
      <c r="AB2085" s="32" t="str">
        <f t="shared" si="7"/>
        <v/>
      </c>
      <c r="AC2085" s="32" t="str">
        <f t="shared" ref="AC2085:AG2085" si="2105">IF(J2085&lt;&gt;"", IF(AND($P2085=FALSE, $A2085=FALSE), -J2085, IF(AND($P2085=FALSE, $A2085=TRUE), 0, IF($P2085=TRUE, (J2085 / $R2085) * 100 * ($S2085 / 100)-J2085, ))), )</f>
        <v/>
      </c>
      <c r="AD2085" s="32" t="str">
        <f t="shared" si="2105"/>
        <v/>
      </c>
      <c r="AE2085" s="32" t="str">
        <f t="shared" si="2105"/>
        <v/>
      </c>
      <c r="AF2085" s="32" t="str">
        <f t="shared" si="2105"/>
        <v/>
      </c>
      <c r="AG2085" s="32" t="str">
        <f t="shared" si="2105"/>
        <v/>
      </c>
      <c r="AH2085" s="33"/>
    </row>
    <row r="2086" hidden="1" outlineLevel="3">
      <c r="A2086" s="16" t="b">
        <v>0</v>
      </c>
      <c r="B2086" s="17"/>
      <c r="C2086" s="18"/>
      <c r="D2086" s="42"/>
      <c r="E2086" s="20"/>
      <c r="F2086" s="53"/>
      <c r="G2086" s="45"/>
      <c r="H2086" s="45"/>
      <c r="I2086" s="45"/>
      <c r="J2086" s="36"/>
      <c r="K2086" s="23"/>
      <c r="L2086" s="36"/>
      <c r="M2086" s="23"/>
      <c r="N2086" s="23"/>
      <c r="O2086" s="24"/>
      <c r="P2086" s="16" t="b">
        <v>0</v>
      </c>
      <c r="Q2086" s="24"/>
      <c r="R2086" s="48" t="str">
        <f t="shared" si="2103"/>
        <v/>
      </c>
      <c r="S2086" s="26"/>
      <c r="T2086" s="49" t="str">
        <f t="shared" si="2104"/>
        <v/>
      </c>
      <c r="U2086" s="24"/>
      <c r="V2086" s="66">
        <v>5.0</v>
      </c>
      <c r="W2086" s="29" t="str">
        <f t="shared" si="2024"/>
        <v>/</v>
      </c>
      <c r="X2086" s="37" t="s">
        <v>1326</v>
      </c>
      <c r="Y2086" s="31"/>
      <c r="Z2086" s="26" t="str">
        <f t="shared" si="5"/>
        <v/>
      </c>
      <c r="AA2086" s="26" t="str">
        <f t="shared" si="6"/>
        <v/>
      </c>
      <c r="AB2086" s="32" t="str">
        <f t="shared" si="7"/>
        <v/>
      </c>
      <c r="AC2086" s="32" t="str">
        <f t="shared" ref="AC2086:AG2086" si="2106">IF(J2086&lt;&gt;"", IF(AND($P2086=FALSE, $A2086=FALSE), -J2086, IF(AND($P2086=FALSE, $A2086=TRUE), 0, IF($P2086=TRUE, (J2086 / $R2086) * 100 * ($S2086 / 100)-J2086, ))), )</f>
        <v/>
      </c>
      <c r="AD2086" s="32" t="str">
        <f t="shared" si="2106"/>
        <v/>
      </c>
      <c r="AE2086" s="32" t="str">
        <f t="shared" si="2106"/>
        <v/>
      </c>
      <c r="AF2086" s="32" t="str">
        <f t="shared" si="2106"/>
        <v/>
      </c>
      <c r="AG2086" s="32" t="str">
        <f t="shared" si="2106"/>
        <v/>
      </c>
      <c r="AH2086" s="33"/>
    </row>
    <row r="2087" hidden="1" outlineLevel="3">
      <c r="A2087" s="16" t="b">
        <v>0</v>
      </c>
      <c r="B2087" s="17"/>
      <c r="C2087" s="18"/>
      <c r="D2087" s="42"/>
      <c r="E2087" s="20"/>
      <c r="F2087" s="53"/>
      <c r="G2087" s="45"/>
      <c r="H2087" s="45"/>
      <c r="I2087" s="45"/>
      <c r="J2087" s="36"/>
      <c r="K2087" s="23"/>
      <c r="L2087" s="36"/>
      <c r="M2087" s="23"/>
      <c r="N2087" s="23"/>
      <c r="O2087" s="24"/>
      <c r="P2087" s="16" t="b">
        <v>0</v>
      </c>
      <c r="Q2087" s="24"/>
      <c r="R2087" s="48" t="str">
        <f t="shared" si="2103"/>
        <v/>
      </c>
      <c r="S2087" s="26"/>
      <c r="T2087" s="49" t="str">
        <f t="shared" si="2104"/>
        <v/>
      </c>
      <c r="U2087" s="24"/>
      <c r="V2087" s="66" t="s">
        <v>29</v>
      </c>
      <c r="W2087" s="29" t="str">
        <f t="shared" si="2024"/>
        <v>/</v>
      </c>
      <c r="X2087" s="37" t="s">
        <v>240</v>
      </c>
      <c r="Y2087" s="31"/>
      <c r="Z2087" s="26" t="str">
        <f t="shared" si="5"/>
        <v/>
      </c>
      <c r="AA2087" s="26" t="str">
        <f t="shared" si="6"/>
        <v/>
      </c>
      <c r="AB2087" s="32" t="str">
        <f t="shared" si="7"/>
        <v/>
      </c>
      <c r="AC2087" s="32" t="str">
        <f t="shared" ref="AC2087:AG2087" si="2107">IF(J2087&lt;&gt;"", IF(AND($P2087=FALSE, $A2087=FALSE), -J2087, IF(AND($P2087=FALSE, $A2087=TRUE), 0, IF($P2087=TRUE, (J2087 / $R2087) * 100 * ($S2087 / 100)-J2087, ))), )</f>
        <v/>
      </c>
      <c r="AD2087" s="32" t="str">
        <f t="shared" si="2107"/>
        <v/>
      </c>
      <c r="AE2087" s="32" t="str">
        <f t="shared" si="2107"/>
        <v/>
      </c>
      <c r="AF2087" s="32" t="str">
        <f t="shared" si="2107"/>
        <v/>
      </c>
      <c r="AG2087" s="32" t="str">
        <f t="shared" si="2107"/>
        <v/>
      </c>
      <c r="AH2087" s="33"/>
    </row>
    <row r="2088" hidden="1" outlineLevel="3">
      <c r="A2088" s="16" t="b">
        <v>0</v>
      </c>
      <c r="B2088" s="17"/>
      <c r="C2088" s="18"/>
      <c r="D2088" s="42"/>
      <c r="E2088" s="20"/>
      <c r="F2088" s="53"/>
      <c r="G2088" s="45"/>
      <c r="H2088" s="45"/>
      <c r="I2088" s="45"/>
      <c r="J2088" s="36"/>
      <c r="K2088" s="23"/>
      <c r="L2088" s="36"/>
      <c r="M2088" s="23"/>
      <c r="N2088" s="23"/>
      <c r="O2088" s="24"/>
      <c r="P2088" s="16" t="b">
        <v>0</v>
      </c>
      <c r="Q2088" s="24"/>
      <c r="R2088" s="48" t="str">
        <f t="shared" si="2103"/>
        <v/>
      </c>
      <c r="S2088" s="26"/>
      <c r="T2088" s="49" t="str">
        <f t="shared" si="2104"/>
        <v/>
      </c>
      <c r="U2088" s="24"/>
      <c r="V2088" s="66" t="s">
        <v>29</v>
      </c>
      <c r="W2088" s="29" t="str">
        <f t="shared" si="2024"/>
        <v>/</v>
      </c>
      <c r="X2088" s="37" t="s">
        <v>1327</v>
      </c>
      <c r="Y2088" s="31"/>
      <c r="Z2088" s="26" t="str">
        <f t="shared" si="5"/>
        <v/>
      </c>
      <c r="AA2088" s="26" t="str">
        <f t="shared" si="6"/>
        <v/>
      </c>
      <c r="AB2088" s="32" t="str">
        <f t="shared" si="7"/>
        <v/>
      </c>
      <c r="AC2088" s="32" t="str">
        <f t="shared" ref="AC2088:AG2088" si="2108">IF(J2088&lt;&gt;"", IF(AND($P2088=FALSE, $A2088=FALSE), -J2088, IF(AND($P2088=FALSE, $A2088=TRUE), 0, IF($P2088=TRUE, (J2088 / $R2088) * 100 * ($S2088 / 100)-J2088, ))), )</f>
        <v/>
      </c>
      <c r="AD2088" s="32" t="str">
        <f t="shared" si="2108"/>
        <v/>
      </c>
      <c r="AE2088" s="32" t="str">
        <f t="shared" si="2108"/>
        <v/>
      </c>
      <c r="AF2088" s="32" t="str">
        <f t="shared" si="2108"/>
        <v/>
      </c>
      <c r="AG2088" s="32" t="str">
        <f t="shared" si="2108"/>
        <v/>
      </c>
      <c r="AH2088" s="33"/>
    </row>
    <row r="2089" hidden="1" outlineLevel="1" collapsed="1">
      <c r="A2089" s="81" t="b">
        <v>0</v>
      </c>
      <c r="B2089" s="17"/>
      <c r="C2089" s="18"/>
      <c r="D2089" s="42">
        <v>45357.0</v>
      </c>
      <c r="E2089" s="43" t="s">
        <v>60</v>
      </c>
      <c r="F2089" s="53" t="s">
        <v>1317</v>
      </c>
      <c r="G2089" s="45">
        <v>3.0</v>
      </c>
      <c r="H2089" s="48"/>
      <c r="I2089" s="45">
        <v>4.0</v>
      </c>
      <c r="J2089" s="79"/>
      <c r="K2089" s="79"/>
      <c r="L2089" s="79"/>
      <c r="M2089" s="79"/>
      <c r="N2089" s="79"/>
      <c r="O2089" s="47"/>
      <c r="P2089" s="20" t="b">
        <v>0</v>
      </c>
      <c r="Q2089" s="24"/>
      <c r="R2089" s="48">
        <f t="shared" si="2103"/>
        <v>7</v>
      </c>
      <c r="S2089" s="45">
        <v>19.62</v>
      </c>
      <c r="T2089" s="49" t="str">
        <f t="shared" si="2104"/>
        <v>+180</v>
      </c>
      <c r="U2089" s="47"/>
      <c r="V2089" s="28" t="str">
        <f>IF(ISBLANK($D2089), "0",)</f>
        <v/>
      </c>
      <c r="W2089" s="29" t="str">
        <f t="shared" si="2024"/>
        <v/>
      </c>
      <c r="X2089" s="30"/>
      <c r="Y2089" s="84"/>
      <c r="Z2089" s="26">
        <f t="shared" si="5"/>
        <v>-3</v>
      </c>
      <c r="AA2089" s="26">
        <f t="shared" si="6"/>
        <v>-4</v>
      </c>
      <c r="AB2089" s="32" t="str">
        <f t="shared" si="7"/>
        <v/>
      </c>
      <c r="AC2089" s="32" t="str">
        <f t="shared" ref="AC2089:AG2089" si="2109">IF(J2089&lt;&gt;"", IF(AND($P2089=FALSE, $A2089=FALSE), -J2089, IF(AND($P2089=FALSE, $A2089=TRUE), 0, IF($P2089=TRUE, (J2089 / $R2089) * 100 * ($S2089 / 100)-J2089, ))), )</f>
        <v/>
      </c>
      <c r="AD2089" s="32" t="str">
        <f t="shared" si="2109"/>
        <v/>
      </c>
      <c r="AE2089" s="32" t="str">
        <f t="shared" si="2109"/>
        <v/>
      </c>
      <c r="AF2089" s="32" t="str">
        <f t="shared" si="2109"/>
        <v/>
      </c>
      <c r="AG2089" s="32" t="str">
        <f t="shared" si="2109"/>
        <v/>
      </c>
      <c r="AH2089" s="33"/>
    </row>
    <row r="2090" hidden="1" outlineLevel="3">
      <c r="A2090" s="16" t="b">
        <v>0</v>
      </c>
      <c r="B2090" s="17"/>
      <c r="C2090" s="18"/>
      <c r="D2090" s="42"/>
      <c r="E2090" s="20"/>
      <c r="F2090" s="53"/>
      <c r="G2090" s="45"/>
      <c r="H2090" s="45"/>
      <c r="I2090" s="45"/>
      <c r="J2090" s="36"/>
      <c r="K2090" s="23"/>
      <c r="L2090" s="36"/>
      <c r="M2090" s="23"/>
      <c r="N2090" s="23"/>
      <c r="O2090" s="24"/>
      <c r="P2090" s="16" t="b">
        <v>0</v>
      </c>
      <c r="Q2090" s="24"/>
      <c r="R2090" s="48" t="str">
        <f t="shared" si="2103"/>
        <v/>
      </c>
      <c r="S2090" s="26"/>
      <c r="T2090" s="49" t="str">
        <f t="shared" si="2104"/>
        <v/>
      </c>
      <c r="U2090" s="24"/>
      <c r="V2090" s="66" t="s">
        <v>29</v>
      </c>
      <c r="W2090" s="29" t="str">
        <f t="shared" si="2024"/>
        <v>/</v>
      </c>
      <c r="X2090" s="37" t="s">
        <v>1328</v>
      </c>
      <c r="Y2090" s="31"/>
      <c r="Z2090" s="26" t="str">
        <f t="shared" si="5"/>
        <v/>
      </c>
      <c r="AA2090" s="26" t="str">
        <f t="shared" si="6"/>
        <v/>
      </c>
      <c r="AB2090" s="32" t="str">
        <f t="shared" si="7"/>
        <v/>
      </c>
      <c r="AC2090" s="32" t="str">
        <f t="shared" ref="AC2090:AG2090" si="2110">IF(J2090&lt;&gt;"", IF(AND($P2090=FALSE, $A2090=FALSE), -J2090, IF(AND($P2090=FALSE, $A2090=TRUE), 0, IF($P2090=TRUE, (J2090 / $R2090) * 100 * ($S2090 / 100)-J2090, ))), )</f>
        <v/>
      </c>
      <c r="AD2090" s="32" t="str">
        <f t="shared" si="2110"/>
        <v/>
      </c>
      <c r="AE2090" s="32" t="str">
        <f t="shared" si="2110"/>
        <v/>
      </c>
      <c r="AF2090" s="32" t="str">
        <f t="shared" si="2110"/>
        <v/>
      </c>
      <c r="AG2090" s="32" t="str">
        <f t="shared" si="2110"/>
        <v/>
      </c>
      <c r="AH2090" s="33"/>
    </row>
    <row r="2091" hidden="1" outlineLevel="3">
      <c r="A2091" s="16" t="b">
        <v>0</v>
      </c>
      <c r="B2091" s="17"/>
      <c r="C2091" s="18"/>
      <c r="D2091" s="42"/>
      <c r="E2091" s="20"/>
      <c r="F2091" s="53"/>
      <c r="G2091" s="45"/>
      <c r="H2091" s="45"/>
      <c r="I2091" s="45"/>
      <c r="J2091" s="36"/>
      <c r="K2091" s="23"/>
      <c r="L2091" s="36"/>
      <c r="M2091" s="23"/>
      <c r="N2091" s="23"/>
      <c r="O2091" s="24"/>
      <c r="P2091" s="16" t="b">
        <v>0</v>
      </c>
      <c r="Q2091" s="24"/>
      <c r="R2091" s="48" t="str">
        <f t="shared" si="2103"/>
        <v/>
      </c>
      <c r="S2091" s="26"/>
      <c r="T2091" s="49" t="str">
        <f t="shared" si="2104"/>
        <v/>
      </c>
      <c r="U2091" s="24"/>
      <c r="V2091" s="66" t="s">
        <v>29</v>
      </c>
      <c r="W2091" s="29" t="str">
        <f t="shared" si="2024"/>
        <v>/</v>
      </c>
      <c r="X2091" s="37" t="s">
        <v>1329</v>
      </c>
      <c r="Y2091" s="31"/>
      <c r="Z2091" s="26" t="str">
        <f t="shared" si="5"/>
        <v/>
      </c>
      <c r="AA2091" s="26" t="str">
        <f t="shared" si="6"/>
        <v/>
      </c>
      <c r="AB2091" s="32" t="str">
        <f t="shared" si="7"/>
        <v/>
      </c>
      <c r="AC2091" s="32" t="str">
        <f t="shared" ref="AC2091:AG2091" si="2111">IF(J2091&lt;&gt;"", IF(AND($P2091=FALSE, $A2091=FALSE), -J2091, IF(AND($P2091=FALSE, $A2091=TRUE), 0, IF($P2091=TRUE, (J2091 / $R2091) * 100 * ($S2091 / 100)-J2091, ))), )</f>
        <v/>
      </c>
      <c r="AD2091" s="32" t="str">
        <f t="shared" si="2111"/>
        <v/>
      </c>
      <c r="AE2091" s="32" t="str">
        <f t="shared" si="2111"/>
        <v/>
      </c>
      <c r="AF2091" s="32" t="str">
        <f t="shared" si="2111"/>
        <v/>
      </c>
      <c r="AG2091" s="32" t="str">
        <f t="shared" si="2111"/>
        <v/>
      </c>
      <c r="AH2091" s="33"/>
    </row>
    <row r="2092" hidden="1" outlineLevel="3">
      <c r="A2092" s="16" t="b">
        <v>0</v>
      </c>
      <c r="B2092" s="17"/>
      <c r="C2092" s="18"/>
      <c r="D2092" s="42"/>
      <c r="E2092" s="20"/>
      <c r="F2092" s="53"/>
      <c r="G2092" s="45"/>
      <c r="H2092" s="45"/>
      <c r="I2092" s="45"/>
      <c r="J2092" s="36"/>
      <c r="K2092" s="23"/>
      <c r="L2092" s="36"/>
      <c r="M2092" s="23"/>
      <c r="N2092" s="23"/>
      <c r="O2092" s="24"/>
      <c r="P2092" s="16" t="b">
        <v>0</v>
      </c>
      <c r="Q2092" s="24"/>
      <c r="R2092" s="48" t="str">
        <f t="shared" si="2103"/>
        <v/>
      </c>
      <c r="S2092" s="26"/>
      <c r="T2092" s="49" t="str">
        <f t="shared" si="2104"/>
        <v/>
      </c>
      <c r="U2092" s="24"/>
      <c r="V2092" s="66">
        <v>11.0</v>
      </c>
      <c r="W2092" s="29" t="str">
        <f t="shared" si="2024"/>
        <v>/</v>
      </c>
      <c r="X2092" s="37" t="s">
        <v>1330</v>
      </c>
      <c r="Y2092" s="31"/>
      <c r="Z2092" s="26" t="str">
        <f t="shared" si="5"/>
        <v/>
      </c>
      <c r="AA2092" s="26" t="str">
        <f t="shared" si="6"/>
        <v/>
      </c>
      <c r="AB2092" s="32" t="str">
        <f t="shared" si="7"/>
        <v/>
      </c>
      <c r="AC2092" s="32" t="str">
        <f t="shared" ref="AC2092:AG2092" si="2112">IF(J2092&lt;&gt;"", IF(AND($P2092=FALSE, $A2092=FALSE), -J2092, IF(AND($P2092=FALSE, $A2092=TRUE), 0, IF($P2092=TRUE, (J2092 / $R2092) * 100 * ($S2092 / 100)-J2092, ))), )</f>
        <v/>
      </c>
      <c r="AD2092" s="32" t="str">
        <f t="shared" si="2112"/>
        <v/>
      </c>
      <c r="AE2092" s="32" t="str">
        <f t="shared" si="2112"/>
        <v/>
      </c>
      <c r="AF2092" s="32" t="str">
        <f t="shared" si="2112"/>
        <v/>
      </c>
      <c r="AG2092" s="32" t="str">
        <f t="shared" si="2112"/>
        <v/>
      </c>
      <c r="AH2092" s="33"/>
    </row>
    <row r="2093" hidden="1" outlineLevel="2">
      <c r="A2093" s="81" t="b">
        <v>0</v>
      </c>
      <c r="B2093" s="17"/>
      <c r="C2093" s="18"/>
      <c r="D2093" s="42">
        <v>45357.0</v>
      </c>
      <c r="E2093" s="43" t="s">
        <v>60</v>
      </c>
      <c r="F2093" s="53" t="s">
        <v>1317</v>
      </c>
      <c r="G2093" s="45">
        <v>3.0</v>
      </c>
      <c r="H2093" s="48"/>
      <c r="I2093" s="45">
        <v>3.0</v>
      </c>
      <c r="J2093" s="79"/>
      <c r="K2093" s="79"/>
      <c r="L2093" s="79"/>
      <c r="M2093" s="79"/>
      <c r="N2093" s="79"/>
      <c r="O2093" s="47"/>
      <c r="P2093" s="20" t="b">
        <v>1</v>
      </c>
      <c r="Q2093" s="24"/>
      <c r="R2093" s="48">
        <f t="shared" si="2103"/>
        <v>6</v>
      </c>
      <c r="S2093" s="45">
        <v>15.95</v>
      </c>
      <c r="T2093" s="49" t="str">
        <f t="shared" si="2104"/>
        <v>+166</v>
      </c>
      <c r="U2093" s="47"/>
      <c r="V2093" s="28" t="str">
        <f>IF(ISBLANK($D2093), "0",)</f>
        <v/>
      </c>
      <c r="W2093" s="29" t="str">
        <f t="shared" si="2024"/>
        <v/>
      </c>
      <c r="X2093" s="30"/>
      <c r="Y2093" s="84"/>
      <c r="Z2093" s="26">
        <f t="shared" si="5"/>
        <v>4.975</v>
      </c>
      <c r="AA2093" s="26">
        <f t="shared" si="6"/>
        <v>4.975</v>
      </c>
      <c r="AB2093" s="32" t="str">
        <f t="shared" si="7"/>
        <v/>
      </c>
      <c r="AC2093" s="32" t="str">
        <f t="shared" ref="AC2093:AG2093" si="2113">IF(J2093&lt;&gt;"", IF(AND($P2093=FALSE, $A2093=FALSE), -J2093, IF(AND($P2093=FALSE, $A2093=TRUE), 0, IF($P2093=TRUE, (J2093 / $R2093) * 100 * ($S2093 / 100)-J2093, ))), )</f>
        <v/>
      </c>
      <c r="AD2093" s="32" t="str">
        <f t="shared" si="2113"/>
        <v/>
      </c>
      <c r="AE2093" s="32" t="str">
        <f t="shared" si="2113"/>
        <v/>
      </c>
      <c r="AF2093" s="32" t="str">
        <f t="shared" si="2113"/>
        <v/>
      </c>
      <c r="AG2093" s="32" t="str">
        <f t="shared" si="2113"/>
        <v/>
      </c>
      <c r="AH2093" s="33"/>
    </row>
    <row r="2094" hidden="1" outlineLevel="3">
      <c r="A2094" s="16" t="b">
        <v>0</v>
      </c>
      <c r="B2094" s="17"/>
      <c r="C2094" s="18"/>
      <c r="D2094" s="42"/>
      <c r="E2094" s="20"/>
      <c r="F2094" s="53"/>
      <c r="G2094" s="45"/>
      <c r="H2094" s="45"/>
      <c r="I2094" s="45"/>
      <c r="J2094" s="36"/>
      <c r="K2094" s="23"/>
      <c r="L2094" s="36"/>
      <c r="M2094" s="23"/>
      <c r="N2094" s="23"/>
      <c r="O2094" s="24"/>
      <c r="P2094" s="16" t="b">
        <v>0</v>
      </c>
      <c r="Q2094" s="24"/>
      <c r="R2094" s="48" t="str">
        <f t="shared" si="2103"/>
        <v/>
      </c>
      <c r="S2094" s="26"/>
      <c r="T2094" s="49" t="str">
        <f t="shared" si="2104"/>
        <v/>
      </c>
      <c r="U2094" s="24"/>
      <c r="V2094" s="66" t="s">
        <v>29</v>
      </c>
      <c r="W2094" s="29" t="str">
        <f t="shared" si="2024"/>
        <v>/</v>
      </c>
      <c r="X2094" s="37" t="s">
        <v>1331</v>
      </c>
      <c r="Y2094" s="31"/>
      <c r="Z2094" s="26" t="str">
        <f t="shared" si="5"/>
        <v/>
      </c>
      <c r="AA2094" s="26" t="str">
        <f t="shared" si="6"/>
        <v/>
      </c>
      <c r="AB2094" s="32" t="str">
        <f t="shared" si="7"/>
        <v/>
      </c>
      <c r="AC2094" s="32" t="str">
        <f t="shared" ref="AC2094:AG2094" si="2114">IF(J2094&lt;&gt;"", IF(AND($P2094=FALSE, $A2094=FALSE), -J2094, IF(AND($P2094=FALSE, $A2094=TRUE), 0, IF($P2094=TRUE, (J2094 / $R2094) * 100 * ($S2094 / 100)-J2094, ))), )</f>
        <v/>
      </c>
      <c r="AD2094" s="32" t="str">
        <f t="shared" si="2114"/>
        <v/>
      </c>
      <c r="AE2094" s="32" t="str">
        <f t="shared" si="2114"/>
        <v/>
      </c>
      <c r="AF2094" s="32" t="str">
        <f t="shared" si="2114"/>
        <v/>
      </c>
      <c r="AG2094" s="32" t="str">
        <f t="shared" si="2114"/>
        <v/>
      </c>
      <c r="AH2094" s="33"/>
    </row>
    <row r="2095" hidden="1" outlineLevel="3">
      <c r="A2095" s="16" t="b">
        <v>0</v>
      </c>
      <c r="B2095" s="17"/>
      <c r="C2095" s="18"/>
      <c r="D2095" s="42"/>
      <c r="E2095" s="20"/>
      <c r="F2095" s="53"/>
      <c r="G2095" s="45"/>
      <c r="H2095" s="45"/>
      <c r="I2095" s="45"/>
      <c r="J2095" s="36"/>
      <c r="K2095" s="23"/>
      <c r="L2095" s="36"/>
      <c r="M2095" s="23"/>
      <c r="N2095" s="23"/>
      <c r="O2095" s="24"/>
      <c r="P2095" s="16" t="b">
        <v>0</v>
      </c>
      <c r="Q2095" s="24"/>
      <c r="R2095" s="48" t="str">
        <f t="shared" si="2103"/>
        <v/>
      </c>
      <c r="S2095" s="26"/>
      <c r="T2095" s="49" t="str">
        <f t="shared" si="2104"/>
        <v/>
      </c>
      <c r="U2095" s="24"/>
      <c r="V2095" s="66" t="s">
        <v>29</v>
      </c>
      <c r="W2095" s="29" t="str">
        <f t="shared" si="2024"/>
        <v>/</v>
      </c>
      <c r="X2095" s="37" t="s">
        <v>219</v>
      </c>
      <c r="Y2095" s="31"/>
      <c r="Z2095" s="26" t="str">
        <f t="shared" si="5"/>
        <v/>
      </c>
      <c r="AA2095" s="26" t="str">
        <f t="shared" si="6"/>
        <v/>
      </c>
      <c r="AB2095" s="32" t="str">
        <f t="shared" si="7"/>
        <v/>
      </c>
      <c r="AC2095" s="32" t="str">
        <f t="shared" ref="AC2095:AG2095" si="2115">IF(J2095&lt;&gt;"", IF(AND($P2095=FALSE, $A2095=FALSE), -J2095, IF(AND($P2095=FALSE, $A2095=TRUE), 0, IF($P2095=TRUE, (J2095 / $R2095) * 100 * ($S2095 / 100)-J2095, ))), )</f>
        <v/>
      </c>
      <c r="AD2095" s="32" t="str">
        <f t="shared" si="2115"/>
        <v/>
      </c>
      <c r="AE2095" s="32" t="str">
        <f t="shared" si="2115"/>
        <v/>
      </c>
      <c r="AF2095" s="32" t="str">
        <f t="shared" si="2115"/>
        <v/>
      </c>
      <c r="AG2095" s="32" t="str">
        <f t="shared" si="2115"/>
        <v/>
      </c>
      <c r="AH2095" s="33"/>
    </row>
    <row r="2096" hidden="1" outlineLevel="3">
      <c r="A2096" s="16" t="b">
        <v>0</v>
      </c>
      <c r="B2096" s="17"/>
      <c r="C2096" s="18"/>
      <c r="D2096" s="42"/>
      <c r="E2096" s="20"/>
      <c r="F2096" s="53"/>
      <c r="G2096" s="45"/>
      <c r="H2096" s="45"/>
      <c r="I2096" s="45"/>
      <c r="J2096" s="36"/>
      <c r="K2096" s="23"/>
      <c r="L2096" s="36"/>
      <c r="M2096" s="23"/>
      <c r="N2096" s="23"/>
      <c r="O2096" s="24"/>
      <c r="P2096" s="16" t="b">
        <v>0</v>
      </c>
      <c r="Q2096" s="24"/>
      <c r="R2096" s="48" t="str">
        <f t="shared" si="2103"/>
        <v/>
      </c>
      <c r="S2096" s="26"/>
      <c r="T2096" s="49" t="str">
        <f t="shared" si="2104"/>
        <v/>
      </c>
      <c r="U2096" s="24"/>
      <c r="V2096" s="66" t="s">
        <v>29</v>
      </c>
      <c r="W2096" s="29" t="str">
        <f t="shared" si="2024"/>
        <v>/</v>
      </c>
      <c r="X2096" s="37" t="s">
        <v>1332</v>
      </c>
      <c r="Y2096" s="31"/>
      <c r="Z2096" s="26" t="str">
        <f t="shared" si="5"/>
        <v/>
      </c>
      <c r="AA2096" s="26" t="str">
        <f t="shared" si="6"/>
        <v/>
      </c>
      <c r="AB2096" s="32" t="str">
        <f t="shared" si="7"/>
        <v/>
      </c>
      <c r="AC2096" s="32" t="str">
        <f t="shared" ref="AC2096:AG2096" si="2116">IF(J2096&lt;&gt;"", IF(AND($P2096=FALSE, $A2096=FALSE), -J2096, IF(AND($P2096=FALSE, $A2096=TRUE), 0, IF($P2096=TRUE, (J2096 / $R2096) * 100 * ($S2096 / 100)-J2096, ))), )</f>
        <v/>
      </c>
      <c r="AD2096" s="32" t="str">
        <f t="shared" si="2116"/>
        <v/>
      </c>
      <c r="AE2096" s="32" t="str">
        <f t="shared" si="2116"/>
        <v/>
      </c>
      <c r="AF2096" s="32" t="str">
        <f t="shared" si="2116"/>
        <v/>
      </c>
      <c r="AG2096" s="32" t="str">
        <f t="shared" si="2116"/>
        <v/>
      </c>
      <c r="AH2096" s="33"/>
    </row>
    <row r="2097" hidden="1" outlineLevel="1" collapsed="1">
      <c r="A2097" s="81" t="b">
        <v>0</v>
      </c>
      <c r="B2097" s="17"/>
      <c r="C2097" s="18"/>
      <c r="D2097" s="42">
        <v>45358.0</v>
      </c>
      <c r="E2097" s="43" t="s">
        <v>60</v>
      </c>
      <c r="F2097" s="53" t="s">
        <v>1317</v>
      </c>
      <c r="G2097" s="45">
        <v>1.5</v>
      </c>
      <c r="H2097" s="48"/>
      <c r="I2097" s="45">
        <v>1.5</v>
      </c>
      <c r="J2097" s="79"/>
      <c r="K2097" s="79"/>
      <c r="L2097" s="79"/>
      <c r="M2097" s="79"/>
      <c r="N2097" s="79"/>
      <c r="O2097" s="47"/>
      <c r="P2097" s="20" t="b">
        <v>0</v>
      </c>
      <c r="Q2097" s="24"/>
      <c r="R2097" s="48">
        <f t="shared" si="2103"/>
        <v>3</v>
      </c>
      <c r="S2097" s="45">
        <v>16.16</v>
      </c>
      <c r="T2097" s="49" t="str">
        <f t="shared" si="2104"/>
        <v>+439</v>
      </c>
      <c r="U2097" s="47"/>
      <c r="V2097" s="28" t="str">
        <f>IF(ISBLANK($D2097), "0",)</f>
        <v/>
      </c>
      <c r="W2097" s="29" t="str">
        <f t="shared" si="2024"/>
        <v/>
      </c>
      <c r="X2097" s="30"/>
      <c r="Y2097" s="84"/>
      <c r="Z2097" s="26">
        <f t="shared" si="5"/>
        <v>-1.5</v>
      </c>
      <c r="AA2097" s="26">
        <f t="shared" si="6"/>
        <v>-1.5</v>
      </c>
      <c r="AB2097" s="32" t="str">
        <f t="shared" si="7"/>
        <v/>
      </c>
      <c r="AC2097" s="32" t="str">
        <f t="shared" ref="AC2097:AG2097" si="2117">IF(J2097&lt;&gt;"", IF(AND($P2097=FALSE, $A2097=FALSE), -J2097, IF(AND($P2097=FALSE, $A2097=TRUE), 0, IF($P2097=TRUE, (J2097 / $R2097) * 100 * ($S2097 / 100)-J2097, ))), )</f>
        <v/>
      </c>
      <c r="AD2097" s="32" t="str">
        <f t="shared" si="2117"/>
        <v/>
      </c>
      <c r="AE2097" s="32" t="str">
        <f t="shared" si="2117"/>
        <v/>
      </c>
      <c r="AF2097" s="32" t="str">
        <f t="shared" si="2117"/>
        <v/>
      </c>
      <c r="AG2097" s="32" t="str">
        <f t="shared" si="2117"/>
        <v/>
      </c>
      <c r="AH2097" s="33"/>
    </row>
    <row r="2098" hidden="1" outlineLevel="3">
      <c r="A2098" s="16" t="b">
        <v>0</v>
      </c>
      <c r="B2098" s="17"/>
      <c r="C2098" s="18"/>
      <c r="D2098" s="42"/>
      <c r="E2098" s="20"/>
      <c r="F2098" s="53"/>
      <c r="G2098" s="45"/>
      <c r="H2098" s="45"/>
      <c r="I2098" s="45"/>
      <c r="J2098" s="36"/>
      <c r="K2098" s="23"/>
      <c r="L2098" s="36"/>
      <c r="M2098" s="23"/>
      <c r="N2098" s="23"/>
      <c r="O2098" s="24"/>
      <c r="P2098" s="16" t="b">
        <v>0</v>
      </c>
      <c r="Q2098" s="24"/>
      <c r="R2098" s="48" t="str">
        <f t="shared" si="2103"/>
        <v/>
      </c>
      <c r="S2098" s="26"/>
      <c r="T2098" s="49" t="str">
        <f t="shared" si="2104"/>
        <v/>
      </c>
      <c r="U2098" s="24"/>
      <c r="V2098" s="66" t="s">
        <v>29</v>
      </c>
      <c r="W2098" s="29" t="str">
        <f t="shared" si="2024"/>
        <v>/</v>
      </c>
      <c r="X2098" s="37" t="s">
        <v>1333</v>
      </c>
      <c r="Y2098" s="31"/>
      <c r="Z2098" s="26" t="str">
        <f t="shared" si="5"/>
        <v/>
      </c>
      <c r="AA2098" s="26" t="str">
        <f t="shared" si="6"/>
        <v/>
      </c>
      <c r="AB2098" s="32" t="str">
        <f t="shared" si="7"/>
        <v/>
      </c>
      <c r="AC2098" s="32" t="str">
        <f t="shared" ref="AC2098:AG2098" si="2118">IF(J2098&lt;&gt;"", IF(AND($P2098=FALSE, $A2098=FALSE), -J2098, IF(AND($P2098=FALSE, $A2098=TRUE), 0, IF($P2098=TRUE, (J2098 / $R2098) * 100 * ($S2098 / 100)-J2098, ))), )</f>
        <v/>
      </c>
      <c r="AD2098" s="32" t="str">
        <f t="shared" si="2118"/>
        <v/>
      </c>
      <c r="AE2098" s="32" t="str">
        <f t="shared" si="2118"/>
        <v/>
      </c>
      <c r="AF2098" s="32" t="str">
        <f t="shared" si="2118"/>
        <v/>
      </c>
      <c r="AG2098" s="32" t="str">
        <f t="shared" si="2118"/>
        <v/>
      </c>
      <c r="AH2098" s="33"/>
    </row>
    <row r="2099" hidden="1" outlineLevel="3">
      <c r="A2099" s="16" t="b">
        <v>0</v>
      </c>
      <c r="B2099" s="17"/>
      <c r="C2099" s="18"/>
      <c r="D2099" s="42"/>
      <c r="E2099" s="20"/>
      <c r="F2099" s="53"/>
      <c r="G2099" s="45"/>
      <c r="H2099" s="45"/>
      <c r="I2099" s="45"/>
      <c r="J2099" s="36"/>
      <c r="K2099" s="23"/>
      <c r="L2099" s="36"/>
      <c r="M2099" s="23"/>
      <c r="N2099" s="23"/>
      <c r="O2099" s="24"/>
      <c r="P2099" s="16" t="b">
        <v>0</v>
      </c>
      <c r="Q2099" s="24"/>
      <c r="R2099" s="48" t="str">
        <f t="shared" si="2103"/>
        <v/>
      </c>
      <c r="S2099" s="26"/>
      <c r="T2099" s="49" t="str">
        <f t="shared" si="2104"/>
        <v/>
      </c>
      <c r="U2099" s="24"/>
      <c r="V2099" s="66" t="s">
        <v>29</v>
      </c>
      <c r="W2099" s="29" t="str">
        <f t="shared" si="2024"/>
        <v>/</v>
      </c>
      <c r="X2099" s="37" t="s">
        <v>1334</v>
      </c>
      <c r="Y2099" s="31"/>
      <c r="Z2099" s="26" t="str">
        <f t="shared" si="5"/>
        <v/>
      </c>
      <c r="AA2099" s="26" t="str">
        <f t="shared" si="6"/>
        <v/>
      </c>
      <c r="AB2099" s="32" t="str">
        <f t="shared" si="7"/>
        <v/>
      </c>
      <c r="AC2099" s="32" t="str">
        <f t="shared" ref="AC2099:AG2099" si="2119">IF(J2099&lt;&gt;"", IF(AND($P2099=FALSE, $A2099=FALSE), -J2099, IF(AND($P2099=FALSE, $A2099=TRUE), 0, IF($P2099=TRUE, (J2099 / $R2099) * 100 * ($S2099 / 100)-J2099, ))), )</f>
        <v/>
      </c>
      <c r="AD2099" s="32" t="str">
        <f t="shared" si="2119"/>
        <v/>
      </c>
      <c r="AE2099" s="32" t="str">
        <f t="shared" si="2119"/>
        <v/>
      </c>
      <c r="AF2099" s="32" t="str">
        <f t="shared" si="2119"/>
        <v/>
      </c>
      <c r="AG2099" s="32" t="str">
        <f t="shared" si="2119"/>
        <v/>
      </c>
      <c r="AH2099" s="33"/>
    </row>
    <row r="2100" hidden="1" outlineLevel="3">
      <c r="A2100" s="16" t="b">
        <v>0</v>
      </c>
      <c r="B2100" s="17"/>
      <c r="C2100" s="18"/>
      <c r="D2100" s="42"/>
      <c r="E2100" s="20"/>
      <c r="F2100" s="53"/>
      <c r="G2100" s="45"/>
      <c r="H2100" s="45"/>
      <c r="I2100" s="45"/>
      <c r="J2100" s="36"/>
      <c r="K2100" s="23"/>
      <c r="L2100" s="36"/>
      <c r="M2100" s="23"/>
      <c r="N2100" s="23"/>
      <c r="O2100" s="24"/>
      <c r="P2100" s="16" t="b">
        <v>0</v>
      </c>
      <c r="Q2100" s="24"/>
      <c r="R2100" s="48" t="str">
        <f t="shared" si="2103"/>
        <v/>
      </c>
      <c r="S2100" s="26"/>
      <c r="T2100" s="49" t="str">
        <f t="shared" si="2104"/>
        <v/>
      </c>
      <c r="U2100" s="24"/>
      <c r="V2100" s="66">
        <v>4.0</v>
      </c>
      <c r="W2100" s="29" t="str">
        <f t="shared" si="2024"/>
        <v>/</v>
      </c>
      <c r="X2100" s="37" t="s">
        <v>1335</v>
      </c>
      <c r="Y2100" s="31"/>
      <c r="Z2100" s="26" t="str">
        <f t="shared" si="5"/>
        <v/>
      </c>
      <c r="AA2100" s="26" t="str">
        <f t="shared" si="6"/>
        <v/>
      </c>
      <c r="AB2100" s="32" t="str">
        <f t="shared" si="7"/>
        <v/>
      </c>
      <c r="AC2100" s="32" t="str">
        <f t="shared" ref="AC2100:AG2100" si="2120">IF(J2100&lt;&gt;"", IF(AND($P2100=FALSE, $A2100=FALSE), -J2100, IF(AND($P2100=FALSE, $A2100=TRUE), 0, IF($P2100=TRUE, (J2100 / $R2100) * 100 * ($S2100 / 100)-J2100, ))), )</f>
        <v/>
      </c>
      <c r="AD2100" s="32" t="str">
        <f t="shared" si="2120"/>
        <v/>
      </c>
      <c r="AE2100" s="32" t="str">
        <f t="shared" si="2120"/>
        <v/>
      </c>
      <c r="AF2100" s="32" t="str">
        <f t="shared" si="2120"/>
        <v/>
      </c>
      <c r="AG2100" s="32" t="str">
        <f t="shared" si="2120"/>
        <v/>
      </c>
      <c r="AH2100" s="33"/>
    </row>
    <row r="2101" hidden="1" outlineLevel="2" collapsed="1">
      <c r="A2101" s="81" t="b">
        <v>0</v>
      </c>
      <c r="B2101" s="17"/>
      <c r="C2101" s="18"/>
      <c r="D2101" s="42">
        <v>45358.0</v>
      </c>
      <c r="E2101" s="43" t="s">
        <v>60</v>
      </c>
      <c r="F2101" s="53" t="s">
        <v>1317</v>
      </c>
      <c r="G2101" s="45">
        <v>3.0</v>
      </c>
      <c r="H2101" s="48"/>
      <c r="I2101" s="45">
        <v>3.0</v>
      </c>
      <c r="J2101" s="79"/>
      <c r="K2101" s="79"/>
      <c r="L2101" s="79"/>
      <c r="M2101" s="79"/>
      <c r="N2101" s="79"/>
      <c r="O2101" s="47"/>
      <c r="P2101" s="20" t="b">
        <v>1</v>
      </c>
      <c r="Q2101" s="24"/>
      <c r="R2101" s="48">
        <f t="shared" si="2103"/>
        <v>6</v>
      </c>
      <c r="S2101" s="45">
        <v>15.06</v>
      </c>
      <c r="T2101" s="49" t="str">
        <f t="shared" si="2104"/>
        <v>+151</v>
      </c>
      <c r="U2101" s="47"/>
      <c r="V2101" s="28" t="str">
        <f>IF(ISBLANK($D2101), "0",)</f>
        <v/>
      </c>
      <c r="W2101" s="29" t="str">
        <f t="shared" si="2024"/>
        <v/>
      </c>
      <c r="X2101" s="30"/>
      <c r="Y2101" s="84"/>
      <c r="Z2101" s="26">
        <f t="shared" si="5"/>
        <v>4.53</v>
      </c>
      <c r="AA2101" s="26">
        <f t="shared" si="6"/>
        <v>4.53</v>
      </c>
      <c r="AB2101" s="32" t="str">
        <f t="shared" si="7"/>
        <v/>
      </c>
      <c r="AC2101" s="32" t="str">
        <f t="shared" ref="AC2101:AG2101" si="2121">IF(J2101&lt;&gt;"", IF(AND($P2101=FALSE, $A2101=FALSE), -J2101, IF(AND($P2101=FALSE, $A2101=TRUE), 0, IF($P2101=TRUE, (J2101 / $R2101) * 100 * ($S2101 / 100)-J2101, ))), )</f>
        <v/>
      </c>
      <c r="AD2101" s="32" t="str">
        <f t="shared" si="2121"/>
        <v/>
      </c>
      <c r="AE2101" s="32" t="str">
        <f t="shared" si="2121"/>
        <v/>
      </c>
      <c r="AF2101" s="32" t="str">
        <f t="shared" si="2121"/>
        <v/>
      </c>
      <c r="AG2101" s="32" t="str">
        <f t="shared" si="2121"/>
        <v/>
      </c>
      <c r="AH2101" s="33"/>
    </row>
    <row r="2102" hidden="1" outlineLevel="3">
      <c r="A2102" s="16" t="b">
        <v>0</v>
      </c>
      <c r="B2102" s="17"/>
      <c r="C2102" s="18"/>
      <c r="D2102" s="42"/>
      <c r="E2102" s="20"/>
      <c r="F2102" s="53"/>
      <c r="G2102" s="45"/>
      <c r="H2102" s="45"/>
      <c r="I2102" s="45"/>
      <c r="J2102" s="36"/>
      <c r="K2102" s="23"/>
      <c r="L2102" s="36"/>
      <c r="M2102" s="23"/>
      <c r="N2102" s="23"/>
      <c r="O2102" s="24"/>
      <c r="P2102" s="16" t="b">
        <v>0</v>
      </c>
      <c r="Q2102" s="24"/>
      <c r="R2102" s="48" t="str">
        <f t="shared" si="2103"/>
        <v/>
      </c>
      <c r="S2102" s="26"/>
      <c r="T2102" s="49" t="str">
        <f t="shared" si="2104"/>
        <v/>
      </c>
      <c r="U2102" s="24"/>
      <c r="V2102" s="66" t="s">
        <v>29</v>
      </c>
      <c r="W2102" s="29" t="str">
        <f t="shared" si="2024"/>
        <v>/</v>
      </c>
      <c r="X2102" s="37" t="s">
        <v>1336</v>
      </c>
      <c r="Y2102" s="31"/>
      <c r="Z2102" s="26" t="str">
        <f t="shared" si="5"/>
        <v/>
      </c>
      <c r="AA2102" s="26" t="str">
        <f t="shared" si="6"/>
        <v/>
      </c>
      <c r="AB2102" s="32" t="str">
        <f t="shared" si="7"/>
        <v/>
      </c>
      <c r="AC2102" s="32" t="str">
        <f t="shared" ref="AC2102:AG2102" si="2122">IF(J2102&lt;&gt;"", IF(AND($P2102=FALSE, $A2102=FALSE), -J2102, IF(AND($P2102=FALSE, $A2102=TRUE), 0, IF($P2102=TRUE, (J2102 / $R2102) * 100 * ($S2102 / 100)-J2102, ))), )</f>
        <v/>
      </c>
      <c r="AD2102" s="32" t="str">
        <f t="shared" si="2122"/>
        <v/>
      </c>
      <c r="AE2102" s="32" t="str">
        <f t="shared" si="2122"/>
        <v/>
      </c>
      <c r="AF2102" s="32" t="str">
        <f t="shared" si="2122"/>
        <v/>
      </c>
      <c r="AG2102" s="32" t="str">
        <f t="shared" si="2122"/>
        <v/>
      </c>
      <c r="AH2102" s="33"/>
    </row>
    <row r="2103" hidden="1" outlineLevel="3">
      <c r="A2103" s="16" t="b">
        <v>0</v>
      </c>
      <c r="B2103" s="17"/>
      <c r="C2103" s="18"/>
      <c r="D2103" s="42"/>
      <c r="E2103" s="20"/>
      <c r="F2103" s="53"/>
      <c r="G2103" s="45"/>
      <c r="H2103" s="45"/>
      <c r="I2103" s="45"/>
      <c r="J2103" s="36"/>
      <c r="K2103" s="23"/>
      <c r="L2103" s="36"/>
      <c r="M2103" s="23"/>
      <c r="N2103" s="23"/>
      <c r="O2103" s="24"/>
      <c r="P2103" s="16" t="b">
        <v>0</v>
      </c>
      <c r="Q2103" s="24"/>
      <c r="R2103" s="48" t="str">
        <f t="shared" si="2103"/>
        <v/>
      </c>
      <c r="S2103" s="26"/>
      <c r="T2103" s="49" t="str">
        <f t="shared" si="2104"/>
        <v/>
      </c>
      <c r="U2103" s="24"/>
      <c r="V2103" s="66" t="s">
        <v>29</v>
      </c>
      <c r="W2103" s="29" t="str">
        <f t="shared" si="2024"/>
        <v>/</v>
      </c>
      <c r="X2103" s="37" t="s">
        <v>65</v>
      </c>
      <c r="Y2103" s="31"/>
      <c r="Z2103" s="26" t="str">
        <f t="shared" si="5"/>
        <v/>
      </c>
      <c r="AA2103" s="26" t="str">
        <f t="shared" si="6"/>
        <v/>
      </c>
      <c r="AB2103" s="32" t="str">
        <f t="shared" si="7"/>
        <v/>
      </c>
      <c r="AC2103" s="32" t="str">
        <f t="shared" ref="AC2103:AG2103" si="2123">IF(J2103&lt;&gt;"", IF(AND($P2103=FALSE, $A2103=FALSE), -J2103, IF(AND($P2103=FALSE, $A2103=TRUE), 0, IF($P2103=TRUE, (J2103 / $R2103) * 100 * ($S2103 / 100)-J2103, ))), )</f>
        <v/>
      </c>
      <c r="AD2103" s="32" t="str">
        <f t="shared" si="2123"/>
        <v/>
      </c>
      <c r="AE2103" s="32" t="str">
        <f t="shared" si="2123"/>
        <v/>
      </c>
      <c r="AF2103" s="32" t="str">
        <f t="shared" si="2123"/>
        <v/>
      </c>
      <c r="AG2103" s="32" t="str">
        <f t="shared" si="2123"/>
        <v/>
      </c>
      <c r="AH2103" s="33"/>
    </row>
    <row r="2104" hidden="1" outlineLevel="2">
      <c r="A2104" s="81" t="b">
        <v>0</v>
      </c>
      <c r="B2104" s="17"/>
      <c r="C2104" s="18"/>
      <c r="D2104" s="42">
        <v>45358.0</v>
      </c>
      <c r="E2104" s="43" t="s">
        <v>60</v>
      </c>
      <c r="F2104" s="53" t="s">
        <v>1317</v>
      </c>
      <c r="G2104" s="45">
        <v>1.5</v>
      </c>
      <c r="H2104" s="48"/>
      <c r="I2104" s="45">
        <v>4.5</v>
      </c>
      <c r="J2104" s="79"/>
      <c r="K2104" s="79"/>
      <c r="L2104" s="79"/>
      <c r="M2104" s="79"/>
      <c r="N2104" s="79"/>
      <c r="O2104" s="47"/>
      <c r="P2104" s="20" t="b">
        <v>0</v>
      </c>
      <c r="Q2104" s="24"/>
      <c r="R2104" s="48">
        <f t="shared" si="2103"/>
        <v>6</v>
      </c>
      <c r="S2104" s="45">
        <v>25.43</v>
      </c>
      <c r="T2104" s="49" t="str">
        <f t="shared" si="2104"/>
        <v>+324</v>
      </c>
      <c r="U2104" s="47"/>
      <c r="V2104" s="28" t="str">
        <f>IF(ISBLANK($D2104), "0",)</f>
        <v/>
      </c>
      <c r="W2104" s="29" t="str">
        <f t="shared" si="2024"/>
        <v/>
      </c>
      <c r="X2104" s="30"/>
      <c r="Y2104" s="84"/>
      <c r="Z2104" s="26">
        <f t="shared" si="5"/>
        <v>-1.5</v>
      </c>
      <c r="AA2104" s="26">
        <f t="shared" si="6"/>
        <v>-4.5</v>
      </c>
      <c r="AB2104" s="32" t="str">
        <f t="shared" si="7"/>
        <v/>
      </c>
      <c r="AC2104" s="32" t="str">
        <f t="shared" ref="AC2104:AG2104" si="2124">IF(J2104&lt;&gt;"", IF(AND($P2104=FALSE, $A2104=FALSE), -J2104, IF(AND($P2104=FALSE, $A2104=TRUE), 0, IF($P2104=TRUE, (J2104 / $R2104) * 100 * ($S2104 / 100)-J2104, ))), )</f>
        <v/>
      </c>
      <c r="AD2104" s="32" t="str">
        <f t="shared" si="2124"/>
        <v/>
      </c>
      <c r="AE2104" s="32" t="str">
        <f t="shared" si="2124"/>
        <v/>
      </c>
      <c r="AF2104" s="32" t="str">
        <f t="shared" si="2124"/>
        <v/>
      </c>
      <c r="AG2104" s="32" t="str">
        <f t="shared" si="2124"/>
        <v/>
      </c>
      <c r="AH2104" s="33"/>
    </row>
    <row r="2105" hidden="1" outlineLevel="3">
      <c r="A2105" s="16" t="b">
        <v>0</v>
      </c>
      <c r="B2105" s="17"/>
      <c r="C2105" s="18"/>
      <c r="D2105" s="42"/>
      <c r="E2105" s="20"/>
      <c r="F2105" s="53"/>
      <c r="G2105" s="45"/>
      <c r="H2105" s="45"/>
      <c r="I2105" s="45"/>
      <c r="J2105" s="36"/>
      <c r="K2105" s="23"/>
      <c r="L2105" s="36"/>
      <c r="M2105" s="23"/>
      <c r="N2105" s="23"/>
      <c r="O2105" s="24"/>
      <c r="P2105" s="16" t="b">
        <v>0</v>
      </c>
      <c r="Q2105" s="24"/>
      <c r="R2105" s="48" t="str">
        <f t="shared" si="2103"/>
        <v/>
      </c>
      <c r="S2105" s="26"/>
      <c r="T2105" s="49" t="str">
        <f t="shared" si="2104"/>
        <v/>
      </c>
      <c r="U2105" s="24"/>
      <c r="V2105" s="28">
        <f>14+5+4</f>
        <v>23</v>
      </c>
      <c r="W2105" s="29" t="str">
        <f t="shared" si="2024"/>
        <v>/</v>
      </c>
      <c r="X2105" s="37" t="s">
        <v>1337</v>
      </c>
      <c r="Y2105" s="31"/>
      <c r="Z2105" s="26" t="str">
        <f t="shared" si="5"/>
        <v/>
      </c>
      <c r="AA2105" s="26" t="str">
        <f t="shared" si="6"/>
        <v/>
      </c>
      <c r="AB2105" s="32" t="str">
        <f t="shared" si="7"/>
        <v/>
      </c>
      <c r="AC2105" s="32" t="str">
        <f t="shared" ref="AC2105:AG2105" si="2125">IF(J2105&lt;&gt;"", IF(AND($P2105=FALSE, $A2105=FALSE), -J2105, IF(AND($P2105=FALSE, $A2105=TRUE), 0, IF($P2105=TRUE, (J2105 / $R2105) * 100 * ($S2105 / 100)-J2105, ))), )</f>
        <v/>
      </c>
      <c r="AD2105" s="32" t="str">
        <f t="shared" si="2125"/>
        <v/>
      </c>
      <c r="AE2105" s="32" t="str">
        <f t="shared" si="2125"/>
        <v/>
      </c>
      <c r="AF2105" s="32" t="str">
        <f t="shared" si="2125"/>
        <v/>
      </c>
      <c r="AG2105" s="32" t="str">
        <f t="shared" si="2125"/>
        <v/>
      </c>
      <c r="AH2105" s="33"/>
    </row>
    <row r="2106" hidden="1" outlineLevel="3">
      <c r="A2106" s="16" t="b">
        <v>0</v>
      </c>
      <c r="B2106" s="17"/>
      <c r="C2106" s="18"/>
      <c r="D2106" s="42"/>
      <c r="E2106" s="20"/>
      <c r="F2106" s="53"/>
      <c r="G2106" s="45"/>
      <c r="H2106" s="45"/>
      <c r="I2106" s="45"/>
      <c r="J2106" s="36"/>
      <c r="K2106" s="23"/>
      <c r="L2106" s="36"/>
      <c r="M2106" s="23"/>
      <c r="N2106" s="23"/>
      <c r="O2106" s="24"/>
      <c r="P2106" s="16" t="b">
        <v>0</v>
      </c>
      <c r="Q2106" s="24"/>
      <c r="R2106" s="48" t="str">
        <f t="shared" si="2103"/>
        <v/>
      </c>
      <c r="S2106" s="26"/>
      <c r="T2106" s="49" t="str">
        <f t="shared" si="2104"/>
        <v/>
      </c>
      <c r="U2106" s="24"/>
      <c r="V2106" s="66" t="s">
        <v>29</v>
      </c>
      <c r="W2106" s="29" t="str">
        <f t="shared" si="2024"/>
        <v>/</v>
      </c>
      <c r="X2106" s="37" t="s">
        <v>430</v>
      </c>
      <c r="Y2106" s="31"/>
      <c r="Z2106" s="26" t="str">
        <f t="shared" si="5"/>
        <v/>
      </c>
      <c r="AA2106" s="26" t="str">
        <f t="shared" si="6"/>
        <v/>
      </c>
      <c r="AB2106" s="32" t="str">
        <f t="shared" si="7"/>
        <v/>
      </c>
      <c r="AC2106" s="32" t="str">
        <f t="shared" ref="AC2106:AG2106" si="2126">IF(J2106&lt;&gt;"", IF(AND($P2106=FALSE, $A2106=FALSE), -J2106, IF(AND($P2106=FALSE, $A2106=TRUE), 0, IF($P2106=TRUE, (J2106 / $R2106) * 100 * ($S2106 / 100)-J2106, ))), )</f>
        <v/>
      </c>
      <c r="AD2106" s="32" t="str">
        <f t="shared" si="2126"/>
        <v/>
      </c>
      <c r="AE2106" s="32" t="str">
        <f t="shared" si="2126"/>
        <v/>
      </c>
      <c r="AF2106" s="32" t="str">
        <f t="shared" si="2126"/>
        <v/>
      </c>
      <c r="AG2106" s="32" t="str">
        <f t="shared" si="2126"/>
        <v/>
      </c>
      <c r="AH2106" s="33"/>
    </row>
    <row r="2107" hidden="1" outlineLevel="3">
      <c r="A2107" s="16" t="b">
        <v>0</v>
      </c>
      <c r="B2107" s="17"/>
      <c r="C2107" s="18"/>
      <c r="D2107" s="42"/>
      <c r="E2107" s="20"/>
      <c r="F2107" s="53"/>
      <c r="G2107" s="45"/>
      <c r="H2107" s="45"/>
      <c r="I2107" s="45"/>
      <c r="J2107" s="36"/>
      <c r="K2107" s="23"/>
      <c r="L2107" s="36"/>
      <c r="M2107" s="23"/>
      <c r="N2107" s="23"/>
      <c r="O2107" s="24"/>
      <c r="P2107" s="16" t="b">
        <v>0</v>
      </c>
      <c r="Q2107" s="24"/>
      <c r="R2107" s="48" t="str">
        <f t="shared" si="2103"/>
        <v/>
      </c>
      <c r="S2107" s="26"/>
      <c r="T2107" s="49" t="str">
        <f t="shared" si="2104"/>
        <v/>
      </c>
      <c r="U2107" s="24"/>
      <c r="V2107" s="66" t="s">
        <v>29</v>
      </c>
      <c r="W2107" s="29" t="str">
        <f t="shared" si="2024"/>
        <v>/</v>
      </c>
      <c r="X2107" s="37" t="s">
        <v>1329</v>
      </c>
      <c r="Y2107" s="31"/>
      <c r="Z2107" s="26" t="str">
        <f t="shared" si="5"/>
        <v/>
      </c>
      <c r="AA2107" s="26" t="str">
        <f t="shared" si="6"/>
        <v/>
      </c>
      <c r="AB2107" s="32" t="str">
        <f t="shared" si="7"/>
        <v/>
      </c>
      <c r="AC2107" s="32" t="str">
        <f t="shared" ref="AC2107:AG2107" si="2127">IF(J2107&lt;&gt;"", IF(AND($P2107=FALSE, $A2107=FALSE), -J2107, IF(AND($P2107=FALSE, $A2107=TRUE), 0, IF($P2107=TRUE, (J2107 / $R2107) * 100 * ($S2107 / 100)-J2107, ))), )</f>
        <v/>
      </c>
      <c r="AD2107" s="32" t="str">
        <f t="shared" si="2127"/>
        <v/>
      </c>
      <c r="AE2107" s="32" t="str">
        <f t="shared" si="2127"/>
        <v/>
      </c>
      <c r="AF2107" s="32" t="str">
        <f t="shared" si="2127"/>
        <v/>
      </c>
      <c r="AG2107" s="32" t="str">
        <f t="shared" si="2127"/>
        <v/>
      </c>
      <c r="AH2107" s="33"/>
    </row>
    <row r="2108" hidden="1" outlineLevel="1" collapsed="1">
      <c r="A2108" s="81" t="b">
        <v>0</v>
      </c>
      <c r="B2108" s="17"/>
      <c r="C2108" s="18"/>
      <c r="D2108" s="42">
        <v>45359.0</v>
      </c>
      <c r="E2108" s="43" t="s">
        <v>60</v>
      </c>
      <c r="F2108" s="53" t="s">
        <v>1317</v>
      </c>
      <c r="G2108" s="45">
        <v>3.0</v>
      </c>
      <c r="H2108" s="48"/>
      <c r="I2108" s="45">
        <v>3.0</v>
      </c>
      <c r="J2108" s="79"/>
      <c r="K2108" s="79"/>
      <c r="L2108" s="79"/>
      <c r="M2108" s="79"/>
      <c r="N2108" s="79"/>
      <c r="O2108" s="47"/>
      <c r="P2108" s="20" t="b">
        <v>0</v>
      </c>
      <c r="Q2108" s="24"/>
      <c r="R2108" s="48">
        <f t="shared" si="2103"/>
        <v>6</v>
      </c>
      <c r="S2108" s="45">
        <v>14.24</v>
      </c>
      <c r="T2108" s="49" t="str">
        <f t="shared" si="2104"/>
        <v>+137</v>
      </c>
      <c r="U2108" s="47"/>
      <c r="V2108" s="28" t="str">
        <f t="shared" ref="V2108:V2109" si="2129">IF(ISBLANK($D2108), "0",)</f>
        <v/>
      </c>
      <c r="W2108" s="29" t="str">
        <f t="shared" si="2024"/>
        <v/>
      </c>
      <c r="X2108" s="30"/>
      <c r="Y2108" s="84"/>
      <c r="Z2108" s="26">
        <f t="shared" si="5"/>
        <v>-3</v>
      </c>
      <c r="AA2108" s="26">
        <f t="shared" si="6"/>
        <v>-3</v>
      </c>
      <c r="AB2108" s="32" t="str">
        <f t="shared" si="7"/>
        <v/>
      </c>
      <c r="AC2108" s="32" t="str">
        <f t="shared" ref="AC2108:AG2108" si="2128">IF(J2108&lt;&gt;"", IF(AND($P2108=FALSE, $A2108=FALSE), -J2108, IF(AND($P2108=FALSE, $A2108=TRUE), 0, IF($P2108=TRUE, (J2108 / $R2108) * 100 * ($S2108 / 100)-J2108, ))), )</f>
        <v/>
      </c>
      <c r="AD2108" s="32" t="str">
        <f t="shared" si="2128"/>
        <v/>
      </c>
      <c r="AE2108" s="32" t="str">
        <f t="shared" si="2128"/>
        <v/>
      </c>
      <c r="AF2108" s="32" t="str">
        <f t="shared" si="2128"/>
        <v/>
      </c>
      <c r="AG2108" s="32" t="str">
        <f t="shared" si="2128"/>
        <v/>
      </c>
      <c r="AH2108" s="33"/>
    </row>
    <row r="2109" hidden="1" outlineLevel="3">
      <c r="A2109" s="16" t="b">
        <v>0</v>
      </c>
      <c r="B2109" s="17"/>
      <c r="C2109" s="18"/>
      <c r="D2109" s="42"/>
      <c r="E2109" s="20"/>
      <c r="F2109" s="53"/>
      <c r="G2109" s="45"/>
      <c r="H2109" s="45"/>
      <c r="I2109" s="45"/>
      <c r="J2109" s="36"/>
      <c r="K2109" s="23"/>
      <c r="L2109" s="36"/>
      <c r="M2109" s="23"/>
      <c r="N2109" s="23"/>
      <c r="O2109" s="24"/>
      <c r="P2109" s="16" t="b">
        <v>0</v>
      </c>
      <c r="Q2109" s="24"/>
      <c r="R2109" s="48" t="str">
        <f t="shared" si="2103"/>
        <v/>
      </c>
      <c r="S2109" s="26"/>
      <c r="T2109" s="49" t="str">
        <f t="shared" si="2104"/>
        <v/>
      </c>
      <c r="U2109" s="24"/>
      <c r="V2109" s="28" t="str">
        <f t="shared" si="2129"/>
        <v>0</v>
      </c>
      <c r="W2109" s="29" t="str">
        <f t="shared" si="2024"/>
        <v>/</v>
      </c>
      <c r="X2109" s="37" t="s">
        <v>1338</v>
      </c>
      <c r="Y2109" s="31"/>
      <c r="Z2109" s="26" t="str">
        <f t="shared" si="5"/>
        <v/>
      </c>
      <c r="AA2109" s="26" t="str">
        <f t="shared" si="6"/>
        <v/>
      </c>
      <c r="AB2109" s="32" t="str">
        <f t="shared" si="7"/>
        <v/>
      </c>
      <c r="AC2109" s="32" t="str">
        <f t="shared" ref="AC2109:AG2109" si="2130">IF(J2109&lt;&gt;"", IF(AND($P2109=FALSE, $A2109=FALSE), -J2109, IF(AND($P2109=FALSE, $A2109=TRUE), 0, IF($P2109=TRUE, (J2109 / $R2109) * 100 * ($S2109 / 100)-J2109, ))), )</f>
        <v/>
      </c>
      <c r="AD2109" s="32" t="str">
        <f t="shared" si="2130"/>
        <v/>
      </c>
      <c r="AE2109" s="32" t="str">
        <f t="shared" si="2130"/>
        <v/>
      </c>
      <c r="AF2109" s="32" t="str">
        <f t="shared" si="2130"/>
        <v/>
      </c>
      <c r="AG2109" s="32" t="str">
        <f t="shared" si="2130"/>
        <v/>
      </c>
      <c r="AH2109" s="33"/>
    </row>
    <row r="2110" hidden="1" outlineLevel="3">
      <c r="A2110" s="16" t="b">
        <v>0</v>
      </c>
      <c r="B2110" s="17"/>
      <c r="C2110" s="18"/>
      <c r="D2110" s="42"/>
      <c r="E2110" s="20"/>
      <c r="F2110" s="53"/>
      <c r="G2110" s="45"/>
      <c r="H2110" s="45"/>
      <c r="I2110" s="45"/>
      <c r="J2110" s="36"/>
      <c r="K2110" s="23"/>
      <c r="L2110" s="36"/>
      <c r="M2110" s="23"/>
      <c r="N2110" s="23"/>
      <c r="O2110" s="24"/>
      <c r="P2110" s="16" t="b">
        <v>0</v>
      </c>
      <c r="Q2110" s="24"/>
      <c r="R2110" s="48" t="str">
        <f t="shared" si="2103"/>
        <v/>
      </c>
      <c r="S2110" s="26"/>
      <c r="T2110" s="49" t="str">
        <f t="shared" si="2104"/>
        <v/>
      </c>
      <c r="U2110" s="24"/>
      <c r="V2110" s="66" t="s">
        <v>29</v>
      </c>
      <c r="W2110" s="29" t="str">
        <f t="shared" si="2024"/>
        <v>/</v>
      </c>
      <c r="X2110" s="37" t="s">
        <v>1339</v>
      </c>
      <c r="Y2110" s="31"/>
      <c r="Z2110" s="26" t="str">
        <f t="shared" si="5"/>
        <v/>
      </c>
      <c r="AA2110" s="26" t="str">
        <f t="shared" si="6"/>
        <v/>
      </c>
      <c r="AB2110" s="32" t="str">
        <f t="shared" si="7"/>
        <v/>
      </c>
      <c r="AC2110" s="32" t="str">
        <f t="shared" ref="AC2110:AG2110" si="2131">IF(J2110&lt;&gt;"", IF(AND($P2110=FALSE, $A2110=FALSE), -J2110, IF(AND($P2110=FALSE, $A2110=TRUE), 0, IF($P2110=TRUE, (J2110 / $R2110) * 100 * ($S2110 / 100)-J2110, ))), )</f>
        <v/>
      </c>
      <c r="AD2110" s="32" t="str">
        <f t="shared" si="2131"/>
        <v/>
      </c>
      <c r="AE2110" s="32" t="str">
        <f t="shared" si="2131"/>
        <v/>
      </c>
      <c r="AF2110" s="32" t="str">
        <f t="shared" si="2131"/>
        <v/>
      </c>
      <c r="AG2110" s="32" t="str">
        <f t="shared" si="2131"/>
        <v/>
      </c>
      <c r="AH2110" s="33"/>
    </row>
    <row r="2111" hidden="1" outlineLevel="2" collapsed="1">
      <c r="A2111" s="81" t="b">
        <v>0</v>
      </c>
      <c r="B2111" s="17"/>
      <c r="C2111" s="18"/>
      <c r="D2111" s="42">
        <v>45359.0</v>
      </c>
      <c r="E2111" s="43" t="s">
        <v>60</v>
      </c>
      <c r="F2111" s="53" t="s">
        <v>1317</v>
      </c>
      <c r="G2111" s="45">
        <v>3.0</v>
      </c>
      <c r="H2111" s="48"/>
      <c r="I2111" s="45">
        <v>3.0</v>
      </c>
      <c r="J2111" s="79"/>
      <c r="K2111" s="79"/>
      <c r="L2111" s="79"/>
      <c r="M2111" s="79"/>
      <c r="N2111" s="79"/>
      <c r="O2111" s="47"/>
      <c r="P2111" s="20" t="b">
        <v>0</v>
      </c>
      <c r="Q2111" s="24"/>
      <c r="R2111" s="48">
        <f t="shared" si="2103"/>
        <v>6</v>
      </c>
      <c r="S2111" s="45">
        <v>14.89</v>
      </c>
      <c r="T2111" s="49" t="str">
        <f t="shared" si="2104"/>
        <v>+148</v>
      </c>
      <c r="U2111" s="47"/>
      <c r="V2111" s="28" t="str">
        <f>IF(ISBLANK($D2111), "0",)</f>
        <v/>
      </c>
      <c r="W2111" s="29" t="str">
        <f t="shared" si="2024"/>
        <v/>
      </c>
      <c r="X2111" s="30"/>
      <c r="Y2111" s="84"/>
      <c r="Z2111" s="26">
        <f t="shared" si="5"/>
        <v>-3</v>
      </c>
      <c r="AA2111" s="26">
        <f t="shared" si="6"/>
        <v>-3</v>
      </c>
      <c r="AB2111" s="32" t="str">
        <f t="shared" si="7"/>
        <v/>
      </c>
      <c r="AC2111" s="32" t="str">
        <f t="shared" ref="AC2111:AG2111" si="2132">IF(J2111&lt;&gt;"", IF(AND($P2111=FALSE, $A2111=FALSE), -J2111, IF(AND($P2111=FALSE, $A2111=TRUE), 0, IF($P2111=TRUE, (J2111 / $R2111) * 100 * ($S2111 / 100)-J2111, ))), )</f>
        <v/>
      </c>
      <c r="AD2111" s="32" t="str">
        <f t="shared" si="2132"/>
        <v/>
      </c>
      <c r="AE2111" s="32" t="str">
        <f t="shared" si="2132"/>
        <v/>
      </c>
      <c r="AF2111" s="32" t="str">
        <f t="shared" si="2132"/>
        <v/>
      </c>
      <c r="AG2111" s="32" t="str">
        <f t="shared" si="2132"/>
        <v/>
      </c>
      <c r="AH2111" s="33"/>
    </row>
    <row r="2112" hidden="1" outlineLevel="3">
      <c r="A2112" s="16" t="b">
        <v>0</v>
      </c>
      <c r="B2112" s="17"/>
      <c r="C2112" s="18"/>
      <c r="D2112" s="42"/>
      <c r="E2112" s="20"/>
      <c r="F2112" s="53"/>
      <c r="G2112" s="45"/>
      <c r="H2112" s="45"/>
      <c r="I2112" s="45"/>
      <c r="J2112" s="36"/>
      <c r="K2112" s="23"/>
      <c r="L2112" s="36"/>
      <c r="M2112" s="23"/>
      <c r="N2112" s="23"/>
      <c r="O2112" s="24"/>
      <c r="P2112" s="16" t="b">
        <v>0</v>
      </c>
      <c r="Q2112" s="24"/>
      <c r="R2112" s="48" t="str">
        <f t="shared" si="2103"/>
        <v/>
      </c>
      <c r="S2112" s="26"/>
      <c r="T2112" s="49" t="str">
        <f t="shared" si="2104"/>
        <v/>
      </c>
      <c r="U2112" s="24"/>
      <c r="V2112" s="66" t="s">
        <v>29</v>
      </c>
      <c r="W2112" s="29" t="str">
        <f t="shared" si="2024"/>
        <v>/</v>
      </c>
      <c r="X2112" s="37" t="s">
        <v>230</v>
      </c>
      <c r="Y2112" s="31"/>
      <c r="Z2112" s="26" t="str">
        <f t="shared" si="5"/>
        <v/>
      </c>
      <c r="AA2112" s="26" t="str">
        <f t="shared" si="6"/>
        <v/>
      </c>
      <c r="AB2112" s="32" t="str">
        <f t="shared" si="7"/>
        <v/>
      </c>
      <c r="AC2112" s="32" t="str">
        <f t="shared" ref="AC2112:AG2112" si="2133">IF(J2112&lt;&gt;"", IF(AND($P2112=FALSE, $A2112=FALSE), -J2112, IF(AND($P2112=FALSE, $A2112=TRUE), 0, IF($P2112=TRUE, (J2112 / $R2112) * 100 * ($S2112 / 100)-J2112, ))), )</f>
        <v/>
      </c>
      <c r="AD2112" s="32" t="str">
        <f t="shared" si="2133"/>
        <v/>
      </c>
      <c r="AE2112" s="32" t="str">
        <f t="shared" si="2133"/>
        <v/>
      </c>
      <c r="AF2112" s="32" t="str">
        <f t="shared" si="2133"/>
        <v/>
      </c>
      <c r="AG2112" s="32" t="str">
        <f t="shared" si="2133"/>
        <v/>
      </c>
      <c r="AH2112" s="33"/>
    </row>
    <row r="2113" hidden="1" outlineLevel="3">
      <c r="A2113" s="16" t="b">
        <v>0</v>
      </c>
      <c r="B2113" s="17"/>
      <c r="C2113" s="18"/>
      <c r="D2113" s="42"/>
      <c r="E2113" s="20"/>
      <c r="F2113" s="53"/>
      <c r="G2113" s="45"/>
      <c r="H2113" s="45"/>
      <c r="I2113" s="45"/>
      <c r="J2113" s="36"/>
      <c r="K2113" s="23"/>
      <c r="L2113" s="36"/>
      <c r="M2113" s="23"/>
      <c r="N2113" s="23"/>
      <c r="O2113" s="24"/>
      <c r="P2113" s="16" t="b">
        <v>0</v>
      </c>
      <c r="Q2113" s="24"/>
      <c r="R2113" s="48" t="str">
        <f t="shared" si="2103"/>
        <v/>
      </c>
      <c r="S2113" s="26"/>
      <c r="T2113" s="49" t="str">
        <f t="shared" si="2104"/>
        <v/>
      </c>
      <c r="U2113" s="24"/>
      <c r="V2113" s="66" t="s">
        <v>29</v>
      </c>
      <c r="W2113" s="29" t="str">
        <f t="shared" si="2024"/>
        <v>/</v>
      </c>
      <c r="X2113" s="37" t="s">
        <v>219</v>
      </c>
      <c r="Y2113" s="31"/>
      <c r="Z2113" s="26" t="str">
        <f t="shared" si="5"/>
        <v/>
      </c>
      <c r="AA2113" s="26" t="str">
        <f t="shared" si="6"/>
        <v/>
      </c>
      <c r="AB2113" s="32" t="str">
        <f t="shared" si="7"/>
        <v/>
      </c>
      <c r="AC2113" s="32" t="str">
        <f t="shared" ref="AC2113:AG2113" si="2134">IF(J2113&lt;&gt;"", IF(AND($P2113=FALSE, $A2113=FALSE), -J2113, IF(AND($P2113=FALSE, $A2113=TRUE), 0, IF($P2113=TRUE, (J2113 / $R2113) * 100 * ($S2113 / 100)-J2113, ))), )</f>
        <v/>
      </c>
      <c r="AD2113" s="32" t="str">
        <f t="shared" si="2134"/>
        <v/>
      </c>
      <c r="AE2113" s="32" t="str">
        <f t="shared" si="2134"/>
        <v/>
      </c>
      <c r="AF2113" s="32" t="str">
        <f t="shared" si="2134"/>
        <v/>
      </c>
      <c r="AG2113" s="32" t="str">
        <f t="shared" si="2134"/>
        <v/>
      </c>
      <c r="AH2113" s="33"/>
    </row>
    <row r="2114" hidden="1" outlineLevel="3">
      <c r="A2114" s="16" t="b">
        <v>0</v>
      </c>
      <c r="B2114" s="17"/>
      <c r="C2114" s="18"/>
      <c r="D2114" s="42"/>
      <c r="E2114" s="20"/>
      <c r="F2114" s="53"/>
      <c r="G2114" s="45"/>
      <c r="H2114" s="45"/>
      <c r="I2114" s="45"/>
      <c r="J2114" s="36"/>
      <c r="K2114" s="23"/>
      <c r="L2114" s="36"/>
      <c r="M2114" s="23"/>
      <c r="N2114" s="23"/>
      <c r="O2114" s="24"/>
      <c r="P2114" s="16" t="b">
        <v>0</v>
      </c>
      <c r="Q2114" s="24"/>
      <c r="R2114" s="48" t="str">
        <f t="shared" si="2103"/>
        <v/>
      </c>
      <c r="S2114" s="26"/>
      <c r="T2114" s="49" t="str">
        <f t="shared" si="2104"/>
        <v/>
      </c>
      <c r="U2114" s="24"/>
      <c r="V2114" s="66">
        <v>10.0</v>
      </c>
      <c r="W2114" s="29" t="str">
        <f t="shared" si="2024"/>
        <v>/</v>
      </c>
      <c r="X2114" s="37" t="s">
        <v>1340</v>
      </c>
      <c r="Y2114" s="31"/>
      <c r="Z2114" s="26" t="str">
        <f t="shared" si="5"/>
        <v/>
      </c>
      <c r="AA2114" s="26" t="str">
        <f t="shared" si="6"/>
        <v/>
      </c>
      <c r="AB2114" s="32" t="str">
        <f t="shared" si="7"/>
        <v/>
      </c>
      <c r="AC2114" s="32" t="str">
        <f t="shared" ref="AC2114:AG2114" si="2135">IF(J2114&lt;&gt;"", IF(AND($P2114=FALSE, $A2114=FALSE), -J2114, IF(AND($P2114=FALSE, $A2114=TRUE), 0, IF($P2114=TRUE, (J2114 / $R2114) * 100 * ($S2114 / 100)-J2114, ))), )</f>
        <v/>
      </c>
      <c r="AD2114" s="32" t="str">
        <f t="shared" si="2135"/>
        <v/>
      </c>
      <c r="AE2114" s="32" t="str">
        <f t="shared" si="2135"/>
        <v/>
      </c>
      <c r="AF2114" s="32" t="str">
        <f t="shared" si="2135"/>
        <v/>
      </c>
      <c r="AG2114" s="32" t="str">
        <f t="shared" si="2135"/>
        <v/>
      </c>
      <c r="AH2114" s="33"/>
    </row>
    <row r="2115" hidden="1" outlineLevel="2">
      <c r="A2115" s="81" t="b">
        <v>0</v>
      </c>
      <c r="B2115" s="17"/>
      <c r="C2115" s="18"/>
      <c r="D2115" s="42">
        <v>45359.0</v>
      </c>
      <c r="E2115" s="43" t="s">
        <v>60</v>
      </c>
      <c r="F2115" s="53" t="s">
        <v>1317</v>
      </c>
      <c r="G2115" s="45">
        <v>1.5</v>
      </c>
      <c r="H2115" s="48"/>
      <c r="I2115" s="45">
        <v>1.5</v>
      </c>
      <c r="J2115" s="79"/>
      <c r="K2115" s="79"/>
      <c r="L2115" s="79"/>
      <c r="M2115" s="79"/>
      <c r="N2115" s="79"/>
      <c r="O2115" s="47"/>
      <c r="P2115" s="20" t="b">
        <v>0</v>
      </c>
      <c r="Q2115" s="24"/>
      <c r="R2115" s="48">
        <f t="shared" si="2103"/>
        <v>3</v>
      </c>
      <c r="S2115" s="45">
        <v>13.48</v>
      </c>
      <c r="T2115" s="49" t="str">
        <f t="shared" si="2104"/>
        <v>+349</v>
      </c>
      <c r="U2115" s="47"/>
      <c r="V2115" s="28" t="str">
        <f>IF(ISBLANK($D2115), "0",)</f>
        <v/>
      </c>
      <c r="W2115" s="29" t="str">
        <f t="shared" si="2024"/>
        <v/>
      </c>
      <c r="X2115" s="30"/>
      <c r="Y2115" s="84"/>
      <c r="Z2115" s="26">
        <f t="shared" si="5"/>
        <v>-1.5</v>
      </c>
      <c r="AA2115" s="26">
        <f t="shared" si="6"/>
        <v>-1.5</v>
      </c>
      <c r="AB2115" s="32" t="str">
        <f t="shared" si="7"/>
        <v/>
      </c>
      <c r="AC2115" s="32" t="str">
        <f t="shared" ref="AC2115:AG2115" si="2136">IF(J2115&lt;&gt;"", IF(AND($P2115=FALSE, $A2115=FALSE), -J2115, IF(AND($P2115=FALSE, $A2115=TRUE), 0, IF($P2115=TRUE, (J2115 / $R2115) * 100 * ($S2115 / 100)-J2115, ))), )</f>
        <v/>
      </c>
      <c r="AD2115" s="32" t="str">
        <f t="shared" si="2136"/>
        <v/>
      </c>
      <c r="AE2115" s="32" t="str">
        <f t="shared" si="2136"/>
        <v/>
      </c>
      <c r="AF2115" s="32" t="str">
        <f t="shared" si="2136"/>
        <v/>
      </c>
      <c r="AG2115" s="32" t="str">
        <f t="shared" si="2136"/>
        <v/>
      </c>
      <c r="AH2115" s="33"/>
    </row>
    <row r="2116" hidden="1" outlineLevel="3">
      <c r="A2116" s="16" t="b">
        <v>0</v>
      </c>
      <c r="B2116" s="17"/>
      <c r="C2116" s="18"/>
      <c r="D2116" s="42"/>
      <c r="E2116" s="20"/>
      <c r="F2116" s="53"/>
      <c r="G2116" s="45"/>
      <c r="H2116" s="45"/>
      <c r="I2116" s="45"/>
      <c r="J2116" s="36"/>
      <c r="K2116" s="23"/>
      <c r="L2116" s="36"/>
      <c r="M2116" s="23"/>
      <c r="N2116" s="23"/>
      <c r="O2116" s="24"/>
      <c r="P2116" s="16" t="b">
        <v>0</v>
      </c>
      <c r="Q2116" s="24"/>
      <c r="R2116" s="48" t="str">
        <f t="shared" si="2103"/>
        <v/>
      </c>
      <c r="S2116" s="26"/>
      <c r="T2116" s="49" t="str">
        <f t="shared" si="2104"/>
        <v/>
      </c>
      <c r="U2116" s="24"/>
      <c r="V2116" s="66">
        <v>4.0</v>
      </c>
      <c r="W2116" s="29" t="str">
        <f t="shared" si="2024"/>
        <v>/</v>
      </c>
      <c r="X2116" s="37" t="s">
        <v>1341</v>
      </c>
      <c r="Y2116" s="31"/>
      <c r="Z2116" s="26" t="str">
        <f t="shared" si="5"/>
        <v/>
      </c>
      <c r="AA2116" s="26" t="str">
        <f t="shared" si="6"/>
        <v/>
      </c>
      <c r="AB2116" s="32" t="str">
        <f t="shared" si="7"/>
        <v/>
      </c>
      <c r="AC2116" s="32" t="str">
        <f t="shared" ref="AC2116:AG2116" si="2137">IF(J2116&lt;&gt;"", IF(AND($P2116=FALSE, $A2116=FALSE), -J2116, IF(AND($P2116=FALSE, $A2116=TRUE), 0, IF($P2116=TRUE, (J2116 / $R2116) * 100 * ($S2116 / 100)-J2116, ))), )</f>
        <v/>
      </c>
      <c r="AD2116" s="32" t="str">
        <f t="shared" si="2137"/>
        <v/>
      </c>
      <c r="AE2116" s="32" t="str">
        <f t="shared" si="2137"/>
        <v/>
      </c>
      <c r="AF2116" s="32" t="str">
        <f t="shared" si="2137"/>
        <v/>
      </c>
      <c r="AG2116" s="32" t="str">
        <f t="shared" si="2137"/>
        <v/>
      </c>
      <c r="AH2116" s="33"/>
    </row>
    <row r="2117" hidden="1" outlineLevel="3">
      <c r="A2117" s="16" t="b">
        <v>0</v>
      </c>
      <c r="B2117" s="17"/>
      <c r="C2117" s="18"/>
      <c r="D2117" s="42"/>
      <c r="E2117" s="20"/>
      <c r="F2117" s="53"/>
      <c r="G2117" s="45"/>
      <c r="H2117" s="45"/>
      <c r="I2117" s="45"/>
      <c r="J2117" s="36"/>
      <c r="K2117" s="23"/>
      <c r="L2117" s="36"/>
      <c r="M2117" s="23"/>
      <c r="N2117" s="23"/>
      <c r="O2117" s="24"/>
      <c r="P2117" s="16" t="b">
        <v>0</v>
      </c>
      <c r="Q2117" s="24"/>
      <c r="R2117" s="48" t="str">
        <f t="shared" si="2103"/>
        <v/>
      </c>
      <c r="S2117" s="26"/>
      <c r="T2117" s="49" t="str">
        <f t="shared" si="2104"/>
        <v/>
      </c>
      <c r="U2117" s="24"/>
      <c r="V2117" s="66" t="s">
        <v>29</v>
      </c>
      <c r="W2117" s="29" t="str">
        <f t="shared" si="2024"/>
        <v>/</v>
      </c>
      <c r="X2117" s="37" t="s">
        <v>1342</v>
      </c>
      <c r="Y2117" s="31"/>
      <c r="Z2117" s="26" t="str">
        <f t="shared" si="5"/>
        <v/>
      </c>
      <c r="AA2117" s="26" t="str">
        <f t="shared" si="6"/>
        <v/>
      </c>
      <c r="AB2117" s="32" t="str">
        <f t="shared" si="7"/>
        <v/>
      </c>
      <c r="AC2117" s="32" t="str">
        <f t="shared" ref="AC2117:AG2117" si="2138">IF(J2117&lt;&gt;"", IF(AND($P2117=FALSE, $A2117=FALSE), -J2117, IF(AND($P2117=FALSE, $A2117=TRUE), 0, IF($P2117=TRUE, (J2117 / $R2117) * 100 * ($S2117 / 100)-J2117, ))), )</f>
        <v/>
      </c>
      <c r="AD2117" s="32" t="str">
        <f t="shared" si="2138"/>
        <v/>
      </c>
      <c r="AE2117" s="32" t="str">
        <f t="shared" si="2138"/>
        <v/>
      </c>
      <c r="AF2117" s="32" t="str">
        <f t="shared" si="2138"/>
        <v/>
      </c>
      <c r="AG2117" s="32" t="str">
        <f t="shared" si="2138"/>
        <v/>
      </c>
      <c r="AH2117" s="33"/>
    </row>
    <row r="2118" hidden="1" outlineLevel="3">
      <c r="A2118" s="16" t="b">
        <v>0</v>
      </c>
      <c r="B2118" s="17"/>
      <c r="C2118" s="18"/>
      <c r="D2118" s="42"/>
      <c r="E2118" s="20"/>
      <c r="F2118" s="53"/>
      <c r="G2118" s="45"/>
      <c r="H2118" s="45"/>
      <c r="I2118" s="45"/>
      <c r="J2118" s="36"/>
      <c r="K2118" s="23"/>
      <c r="L2118" s="36"/>
      <c r="M2118" s="23"/>
      <c r="N2118" s="23"/>
      <c r="O2118" s="24"/>
      <c r="P2118" s="16" t="b">
        <v>0</v>
      </c>
      <c r="Q2118" s="24"/>
      <c r="R2118" s="48" t="str">
        <f t="shared" si="2103"/>
        <v/>
      </c>
      <c r="S2118" s="26"/>
      <c r="T2118" s="49" t="str">
        <f t="shared" si="2104"/>
        <v/>
      </c>
      <c r="U2118" s="24"/>
      <c r="V2118" s="66" t="s">
        <v>29</v>
      </c>
      <c r="W2118" s="29" t="str">
        <f t="shared" si="2024"/>
        <v>/</v>
      </c>
      <c r="X2118" s="37" t="s">
        <v>1343</v>
      </c>
      <c r="Y2118" s="31"/>
      <c r="Z2118" s="26" t="str">
        <f t="shared" si="5"/>
        <v/>
      </c>
      <c r="AA2118" s="26" t="str">
        <f t="shared" si="6"/>
        <v/>
      </c>
      <c r="AB2118" s="32" t="str">
        <f t="shared" si="7"/>
        <v/>
      </c>
      <c r="AC2118" s="32" t="str">
        <f t="shared" ref="AC2118:AG2118" si="2139">IF(J2118&lt;&gt;"", IF(AND($P2118=FALSE, $A2118=FALSE), -J2118, IF(AND($P2118=FALSE, $A2118=TRUE), 0, IF($P2118=TRUE, (J2118 / $R2118) * 100 * ($S2118 / 100)-J2118, ))), )</f>
        <v/>
      </c>
      <c r="AD2118" s="32" t="str">
        <f t="shared" si="2139"/>
        <v/>
      </c>
      <c r="AE2118" s="32" t="str">
        <f t="shared" si="2139"/>
        <v/>
      </c>
      <c r="AF2118" s="32" t="str">
        <f t="shared" si="2139"/>
        <v/>
      </c>
      <c r="AG2118" s="32" t="str">
        <f t="shared" si="2139"/>
        <v/>
      </c>
      <c r="AH2118" s="33"/>
    </row>
    <row r="2119" hidden="1" outlineLevel="1" collapsed="1">
      <c r="A2119" s="81" t="b">
        <v>0</v>
      </c>
      <c r="B2119" s="17"/>
      <c r="C2119" s="18"/>
      <c r="D2119" s="42">
        <v>45360.0</v>
      </c>
      <c r="E2119" s="80" t="s">
        <v>863</v>
      </c>
      <c r="F2119" s="21" t="s">
        <v>1344</v>
      </c>
      <c r="G2119" s="45">
        <v>1.0</v>
      </c>
      <c r="H2119" s="48"/>
      <c r="I2119" s="45">
        <v>5.0</v>
      </c>
      <c r="J2119" s="79"/>
      <c r="K2119" s="79"/>
      <c r="L2119" s="79"/>
      <c r="M2119" s="79"/>
      <c r="N2119" s="79"/>
      <c r="O2119" s="47"/>
      <c r="P2119" s="20" t="b">
        <v>0</v>
      </c>
      <c r="Q2119" s="24"/>
      <c r="R2119" s="48">
        <f t="shared" si="2103"/>
        <v>6</v>
      </c>
      <c r="S2119" s="45">
        <v>14.16</v>
      </c>
      <c r="T2119" s="49" t="str">
        <f t="shared" si="2104"/>
        <v>+136</v>
      </c>
      <c r="U2119" s="47"/>
      <c r="V2119" s="28" t="str">
        <f>IF(ISBLANK($D2119), "0",)</f>
        <v/>
      </c>
      <c r="W2119" s="29" t="str">
        <f t="shared" si="2024"/>
        <v/>
      </c>
      <c r="X2119" s="30"/>
      <c r="Y2119" s="84"/>
      <c r="Z2119" s="26">
        <f t="shared" si="5"/>
        <v>-1</v>
      </c>
      <c r="AA2119" s="26">
        <f t="shared" si="6"/>
        <v>-5</v>
      </c>
      <c r="AB2119" s="32" t="str">
        <f t="shared" si="7"/>
        <v/>
      </c>
      <c r="AC2119" s="32" t="str">
        <f t="shared" ref="AC2119:AG2119" si="2140">IF(J2119&lt;&gt;"", IF(AND($P2119=FALSE, $A2119=FALSE), -J2119, IF(AND($P2119=FALSE, $A2119=TRUE), 0, IF($P2119=TRUE, (J2119 / $R2119) * 100 * ($S2119 / 100)-J2119, ))), )</f>
        <v/>
      </c>
      <c r="AD2119" s="32" t="str">
        <f t="shared" si="2140"/>
        <v/>
      </c>
      <c r="AE2119" s="32" t="str">
        <f t="shared" si="2140"/>
        <v/>
      </c>
      <c r="AF2119" s="32" t="str">
        <f t="shared" si="2140"/>
        <v/>
      </c>
      <c r="AG2119" s="32" t="str">
        <f t="shared" si="2140"/>
        <v/>
      </c>
      <c r="AH2119" s="33"/>
    </row>
    <row r="2120" hidden="1" outlineLevel="3">
      <c r="A2120" s="16" t="b">
        <v>0</v>
      </c>
      <c r="B2120" s="17"/>
      <c r="C2120" s="18"/>
      <c r="D2120" s="42"/>
      <c r="E2120" s="20"/>
      <c r="F2120" s="53"/>
      <c r="G2120" s="45"/>
      <c r="H2120" s="45"/>
      <c r="I2120" s="45"/>
      <c r="J2120" s="36"/>
      <c r="K2120" s="23"/>
      <c r="L2120" s="36"/>
      <c r="M2120" s="23"/>
      <c r="N2120" s="23"/>
      <c r="O2120" s="24"/>
      <c r="P2120" s="16" t="b">
        <v>0</v>
      </c>
      <c r="Q2120" s="24"/>
      <c r="R2120" s="48" t="str">
        <f t="shared" si="2103"/>
        <v/>
      </c>
      <c r="S2120" s="26"/>
      <c r="T2120" s="49" t="str">
        <f t="shared" si="2104"/>
        <v/>
      </c>
      <c r="U2120" s="24"/>
      <c r="V2120" s="28" t="s">
        <v>32</v>
      </c>
      <c r="W2120" s="29" t="str">
        <f t="shared" si="2024"/>
        <v>/</v>
      </c>
      <c r="X2120" s="37" t="s">
        <v>1345</v>
      </c>
      <c r="Y2120" s="31"/>
      <c r="Z2120" s="26" t="str">
        <f t="shared" si="5"/>
        <v/>
      </c>
      <c r="AA2120" s="26" t="str">
        <f t="shared" si="6"/>
        <v/>
      </c>
      <c r="AB2120" s="32" t="str">
        <f t="shared" si="7"/>
        <v/>
      </c>
      <c r="AC2120" s="32" t="str">
        <f t="shared" ref="AC2120:AG2120" si="2141">IF(J2120&lt;&gt;"", IF(AND($P2120=FALSE, $A2120=FALSE), -J2120, IF(AND($P2120=FALSE, $A2120=TRUE), 0, IF($P2120=TRUE, (J2120 / $R2120) * 100 * ($S2120 / 100)-J2120, ))), )</f>
        <v/>
      </c>
      <c r="AD2120" s="32" t="str">
        <f t="shared" si="2141"/>
        <v/>
      </c>
      <c r="AE2120" s="32" t="str">
        <f t="shared" si="2141"/>
        <v/>
      </c>
      <c r="AF2120" s="32" t="str">
        <f t="shared" si="2141"/>
        <v/>
      </c>
      <c r="AG2120" s="32" t="str">
        <f t="shared" si="2141"/>
        <v/>
      </c>
      <c r="AH2120" s="33"/>
    </row>
    <row r="2121" hidden="1" outlineLevel="2" collapsed="1">
      <c r="A2121" s="81" t="b">
        <v>0</v>
      </c>
      <c r="B2121" s="17"/>
      <c r="C2121" s="18"/>
      <c r="D2121" s="42">
        <v>45360.0</v>
      </c>
      <c r="E2121" s="80" t="s">
        <v>863</v>
      </c>
      <c r="F2121" s="21" t="s">
        <v>1344</v>
      </c>
      <c r="G2121" s="45">
        <v>1.0</v>
      </c>
      <c r="H2121" s="48"/>
      <c r="I2121" s="45">
        <v>5.0</v>
      </c>
      <c r="J2121" s="79"/>
      <c r="K2121" s="79"/>
      <c r="L2121" s="79"/>
      <c r="M2121" s="79"/>
      <c r="N2121" s="79"/>
      <c r="O2121" s="47"/>
      <c r="P2121" s="20" t="b">
        <v>1</v>
      </c>
      <c r="Q2121" s="24"/>
      <c r="R2121" s="48">
        <f t="shared" si="2103"/>
        <v>6</v>
      </c>
      <c r="S2121" s="45">
        <v>10.6</v>
      </c>
      <c r="T2121" s="49">
        <f t="shared" si="2104"/>
        <v>-130</v>
      </c>
      <c r="U2121" s="47"/>
      <c r="V2121" s="28" t="str">
        <f>IF(ISBLANK($D2121), "0",)</f>
        <v/>
      </c>
      <c r="W2121" s="29" t="str">
        <f t="shared" si="2024"/>
        <v/>
      </c>
      <c r="X2121" s="30"/>
      <c r="Y2121" s="84"/>
      <c r="Z2121" s="26">
        <f t="shared" si="5"/>
        <v>0.7666666667</v>
      </c>
      <c r="AA2121" s="26">
        <f t="shared" si="6"/>
        <v>3.833333333</v>
      </c>
      <c r="AB2121" s="32" t="str">
        <f t="shared" si="7"/>
        <v/>
      </c>
      <c r="AC2121" s="32" t="str">
        <f t="shared" ref="AC2121:AG2121" si="2142">IF(J2121&lt;&gt;"", IF(AND($P2121=FALSE, $A2121=FALSE), -J2121, IF(AND($P2121=FALSE, $A2121=TRUE), 0, IF($P2121=TRUE, (J2121 / $R2121) * 100 * ($S2121 / 100)-J2121, ))), )</f>
        <v/>
      </c>
      <c r="AD2121" s="32" t="str">
        <f t="shared" si="2142"/>
        <v/>
      </c>
      <c r="AE2121" s="32" t="str">
        <f t="shared" si="2142"/>
        <v/>
      </c>
      <c r="AF2121" s="32" t="str">
        <f t="shared" si="2142"/>
        <v/>
      </c>
      <c r="AG2121" s="32" t="str">
        <f t="shared" si="2142"/>
        <v/>
      </c>
      <c r="AH2121" s="33"/>
    </row>
    <row r="2122" hidden="1" outlineLevel="3">
      <c r="A2122" s="16" t="b">
        <v>0</v>
      </c>
      <c r="B2122" s="17"/>
      <c r="C2122" s="18"/>
      <c r="D2122" s="42"/>
      <c r="E2122" s="20"/>
      <c r="F2122" s="53"/>
      <c r="G2122" s="45"/>
      <c r="H2122" s="45"/>
      <c r="I2122" s="45"/>
      <c r="J2122" s="36"/>
      <c r="K2122" s="23"/>
      <c r="L2122" s="36"/>
      <c r="M2122" s="23"/>
      <c r="N2122" s="23"/>
      <c r="O2122" s="24"/>
      <c r="P2122" s="16" t="b">
        <v>0</v>
      </c>
      <c r="Q2122" s="24"/>
      <c r="R2122" s="48" t="str">
        <f t="shared" si="2103"/>
        <v/>
      </c>
      <c r="S2122" s="26"/>
      <c r="T2122" s="49" t="str">
        <f t="shared" si="2104"/>
        <v/>
      </c>
      <c r="U2122" s="24"/>
      <c r="V2122" s="66" t="s">
        <v>29</v>
      </c>
      <c r="W2122" s="29" t="str">
        <f t="shared" si="2024"/>
        <v>/</v>
      </c>
      <c r="X2122" s="37" t="s">
        <v>1346</v>
      </c>
      <c r="Y2122" s="31"/>
      <c r="Z2122" s="26" t="str">
        <f t="shared" si="5"/>
        <v/>
      </c>
      <c r="AA2122" s="26" t="str">
        <f t="shared" si="6"/>
        <v/>
      </c>
      <c r="AB2122" s="32" t="str">
        <f t="shared" si="7"/>
        <v/>
      </c>
      <c r="AC2122" s="32" t="str">
        <f t="shared" ref="AC2122:AG2122" si="2143">IF(J2122&lt;&gt;"", IF(AND($P2122=FALSE, $A2122=FALSE), -J2122, IF(AND($P2122=FALSE, $A2122=TRUE), 0, IF($P2122=TRUE, (J2122 / $R2122) * 100 * ($S2122 / 100)-J2122, ))), )</f>
        <v/>
      </c>
      <c r="AD2122" s="32" t="str">
        <f t="shared" si="2143"/>
        <v/>
      </c>
      <c r="AE2122" s="32" t="str">
        <f t="shared" si="2143"/>
        <v/>
      </c>
      <c r="AF2122" s="32" t="str">
        <f t="shared" si="2143"/>
        <v/>
      </c>
      <c r="AG2122" s="32" t="str">
        <f t="shared" si="2143"/>
        <v/>
      </c>
      <c r="AH2122" s="33"/>
    </row>
    <row r="2123" hidden="1" outlineLevel="2" collapsed="1">
      <c r="A2123" s="81" t="b">
        <v>0</v>
      </c>
      <c r="B2123" s="17"/>
      <c r="C2123" s="18"/>
      <c r="D2123" s="42">
        <v>45360.0</v>
      </c>
      <c r="E2123" s="80" t="s">
        <v>863</v>
      </c>
      <c r="F2123" s="21" t="s">
        <v>1344</v>
      </c>
      <c r="G2123" s="45">
        <v>1.0</v>
      </c>
      <c r="H2123" s="48"/>
      <c r="I2123" s="45">
        <v>3.0</v>
      </c>
      <c r="J2123" s="79"/>
      <c r="K2123" s="79"/>
      <c r="L2123" s="79"/>
      <c r="M2123" s="79"/>
      <c r="N2123" s="79"/>
      <c r="O2123" s="47"/>
      <c r="P2123" s="20" t="b">
        <v>0</v>
      </c>
      <c r="Q2123" s="24"/>
      <c r="R2123" s="48">
        <f t="shared" si="2103"/>
        <v>4</v>
      </c>
      <c r="S2123" s="45">
        <v>22.4</v>
      </c>
      <c r="T2123" s="49" t="str">
        <f t="shared" si="2104"/>
        <v>+460</v>
      </c>
      <c r="U2123" s="47"/>
      <c r="V2123" s="28" t="str">
        <f>IF(ISBLANK($D2123), "0",)</f>
        <v/>
      </c>
      <c r="W2123" s="29" t="str">
        <f t="shared" si="2024"/>
        <v/>
      </c>
      <c r="X2123" s="30"/>
      <c r="Y2123" s="84"/>
      <c r="Z2123" s="26">
        <f t="shared" si="5"/>
        <v>-1</v>
      </c>
      <c r="AA2123" s="26">
        <f t="shared" si="6"/>
        <v>-3</v>
      </c>
      <c r="AB2123" s="32" t="str">
        <f t="shared" si="7"/>
        <v/>
      </c>
      <c r="AC2123" s="32" t="str">
        <f t="shared" ref="AC2123:AG2123" si="2144">IF(J2123&lt;&gt;"", IF(AND($P2123=FALSE, $A2123=FALSE), -J2123, IF(AND($P2123=FALSE, $A2123=TRUE), 0, IF($P2123=TRUE, (J2123 / $R2123) * 100 * ($S2123 / 100)-J2123, ))), )</f>
        <v/>
      </c>
      <c r="AD2123" s="32" t="str">
        <f t="shared" si="2144"/>
        <v/>
      </c>
      <c r="AE2123" s="32" t="str">
        <f t="shared" si="2144"/>
        <v/>
      </c>
      <c r="AF2123" s="32" t="str">
        <f t="shared" si="2144"/>
        <v/>
      </c>
      <c r="AG2123" s="32" t="str">
        <f t="shared" si="2144"/>
        <v/>
      </c>
      <c r="AH2123" s="33"/>
    </row>
    <row r="2124" hidden="1" outlineLevel="3">
      <c r="A2124" s="16" t="b">
        <v>0</v>
      </c>
      <c r="B2124" s="17"/>
      <c r="C2124" s="18"/>
      <c r="D2124" s="42"/>
      <c r="E2124" s="20"/>
      <c r="F2124" s="53"/>
      <c r="G2124" s="45"/>
      <c r="H2124" s="45"/>
      <c r="I2124" s="45"/>
      <c r="J2124" s="36"/>
      <c r="K2124" s="23"/>
      <c r="L2124" s="36"/>
      <c r="M2124" s="23"/>
      <c r="N2124" s="23"/>
      <c r="O2124" s="24"/>
      <c r="P2124" s="16" t="b">
        <v>0</v>
      </c>
      <c r="Q2124" s="24"/>
      <c r="R2124" s="48" t="str">
        <f t="shared" si="2103"/>
        <v/>
      </c>
      <c r="S2124" s="26"/>
      <c r="T2124" s="49" t="str">
        <f t="shared" si="2104"/>
        <v/>
      </c>
      <c r="U2124" s="24"/>
      <c r="V2124" s="28" t="s">
        <v>32</v>
      </c>
      <c r="W2124" s="29" t="str">
        <f t="shared" si="2024"/>
        <v>/</v>
      </c>
      <c r="X2124" s="37" t="s">
        <v>1347</v>
      </c>
      <c r="Y2124" s="31"/>
      <c r="Z2124" s="26" t="str">
        <f t="shared" si="5"/>
        <v/>
      </c>
      <c r="AA2124" s="26" t="str">
        <f t="shared" si="6"/>
        <v/>
      </c>
      <c r="AB2124" s="32" t="str">
        <f t="shared" si="7"/>
        <v/>
      </c>
      <c r="AC2124" s="32" t="str">
        <f t="shared" ref="AC2124:AG2124" si="2145">IF(J2124&lt;&gt;"", IF(AND($P2124=FALSE, $A2124=FALSE), -J2124, IF(AND($P2124=FALSE, $A2124=TRUE), 0, IF($P2124=TRUE, (J2124 / $R2124) * 100 * ($S2124 / 100)-J2124, ))), )</f>
        <v/>
      </c>
      <c r="AD2124" s="32" t="str">
        <f t="shared" si="2145"/>
        <v/>
      </c>
      <c r="AE2124" s="32" t="str">
        <f t="shared" si="2145"/>
        <v/>
      </c>
      <c r="AF2124" s="32" t="str">
        <f t="shared" si="2145"/>
        <v/>
      </c>
      <c r="AG2124" s="32" t="str">
        <f t="shared" si="2145"/>
        <v/>
      </c>
      <c r="AH2124" s="33"/>
    </row>
    <row r="2125" hidden="1" outlineLevel="2" collapsed="1">
      <c r="A2125" s="81" t="b">
        <v>0</v>
      </c>
      <c r="B2125" s="17"/>
      <c r="C2125" s="18"/>
      <c r="D2125" s="42">
        <v>45360.0</v>
      </c>
      <c r="E2125" s="80" t="s">
        <v>863</v>
      </c>
      <c r="F2125" s="21" t="s">
        <v>1344</v>
      </c>
      <c r="G2125" s="45">
        <v>1.0</v>
      </c>
      <c r="H2125" s="48"/>
      <c r="I2125" s="45">
        <v>5.0</v>
      </c>
      <c r="J2125" s="79"/>
      <c r="K2125" s="79"/>
      <c r="L2125" s="79"/>
      <c r="M2125" s="79"/>
      <c r="N2125" s="79"/>
      <c r="O2125" s="47"/>
      <c r="P2125" s="20" t="b">
        <v>1</v>
      </c>
      <c r="Q2125" s="24"/>
      <c r="R2125" s="48">
        <f t="shared" si="2103"/>
        <v>6</v>
      </c>
      <c r="S2125" s="45">
        <v>14.07</v>
      </c>
      <c r="T2125" s="49" t="str">
        <f t="shared" si="2104"/>
        <v>+135</v>
      </c>
      <c r="U2125" s="47"/>
      <c r="V2125" s="28" t="str">
        <f>IF(ISBLANK($D2125), "0",)</f>
        <v/>
      </c>
      <c r="W2125" s="29" t="str">
        <f t="shared" si="2024"/>
        <v/>
      </c>
      <c r="X2125" s="30"/>
      <c r="Y2125" s="84"/>
      <c r="Z2125" s="26">
        <f t="shared" si="5"/>
        <v>1.345</v>
      </c>
      <c r="AA2125" s="26">
        <f t="shared" si="6"/>
        <v>6.725</v>
      </c>
      <c r="AB2125" s="32" t="str">
        <f t="shared" si="7"/>
        <v/>
      </c>
      <c r="AC2125" s="32" t="str">
        <f t="shared" ref="AC2125:AG2125" si="2146">IF(J2125&lt;&gt;"", IF(AND($P2125=FALSE, $A2125=FALSE), -J2125, IF(AND($P2125=FALSE, $A2125=TRUE), 0, IF($P2125=TRUE, (J2125 / $R2125) * 100 * ($S2125 / 100)-J2125, ))), )</f>
        <v/>
      </c>
      <c r="AD2125" s="32" t="str">
        <f t="shared" si="2146"/>
        <v/>
      </c>
      <c r="AE2125" s="32" t="str">
        <f t="shared" si="2146"/>
        <v/>
      </c>
      <c r="AF2125" s="32" t="str">
        <f t="shared" si="2146"/>
        <v/>
      </c>
      <c r="AG2125" s="32" t="str">
        <f t="shared" si="2146"/>
        <v/>
      </c>
      <c r="AH2125" s="33"/>
    </row>
    <row r="2126" hidden="1" outlineLevel="3">
      <c r="A2126" s="16" t="b">
        <v>0</v>
      </c>
      <c r="B2126" s="17"/>
      <c r="C2126" s="18"/>
      <c r="D2126" s="42"/>
      <c r="E2126" s="20"/>
      <c r="F2126" s="53"/>
      <c r="G2126" s="45"/>
      <c r="H2126" s="45"/>
      <c r="I2126" s="45"/>
      <c r="J2126" s="36"/>
      <c r="K2126" s="23"/>
      <c r="L2126" s="36"/>
      <c r="M2126" s="23"/>
      <c r="N2126" s="23"/>
      <c r="O2126" s="24"/>
      <c r="P2126" s="16" t="b">
        <v>0</v>
      </c>
      <c r="Q2126" s="24"/>
      <c r="R2126" s="48" t="str">
        <f t="shared" si="2103"/>
        <v/>
      </c>
      <c r="S2126" s="26"/>
      <c r="T2126" s="49" t="str">
        <f t="shared" si="2104"/>
        <v/>
      </c>
      <c r="U2126" s="24"/>
      <c r="V2126" s="66" t="s">
        <v>29</v>
      </c>
      <c r="W2126" s="29" t="str">
        <f t="shared" si="2024"/>
        <v>/</v>
      </c>
      <c r="X2126" s="37" t="s">
        <v>1348</v>
      </c>
      <c r="Y2126" s="31"/>
      <c r="Z2126" s="26" t="str">
        <f t="shared" si="5"/>
        <v/>
      </c>
      <c r="AA2126" s="26" t="str">
        <f t="shared" si="6"/>
        <v/>
      </c>
      <c r="AB2126" s="32" t="str">
        <f t="shared" si="7"/>
        <v/>
      </c>
      <c r="AC2126" s="32" t="str">
        <f t="shared" ref="AC2126:AG2126" si="2147">IF(J2126&lt;&gt;"", IF(AND($P2126=FALSE, $A2126=FALSE), -J2126, IF(AND($P2126=FALSE, $A2126=TRUE), 0, IF($P2126=TRUE, (J2126 / $R2126) * 100 * ($S2126 / 100)-J2126, ))), )</f>
        <v/>
      </c>
      <c r="AD2126" s="32" t="str">
        <f t="shared" si="2147"/>
        <v/>
      </c>
      <c r="AE2126" s="32" t="str">
        <f t="shared" si="2147"/>
        <v/>
      </c>
      <c r="AF2126" s="32" t="str">
        <f t="shared" si="2147"/>
        <v/>
      </c>
      <c r="AG2126" s="32" t="str">
        <f t="shared" si="2147"/>
        <v/>
      </c>
      <c r="AH2126" s="33"/>
    </row>
    <row r="2127" hidden="1" outlineLevel="3">
      <c r="A2127" s="16" t="b">
        <v>0</v>
      </c>
      <c r="B2127" s="17"/>
      <c r="C2127" s="18"/>
      <c r="D2127" s="42"/>
      <c r="E2127" s="20"/>
      <c r="F2127" s="53"/>
      <c r="G2127" s="45"/>
      <c r="H2127" s="45"/>
      <c r="I2127" s="45"/>
      <c r="J2127" s="36"/>
      <c r="K2127" s="23"/>
      <c r="L2127" s="36"/>
      <c r="M2127" s="23"/>
      <c r="N2127" s="23"/>
      <c r="O2127" s="24"/>
      <c r="P2127" s="16" t="b">
        <v>0</v>
      </c>
      <c r="Q2127" s="24"/>
      <c r="R2127" s="48" t="str">
        <f t="shared" si="2103"/>
        <v/>
      </c>
      <c r="S2127" s="26"/>
      <c r="T2127" s="49" t="str">
        <f t="shared" si="2104"/>
        <v/>
      </c>
      <c r="U2127" s="24"/>
      <c r="V2127" s="66" t="s">
        <v>29</v>
      </c>
      <c r="W2127" s="29" t="str">
        <f t="shared" si="2024"/>
        <v>/</v>
      </c>
      <c r="X2127" s="37" t="s">
        <v>1349</v>
      </c>
      <c r="Y2127" s="31"/>
      <c r="Z2127" s="26" t="str">
        <f t="shared" si="5"/>
        <v/>
      </c>
      <c r="AA2127" s="26" t="str">
        <f t="shared" si="6"/>
        <v/>
      </c>
      <c r="AB2127" s="32" t="str">
        <f t="shared" si="7"/>
        <v/>
      </c>
      <c r="AC2127" s="32" t="str">
        <f t="shared" ref="AC2127:AG2127" si="2148">IF(J2127&lt;&gt;"", IF(AND($P2127=FALSE, $A2127=FALSE), -J2127, IF(AND($P2127=FALSE, $A2127=TRUE), 0, IF($P2127=TRUE, (J2127 / $R2127) * 100 * ($S2127 / 100)-J2127, ))), )</f>
        <v/>
      </c>
      <c r="AD2127" s="32" t="str">
        <f t="shared" si="2148"/>
        <v/>
      </c>
      <c r="AE2127" s="32" t="str">
        <f t="shared" si="2148"/>
        <v/>
      </c>
      <c r="AF2127" s="32" t="str">
        <f t="shared" si="2148"/>
        <v/>
      </c>
      <c r="AG2127" s="32" t="str">
        <f t="shared" si="2148"/>
        <v/>
      </c>
      <c r="AH2127" s="33"/>
    </row>
    <row r="2128" hidden="1" outlineLevel="2" collapsed="1">
      <c r="A2128" s="81" t="b">
        <v>0</v>
      </c>
      <c r="B2128" s="17"/>
      <c r="C2128" s="18"/>
      <c r="D2128" s="42">
        <v>45360.0</v>
      </c>
      <c r="E2128" s="80" t="s">
        <v>863</v>
      </c>
      <c r="F2128" s="21" t="s">
        <v>1344</v>
      </c>
      <c r="G2128" s="45">
        <v>2.0</v>
      </c>
      <c r="H2128" s="48"/>
      <c r="I2128" s="45">
        <v>10.0</v>
      </c>
      <c r="J2128" s="79"/>
      <c r="K2128" s="79"/>
      <c r="L2128" s="79"/>
      <c r="M2128" s="79"/>
      <c r="N2128" s="79"/>
      <c r="O2128" s="47"/>
      <c r="P2128" s="20" t="b">
        <v>0</v>
      </c>
      <c r="Q2128" s="24"/>
      <c r="R2128" s="48">
        <f t="shared" si="2103"/>
        <v>12</v>
      </c>
      <c r="S2128" s="45">
        <v>42.0</v>
      </c>
      <c r="T2128" s="49" t="str">
        <f t="shared" si="2104"/>
        <v>+250</v>
      </c>
      <c r="U2128" s="47"/>
      <c r="V2128" s="28" t="str">
        <f>IF(ISBLANK($D2128), "0",)</f>
        <v/>
      </c>
      <c r="W2128" s="29" t="str">
        <f t="shared" si="2024"/>
        <v/>
      </c>
      <c r="X2128" s="30"/>
      <c r="Y2128" s="84"/>
      <c r="Z2128" s="26">
        <f t="shared" si="5"/>
        <v>-2</v>
      </c>
      <c r="AA2128" s="26">
        <f t="shared" si="6"/>
        <v>-10</v>
      </c>
      <c r="AB2128" s="32" t="str">
        <f t="shared" si="7"/>
        <v/>
      </c>
      <c r="AC2128" s="32" t="str">
        <f t="shared" ref="AC2128:AG2128" si="2149">IF(J2128&lt;&gt;"", IF(AND($P2128=FALSE, $A2128=FALSE), -J2128, IF(AND($P2128=FALSE, $A2128=TRUE), 0, IF($P2128=TRUE, (J2128 / $R2128) * 100 * ($S2128 / 100)-J2128, ))), )</f>
        <v/>
      </c>
      <c r="AD2128" s="32" t="str">
        <f t="shared" si="2149"/>
        <v/>
      </c>
      <c r="AE2128" s="32" t="str">
        <f t="shared" si="2149"/>
        <v/>
      </c>
      <c r="AF2128" s="32" t="str">
        <f t="shared" si="2149"/>
        <v/>
      </c>
      <c r="AG2128" s="32" t="str">
        <f t="shared" si="2149"/>
        <v/>
      </c>
      <c r="AH2128" s="33"/>
    </row>
    <row r="2129" hidden="1" outlineLevel="3">
      <c r="A2129" s="16" t="b">
        <v>0</v>
      </c>
      <c r="B2129" s="17"/>
      <c r="C2129" s="18"/>
      <c r="D2129" s="42"/>
      <c r="E2129" s="20"/>
      <c r="F2129" s="53"/>
      <c r="G2129" s="45"/>
      <c r="H2129" s="45"/>
      <c r="I2129" s="45"/>
      <c r="J2129" s="36"/>
      <c r="K2129" s="23"/>
      <c r="L2129" s="36"/>
      <c r="M2129" s="23"/>
      <c r="N2129" s="23"/>
      <c r="O2129" s="24"/>
      <c r="P2129" s="16" t="b">
        <v>0</v>
      </c>
      <c r="Q2129" s="24"/>
      <c r="R2129" s="48" t="str">
        <f t="shared" si="2103"/>
        <v/>
      </c>
      <c r="S2129" s="26"/>
      <c r="T2129" s="49" t="str">
        <f t="shared" si="2104"/>
        <v/>
      </c>
      <c r="U2129" s="24"/>
      <c r="V2129" s="28" t="s">
        <v>32</v>
      </c>
      <c r="W2129" s="29" t="str">
        <f t="shared" si="2024"/>
        <v>/</v>
      </c>
      <c r="X2129" s="37" t="s">
        <v>1350</v>
      </c>
      <c r="Y2129" s="31"/>
      <c r="Z2129" s="26" t="str">
        <f t="shared" si="5"/>
        <v/>
      </c>
      <c r="AA2129" s="26" t="str">
        <f t="shared" si="6"/>
        <v/>
      </c>
      <c r="AB2129" s="32" t="str">
        <f t="shared" si="7"/>
        <v/>
      </c>
      <c r="AC2129" s="32" t="str">
        <f t="shared" ref="AC2129:AG2129" si="2150">IF(J2129&lt;&gt;"", IF(AND($P2129=FALSE, $A2129=FALSE), -J2129, IF(AND($P2129=FALSE, $A2129=TRUE), 0, IF($P2129=TRUE, (J2129 / $R2129) * 100 * ($S2129 / 100)-J2129, ))), )</f>
        <v/>
      </c>
      <c r="AD2129" s="32" t="str">
        <f t="shared" si="2150"/>
        <v/>
      </c>
      <c r="AE2129" s="32" t="str">
        <f t="shared" si="2150"/>
        <v/>
      </c>
      <c r="AF2129" s="32" t="str">
        <f t="shared" si="2150"/>
        <v/>
      </c>
      <c r="AG2129" s="32" t="str">
        <f t="shared" si="2150"/>
        <v/>
      </c>
      <c r="AH2129" s="33"/>
    </row>
    <row r="2130" hidden="1" outlineLevel="2">
      <c r="A2130" s="81" t="b">
        <v>0</v>
      </c>
      <c r="B2130" s="17"/>
      <c r="C2130" s="18"/>
      <c r="D2130" s="42">
        <v>45360.0</v>
      </c>
      <c r="E2130" s="80" t="s">
        <v>863</v>
      </c>
      <c r="F2130" s="21" t="s">
        <v>1344</v>
      </c>
      <c r="G2130" s="45">
        <v>1.0</v>
      </c>
      <c r="H2130" s="48"/>
      <c r="I2130" s="45">
        <v>5.0</v>
      </c>
      <c r="J2130" s="79"/>
      <c r="K2130" s="79"/>
      <c r="L2130" s="79"/>
      <c r="M2130" s="79"/>
      <c r="N2130" s="79"/>
      <c r="O2130" s="47"/>
      <c r="P2130" s="20" t="b">
        <v>0</v>
      </c>
      <c r="Q2130" s="24"/>
      <c r="R2130" s="48">
        <f t="shared" si="2103"/>
        <v>6</v>
      </c>
      <c r="S2130" s="45">
        <v>14.16</v>
      </c>
      <c r="T2130" s="49" t="str">
        <f t="shared" si="2104"/>
        <v>+136</v>
      </c>
      <c r="U2130" s="47"/>
      <c r="V2130" s="28" t="str">
        <f>IF(ISBLANK($D2130), "0",)</f>
        <v/>
      </c>
      <c r="W2130" s="29" t="str">
        <f t="shared" si="2024"/>
        <v/>
      </c>
      <c r="X2130" s="30"/>
      <c r="Y2130" s="84"/>
      <c r="Z2130" s="26">
        <f t="shared" si="5"/>
        <v>-1</v>
      </c>
      <c r="AA2130" s="26">
        <f t="shared" si="6"/>
        <v>-5</v>
      </c>
      <c r="AB2130" s="32" t="str">
        <f t="shared" si="7"/>
        <v/>
      </c>
      <c r="AC2130" s="32" t="str">
        <f t="shared" ref="AC2130:AG2130" si="2151">IF(J2130&lt;&gt;"", IF(AND($P2130=FALSE, $A2130=FALSE), -J2130, IF(AND($P2130=FALSE, $A2130=TRUE), 0, IF($P2130=TRUE, (J2130 / $R2130) * 100 * ($S2130 / 100)-J2130, ))), )</f>
        <v/>
      </c>
      <c r="AD2130" s="32" t="str">
        <f t="shared" si="2151"/>
        <v/>
      </c>
      <c r="AE2130" s="32" t="str">
        <f t="shared" si="2151"/>
        <v/>
      </c>
      <c r="AF2130" s="32" t="str">
        <f t="shared" si="2151"/>
        <v/>
      </c>
      <c r="AG2130" s="32" t="str">
        <f t="shared" si="2151"/>
        <v/>
      </c>
      <c r="AH2130" s="33"/>
    </row>
    <row r="2131" hidden="1" outlineLevel="3">
      <c r="A2131" s="16" t="b">
        <v>0</v>
      </c>
      <c r="B2131" s="17"/>
      <c r="C2131" s="18"/>
      <c r="D2131" s="42"/>
      <c r="E2131" s="20"/>
      <c r="F2131" s="53"/>
      <c r="G2131" s="45"/>
      <c r="H2131" s="45"/>
      <c r="I2131" s="45"/>
      <c r="J2131" s="36"/>
      <c r="K2131" s="23"/>
      <c r="L2131" s="36"/>
      <c r="M2131" s="23"/>
      <c r="N2131" s="23"/>
      <c r="O2131" s="24"/>
      <c r="P2131" s="16" t="b">
        <v>0</v>
      </c>
      <c r="Q2131" s="24"/>
      <c r="R2131" s="48" t="str">
        <f t="shared" si="2103"/>
        <v/>
      </c>
      <c r="S2131" s="26"/>
      <c r="T2131" s="49" t="str">
        <f t="shared" si="2104"/>
        <v/>
      </c>
      <c r="U2131" s="24"/>
      <c r="V2131" s="28" t="s">
        <v>32</v>
      </c>
      <c r="W2131" s="29" t="str">
        <f t="shared" si="2024"/>
        <v>/</v>
      </c>
      <c r="X2131" s="37" t="s">
        <v>1345</v>
      </c>
      <c r="Y2131" s="31"/>
      <c r="Z2131" s="26" t="str">
        <f t="shared" si="5"/>
        <v/>
      </c>
      <c r="AA2131" s="26" t="str">
        <f t="shared" si="6"/>
        <v/>
      </c>
      <c r="AB2131" s="32" t="str">
        <f t="shared" si="7"/>
        <v/>
      </c>
      <c r="AC2131" s="32" t="str">
        <f t="shared" ref="AC2131:AG2131" si="2152">IF(J2131&lt;&gt;"", IF(AND($P2131=FALSE, $A2131=FALSE), -J2131, IF(AND($P2131=FALSE, $A2131=TRUE), 0, IF($P2131=TRUE, (J2131 / $R2131) * 100 * ($S2131 / 100)-J2131, ))), )</f>
        <v/>
      </c>
      <c r="AD2131" s="32" t="str">
        <f t="shared" si="2152"/>
        <v/>
      </c>
      <c r="AE2131" s="32" t="str">
        <f t="shared" si="2152"/>
        <v/>
      </c>
      <c r="AF2131" s="32" t="str">
        <f t="shared" si="2152"/>
        <v/>
      </c>
      <c r="AG2131" s="32" t="str">
        <f t="shared" si="2152"/>
        <v/>
      </c>
      <c r="AH2131" s="33"/>
    </row>
    <row r="2132" hidden="1" outlineLevel="1" collapsed="1">
      <c r="A2132" s="81" t="b">
        <v>0</v>
      </c>
      <c r="B2132" s="17"/>
      <c r="C2132" s="18"/>
      <c r="D2132" s="42">
        <v>45361.0</v>
      </c>
      <c r="E2132" s="43" t="s">
        <v>60</v>
      </c>
      <c r="F2132" s="53" t="s">
        <v>1317</v>
      </c>
      <c r="G2132" s="45">
        <v>3.0</v>
      </c>
      <c r="H2132" s="48"/>
      <c r="I2132" s="45">
        <v>3.0</v>
      </c>
      <c r="J2132" s="79"/>
      <c r="K2132" s="79"/>
      <c r="L2132" s="79"/>
      <c r="M2132" s="79"/>
      <c r="N2132" s="79"/>
      <c r="O2132" s="47"/>
      <c r="P2132" s="20" t="b">
        <v>0</v>
      </c>
      <c r="Q2132" s="24"/>
      <c r="R2132" s="48">
        <f t="shared" si="2103"/>
        <v>6</v>
      </c>
      <c r="S2132" s="45">
        <v>14.61</v>
      </c>
      <c r="T2132" s="49" t="str">
        <f t="shared" si="2104"/>
        <v>+144</v>
      </c>
      <c r="U2132" s="47"/>
      <c r="V2132" s="28" t="str">
        <f>IF(ISBLANK($D2132), "0",)</f>
        <v/>
      </c>
      <c r="W2132" s="29" t="str">
        <f t="shared" si="2024"/>
        <v/>
      </c>
      <c r="X2132" s="30"/>
      <c r="Y2132" s="84"/>
      <c r="Z2132" s="26">
        <f t="shared" si="5"/>
        <v>-3</v>
      </c>
      <c r="AA2132" s="26">
        <f t="shared" si="6"/>
        <v>-3</v>
      </c>
      <c r="AB2132" s="32" t="str">
        <f t="shared" si="7"/>
        <v/>
      </c>
      <c r="AC2132" s="32" t="str">
        <f t="shared" ref="AC2132:AG2132" si="2153">IF(J2132&lt;&gt;"", IF(AND($P2132=FALSE, $A2132=FALSE), -J2132, IF(AND($P2132=FALSE, $A2132=TRUE), 0, IF($P2132=TRUE, (J2132 / $R2132) * 100 * ($S2132 / 100)-J2132, ))), )</f>
        <v/>
      </c>
      <c r="AD2132" s="32" t="str">
        <f t="shared" si="2153"/>
        <v/>
      </c>
      <c r="AE2132" s="32" t="str">
        <f t="shared" si="2153"/>
        <v/>
      </c>
      <c r="AF2132" s="32" t="str">
        <f t="shared" si="2153"/>
        <v/>
      </c>
      <c r="AG2132" s="32" t="str">
        <f t="shared" si="2153"/>
        <v/>
      </c>
      <c r="AH2132" s="33"/>
    </row>
    <row r="2133" hidden="1" outlineLevel="3">
      <c r="A2133" s="16" t="b">
        <v>0</v>
      </c>
      <c r="B2133" s="17"/>
      <c r="C2133" s="18"/>
      <c r="D2133" s="42"/>
      <c r="E2133" s="20"/>
      <c r="F2133" s="53"/>
      <c r="G2133" s="45"/>
      <c r="H2133" s="45"/>
      <c r="I2133" s="45"/>
      <c r="J2133" s="36"/>
      <c r="K2133" s="23"/>
      <c r="L2133" s="36"/>
      <c r="M2133" s="23"/>
      <c r="N2133" s="23"/>
      <c r="O2133" s="24"/>
      <c r="P2133" s="16" t="b">
        <v>0</v>
      </c>
      <c r="Q2133" s="24"/>
      <c r="R2133" s="48" t="str">
        <f t="shared" si="2103"/>
        <v/>
      </c>
      <c r="S2133" s="26"/>
      <c r="T2133" s="49" t="str">
        <f t="shared" si="2104"/>
        <v/>
      </c>
      <c r="U2133" s="24"/>
      <c r="V2133" s="66" t="s">
        <v>29</v>
      </c>
      <c r="W2133" s="29" t="str">
        <f t="shared" si="2024"/>
        <v>/</v>
      </c>
      <c r="X2133" s="37" t="s">
        <v>1351</v>
      </c>
      <c r="Y2133" s="31"/>
      <c r="Z2133" s="26" t="str">
        <f t="shared" si="5"/>
        <v/>
      </c>
      <c r="AA2133" s="26" t="str">
        <f t="shared" si="6"/>
        <v/>
      </c>
      <c r="AB2133" s="32" t="str">
        <f t="shared" si="7"/>
        <v/>
      </c>
      <c r="AC2133" s="32" t="str">
        <f t="shared" ref="AC2133:AG2133" si="2154">IF(J2133&lt;&gt;"", IF(AND($P2133=FALSE, $A2133=FALSE), -J2133, IF(AND($P2133=FALSE, $A2133=TRUE), 0, IF($P2133=TRUE, (J2133 / $R2133) * 100 * ($S2133 / 100)-J2133, ))), )</f>
        <v/>
      </c>
      <c r="AD2133" s="32" t="str">
        <f t="shared" si="2154"/>
        <v/>
      </c>
      <c r="AE2133" s="32" t="str">
        <f t="shared" si="2154"/>
        <v/>
      </c>
      <c r="AF2133" s="32" t="str">
        <f t="shared" si="2154"/>
        <v/>
      </c>
      <c r="AG2133" s="32" t="str">
        <f t="shared" si="2154"/>
        <v/>
      </c>
      <c r="AH2133" s="33"/>
    </row>
    <row r="2134" hidden="1" outlineLevel="3">
      <c r="A2134" s="16" t="b">
        <v>0</v>
      </c>
      <c r="B2134" s="17"/>
      <c r="C2134" s="18"/>
      <c r="D2134" s="42"/>
      <c r="E2134" s="20"/>
      <c r="F2134" s="53"/>
      <c r="G2134" s="45"/>
      <c r="H2134" s="45"/>
      <c r="I2134" s="45"/>
      <c r="J2134" s="36"/>
      <c r="K2134" s="23"/>
      <c r="L2134" s="36"/>
      <c r="M2134" s="23"/>
      <c r="N2134" s="23"/>
      <c r="O2134" s="24"/>
      <c r="P2134" s="16" t="b">
        <v>0</v>
      </c>
      <c r="Q2134" s="24"/>
      <c r="R2134" s="48" t="str">
        <f t="shared" si="2103"/>
        <v/>
      </c>
      <c r="S2134" s="26"/>
      <c r="T2134" s="49" t="str">
        <f t="shared" si="2104"/>
        <v/>
      </c>
      <c r="U2134" s="24"/>
      <c r="V2134" s="66" t="s">
        <v>29</v>
      </c>
      <c r="W2134" s="29" t="str">
        <f t="shared" si="2024"/>
        <v>/</v>
      </c>
      <c r="X2134" s="37" t="s">
        <v>1352</v>
      </c>
      <c r="Y2134" s="31"/>
      <c r="Z2134" s="26" t="str">
        <f t="shared" si="5"/>
        <v/>
      </c>
      <c r="AA2134" s="26" t="str">
        <f t="shared" si="6"/>
        <v/>
      </c>
      <c r="AB2134" s="32" t="str">
        <f t="shared" si="7"/>
        <v/>
      </c>
      <c r="AC2134" s="32" t="str">
        <f t="shared" ref="AC2134:AG2134" si="2155">IF(J2134&lt;&gt;"", IF(AND($P2134=FALSE, $A2134=FALSE), -J2134, IF(AND($P2134=FALSE, $A2134=TRUE), 0, IF($P2134=TRUE, (J2134 / $R2134) * 100 * ($S2134 / 100)-J2134, ))), )</f>
        <v/>
      </c>
      <c r="AD2134" s="32" t="str">
        <f t="shared" si="2155"/>
        <v/>
      </c>
      <c r="AE2134" s="32" t="str">
        <f t="shared" si="2155"/>
        <v/>
      </c>
      <c r="AF2134" s="32" t="str">
        <f t="shared" si="2155"/>
        <v/>
      </c>
      <c r="AG2134" s="32" t="str">
        <f t="shared" si="2155"/>
        <v/>
      </c>
      <c r="AH2134" s="33"/>
    </row>
    <row r="2135" hidden="1" outlineLevel="3">
      <c r="A2135" s="16" t="b">
        <v>0</v>
      </c>
      <c r="B2135" s="17"/>
      <c r="C2135" s="18"/>
      <c r="D2135" s="42"/>
      <c r="E2135" s="20"/>
      <c r="F2135" s="53"/>
      <c r="G2135" s="45"/>
      <c r="H2135" s="45"/>
      <c r="I2135" s="45"/>
      <c r="J2135" s="36"/>
      <c r="K2135" s="23"/>
      <c r="L2135" s="36"/>
      <c r="M2135" s="23"/>
      <c r="N2135" s="23"/>
      <c r="O2135" s="24"/>
      <c r="P2135" s="16" t="b">
        <v>0</v>
      </c>
      <c r="Q2135" s="24"/>
      <c r="R2135" s="48" t="str">
        <f t="shared" si="2103"/>
        <v/>
      </c>
      <c r="S2135" s="26"/>
      <c r="T2135" s="49" t="str">
        <f t="shared" si="2104"/>
        <v/>
      </c>
      <c r="U2135" s="24"/>
      <c r="V2135" s="66">
        <v>23.0</v>
      </c>
      <c r="W2135" s="29" t="str">
        <f t="shared" si="2024"/>
        <v>/</v>
      </c>
      <c r="X2135" s="37" t="s">
        <v>219</v>
      </c>
      <c r="Y2135" s="31"/>
      <c r="Z2135" s="26" t="str">
        <f t="shared" si="5"/>
        <v/>
      </c>
      <c r="AA2135" s="26" t="str">
        <f t="shared" si="6"/>
        <v/>
      </c>
      <c r="AB2135" s="32" t="str">
        <f t="shared" si="7"/>
        <v/>
      </c>
      <c r="AC2135" s="32" t="str">
        <f t="shared" ref="AC2135:AG2135" si="2156">IF(J2135&lt;&gt;"", IF(AND($P2135=FALSE, $A2135=FALSE), -J2135, IF(AND($P2135=FALSE, $A2135=TRUE), 0, IF($P2135=TRUE, (J2135 / $R2135) * 100 * ($S2135 / 100)-J2135, ))), )</f>
        <v/>
      </c>
      <c r="AD2135" s="32" t="str">
        <f t="shared" si="2156"/>
        <v/>
      </c>
      <c r="AE2135" s="32" t="str">
        <f t="shared" si="2156"/>
        <v/>
      </c>
      <c r="AF2135" s="32" t="str">
        <f t="shared" si="2156"/>
        <v/>
      </c>
      <c r="AG2135" s="32" t="str">
        <f t="shared" si="2156"/>
        <v/>
      </c>
      <c r="AH2135" s="33"/>
    </row>
    <row r="2136" hidden="1" outlineLevel="1" collapsed="1">
      <c r="A2136" s="81" t="b">
        <v>0</v>
      </c>
      <c r="B2136" s="17"/>
      <c r="C2136" s="18"/>
      <c r="D2136" s="42">
        <v>45361.0</v>
      </c>
      <c r="E2136" s="43" t="s">
        <v>60</v>
      </c>
      <c r="F2136" s="53" t="s">
        <v>1317</v>
      </c>
      <c r="G2136" s="45">
        <v>2.0</v>
      </c>
      <c r="H2136" s="48"/>
      <c r="I2136" s="45">
        <v>3.0</v>
      </c>
      <c r="J2136" s="79"/>
      <c r="K2136" s="79"/>
      <c r="L2136" s="79"/>
      <c r="M2136" s="79"/>
      <c r="N2136" s="79"/>
      <c r="O2136" s="47"/>
      <c r="P2136" s="20" t="b">
        <v>0</v>
      </c>
      <c r="Q2136" s="24"/>
      <c r="R2136" s="48">
        <f t="shared" si="2103"/>
        <v>5</v>
      </c>
      <c r="S2136" s="45">
        <v>12.5</v>
      </c>
      <c r="T2136" s="49" t="str">
        <f t="shared" si="2104"/>
        <v>+150</v>
      </c>
      <c r="U2136" s="47"/>
      <c r="V2136" s="28" t="str">
        <f>IF(ISBLANK($D2136), "0",)</f>
        <v/>
      </c>
      <c r="W2136" s="29" t="str">
        <f t="shared" si="2024"/>
        <v/>
      </c>
      <c r="X2136" s="30"/>
      <c r="Y2136" s="84"/>
      <c r="Z2136" s="26">
        <f t="shared" si="5"/>
        <v>-2</v>
      </c>
      <c r="AA2136" s="26">
        <f t="shared" si="6"/>
        <v>-3</v>
      </c>
      <c r="AB2136" s="32" t="str">
        <f t="shared" si="7"/>
        <v/>
      </c>
      <c r="AC2136" s="32" t="str">
        <f t="shared" ref="AC2136:AG2136" si="2157">IF(J2136&lt;&gt;"", IF(AND($P2136=FALSE, $A2136=FALSE), -J2136, IF(AND($P2136=FALSE, $A2136=TRUE), 0, IF($P2136=TRUE, (J2136 / $R2136) * 100 * ($S2136 / 100)-J2136, ))), )</f>
        <v/>
      </c>
      <c r="AD2136" s="32" t="str">
        <f t="shared" si="2157"/>
        <v/>
      </c>
      <c r="AE2136" s="32" t="str">
        <f t="shared" si="2157"/>
        <v/>
      </c>
      <c r="AF2136" s="32" t="str">
        <f t="shared" si="2157"/>
        <v/>
      </c>
      <c r="AG2136" s="32" t="str">
        <f t="shared" si="2157"/>
        <v/>
      </c>
      <c r="AH2136" s="33"/>
    </row>
    <row r="2137" hidden="1" outlineLevel="3">
      <c r="A2137" s="16" t="b">
        <v>0</v>
      </c>
      <c r="B2137" s="17"/>
      <c r="C2137" s="18"/>
      <c r="D2137" s="42"/>
      <c r="E2137" s="20"/>
      <c r="F2137" s="53"/>
      <c r="G2137" s="45"/>
      <c r="H2137" s="45"/>
      <c r="I2137" s="45"/>
      <c r="J2137" s="36"/>
      <c r="K2137" s="23"/>
      <c r="L2137" s="36"/>
      <c r="M2137" s="23"/>
      <c r="N2137" s="23"/>
      <c r="O2137" s="24"/>
      <c r="P2137" s="16" t="b">
        <v>0</v>
      </c>
      <c r="Q2137" s="24"/>
      <c r="R2137" s="48" t="str">
        <f t="shared" si="2103"/>
        <v/>
      </c>
      <c r="S2137" s="26"/>
      <c r="T2137" s="49" t="str">
        <f t="shared" si="2104"/>
        <v/>
      </c>
      <c r="U2137" s="24"/>
      <c r="V2137" s="28">
        <f>17+20</f>
        <v>37</v>
      </c>
      <c r="W2137" s="29" t="str">
        <f t="shared" si="2024"/>
        <v>/</v>
      </c>
      <c r="X2137" s="37" t="s">
        <v>1353</v>
      </c>
      <c r="Y2137" s="31"/>
      <c r="Z2137" s="26" t="str">
        <f t="shared" si="5"/>
        <v/>
      </c>
      <c r="AA2137" s="26" t="str">
        <f t="shared" si="6"/>
        <v/>
      </c>
      <c r="AB2137" s="32" t="str">
        <f t="shared" si="7"/>
        <v/>
      </c>
      <c r="AC2137" s="32" t="str">
        <f t="shared" ref="AC2137:AG2137" si="2158">IF(J2137&lt;&gt;"", IF(AND($P2137=FALSE, $A2137=FALSE), -J2137, IF(AND($P2137=FALSE, $A2137=TRUE), 0, IF($P2137=TRUE, (J2137 / $R2137) * 100 * ($S2137 / 100)-J2137, ))), )</f>
        <v/>
      </c>
      <c r="AD2137" s="32" t="str">
        <f t="shared" si="2158"/>
        <v/>
      </c>
      <c r="AE2137" s="32" t="str">
        <f t="shared" si="2158"/>
        <v/>
      </c>
      <c r="AF2137" s="32" t="str">
        <f t="shared" si="2158"/>
        <v/>
      </c>
      <c r="AG2137" s="32" t="str">
        <f t="shared" si="2158"/>
        <v/>
      </c>
      <c r="AH2137" s="33"/>
    </row>
    <row r="2138" hidden="1" outlineLevel="2" collapsed="1">
      <c r="A2138" s="81" t="b">
        <v>0</v>
      </c>
      <c r="B2138" s="17"/>
      <c r="C2138" s="18"/>
      <c r="D2138" s="42">
        <v>45361.0</v>
      </c>
      <c r="E2138" s="43" t="s">
        <v>60</v>
      </c>
      <c r="F2138" s="53" t="s">
        <v>1317</v>
      </c>
      <c r="G2138" s="45">
        <v>1.0</v>
      </c>
      <c r="H2138" s="48"/>
      <c r="I2138" s="45">
        <v>1.5</v>
      </c>
      <c r="J2138" s="79"/>
      <c r="K2138" s="79"/>
      <c r="L2138" s="79"/>
      <c r="M2138" s="79"/>
      <c r="N2138" s="79"/>
      <c r="O2138" s="47"/>
      <c r="P2138" s="20" t="b">
        <v>0</v>
      </c>
      <c r="Q2138" s="24"/>
      <c r="R2138" s="48">
        <f t="shared" si="2103"/>
        <v>2.5</v>
      </c>
      <c r="S2138" s="45">
        <v>28.09</v>
      </c>
      <c r="T2138" s="49" t="str">
        <f t="shared" si="2104"/>
        <v>+1024</v>
      </c>
      <c r="U2138" s="47"/>
      <c r="V2138" s="28" t="str">
        <f>IF(ISBLANK($D2138), "0",)</f>
        <v/>
      </c>
      <c r="W2138" s="29" t="str">
        <f t="shared" si="2024"/>
        <v/>
      </c>
      <c r="X2138" s="30"/>
      <c r="Y2138" s="84"/>
      <c r="Z2138" s="26">
        <f t="shared" si="5"/>
        <v>-1</v>
      </c>
      <c r="AA2138" s="26">
        <f t="shared" si="6"/>
        <v>-1.5</v>
      </c>
      <c r="AB2138" s="32" t="str">
        <f t="shared" si="7"/>
        <v/>
      </c>
      <c r="AC2138" s="32" t="str">
        <f t="shared" ref="AC2138:AG2138" si="2159">IF(J2138&lt;&gt;"", IF(AND($P2138=FALSE, $A2138=FALSE), -J2138, IF(AND($P2138=FALSE, $A2138=TRUE), 0, IF($P2138=TRUE, (J2138 / $R2138) * 100 * ($S2138 / 100)-J2138, ))), )</f>
        <v/>
      </c>
      <c r="AD2138" s="32" t="str">
        <f t="shared" si="2159"/>
        <v/>
      </c>
      <c r="AE2138" s="32" t="str">
        <f t="shared" si="2159"/>
        <v/>
      </c>
      <c r="AF2138" s="32" t="str">
        <f t="shared" si="2159"/>
        <v/>
      </c>
      <c r="AG2138" s="32" t="str">
        <f t="shared" si="2159"/>
        <v/>
      </c>
      <c r="AH2138" s="33"/>
    </row>
    <row r="2139" hidden="1" outlineLevel="3">
      <c r="A2139" s="16" t="b">
        <v>0</v>
      </c>
      <c r="B2139" s="17"/>
      <c r="C2139" s="18"/>
      <c r="D2139" s="42"/>
      <c r="E2139" s="20"/>
      <c r="F2139" s="53"/>
      <c r="G2139" s="45"/>
      <c r="H2139" s="45"/>
      <c r="I2139" s="45"/>
      <c r="J2139" s="36"/>
      <c r="K2139" s="23"/>
      <c r="L2139" s="36"/>
      <c r="M2139" s="23"/>
      <c r="N2139" s="23"/>
      <c r="O2139" s="24"/>
      <c r="P2139" s="16" t="b">
        <v>0</v>
      </c>
      <c r="Q2139" s="24"/>
      <c r="R2139" s="48" t="str">
        <f t="shared" si="2103"/>
        <v/>
      </c>
      <c r="S2139" s="26"/>
      <c r="T2139" s="49" t="str">
        <f t="shared" si="2104"/>
        <v/>
      </c>
      <c r="U2139" s="24"/>
      <c r="V2139" s="66">
        <v>4.0</v>
      </c>
      <c r="W2139" s="29" t="str">
        <f t="shared" si="2024"/>
        <v>/</v>
      </c>
      <c r="X2139" s="37" t="s">
        <v>1354</v>
      </c>
      <c r="Y2139" s="31"/>
      <c r="Z2139" s="26" t="str">
        <f t="shared" si="5"/>
        <v/>
      </c>
      <c r="AA2139" s="26" t="str">
        <f t="shared" si="6"/>
        <v/>
      </c>
      <c r="AB2139" s="32" t="str">
        <f t="shared" si="7"/>
        <v/>
      </c>
      <c r="AC2139" s="32" t="str">
        <f t="shared" ref="AC2139:AG2139" si="2160">IF(J2139&lt;&gt;"", IF(AND($P2139=FALSE, $A2139=FALSE), -J2139, IF(AND($P2139=FALSE, $A2139=TRUE), 0, IF($P2139=TRUE, (J2139 / $R2139) * 100 * ($S2139 / 100)-J2139, ))), )</f>
        <v/>
      </c>
      <c r="AD2139" s="32" t="str">
        <f t="shared" si="2160"/>
        <v/>
      </c>
      <c r="AE2139" s="32" t="str">
        <f t="shared" si="2160"/>
        <v/>
      </c>
      <c r="AF2139" s="32" t="str">
        <f t="shared" si="2160"/>
        <v/>
      </c>
      <c r="AG2139" s="32" t="str">
        <f t="shared" si="2160"/>
        <v/>
      </c>
      <c r="AH2139" s="33"/>
    </row>
    <row r="2140" hidden="1" outlineLevel="3">
      <c r="A2140" s="16" t="b">
        <v>0</v>
      </c>
      <c r="B2140" s="17"/>
      <c r="C2140" s="18"/>
      <c r="D2140" s="42"/>
      <c r="E2140" s="20"/>
      <c r="F2140" s="53"/>
      <c r="G2140" s="45"/>
      <c r="H2140" s="45"/>
      <c r="I2140" s="45"/>
      <c r="J2140" s="36"/>
      <c r="K2140" s="23"/>
      <c r="L2140" s="36"/>
      <c r="M2140" s="23"/>
      <c r="N2140" s="23"/>
      <c r="O2140" s="24"/>
      <c r="P2140" s="16" t="b">
        <v>0</v>
      </c>
      <c r="Q2140" s="24"/>
      <c r="R2140" s="48" t="str">
        <f t="shared" si="2103"/>
        <v/>
      </c>
      <c r="S2140" s="26"/>
      <c r="T2140" s="49" t="str">
        <f t="shared" si="2104"/>
        <v/>
      </c>
      <c r="U2140" s="24"/>
      <c r="V2140" s="66" t="s">
        <v>29</v>
      </c>
      <c r="W2140" s="29" t="str">
        <f t="shared" si="2024"/>
        <v>/</v>
      </c>
      <c r="X2140" s="37" t="s">
        <v>1355</v>
      </c>
      <c r="Y2140" s="31"/>
      <c r="Z2140" s="26" t="str">
        <f t="shared" si="5"/>
        <v/>
      </c>
      <c r="AA2140" s="26" t="str">
        <f t="shared" si="6"/>
        <v/>
      </c>
      <c r="AB2140" s="32" t="str">
        <f t="shared" si="7"/>
        <v/>
      </c>
      <c r="AC2140" s="32" t="str">
        <f t="shared" ref="AC2140:AG2140" si="2161">IF(J2140&lt;&gt;"", IF(AND($P2140=FALSE, $A2140=FALSE), -J2140, IF(AND($P2140=FALSE, $A2140=TRUE), 0, IF($P2140=TRUE, (J2140 / $R2140) * 100 * ($S2140 / 100)-J2140, ))), )</f>
        <v/>
      </c>
      <c r="AD2140" s="32" t="str">
        <f t="shared" si="2161"/>
        <v/>
      </c>
      <c r="AE2140" s="32" t="str">
        <f t="shared" si="2161"/>
        <v/>
      </c>
      <c r="AF2140" s="32" t="str">
        <f t="shared" si="2161"/>
        <v/>
      </c>
      <c r="AG2140" s="32" t="str">
        <f t="shared" si="2161"/>
        <v/>
      </c>
      <c r="AH2140" s="33"/>
    </row>
    <row r="2141" hidden="1" outlineLevel="3">
      <c r="A2141" s="16" t="b">
        <v>0</v>
      </c>
      <c r="B2141" s="17"/>
      <c r="C2141" s="18"/>
      <c r="D2141" s="42"/>
      <c r="E2141" s="20"/>
      <c r="F2141" s="53"/>
      <c r="G2141" s="45"/>
      <c r="H2141" s="45"/>
      <c r="I2141" s="45"/>
      <c r="J2141" s="36"/>
      <c r="K2141" s="23"/>
      <c r="L2141" s="36"/>
      <c r="M2141" s="23"/>
      <c r="N2141" s="23"/>
      <c r="O2141" s="24"/>
      <c r="P2141" s="16" t="b">
        <v>0</v>
      </c>
      <c r="Q2141" s="24"/>
      <c r="R2141" s="48" t="str">
        <f t="shared" si="2103"/>
        <v/>
      </c>
      <c r="S2141" s="26"/>
      <c r="T2141" s="49" t="str">
        <f t="shared" si="2104"/>
        <v/>
      </c>
      <c r="U2141" s="24"/>
      <c r="V2141" s="66">
        <v>4.0</v>
      </c>
      <c r="W2141" s="29" t="str">
        <f t="shared" si="2024"/>
        <v>/</v>
      </c>
      <c r="X2141" s="37" t="s">
        <v>1356</v>
      </c>
      <c r="Y2141" s="31"/>
      <c r="Z2141" s="26" t="str">
        <f t="shared" si="5"/>
        <v/>
      </c>
      <c r="AA2141" s="26" t="str">
        <f t="shared" si="6"/>
        <v/>
      </c>
      <c r="AB2141" s="32" t="str">
        <f t="shared" si="7"/>
        <v/>
      </c>
      <c r="AC2141" s="32" t="str">
        <f t="shared" ref="AC2141:AG2141" si="2162">IF(J2141&lt;&gt;"", IF(AND($P2141=FALSE, $A2141=FALSE), -J2141, IF(AND($P2141=FALSE, $A2141=TRUE), 0, IF($P2141=TRUE, (J2141 / $R2141) * 100 * ($S2141 / 100)-J2141, ))), )</f>
        <v/>
      </c>
      <c r="AD2141" s="32" t="str">
        <f t="shared" si="2162"/>
        <v/>
      </c>
      <c r="AE2141" s="32" t="str">
        <f t="shared" si="2162"/>
        <v/>
      </c>
      <c r="AF2141" s="32" t="str">
        <f t="shared" si="2162"/>
        <v/>
      </c>
      <c r="AG2141" s="32" t="str">
        <f t="shared" si="2162"/>
        <v/>
      </c>
      <c r="AH2141" s="33"/>
    </row>
    <row r="2142" hidden="1" outlineLevel="3">
      <c r="A2142" s="16" t="b">
        <v>0</v>
      </c>
      <c r="B2142" s="17"/>
      <c r="C2142" s="18"/>
      <c r="D2142" s="42"/>
      <c r="E2142" s="20"/>
      <c r="F2142" s="53"/>
      <c r="G2142" s="45"/>
      <c r="H2142" s="45"/>
      <c r="I2142" s="45"/>
      <c r="J2142" s="36"/>
      <c r="K2142" s="23"/>
      <c r="L2142" s="36"/>
      <c r="M2142" s="23"/>
      <c r="N2142" s="23"/>
      <c r="O2142" s="24"/>
      <c r="P2142" s="16" t="b">
        <v>0</v>
      </c>
      <c r="Q2142" s="24"/>
      <c r="R2142" s="48" t="str">
        <f t="shared" si="2103"/>
        <v/>
      </c>
      <c r="S2142" s="26"/>
      <c r="T2142" s="49" t="str">
        <f t="shared" si="2104"/>
        <v/>
      </c>
      <c r="U2142" s="24"/>
      <c r="V2142" s="66">
        <v>1.0</v>
      </c>
      <c r="W2142" s="29" t="str">
        <f t="shared" si="2024"/>
        <v>/</v>
      </c>
      <c r="X2142" s="37" t="s">
        <v>1357</v>
      </c>
      <c r="Y2142" s="31"/>
      <c r="Z2142" s="26" t="str">
        <f t="shared" si="5"/>
        <v/>
      </c>
      <c r="AA2142" s="26" t="str">
        <f t="shared" si="6"/>
        <v/>
      </c>
      <c r="AB2142" s="32" t="str">
        <f t="shared" si="7"/>
        <v/>
      </c>
      <c r="AC2142" s="32" t="str">
        <f t="shared" ref="AC2142:AG2142" si="2163">IF(J2142&lt;&gt;"", IF(AND($P2142=FALSE, $A2142=FALSE), -J2142, IF(AND($P2142=FALSE, $A2142=TRUE), 0, IF($P2142=TRUE, (J2142 / $R2142) * 100 * ($S2142 / 100)-J2142, ))), )</f>
        <v/>
      </c>
      <c r="AD2142" s="32" t="str">
        <f t="shared" si="2163"/>
        <v/>
      </c>
      <c r="AE2142" s="32" t="str">
        <f t="shared" si="2163"/>
        <v/>
      </c>
      <c r="AF2142" s="32" t="str">
        <f t="shared" si="2163"/>
        <v/>
      </c>
      <c r="AG2142" s="32" t="str">
        <f t="shared" si="2163"/>
        <v/>
      </c>
      <c r="AH2142" s="33"/>
    </row>
    <row r="2143" hidden="1" outlineLevel="3">
      <c r="A2143" s="16" t="b">
        <v>0</v>
      </c>
      <c r="B2143" s="17"/>
      <c r="C2143" s="18"/>
      <c r="D2143" s="42"/>
      <c r="E2143" s="20"/>
      <c r="F2143" s="53"/>
      <c r="G2143" s="45"/>
      <c r="H2143" s="45"/>
      <c r="I2143" s="45"/>
      <c r="J2143" s="36"/>
      <c r="K2143" s="23"/>
      <c r="L2143" s="36"/>
      <c r="M2143" s="23"/>
      <c r="N2143" s="23"/>
      <c r="O2143" s="24"/>
      <c r="P2143" s="16" t="b">
        <v>0</v>
      </c>
      <c r="Q2143" s="24"/>
      <c r="R2143" s="48" t="str">
        <f t="shared" si="2103"/>
        <v/>
      </c>
      <c r="S2143" s="26"/>
      <c r="T2143" s="49" t="str">
        <f t="shared" si="2104"/>
        <v/>
      </c>
      <c r="U2143" s="24"/>
      <c r="V2143" s="66">
        <v>2.0</v>
      </c>
      <c r="W2143" s="29" t="str">
        <f t="shared" si="2024"/>
        <v>/</v>
      </c>
      <c r="X2143" s="37" t="s">
        <v>1358</v>
      </c>
      <c r="Y2143" s="31"/>
      <c r="Z2143" s="26" t="str">
        <f t="shared" si="5"/>
        <v/>
      </c>
      <c r="AA2143" s="26" t="str">
        <f t="shared" si="6"/>
        <v/>
      </c>
      <c r="AB2143" s="32" t="str">
        <f t="shared" si="7"/>
        <v/>
      </c>
      <c r="AC2143" s="32" t="str">
        <f t="shared" ref="AC2143:AG2143" si="2164">IF(J2143&lt;&gt;"", IF(AND($P2143=FALSE, $A2143=FALSE), -J2143, IF(AND($P2143=FALSE, $A2143=TRUE), 0, IF($P2143=TRUE, (J2143 / $R2143) * 100 * ($S2143 / 100)-J2143, ))), )</f>
        <v/>
      </c>
      <c r="AD2143" s="32" t="str">
        <f t="shared" si="2164"/>
        <v/>
      </c>
      <c r="AE2143" s="32" t="str">
        <f t="shared" si="2164"/>
        <v/>
      </c>
      <c r="AF2143" s="32" t="str">
        <f t="shared" si="2164"/>
        <v/>
      </c>
      <c r="AG2143" s="32" t="str">
        <f t="shared" si="2164"/>
        <v/>
      </c>
      <c r="AH2143" s="33"/>
    </row>
    <row r="2144" hidden="1" outlineLevel="2">
      <c r="A2144" s="81" t="b">
        <v>0</v>
      </c>
      <c r="B2144" s="17"/>
      <c r="C2144" s="18"/>
      <c r="D2144" s="42">
        <v>45361.0</v>
      </c>
      <c r="E2144" s="43" t="s">
        <v>60</v>
      </c>
      <c r="F2144" s="53" t="s">
        <v>1317</v>
      </c>
      <c r="G2144" s="45">
        <v>2.0</v>
      </c>
      <c r="H2144" s="48"/>
      <c r="I2144" s="45">
        <v>3.0</v>
      </c>
      <c r="J2144" s="79"/>
      <c r="K2144" s="79"/>
      <c r="L2144" s="79"/>
      <c r="M2144" s="79"/>
      <c r="N2144" s="79"/>
      <c r="O2144" s="47"/>
      <c r="P2144" s="20" t="b">
        <v>0</v>
      </c>
      <c r="Q2144" s="24"/>
      <c r="R2144" s="48">
        <f t="shared" si="2103"/>
        <v>5</v>
      </c>
      <c r="S2144" s="45">
        <v>17.5</v>
      </c>
      <c r="T2144" s="49" t="str">
        <f t="shared" si="2104"/>
        <v>+250</v>
      </c>
      <c r="U2144" s="47"/>
      <c r="V2144" s="28" t="str">
        <f>IF(ISBLANK($D2144), "0",)</f>
        <v/>
      </c>
      <c r="W2144" s="29" t="str">
        <f t="shared" si="2024"/>
        <v/>
      </c>
      <c r="X2144" s="30"/>
      <c r="Y2144" s="84"/>
      <c r="Z2144" s="26">
        <f t="shared" si="5"/>
        <v>-2</v>
      </c>
      <c r="AA2144" s="26">
        <f t="shared" si="6"/>
        <v>-3</v>
      </c>
      <c r="AB2144" s="32" t="str">
        <f t="shared" si="7"/>
        <v/>
      </c>
      <c r="AC2144" s="32" t="str">
        <f t="shared" ref="AC2144:AG2144" si="2165">IF(J2144&lt;&gt;"", IF(AND($P2144=FALSE, $A2144=FALSE), -J2144, IF(AND($P2144=FALSE, $A2144=TRUE), 0, IF($P2144=TRUE, (J2144 / $R2144) * 100 * ($S2144 / 100)-J2144, ))), )</f>
        <v/>
      </c>
      <c r="AD2144" s="32" t="str">
        <f t="shared" si="2165"/>
        <v/>
      </c>
      <c r="AE2144" s="32" t="str">
        <f t="shared" si="2165"/>
        <v/>
      </c>
      <c r="AF2144" s="32" t="str">
        <f t="shared" si="2165"/>
        <v/>
      </c>
      <c r="AG2144" s="32" t="str">
        <f t="shared" si="2165"/>
        <v/>
      </c>
      <c r="AH2144" s="33"/>
    </row>
    <row r="2145" hidden="1" outlineLevel="3">
      <c r="A2145" s="16" t="b">
        <v>0</v>
      </c>
      <c r="B2145" s="17"/>
      <c r="C2145" s="18"/>
      <c r="D2145" s="42"/>
      <c r="E2145" s="20"/>
      <c r="F2145" s="53"/>
      <c r="G2145" s="45"/>
      <c r="H2145" s="45"/>
      <c r="I2145" s="45"/>
      <c r="J2145" s="36"/>
      <c r="K2145" s="23"/>
      <c r="L2145" s="36"/>
      <c r="M2145" s="23"/>
      <c r="N2145" s="23"/>
      <c r="O2145" s="24"/>
      <c r="P2145" s="16" t="b">
        <v>0</v>
      </c>
      <c r="Q2145" s="24"/>
      <c r="R2145" s="48" t="str">
        <f t="shared" si="2103"/>
        <v/>
      </c>
      <c r="S2145" s="26"/>
      <c r="T2145" s="49" t="str">
        <f t="shared" si="2104"/>
        <v/>
      </c>
      <c r="U2145" s="24"/>
      <c r="V2145" s="66" t="s">
        <v>29</v>
      </c>
      <c r="W2145" s="29" t="str">
        <f t="shared" si="2024"/>
        <v>/</v>
      </c>
      <c r="X2145" s="37" t="s">
        <v>1359</v>
      </c>
      <c r="Y2145" s="31"/>
      <c r="Z2145" s="26" t="str">
        <f t="shared" si="5"/>
        <v/>
      </c>
      <c r="AA2145" s="26" t="str">
        <f t="shared" si="6"/>
        <v/>
      </c>
      <c r="AB2145" s="32" t="str">
        <f t="shared" si="7"/>
        <v/>
      </c>
      <c r="AC2145" s="32" t="str">
        <f t="shared" ref="AC2145:AG2145" si="2166">IF(J2145&lt;&gt;"", IF(AND($P2145=FALSE, $A2145=FALSE), -J2145, IF(AND($P2145=FALSE, $A2145=TRUE), 0, IF($P2145=TRUE, (J2145 / $R2145) * 100 * ($S2145 / 100)-J2145, ))), )</f>
        <v/>
      </c>
      <c r="AD2145" s="32" t="str">
        <f t="shared" si="2166"/>
        <v/>
      </c>
      <c r="AE2145" s="32" t="str">
        <f t="shared" si="2166"/>
        <v/>
      </c>
      <c r="AF2145" s="32" t="str">
        <f t="shared" si="2166"/>
        <v/>
      </c>
      <c r="AG2145" s="32" t="str">
        <f t="shared" si="2166"/>
        <v/>
      </c>
      <c r="AH2145" s="33"/>
    </row>
    <row r="2146" hidden="1" outlineLevel="3">
      <c r="A2146" s="16" t="b">
        <v>0</v>
      </c>
      <c r="B2146" s="17"/>
      <c r="C2146" s="18"/>
      <c r="D2146" s="42"/>
      <c r="E2146" s="20"/>
      <c r="F2146" s="53"/>
      <c r="G2146" s="45"/>
      <c r="H2146" s="45"/>
      <c r="I2146" s="45"/>
      <c r="J2146" s="36"/>
      <c r="K2146" s="23"/>
      <c r="L2146" s="36"/>
      <c r="M2146" s="23"/>
      <c r="N2146" s="23"/>
      <c r="O2146" s="24"/>
      <c r="P2146" s="16" t="b">
        <v>0</v>
      </c>
      <c r="Q2146" s="24"/>
      <c r="R2146" s="48" t="str">
        <f t="shared" si="2103"/>
        <v/>
      </c>
      <c r="S2146" s="26"/>
      <c r="T2146" s="49" t="str">
        <f t="shared" si="2104"/>
        <v/>
      </c>
      <c r="U2146" s="24"/>
      <c r="V2146" s="66">
        <v>3.0</v>
      </c>
      <c r="W2146" s="29" t="str">
        <f t="shared" si="2024"/>
        <v>/</v>
      </c>
      <c r="X2146" s="37" t="s">
        <v>1360</v>
      </c>
      <c r="Y2146" s="31"/>
      <c r="Z2146" s="26" t="str">
        <f t="shared" si="5"/>
        <v/>
      </c>
      <c r="AA2146" s="26" t="str">
        <f t="shared" si="6"/>
        <v/>
      </c>
      <c r="AB2146" s="32" t="str">
        <f t="shared" si="7"/>
        <v/>
      </c>
      <c r="AC2146" s="32" t="str">
        <f t="shared" ref="AC2146:AG2146" si="2167">IF(J2146&lt;&gt;"", IF(AND($P2146=FALSE, $A2146=FALSE), -J2146, IF(AND($P2146=FALSE, $A2146=TRUE), 0, IF($P2146=TRUE, (J2146 / $R2146) * 100 * ($S2146 / 100)-J2146, ))), )</f>
        <v/>
      </c>
      <c r="AD2146" s="32" t="str">
        <f t="shared" si="2167"/>
        <v/>
      </c>
      <c r="AE2146" s="32" t="str">
        <f t="shared" si="2167"/>
        <v/>
      </c>
      <c r="AF2146" s="32" t="str">
        <f t="shared" si="2167"/>
        <v/>
      </c>
      <c r="AG2146" s="32" t="str">
        <f t="shared" si="2167"/>
        <v/>
      </c>
      <c r="AH2146" s="33"/>
    </row>
    <row r="2147" hidden="1" outlineLevel="1" collapsed="1">
      <c r="A2147" s="81" t="b">
        <v>0</v>
      </c>
      <c r="B2147" s="17"/>
      <c r="C2147" s="18"/>
      <c r="D2147" s="42">
        <v>45369.0</v>
      </c>
      <c r="E2147" s="43" t="s">
        <v>60</v>
      </c>
      <c r="F2147" s="53" t="s">
        <v>1317</v>
      </c>
      <c r="G2147" s="45">
        <v>3.0</v>
      </c>
      <c r="H2147" s="48"/>
      <c r="I2147" s="45">
        <v>3.0</v>
      </c>
      <c r="J2147" s="79"/>
      <c r="K2147" s="79"/>
      <c r="L2147" s="79"/>
      <c r="M2147" s="79"/>
      <c r="N2147" s="79"/>
      <c r="O2147" s="47"/>
      <c r="P2147" s="20" t="b">
        <v>0</v>
      </c>
      <c r="Q2147" s="24"/>
      <c r="R2147" s="48">
        <f t="shared" si="2103"/>
        <v>6</v>
      </c>
      <c r="S2147" s="45">
        <v>15.94</v>
      </c>
      <c r="T2147" s="49" t="str">
        <f t="shared" si="2104"/>
        <v>+166</v>
      </c>
      <c r="U2147" s="47"/>
      <c r="V2147" s="28" t="str">
        <f>IF(ISBLANK($D2147), "0",)</f>
        <v/>
      </c>
      <c r="W2147" s="29" t="str">
        <f t="shared" si="2024"/>
        <v/>
      </c>
      <c r="X2147" s="30"/>
      <c r="Y2147" s="84"/>
      <c r="Z2147" s="26">
        <f t="shared" si="5"/>
        <v>-3</v>
      </c>
      <c r="AA2147" s="26">
        <f t="shared" si="6"/>
        <v>-3</v>
      </c>
      <c r="AB2147" s="32" t="str">
        <f t="shared" si="7"/>
        <v/>
      </c>
      <c r="AC2147" s="32" t="str">
        <f t="shared" ref="AC2147:AG2147" si="2168">IF(J2147&lt;&gt;"", IF(AND($P2147=FALSE, $A2147=FALSE), -J2147, IF(AND($P2147=FALSE, $A2147=TRUE), 0, IF($P2147=TRUE, (J2147 / $R2147) * 100 * ($S2147 / 100)-J2147, ))), )</f>
        <v/>
      </c>
      <c r="AD2147" s="32" t="str">
        <f t="shared" si="2168"/>
        <v/>
      </c>
      <c r="AE2147" s="32" t="str">
        <f t="shared" si="2168"/>
        <v/>
      </c>
      <c r="AF2147" s="32" t="str">
        <f t="shared" si="2168"/>
        <v/>
      </c>
      <c r="AG2147" s="32" t="str">
        <f t="shared" si="2168"/>
        <v/>
      </c>
      <c r="AH2147" s="33"/>
    </row>
    <row r="2148" hidden="1" outlineLevel="3">
      <c r="A2148" s="16" t="b">
        <v>0</v>
      </c>
      <c r="B2148" s="17"/>
      <c r="C2148" s="18"/>
      <c r="D2148" s="42"/>
      <c r="E2148" s="20"/>
      <c r="F2148" s="53"/>
      <c r="G2148" s="45"/>
      <c r="H2148" s="45"/>
      <c r="I2148" s="45"/>
      <c r="J2148" s="36"/>
      <c r="K2148" s="23"/>
      <c r="L2148" s="36"/>
      <c r="M2148" s="23"/>
      <c r="N2148" s="23"/>
      <c r="O2148" s="24"/>
      <c r="P2148" s="16" t="b">
        <v>0</v>
      </c>
      <c r="Q2148" s="24"/>
      <c r="R2148" s="48" t="str">
        <f t="shared" si="2103"/>
        <v/>
      </c>
      <c r="S2148" s="26"/>
      <c r="T2148" s="49" t="str">
        <f t="shared" si="2104"/>
        <v/>
      </c>
      <c r="U2148" s="24"/>
      <c r="V2148" s="66">
        <v>7.0</v>
      </c>
      <c r="W2148" s="29" t="str">
        <f t="shared" si="2024"/>
        <v>/</v>
      </c>
      <c r="X2148" s="37" t="s">
        <v>1361</v>
      </c>
      <c r="Y2148" s="31"/>
      <c r="Z2148" s="26" t="str">
        <f t="shared" si="5"/>
        <v/>
      </c>
      <c r="AA2148" s="26" t="str">
        <f t="shared" si="6"/>
        <v/>
      </c>
      <c r="AB2148" s="32" t="str">
        <f t="shared" si="7"/>
        <v/>
      </c>
      <c r="AC2148" s="32" t="str">
        <f t="shared" ref="AC2148:AG2148" si="2169">IF(J2148&lt;&gt;"", IF(AND($P2148=FALSE, $A2148=FALSE), -J2148, IF(AND($P2148=FALSE, $A2148=TRUE), 0, IF($P2148=TRUE, (J2148 / $R2148) * 100 * ($S2148 / 100)-J2148, ))), )</f>
        <v/>
      </c>
      <c r="AD2148" s="32" t="str">
        <f t="shared" si="2169"/>
        <v/>
      </c>
      <c r="AE2148" s="32" t="str">
        <f t="shared" si="2169"/>
        <v/>
      </c>
      <c r="AF2148" s="32" t="str">
        <f t="shared" si="2169"/>
        <v/>
      </c>
      <c r="AG2148" s="32" t="str">
        <f t="shared" si="2169"/>
        <v/>
      </c>
      <c r="AH2148" s="33"/>
    </row>
    <row r="2149" hidden="1" outlineLevel="3">
      <c r="A2149" s="16" t="b">
        <v>0</v>
      </c>
      <c r="B2149" s="17"/>
      <c r="C2149" s="18"/>
      <c r="D2149" s="42"/>
      <c r="E2149" s="20"/>
      <c r="F2149" s="53"/>
      <c r="G2149" s="45"/>
      <c r="H2149" s="45"/>
      <c r="I2149" s="45"/>
      <c r="J2149" s="36"/>
      <c r="K2149" s="23"/>
      <c r="L2149" s="36"/>
      <c r="M2149" s="23"/>
      <c r="N2149" s="23"/>
      <c r="O2149" s="24"/>
      <c r="P2149" s="16" t="b">
        <v>0</v>
      </c>
      <c r="Q2149" s="24"/>
      <c r="R2149" s="48" t="str">
        <f t="shared" si="2103"/>
        <v/>
      </c>
      <c r="S2149" s="26"/>
      <c r="T2149" s="49" t="str">
        <f t="shared" si="2104"/>
        <v/>
      </c>
      <c r="U2149" s="24"/>
      <c r="V2149" s="66" t="s">
        <v>29</v>
      </c>
      <c r="W2149" s="29" t="str">
        <f t="shared" si="2024"/>
        <v>/</v>
      </c>
      <c r="X2149" s="37" t="s">
        <v>1362</v>
      </c>
      <c r="Y2149" s="31"/>
      <c r="Z2149" s="26" t="str">
        <f t="shared" si="5"/>
        <v/>
      </c>
      <c r="AA2149" s="26" t="str">
        <f t="shared" si="6"/>
        <v/>
      </c>
      <c r="AB2149" s="32" t="str">
        <f t="shared" si="7"/>
        <v/>
      </c>
      <c r="AC2149" s="32" t="str">
        <f t="shared" ref="AC2149:AG2149" si="2170">IF(J2149&lt;&gt;"", IF(AND($P2149=FALSE, $A2149=FALSE), -J2149, IF(AND($P2149=FALSE, $A2149=TRUE), 0, IF($P2149=TRUE, (J2149 / $R2149) * 100 * ($S2149 / 100)-J2149, ))), )</f>
        <v/>
      </c>
      <c r="AD2149" s="32" t="str">
        <f t="shared" si="2170"/>
        <v/>
      </c>
      <c r="AE2149" s="32" t="str">
        <f t="shared" si="2170"/>
        <v/>
      </c>
      <c r="AF2149" s="32" t="str">
        <f t="shared" si="2170"/>
        <v/>
      </c>
      <c r="AG2149" s="32" t="str">
        <f t="shared" si="2170"/>
        <v/>
      </c>
      <c r="AH2149" s="33"/>
    </row>
    <row r="2150" hidden="1" outlineLevel="2" collapsed="1">
      <c r="A2150" s="81" t="b">
        <v>0</v>
      </c>
      <c r="B2150" s="17"/>
      <c r="C2150" s="18"/>
      <c r="D2150" s="42">
        <v>45369.0</v>
      </c>
      <c r="E2150" s="43" t="s">
        <v>60</v>
      </c>
      <c r="F2150" s="53" t="s">
        <v>1317</v>
      </c>
      <c r="G2150" s="45">
        <v>3.0</v>
      </c>
      <c r="H2150" s="48"/>
      <c r="I2150" s="45">
        <v>3.0</v>
      </c>
      <c r="J2150" s="79"/>
      <c r="K2150" s="79"/>
      <c r="L2150" s="79"/>
      <c r="M2150" s="79"/>
      <c r="N2150" s="79"/>
      <c r="O2150" s="47"/>
      <c r="P2150" s="20" t="b">
        <v>0</v>
      </c>
      <c r="Q2150" s="24"/>
      <c r="R2150" s="48">
        <f t="shared" si="2103"/>
        <v>6</v>
      </c>
      <c r="S2150" s="45">
        <v>12.83</v>
      </c>
      <c r="T2150" s="49" t="str">
        <f t="shared" si="2104"/>
        <v>+114</v>
      </c>
      <c r="U2150" s="47"/>
      <c r="V2150" s="28" t="str">
        <f>IF(ISBLANK($D2150), "0",)</f>
        <v/>
      </c>
      <c r="W2150" s="29" t="str">
        <f t="shared" si="2024"/>
        <v/>
      </c>
      <c r="X2150" s="30"/>
      <c r="Y2150" s="84"/>
      <c r="Z2150" s="26">
        <f t="shared" si="5"/>
        <v>-3</v>
      </c>
      <c r="AA2150" s="26">
        <f t="shared" si="6"/>
        <v>-3</v>
      </c>
      <c r="AB2150" s="32" t="str">
        <f t="shared" si="7"/>
        <v/>
      </c>
      <c r="AC2150" s="32" t="str">
        <f t="shared" ref="AC2150:AG2150" si="2171">IF(J2150&lt;&gt;"", IF(AND($P2150=FALSE, $A2150=FALSE), -J2150, IF(AND($P2150=FALSE, $A2150=TRUE), 0, IF($P2150=TRUE, (J2150 / $R2150) * 100 * ($S2150 / 100)-J2150, ))), )</f>
        <v/>
      </c>
      <c r="AD2150" s="32" t="str">
        <f t="shared" si="2171"/>
        <v/>
      </c>
      <c r="AE2150" s="32" t="str">
        <f t="shared" si="2171"/>
        <v/>
      </c>
      <c r="AF2150" s="32" t="str">
        <f t="shared" si="2171"/>
        <v/>
      </c>
      <c r="AG2150" s="32" t="str">
        <f t="shared" si="2171"/>
        <v/>
      </c>
      <c r="AH2150" s="33"/>
    </row>
    <row r="2151" hidden="1" outlineLevel="3">
      <c r="A2151" s="16" t="b">
        <v>0</v>
      </c>
      <c r="B2151" s="17"/>
      <c r="C2151" s="18"/>
      <c r="D2151" s="42"/>
      <c r="E2151" s="20"/>
      <c r="F2151" s="53"/>
      <c r="G2151" s="45"/>
      <c r="H2151" s="45"/>
      <c r="I2151" s="45"/>
      <c r="J2151" s="36"/>
      <c r="K2151" s="23"/>
      <c r="L2151" s="36"/>
      <c r="M2151" s="23"/>
      <c r="N2151" s="23"/>
      <c r="O2151" s="24"/>
      <c r="P2151" s="16" t="b">
        <v>0</v>
      </c>
      <c r="Q2151" s="24"/>
      <c r="R2151" s="48" t="str">
        <f t="shared" si="2103"/>
        <v/>
      </c>
      <c r="S2151" s="26"/>
      <c r="T2151" s="49" t="str">
        <f t="shared" si="2104"/>
        <v/>
      </c>
      <c r="U2151" s="24"/>
      <c r="V2151" s="66">
        <v>47.0</v>
      </c>
      <c r="W2151" s="29" t="str">
        <f t="shared" si="2024"/>
        <v>/</v>
      </c>
      <c r="X2151" s="37" t="s">
        <v>1363</v>
      </c>
      <c r="Y2151" s="31"/>
      <c r="Z2151" s="26" t="str">
        <f t="shared" si="5"/>
        <v/>
      </c>
      <c r="AA2151" s="26" t="str">
        <f t="shared" si="6"/>
        <v/>
      </c>
      <c r="AB2151" s="32" t="str">
        <f t="shared" si="7"/>
        <v/>
      </c>
      <c r="AC2151" s="32" t="str">
        <f t="shared" ref="AC2151:AG2151" si="2172">IF(J2151&lt;&gt;"", IF(AND($P2151=FALSE, $A2151=FALSE), -J2151, IF(AND($P2151=FALSE, $A2151=TRUE), 0, IF($P2151=TRUE, (J2151 / $R2151) * 100 * ($S2151 / 100)-J2151, ))), )</f>
        <v/>
      </c>
      <c r="AD2151" s="32" t="str">
        <f t="shared" si="2172"/>
        <v/>
      </c>
      <c r="AE2151" s="32" t="str">
        <f t="shared" si="2172"/>
        <v/>
      </c>
      <c r="AF2151" s="32" t="str">
        <f t="shared" si="2172"/>
        <v/>
      </c>
      <c r="AG2151" s="32" t="str">
        <f t="shared" si="2172"/>
        <v/>
      </c>
      <c r="AH2151" s="33"/>
    </row>
    <row r="2152" hidden="1" outlineLevel="3">
      <c r="A2152" s="16" t="b">
        <v>0</v>
      </c>
      <c r="B2152" s="17"/>
      <c r="C2152" s="18"/>
      <c r="D2152" s="42"/>
      <c r="E2152" s="20"/>
      <c r="F2152" s="53"/>
      <c r="G2152" s="45"/>
      <c r="H2152" s="45"/>
      <c r="I2152" s="45"/>
      <c r="J2152" s="36"/>
      <c r="K2152" s="23"/>
      <c r="L2152" s="36"/>
      <c r="M2152" s="23"/>
      <c r="N2152" s="23"/>
      <c r="O2152" s="24"/>
      <c r="P2152" s="16" t="b">
        <v>0</v>
      </c>
      <c r="Q2152" s="24"/>
      <c r="R2152" s="48" t="str">
        <f t="shared" si="2103"/>
        <v/>
      </c>
      <c r="S2152" s="26"/>
      <c r="T2152" s="49" t="str">
        <f t="shared" si="2104"/>
        <v/>
      </c>
      <c r="U2152" s="24"/>
      <c r="V2152" s="66" t="s">
        <v>29</v>
      </c>
      <c r="W2152" s="29" t="str">
        <f t="shared" si="2024"/>
        <v>/</v>
      </c>
      <c r="X2152" s="37" t="s">
        <v>1364</v>
      </c>
      <c r="Y2152" s="31"/>
      <c r="Z2152" s="26" t="str">
        <f t="shared" si="5"/>
        <v/>
      </c>
      <c r="AA2152" s="26" t="str">
        <f t="shared" si="6"/>
        <v/>
      </c>
      <c r="AB2152" s="32" t="str">
        <f t="shared" si="7"/>
        <v/>
      </c>
      <c r="AC2152" s="32" t="str">
        <f t="shared" ref="AC2152:AG2152" si="2173">IF(J2152&lt;&gt;"", IF(AND($P2152=FALSE, $A2152=FALSE), -J2152, IF(AND($P2152=FALSE, $A2152=TRUE), 0, IF($P2152=TRUE, (J2152 / $R2152) * 100 * ($S2152 / 100)-J2152, ))), )</f>
        <v/>
      </c>
      <c r="AD2152" s="32" t="str">
        <f t="shared" si="2173"/>
        <v/>
      </c>
      <c r="AE2152" s="32" t="str">
        <f t="shared" si="2173"/>
        <v/>
      </c>
      <c r="AF2152" s="32" t="str">
        <f t="shared" si="2173"/>
        <v/>
      </c>
      <c r="AG2152" s="32" t="str">
        <f t="shared" si="2173"/>
        <v/>
      </c>
      <c r="AH2152" s="33"/>
    </row>
    <row r="2153" hidden="1" outlineLevel="2">
      <c r="A2153" s="81" t="b">
        <v>0</v>
      </c>
      <c r="B2153" s="17"/>
      <c r="C2153" s="18"/>
      <c r="D2153" s="42">
        <v>45369.0</v>
      </c>
      <c r="E2153" s="43" t="s">
        <v>60</v>
      </c>
      <c r="F2153" s="53" t="s">
        <v>1317</v>
      </c>
      <c r="G2153" s="45">
        <v>3.0</v>
      </c>
      <c r="H2153" s="48"/>
      <c r="I2153" s="45">
        <v>3.0</v>
      </c>
      <c r="J2153" s="79"/>
      <c r="K2153" s="79"/>
      <c r="L2153" s="79"/>
      <c r="M2153" s="79"/>
      <c r="N2153" s="79"/>
      <c r="O2153" s="47"/>
      <c r="P2153" s="20" t="b">
        <v>1</v>
      </c>
      <c r="Q2153" s="24"/>
      <c r="R2153" s="48">
        <f t="shared" si="2103"/>
        <v>6</v>
      </c>
      <c r="S2153" s="45">
        <v>14.86</v>
      </c>
      <c r="T2153" s="49" t="str">
        <f t="shared" si="2104"/>
        <v>+148</v>
      </c>
      <c r="U2153" s="47"/>
      <c r="V2153" s="28" t="str">
        <f>IF(ISBLANK($D2153), "0",)</f>
        <v/>
      </c>
      <c r="W2153" s="29" t="str">
        <f t="shared" si="2024"/>
        <v/>
      </c>
      <c r="X2153" s="30"/>
      <c r="Y2153" s="84"/>
      <c r="Z2153" s="26">
        <f t="shared" si="5"/>
        <v>4.43</v>
      </c>
      <c r="AA2153" s="26">
        <f t="shared" si="6"/>
        <v>4.43</v>
      </c>
      <c r="AB2153" s="32" t="str">
        <f t="shared" si="7"/>
        <v/>
      </c>
      <c r="AC2153" s="32" t="str">
        <f t="shared" ref="AC2153:AG2153" si="2174">IF(J2153&lt;&gt;"", IF(AND($P2153=FALSE, $A2153=FALSE), -J2153, IF(AND($P2153=FALSE, $A2153=TRUE), 0, IF($P2153=TRUE, (J2153 / $R2153) * 100 * ($S2153 / 100)-J2153, ))), )</f>
        <v/>
      </c>
      <c r="AD2153" s="32" t="str">
        <f t="shared" si="2174"/>
        <v/>
      </c>
      <c r="AE2153" s="32" t="str">
        <f t="shared" si="2174"/>
        <v/>
      </c>
      <c r="AF2153" s="32" t="str">
        <f t="shared" si="2174"/>
        <v/>
      </c>
      <c r="AG2153" s="32" t="str">
        <f t="shared" si="2174"/>
        <v/>
      </c>
      <c r="AH2153" s="33"/>
    </row>
    <row r="2154" hidden="1" outlineLevel="3">
      <c r="A2154" s="16" t="b">
        <v>0</v>
      </c>
      <c r="B2154" s="17"/>
      <c r="C2154" s="18"/>
      <c r="D2154" s="42"/>
      <c r="E2154" s="20"/>
      <c r="F2154" s="53"/>
      <c r="G2154" s="45"/>
      <c r="H2154" s="45"/>
      <c r="I2154" s="45"/>
      <c r="J2154" s="36"/>
      <c r="K2154" s="23"/>
      <c r="L2154" s="36"/>
      <c r="M2154" s="23"/>
      <c r="N2154" s="23"/>
      <c r="O2154" s="24"/>
      <c r="P2154" s="16" t="b">
        <v>0</v>
      </c>
      <c r="Q2154" s="24"/>
      <c r="R2154" s="48" t="str">
        <f t="shared" si="2103"/>
        <v/>
      </c>
      <c r="S2154" s="26"/>
      <c r="T2154" s="49" t="str">
        <f t="shared" si="2104"/>
        <v/>
      </c>
      <c r="U2154" s="24"/>
      <c r="V2154" s="66" t="s">
        <v>29</v>
      </c>
      <c r="W2154" s="29" t="str">
        <f t="shared" si="2024"/>
        <v>/</v>
      </c>
      <c r="X2154" s="37" t="s">
        <v>1365</v>
      </c>
      <c r="Y2154" s="31"/>
      <c r="Z2154" s="26" t="str">
        <f t="shared" si="5"/>
        <v/>
      </c>
      <c r="AA2154" s="26" t="str">
        <f t="shared" si="6"/>
        <v/>
      </c>
      <c r="AB2154" s="32" t="str">
        <f t="shared" si="7"/>
        <v/>
      </c>
      <c r="AC2154" s="32" t="str">
        <f t="shared" ref="AC2154:AG2154" si="2175">IF(J2154&lt;&gt;"", IF(AND($P2154=FALSE, $A2154=FALSE), -J2154, IF(AND($P2154=FALSE, $A2154=TRUE), 0, IF($P2154=TRUE, (J2154 / $R2154) * 100 * ($S2154 / 100)-J2154, ))), )</f>
        <v/>
      </c>
      <c r="AD2154" s="32" t="str">
        <f t="shared" si="2175"/>
        <v/>
      </c>
      <c r="AE2154" s="32" t="str">
        <f t="shared" si="2175"/>
        <v/>
      </c>
      <c r="AF2154" s="32" t="str">
        <f t="shared" si="2175"/>
        <v/>
      </c>
      <c r="AG2154" s="32" t="str">
        <f t="shared" si="2175"/>
        <v/>
      </c>
      <c r="AH2154" s="33"/>
    </row>
    <row r="2155" hidden="1" outlineLevel="3">
      <c r="A2155" s="16" t="b">
        <v>0</v>
      </c>
      <c r="B2155" s="17"/>
      <c r="C2155" s="18"/>
      <c r="D2155" s="42"/>
      <c r="E2155" s="20"/>
      <c r="F2155" s="53"/>
      <c r="G2155" s="45"/>
      <c r="H2155" s="45"/>
      <c r="I2155" s="45"/>
      <c r="J2155" s="36"/>
      <c r="K2155" s="23"/>
      <c r="L2155" s="36"/>
      <c r="M2155" s="23"/>
      <c r="N2155" s="23"/>
      <c r="O2155" s="24"/>
      <c r="P2155" s="16" t="b">
        <v>0</v>
      </c>
      <c r="Q2155" s="24"/>
      <c r="R2155" s="48" t="str">
        <f t="shared" si="2103"/>
        <v/>
      </c>
      <c r="S2155" s="26"/>
      <c r="T2155" s="49" t="str">
        <f t="shared" si="2104"/>
        <v/>
      </c>
      <c r="U2155" s="24"/>
      <c r="V2155" s="66" t="s">
        <v>29</v>
      </c>
      <c r="W2155" s="29" t="str">
        <f t="shared" si="2024"/>
        <v>/</v>
      </c>
      <c r="X2155" s="37" t="s">
        <v>1366</v>
      </c>
      <c r="Y2155" s="31"/>
      <c r="Z2155" s="26" t="str">
        <f t="shared" si="5"/>
        <v/>
      </c>
      <c r="AA2155" s="26" t="str">
        <f t="shared" si="6"/>
        <v/>
      </c>
      <c r="AB2155" s="32" t="str">
        <f t="shared" si="7"/>
        <v/>
      </c>
      <c r="AC2155" s="32" t="str">
        <f t="shared" ref="AC2155:AG2155" si="2176">IF(J2155&lt;&gt;"", IF(AND($P2155=FALSE, $A2155=FALSE), -J2155, IF(AND($P2155=FALSE, $A2155=TRUE), 0, IF($P2155=TRUE, (J2155 / $R2155) * 100 * ($S2155 / 100)-J2155, ))), )</f>
        <v/>
      </c>
      <c r="AD2155" s="32" t="str">
        <f t="shared" si="2176"/>
        <v/>
      </c>
      <c r="AE2155" s="32" t="str">
        <f t="shared" si="2176"/>
        <v/>
      </c>
      <c r="AF2155" s="32" t="str">
        <f t="shared" si="2176"/>
        <v/>
      </c>
      <c r="AG2155" s="32" t="str">
        <f t="shared" si="2176"/>
        <v/>
      </c>
      <c r="AH2155" s="33"/>
    </row>
    <row r="2156" hidden="1" outlineLevel="1" collapsed="1">
      <c r="A2156" s="81" t="b">
        <v>0</v>
      </c>
      <c r="B2156" s="17"/>
      <c r="C2156" s="18"/>
      <c r="D2156" s="42">
        <v>45370.0</v>
      </c>
      <c r="E2156" s="80" t="s">
        <v>24</v>
      </c>
      <c r="F2156" s="53" t="s">
        <v>1367</v>
      </c>
      <c r="G2156" s="45">
        <v>1.0</v>
      </c>
      <c r="H2156" s="48"/>
      <c r="I2156" s="45">
        <v>1.5</v>
      </c>
      <c r="J2156" s="79"/>
      <c r="K2156" s="79"/>
      <c r="L2156" s="79"/>
      <c r="M2156" s="79"/>
      <c r="N2156" s="79"/>
      <c r="O2156" s="47"/>
      <c r="P2156" s="20" t="b">
        <v>0</v>
      </c>
      <c r="Q2156" s="24"/>
      <c r="R2156" s="48">
        <f t="shared" si="2103"/>
        <v>2.5</v>
      </c>
      <c r="S2156" s="45">
        <v>17.5</v>
      </c>
      <c r="T2156" s="49" t="str">
        <f t="shared" si="2104"/>
        <v>+600</v>
      </c>
      <c r="U2156" s="47"/>
      <c r="V2156" s="28" t="str">
        <f t="shared" ref="V2156:V2158" si="2178">IF(ISBLANK($D2156), "0",)</f>
        <v/>
      </c>
      <c r="W2156" s="29" t="str">
        <f t="shared" si="2024"/>
        <v/>
      </c>
      <c r="X2156" s="30"/>
      <c r="Y2156" s="84"/>
      <c r="Z2156" s="26">
        <f t="shared" si="5"/>
        <v>-1</v>
      </c>
      <c r="AA2156" s="26">
        <f t="shared" si="6"/>
        <v>-1.5</v>
      </c>
      <c r="AB2156" s="32" t="str">
        <f t="shared" si="7"/>
        <v/>
      </c>
      <c r="AC2156" s="32" t="str">
        <f t="shared" ref="AC2156:AG2156" si="2177">IF(J2156&lt;&gt;"", IF(AND($P2156=FALSE, $A2156=FALSE), -J2156, IF(AND($P2156=FALSE, $A2156=TRUE), 0, IF($P2156=TRUE, (J2156 / $R2156) * 100 * ($S2156 / 100)-J2156, ))), )</f>
        <v/>
      </c>
      <c r="AD2156" s="32" t="str">
        <f t="shared" si="2177"/>
        <v/>
      </c>
      <c r="AE2156" s="32" t="str">
        <f t="shared" si="2177"/>
        <v/>
      </c>
      <c r="AF2156" s="32" t="str">
        <f t="shared" si="2177"/>
        <v/>
      </c>
      <c r="AG2156" s="32" t="str">
        <f t="shared" si="2177"/>
        <v/>
      </c>
      <c r="AH2156" s="33"/>
    </row>
    <row r="2157" hidden="1" outlineLevel="3">
      <c r="A2157" s="16" t="b">
        <v>0</v>
      </c>
      <c r="B2157" s="17"/>
      <c r="C2157" s="18"/>
      <c r="D2157" s="42"/>
      <c r="E2157" s="20"/>
      <c r="F2157" s="53"/>
      <c r="G2157" s="45"/>
      <c r="H2157" s="45"/>
      <c r="I2157" s="45"/>
      <c r="J2157" s="36"/>
      <c r="K2157" s="23"/>
      <c r="L2157" s="36"/>
      <c r="M2157" s="23"/>
      <c r="N2157" s="23"/>
      <c r="O2157" s="24"/>
      <c r="P2157" s="16" t="b">
        <v>0</v>
      </c>
      <c r="Q2157" s="24"/>
      <c r="R2157" s="48" t="str">
        <f t="shared" si="2103"/>
        <v/>
      </c>
      <c r="S2157" s="26"/>
      <c r="T2157" s="49" t="str">
        <f t="shared" si="2104"/>
        <v/>
      </c>
      <c r="U2157" s="24"/>
      <c r="V2157" s="28" t="str">
        <f t="shared" si="2178"/>
        <v>0</v>
      </c>
      <c r="W2157" s="29" t="str">
        <f t="shared" si="2024"/>
        <v>/</v>
      </c>
      <c r="X2157" s="37" t="s">
        <v>1368</v>
      </c>
      <c r="Y2157" s="31"/>
      <c r="Z2157" s="26" t="str">
        <f t="shared" si="5"/>
        <v/>
      </c>
      <c r="AA2157" s="26" t="str">
        <f t="shared" si="6"/>
        <v/>
      </c>
      <c r="AB2157" s="32" t="str">
        <f t="shared" si="7"/>
        <v/>
      </c>
      <c r="AC2157" s="32" t="str">
        <f t="shared" ref="AC2157:AG2157" si="2179">IF(J2157&lt;&gt;"", IF(AND($P2157=FALSE, $A2157=FALSE), -J2157, IF(AND($P2157=FALSE, $A2157=TRUE), 0, IF($P2157=TRUE, (J2157 / $R2157) * 100 * ($S2157 / 100)-J2157, ))), )</f>
        <v/>
      </c>
      <c r="AD2157" s="32" t="str">
        <f t="shared" si="2179"/>
        <v/>
      </c>
      <c r="AE2157" s="32" t="str">
        <f t="shared" si="2179"/>
        <v/>
      </c>
      <c r="AF2157" s="32" t="str">
        <f t="shared" si="2179"/>
        <v/>
      </c>
      <c r="AG2157" s="32" t="str">
        <f t="shared" si="2179"/>
        <v/>
      </c>
      <c r="AH2157" s="33"/>
    </row>
    <row r="2158" hidden="1" outlineLevel="1" collapsed="1">
      <c r="A2158" s="81" t="b">
        <v>0</v>
      </c>
      <c r="B2158" s="17"/>
      <c r="C2158" s="18"/>
      <c r="D2158" s="42">
        <v>45373.0</v>
      </c>
      <c r="E2158" s="43" t="s">
        <v>60</v>
      </c>
      <c r="F2158" s="53" t="s">
        <v>1317</v>
      </c>
      <c r="G2158" s="45">
        <v>3.0</v>
      </c>
      <c r="H2158" s="48"/>
      <c r="I2158" s="45">
        <v>3.0</v>
      </c>
      <c r="J2158" s="79"/>
      <c r="K2158" s="79"/>
      <c r="L2158" s="79"/>
      <c r="M2158" s="79"/>
      <c r="N2158" s="79"/>
      <c r="O2158" s="47"/>
      <c r="P2158" s="20" t="b">
        <v>0</v>
      </c>
      <c r="Q2158" s="24"/>
      <c r="R2158" s="48">
        <f t="shared" si="2103"/>
        <v>6</v>
      </c>
      <c r="S2158" s="45">
        <v>17.03</v>
      </c>
      <c r="T2158" s="49" t="str">
        <f t="shared" si="2104"/>
        <v>+184</v>
      </c>
      <c r="U2158" s="47"/>
      <c r="V2158" s="28" t="str">
        <f t="shared" si="2178"/>
        <v/>
      </c>
      <c r="W2158" s="29" t="str">
        <f t="shared" si="2024"/>
        <v/>
      </c>
      <c r="X2158" s="30"/>
      <c r="Y2158" s="84"/>
      <c r="Z2158" s="26">
        <f t="shared" si="5"/>
        <v>-3</v>
      </c>
      <c r="AA2158" s="26">
        <f t="shared" si="6"/>
        <v>-3</v>
      </c>
      <c r="AB2158" s="32" t="str">
        <f t="shared" si="7"/>
        <v/>
      </c>
      <c r="AC2158" s="32" t="str">
        <f t="shared" ref="AC2158:AG2158" si="2180">IF(J2158&lt;&gt;"", IF(AND($P2158=FALSE, $A2158=FALSE), -J2158, IF(AND($P2158=FALSE, $A2158=TRUE), 0, IF($P2158=TRUE, (J2158 / $R2158) * 100 * ($S2158 / 100)-J2158, ))), )</f>
        <v/>
      </c>
      <c r="AD2158" s="32" t="str">
        <f t="shared" si="2180"/>
        <v/>
      </c>
      <c r="AE2158" s="32" t="str">
        <f t="shared" si="2180"/>
        <v/>
      </c>
      <c r="AF2158" s="32" t="str">
        <f t="shared" si="2180"/>
        <v/>
      </c>
      <c r="AG2158" s="32" t="str">
        <f t="shared" si="2180"/>
        <v/>
      </c>
      <c r="AH2158" s="33"/>
    </row>
    <row r="2159" hidden="1" outlineLevel="3">
      <c r="A2159" s="16" t="b">
        <v>0</v>
      </c>
      <c r="B2159" s="17"/>
      <c r="C2159" s="18"/>
      <c r="D2159" s="42"/>
      <c r="E2159" s="20"/>
      <c r="F2159" s="53"/>
      <c r="G2159" s="45"/>
      <c r="H2159" s="45"/>
      <c r="I2159" s="45"/>
      <c r="J2159" s="36"/>
      <c r="K2159" s="23"/>
      <c r="L2159" s="36"/>
      <c r="M2159" s="23"/>
      <c r="N2159" s="23"/>
      <c r="O2159" s="24"/>
      <c r="P2159" s="16" t="b">
        <v>0</v>
      </c>
      <c r="Q2159" s="24"/>
      <c r="R2159" s="48" t="str">
        <f t="shared" si="2103"/>
        <v/>
      </c>
      <c r="S2159" s="26"/>
      <c r="T2159" s="49" t="str">
        <f t="shared" si="2104"/>
        <v/>
      </c>
      <c r="U2159" s="24"/>
      <c r="V2159" s="66">
        <v>13.0</v>
      </c>
      <c r="W2159" s="29" t="str">
        <f t="shared" si="2024"/>
        <v>/</v>
      </c>
      <c r="X2159" s="37" t="s">
        <v>1369</v>
      </c>
      <c r="Y2159" s="31"/>
      <c r="Z2159" s="26" t="str">
        <f t="shared" si="5"/>
        <v/>
      </c>
      <c r="AA2159" s="26" t="str">
        <f t="shared" si="6"/>
        <v/>
      </c>
      <c r="AB2159" s="32" t="str">
        <f t="shared" si="7"/>
        <v/>
      </c>
      <c r="AC2159" s="32" t="str">
        <f t="shared" ref="AC2159:AG2159" si="2181">IF(J2159&lt;&gt;"", IF(AND($P2159=FALSE, $A2159=FALSE), -J2159, IF(AND($P2159=FALSE, $A2159=TRUE), 0, IF($P2159=TRUE, (J2159 / $R2159) * 100 * ($S2159 / 100)-J2159, ))), )</f>
        <v/>
      </c>
      <c r="AD2159" s="32" t="str">
        <f t="shared" si="2181"/>
        <v/>
      </c>
      <c r="AE2159" s="32" t="str">
        <f t="shared" si="2181"/>
        <v/>
      </c>
      <c r="AF2159" s="32" t="str">
        <f t="shared" si="2181"/>
        <v/>
      </c>
      <c r="AG2159" s="32" t="str">
        <f t="shared" si="2181"/>
        <v/>
      </c>
      <c r="AH2159" s="33"/>
    </row>
    <row r="2160" hidden="1" outlineLevel="3">
      <c r="A2160" s="16" t="b">
        <v>0</v>
      </c>
      <c r="B2160" s="17"/>
      <c r="C2160" s="18"/>
      <c r="D2160" s="42"/>
      <c r="E2160" s="20"/>
      <c r="F2160" s="53"/>
      <c r="G2160" s="45"/>
      <c r="H2160" s="45"/>
      <c r="I2160" s="45"/>
      <c r="J2160" s="36"/>
      <c r="K2160" s="23"/>
      <c r="L2160" s="36"/>
      <c r="M2160" s="23"/>
      <c r="N2160" s="23"/>
      <c r="O2160" s="24"/>
      <c r="P2160" s="16" t="b">
        <v>0</v>
      </c>
      <c r="Q2160" s="24"/>
      <c r="R2160" s="48" t="str">
        <f t="shared" si="2103"/>
        <v/>
      </c>
      <c r="S2160" s="26"/>
      <c r="T2160" s="49" t="str">
        <f t="shared" si="2104"/>
        <v/>
      </c>
      <c r="U2160" s="24"/>
      <c r="V2160" s="66" t="s">
        <v>29</v>
      </c>
      <c r="W2160" s="29" t="str">
        <f t="shared" si="2024"/>
        <v>/</v>
      </c>
      <c r="X2160" s="37" t="s">
        <v>1370</v>
      </c>
      <c r="Y2160" s="31"/>
      <c r="Z2160" s="26" t="str">
        <f t="shared" si="5"/>
        <v/>
      </c>
      <c r="AA2160" s="26" t="str">
        <f t="shared" si="6"/>
        <v/>
      </c>
      <c r="AB2160" s="32" t="str">
        <f t="shared" si="7"/>
        <v/>
      </c>
      <c r="AC2160" s="32" t="str">
        <f t="shared" ref="AC2160:AG2160" si="2182">IF(J2160&lt;&gt;"", IF(AND($P2160=FALSE, $A2160=FALSE), -J2160, IF(AND($P2160=FALSE, $A2160=TRUE), 0, IF($P2160=TRUE, (J2160 / $R2160) * 100 * ($S2160 / 100)-J2160, ))), )</f>
        <v/>
      </c>
      <c r="AD2160" s="32" t="str">
        <f t="shared" si="2182"/>
        <v/>
      </c>
      <c r="AE2160" s="32" t="str">
        <f t="shared" si="2182"/>
        <v/>
      </c>
      <c r="AF2160" s="32" t="str">
        <f t="shared" si="2182"/>
        <v/>
      </c>
      <c r="AG2160" s="32" t="str">
        <f t="shared" si="2182"/>
        <v/>
      </c>
      <c r="AH2160" s="33"/>
    </row>
    <row r="2161" hidden="1" outlineLevel="2">
      <c r="A2161" s="81" t="b">
        <v>0</v>
      </c>
      <c r="B2161" s="17"/>
      <c r="C2161" s="18"/>
      <c r="D2161" s="42">
        <v>45373.0</v>
      </c>
      <c r="E2161" s="43" t="s">
        <v>60</v>
      </c>
      <c r="F2161" s="53" t="s">
        <v>1317</v>
      </c>
      <c r="G2161" s="45">
        <v>3.0</v>
      </c>
      <c r="H2161" s="48"/>
      <c r="I2161" s="45">
        <v>3.0</v>
      </c>
      <c r="J2161" s="79"/>
      <c r="K2161" s="79"/>
      <c r="L2161" s="79"/>
      <c r="M2161" s="79"/>
      <c r="N2161" s="79"/>
      <c r="O2161" s="47"/>
      <c r="P2161" s="20" t="b">
        <v>0</v>
      </c>
      <c r="Q2161" s="24"/>
      <c r="R2161" s="48">
        <f t="shared" si="2103"/>
        <v>6</v>
      </c>
      <c r="S2161" s="45">
        <v>17.55</v>
      </c>
      <c r="T2161" s="49" t="str">
        <f t="shared" si="2104"/>
        <v>+193</v>
      </c>
      <c r="U2161" s="47"/>
      <c r="V2161" s="28" t="str">
        <f>IF(ISBLANK($D2161), "0",)</f>
        <v/>
      </c>
      <c r="W2161" s="29" t="str">
        <f t="shared" si="2024"/>
        <v/>
      </c>
      <c r="X2161" s="30"/>
      <c r="Y2161" s="84"/>
      <c r="Z2161" s="26">
        <f t="shared" si="5"/>
        <v>-3</v>
      </c>
      <c r="AA2161" s="26">
        <f t="shared" si="6"/>
        <v>-3</v>
      </c>
      <c r="AB2161" s="32" t="str">
        <f t="shared" si="7"/>
        <v/>
      </c>
      <c r="AC2161" s="32" t="str">
        <f t="shared" ref="AC2161:AG2161" si="2183">IF(J2161&lt;&gt;"", IF(AND($P2161=FALSE, $A2161=FALSE), -J2161, IF(AND($P2161=FALSE, $A2161=TRUE), 0, IF($P2161=TRUE, (J2161 / $R2161) * 100 * ($S2161 / 100)-J2161, ))), )</f>
        <v/>
      </c>
      <c r="AD2161" s="32" t="str">
        <f t="shared" si="2183"/>
        <v/>
      </c>
      <c r="AE2161" s="32" t="str">
        <f t="shared" si="2183"/>
        <v/>
      </c>
      <c r="AF2161" s="32" t="str">
        <f t="shared" si="2183"/>
        <v/>
      </c>
      <c r="AG2161" s="32" t="str">
        <f t="shared" si="2183"/>
        <v/>
      </c>
      <c r="AH2161" s="33"/>
    </row>
    <row r="2162" hidden="1" outlineLevel="3">
      <c r="A2162" s="16" t="b">
        <v>0</v>
      </c>
      <c r="B2162" s="17"/>
      <c r="C2162" s="18"/>
      <c r="D2162" s="42"/>
      <c r="E2162" s="20"/>
      <c r="F2162" s="53"/>
      <c r="G2162" s="45"/>
      <c r="H2162" s="45"/>
      <c r="I2162" s="45"/>
      <c r="J2162" s="36"/>
      <c r="K2162" s="23"/>
      <c r="L2162" s="36"/>
      <c r="M2162" s="23"/>
      <c r="N2162" s="23"/>
      <c r="O2162" s="24"/>
      <c r="P2162" s="16" t="b">
        <v>0</v>
      </c>
      <c r="Q2162" s="24"/>
      <c r="R2162" s="48" t="str">
        <f t="shared" si="2103"/>
        <v/>
      </c>
      <c r="S2162" s="26"/>
      <c r="T2162" s="49" t="str">
        <f t="shared" si="2104"/>
        <v/>
      </c>
      <c r="U2162" s="24"/>
      <c r="V2162" s="66" t="s">
        <v>29</v>
      </c>
      <c r="W2162" s="29" t="str">
        <f t="shared" si="2024"/>
        <v>/</v>
      </c>
      <c r="X2162" s="37" t="s">
        <v>1371</v>
      </c>
      <c r="Y2162" s="31"/>
      <c r="Z2162" s="26" t="str">
        <f t="shared" si="5"/>
        <v/>
      </c>
      <c r="AA2162" s="26" t="str">
        <f t="shared" si="6"/>
        <v/>
      </c>
      <c r="AB2162" s="32" t="str">
        <f t="shared" si="7"/>
        <v/>
      </c>
      <c r="AC2162" s="32" t="str">
        <f t="shared" ref="AC2162:AG2162" si="2184">IF(J2162&lt;&gt;"", IF(AND($P2162=FALSE, $A2162=FALSE), -J2162, IF(AND($P2162=FALSE, $A2162=TRUE), 0, IF($P2162=TRUE, (J2162 / $R2162) * 100 * ($S2162 / 100)-J2162, ))), )</f>
        <v/>
      </c>
      <c r="AD2162" s="32" t="str">
        <f t="shared" si="2184"/>
        <v/>
      </c>
      <c r="AE2162" s="32" t="str">
        <f t="shared" si="2184"/>
        <v/>
      </c>
      <c r="AF2162" s="32" t="str">
        <f t="shared" si="2184"/>
        <v/>
      </c>
      <c r="AG2162" s="32" t="str">
        <f t="shared" si="2184"/>
        <v/>
      </c>
      <c r="AH2162" s="33"/>
    </row>
    <row r="2163" hidden="1" outlineLevel="3">
      <c r="A2163" s="16" t="b">
        <v>0</v>
      </c>
      <c r="B2163" s="17"/>
      <c r="C2163" s="18"/>
      <c r="D2163" s="42"/>
      <c r="E2163" s="20"/>
      <c r="F2163" s="53"/>
      <c r="G2163" s="45"/>
      <c r="H2163" s="45"/>
      <c r="I2163" s="45"/>
      <c r="J2163" s="36"/>
      <c r="K2163" s="23"/>
      <c r="L2163" s="36"/>
      <c r="M2163" s="23"/>
      <c r="N2163" s="23"/>
      <c r="O2163" s="24"/>
      <c r="P2163" s="16" t="b">
        <v>0</v>
      </c>
      <c r="Q2163" s="24"/>
      <c r="R2163" s="48" t="str">
        <f t="shared" si="2103"/>
        <v/>
      </c>
      <c r="S2163" s="26"/>
      <c r="T2163" s="49" t="str">
        <f t="shared" si="2104"/>
        <v/>
      </c>
      <c r="U2163" s="24"/>
      <c r="V2163" s="66">
        <v>48.0</v>
      </c>
      <c r="W2163" s="29" t="str">
        <f t="shared" si="2024"/>
        <v>/</v>
      </c>
      <c r="X2163" s="37" t="s">
        <v>1372</v>
      </c>
      <c r="Y2163" s="31"/>
      <c r="Z2163" s="26" t="str">
        <f t="shared" si="5"/>
        <v/>
      </c>
      <c r="AA2163" s="26" t="str">
        <f t="shared" si="6"/>
        <v/>
      </c>
      <c r="AB2163" s="32" t="str">
        <f t="shared" si="7"/>
        <v/>
      </c>
      <c r="AC2163" s="32" t="str">
        <f t="shared" ref="AC2163:AG2163" si="2185">IF(J2163&lt;&gt;"", IF(AND($P2163=FALSE, $A2163=FALSE), -J2163, IF(AND($P2163=FALSE, $A2163=TRUE), 0, IF($P2163=TRUE, (J2163 / $R2163) * 100 * ($S2163 / 100)-J2163, ))), )</f>
        <v/>
      </c>
      <c r="AD2163" s="32" t="str">
        <f t="shared" si="2185"/>
        <v/>
      </c>
      <c r="AE2163" s="32" t="str">
        <f t="shared" si="2185"/>
        <v/>
      </c>
      <c r="AF2163" s="32" t="str">
        <f t="shared" si="2185"/>
        <v/>
      </c>
      <c r="AG2163" s="32" t="str">
        <f t="shared" si="2185"/>
        <v/>
      </c>
      <c r="AH2163" s="33"/>
    </row>
    <row r="2164" hidden="1" outlineLevel="1" collapsed="1">
      <c r="A2164" s="81" t="b">
        <v>0</v>
      </c>
      <c r="B2164" s="17"/>
      <c r="C2164" s="18"/>
      <c r="D2164" s="42">
        <v>45377.0</v>
      </c>
      <c r="E2164" s="43" t="s">
        <v>60</v>
      </c>
      <c r="F2164" s="53" t="s">
        <v>1317</v>
      </c>
      <c r="G2164" s="45">
        <v>1.0</v>
      </c>
      <c r="H2164" s="48"/>
      <c r="I2164" s="45">
        <v>1.5</v>
      </c>
      <c r="J2164" s="79"/>
      <c r="K2164" s="79"/>
      <c r="L2164" s="79"/>
      <c r="M2164" s="79"/>
      <c r="N2164" s="79"/>
      <c r="O2164" s="47"/>
      <c r="P2164" s="20" t="b">
        <v>0</v>
      </c>
      <c r="Q2164" s="24"/>
      <c r="R2164" s="48">
        <f t="shared" si="2103"/>
        <v>2.5</v>
      </c>
      <c r="S2164" s="45">
        <v>15.36</v>
      </c>
      <c r="T2164" s="49" t="str">
        <f t="shared" si="2104"/>
        <v>+514</v>
      </c>
      <c r="U2164" s="47"/>
      <c r="V2164" s="28" t="str">
        <f>IF(ISBLANK($D2164), "0",)</f>
        <v/>
      </c>
      <c r="W2164" s="29" t="str">
        <f t="shared" si="2024"/>
        <v/>
      </c>
      <c r="X2164" s="30"/>
      <c r="Y2164" s="84"/>
      <c r="Z2164" s="26">
        <f t="shared" si="5"/>
        <v>-1</v>
      </c>
      <c r="AA2164" s="26">
        <f t="shared" si="6"/>
        <v>-1.5</v>
      </c>
      <c r="AB2164" s="32" t="str">
        <f t="shared" si="7"/>
        <v/>
      </c>
      <c r="AC2164" s="32" t="str">
        <f t="shared" ref="AC2164:AG2164" si="2186">IF(J2164&lt;&gt;"", IF(AND($P2164=FALSE, $A2164=FALSE), -J2164, IF(AND($P2164=FALSE, $A2164=TRUE), 0, IF($P2164=TRUE, (J2164 / $R2164) * 100 * ($S2164 / 100)-J2164, ))), )</f>
        <v/>
      </c>
      <c r="AD2164" s="32" t="str">
        <f t="shared" si="2186"/>
        <v/>
      </c>
      <c r="AE2164" s="32" t="str">
        <f t="shared" si="2186"/>
        <v/>
      </c>
      <c r="AF2164" s="32" t="str">
        <f t="shared" si="2186"/>
        <v/>
      </c>
      <c r="AG2164" s="32" t="str">
        <f t="shared" si="2186"/>
        <v/>
      </c>
      <c r="AH2164" s="33"/>
    </row>
    <row r="2165" hidden="1" outlineLevel="3">
      <c r="A2165" s="16" t="b">
        <v>0</v>
      </c>
      <c r="B2165" s="17"/>
      <c r="C2165" s="18"/>
      <c r="D2165" s="42"/>
      <c r="E2165" s="20"/>
      <c r="F2165" s="53"/>
      <c r="G2165" s="45"/>
      <c r="H2165" s="45"/>
      <c r="I2165" s="45"/>
      <c r="J2165" s="36"/>
      <c r="K2165" s="23"/>
      <c r="L2165" s="36"/>
      <c r="M2165" s="23"/>
      <c r="N2165" s="23"/>
      <c r="O2165" s="24"/>
      <c r="P2165" s="16" t="b">
        <v>0</v>
      </c>
      <c r="Q2165" s="24"/>
      <c r="R2165" s="48" t="str">
        <f t="shared" si="2103"/>
        <v/>
      </c>
      <c r="S2165" s="26"/>
      <c r="T2165" s="49" t="str">
        <f t="shared" si="2104"/>
        <v/>
      </c>
      <c r="U2165" s="24"/>
      <c r="V2165" s="66" t="s">
        <v>29</v>
      </c>
      <c r="W2165" s="29" t="str">
        <f t="shared" si="2024"/>
        <v>/</v>
      </c>
      <c r="X2165" s="37" t="s">
        <v>1373</v>
      </c>
      <c r="Y2165" s="31"/>
      <c r="Z2165" s="26" t="str">
        <f t="shared" si="5"/>
        <v/>
      </c>
      <c r="AA2165" s="26" t="str">
        <f t="shared" si="6"/>
        <v/>
      </c>
      <c r="AB2165" s="32" t="str">
        <f t="shared" si="7"/>
        <v/>
      </c>
      <c r="AC2165" s="32" t="str">
        <f t="shared" ref="AC2165:AG2165" si="2187">IF(J2165&lt;&gt;"", IF(AND($P2165=FALSE, $A2165=FALSE), -J2165, IF(AND($P2165=FALSE, $A2165=TRUE), 0, IF($P2165=TRUE, (J2165 / $R2165) * 100 * ($S2165 / 100)-J2165, ))), )</f>
        <v/>
      </c>
      <c r="AD2165" s="32" t="str">
        <f t="shared" si="2187"/>
        <v/>
      </c>
      <c r="AE2165" s="32" t="str">
        <f t="shared" si="2187"/>
        <v/>
      </c>
      <c r="AF2165" s="32" t="str">
        <f t="shared" si="2187"/>
        <v/>
      </c>
      <c r="AG2165" s="32" t="str">
        <f t="shared" si="2187"/>
        <v/>
      </c>
      <c r="AH2165" s="33"/>
    </row>
    <row r="2166" hidden="1" outlineLevel="3">
      <c r="A2166" s="16" t="b">
        <v>0</v>
      </c>
      <c r="B2166" s="17"/>
      <c r="C2166" s="18"/>
      <c r="D2166" s="42"/>
      <c r="E2166" s="20"/>
      <c r="F2166" s="53"/>
      <c r="G2166" s="45"/>
      <c r="H2166" s="45"/>
      <c r="I2166" s="45"/>
      <c r="J2166" s="36"/>
      <c r="K2166" s="23"/>
      <c r="L2166" s="36"/>
      <c r="M2166" s="23"/>
      <c r="N2166" s="23"/>
      <c r="O2166" s="24"/>
      <c r="P2166" s="16" t="b">
        <v>0</v>
      </c>
      <c r="Q2166" s="24"/>
      <c r="R2166" s="48" t="str">
        <f t="shared" si="2103"/>
        <v/>
      </c>
      <c r="S2166" s="26"/>
      <c r="T2166" s="49" t="str">
        <f t="shared" si="2104"/>
        <v/>
      </c>
      <c r="U2166" s="24"/>
      <c r="V2166" s="66" t="s">
        <v>29</v>
      </c>
      <c r="W2166" s="29" t="str">
        <f t="shared" si="2024"/>
        <v>/</v>
      </c>
      <c r="X2166" s="37" t="s">
        <v>1374</v>
      </c>
      <c r="Y2166" s="31"/>
      <c r="Z2166" s="26" t="str">
        <f t="shared" si="5"/>
        <v/>
      </c>
      <c r="AA2166" s="26" t="str">
        <f t="shared" si="6"/>
        <v/>
      </c>
      <c r="AB2166" s="32" t="str">
        <f t="shared" si="7"/>
        <v/>
      </c>
      <c r="AC2166" s="32" t="str">
        <f t="shared" ref="AC2166:AG2166" si="2188">IF(J2166&lt;&gt;"", IF(AND($P2166=FALSE, $A2166=FALSE), -J2166, IF(AND($P2166=FALSE, $A2166=TRUE), 0, IF($P2166=TRUE, (J2166 / $R2166) * 100 * ($S2166 / 100)-J2166, ))), )</f>
        <v/>
      </c>
      <c r="AD2166" s="32" t="str">
        <f t="shared" si="2188"/>
        <v/>
      </c>
      <c r="AE2166" s="32" t="str">
        <f t="shared" si="2188"/>
        <v/>
      </c>
      <c r="AF2166" s="32" t="str">
        <f t="shared" si="2188"/>
        <v/>
      </c>
      <c r="AG2166" s="32" t="str">
        <f t="shared" si="2188"/>
        <v/>
      </c>
      <c r="AH2166" s="33"/>
    </row>
    <row r="2167" hidden="1" outlineLevel="3">
      <c r="A2167" s="16" t="b">
        <v>0</v>
      </c>
      <c r="B2167" s="17"/>
      <c r="C2167" s="18"/>
      <c r="D2167" s="42"/>
      <c r="E2167" s="20"/>
      <c r="F2167" s="53"/>
      <c r="G2167" s="45"/>
      <c r="H2167" s="45"/>
      <c r="I2167" s="45"/>
      <c r="J2167" s="36"/>
      <c r="K2167" s="23"/>
      <c r="L2167" s="36"/>
      <c r="M2167" s="23"/>
      <c r="N2167" s="23"/>
      <c r="O2167" s="24"/>
      <c r="P2167" s="16" t="b">
        <v>0</v>
      </c>
      <c r="Q2167" s="24"/>
      <c r="R2167" s="48" t="str">
        <f t="shared" si="2103"/>
        <v/>
      </c>
      <c r="S2167" s="26"/>
      <c r="T2167" s="49" t="str">
        <f t="shared" si="2104"/>
        <v/>
      </c>
      <c r="U2167" s="24"/>
      <c r="V2167" s="66">
        <v>1.0</v>
      </c>
      <c r="W2167" s="29" t="str">
        <f t="shared" si="2024"/>
        <v>/</v>
      </c>
      <c r="X2167" s="37" t="s">
        <v>1375</v>
      </c>
      <c r="Y2167" s="31"/>
      <c r="Z2167" s="26" t="str">
        <f t="shared" si="5"/>
        <v/>
      </c>
      <c r="AA2167" s="26" t="str">
        <f t="shared" si="6"/>
        <v/>
      </c>
      <c r="AB2167" s="32" t="str">
        <f t="shared" si="7"/>
        <v/>
      </c>
      <c r="AC2167" s="32" t="str">
        <f t="shared" ref="AC2167:AG2167" si="2189">IF(J2167&lt;&gt;"", IF(AND($P2167=FALSE, $A2167=FALSE), -J2167, IF(AND($P2167=FALSE, $A2167=TRUE), 0, IF($P2167=TRUE, (J2167 / $R2167) * 100 * ($S2167 / 100)-J2167, ))), )</f>
        <v/>
      </c>
      <c r="AD2167" s="32" t="str">
        <f t="shared" si="2189"/>
        <v/>
      </c>
      <c r="AE2167" s="32" t="str">
        <f t="shared" si="2189"/>
        <v/>
      </c>
      <c r="AF2167" s="32" t="str">
        <f t="shared" si="2189"/>
        <v/>
      </c>
      <c r="AG2167" s="32" t="str">
        <f t="shared" si="2189"/>
        <v/>
      </c>
      <c r="AH2167" s="33"/>
    </row>
    <row r="2168" hidden="1" outlineLevel="2" collapsed="1">
      <c r="A2168" s="81" t="b">
        <v>0</v>
      </c>
      <c r="B2168" s="17"/>
      <c r="C2168" s="18"/>
      <c r="D2168" s="42">
        <v>45377.0</v>
      </c>
      <c r="E2168" s="43" t="s">
        <v>60</v>
      </c>
      <c r="F2168" s="53" t="s">
        <v>1317</v>
      </c>
      <c r="G2168" s="45">
        <v>3.0</v>
      </c>
      <c r="H2168" s="48"/>
      <c r="I2168" s="45">
        <v>3.0</v>
      </c>
      <c r="J2168" s="79"/>
      <c r="K2168" s="79"/>
      <c r="L2168" s="79"/>
      <c r="M2168" s="79"/>
      <c r="N2168" s="79"/>
      <c r="O2168" s="47"/>
      <c r="P2168" s="20" t="b">
        <v>0</v>
      </c>
      <c r="Q2168" s="24"/>
      <c r="R2168" s="48">
        <f t="shared" si="2103"/>
        <v>6</v>
      </c>
      <c r="S2168" s="45">
        <v>17.66</v>
      </c>
      <c r="T2168" s="49" t="str">
        <f t="shared" si="2104"/>
        <v>+194</v>
      </c>
      <c r="U2168" s="47"/>
      <c r="V2168" s="28" t="str">
        <f>IF(ISBLANK($D2168), "0",)</f>
        <v/>
      </c>
      <c r="W2168" s="29" t="str">
        <f t="shared" si="2024"/>
        <v/>
      </c>
      <c r="X2168" s="30"/>
      <c r="Y2168" s="84"/>
      <c r="Z2168" s="26">
        <f t="shared" si="5"/>
        <v>-3</v>
      </c>
      <c r="AA2168" s="26">
        <f t="shared" si="6"/>
        <v>-3</v>
      </c>
      <c r="AB2168" s="32" t="str">
        <f t="shared" si="7"/>
        <v/>
      </c>
      <c r="AC2168" s="32" t="str">
        <f t="shared" ref="AC2168:AG2168" si="2190">IF(J2168&lt;&gt;"", IF(AND($P2168=FALSE, $A2168=FALSE), -J2168, IF(AND($P2168=FALSE, $A2168=TRUE), 0, IF($P2168=TRUE, (J2168 / $R2168) * 100 * ($S2168 / 100)-J2168, ))), )</f>
        <v/>
      </c>
      <c r="AD2168" s="32" t="str">
        <f t="shared" si="2190"/>
        <v/>
      </c>
      <c r="AE2168" s="32" t="str">
        <f t="shared" si="2190"/>
        <v/>
      </c>
      <c r="AF2168" s="32" t="str">
        <f t="shared" si="2190"/>
        <v/>
      </c>
      <c r="AG2168" s="32" t="str">
        <f t="shared" si="2190"/>
        <v/>
      </c>
      <c r="AH2168" s="33"/>
    </row>
    <row r="2169" hidden="1" outlineLevel="3">
      <c r="A2169" s="16" t="b">
        <v>0</v>
      </c>
      <c r="B2169" s="17"/>
      <c r="C2169" s="18"/>
      <c r="D2169" s="42"/>
      <c r="E2169" s="20"/>
      <c r="F2169" s="53"/>
      <c r="G2169" s="45"/>
      <c r="H2169" s="45"/>
      <c r="I2169" s="45"/>
      <c r="J2169" s="36"/>
      <c r="K2169" s="23"/>
      <c r="L2169" s="36"/>
      <c r="M2169" s="23"/>
      <c r="N2169" s="23"/>
      <c r="O2169" s="24"/>
      <c r="P2169" s="16" t="b">
        <v>0</v>
      </c>
      <c r="Q2169" s="24"/>
      <c r="R2169" s="48" t="str">
        <f t="shared" si="2103"/>
        <v/>
      </c>
      <c r="S2169" s="26"/>
      <c r="T2169" s="49" t="str">
        <f t="shared" si="2104"/>
        <v/>
      </c>
      <c r="U2169" s="24"/>
      <c r="V2169" s="66">
        <v>16.0</v>
      </c>
      <c r="W2169" s="29" t="str">
        <f t="shared" si="2024"/>
        <v>/</v>
      </c>
      <c r="X2169" s="37" t="s">
        <v>1376</v>
      </c>
      <c r="Y2169" s="31"/>
      <c r="Z2169" s="26" t="str">
        <f t="shared" si="5"/>
        <v/>
      </c>
      <c r="AA2169" s="26" t="str">
        <f t="shared" si="6"/>
        <v/>
      </c>
      <c r="AB2169" s="32" t="str">
        <f t="shared" si="7"/>
        <v/>
      </c>
      <c r="AC2169" s="32" t="str">
        <f t="shared" ref="AC2169:AG2169" si="2191">IF(J2169&lt;&gt;"", IF(AND($P2169=FALSE, $A2169=FALSE), -J2169, IF(AND($P2169=FALSE, $A2169=TRUE), 0, IF($P2169=TRUE, (J2169 / $R2169) * 100 * ($S2169 / 100)-J2169, ))), )</f>
        <v/>
      </c>
      <c r="AD2169" s="32" t="str">
        <f t="shared" si="2191"/>
        <v/>
      </c>
      <c r="AE2169" s="32" t="str">
        <f t="shared" si="2191"/>
        <v/>
      </c>
      <c r="AF2169" s="32" t="str">
        <f t="shared" si="2191"/>
        <v/>
      </c>
      <c r="AG2169" s="32" t="str">
        <f t="shared" si="2191"/>
        <v/>
      </c>
      <c r="AH2169" s="33"/>
    </row>
    <row r="2170" hidden="1" outlineLevel="3">
      <c r="A2170" s="16" t="b">
        <v>0</v>
      </c>
      <c r="B2170" s="17"/>
      <c r="C2170" s="18"/>
      <c r="D2170" s="42"/>
      <c r="E2170" s="20"/>
      <c r="F2170" s="53"/>
      <c r="G2170" s="45"/>
      <c r="H2170" s="45"/>
      <c r="I2170" s="45"/>
      <c r="J2170" s="36"/>
      <c r="K2170" s="23"/>
      <c r="L2170" s="36"/>
      <c r="M2170" s="23"/>
      <c r="N2170" s="23"/>
      <c r="O2170" s="24"/>
      <c r="P2170" s="16" t="b">
        <v>0</v>
      </c>
      <c r="Q2170" s="24"/>
      <c r="R2170" s="48" t="str">
        <f t="shared" si="2103"/>
        <v/>
      </c>
      <c r="S2170" s="26"/>
      <c r="T2170" s="49" t="str">
        <f t="shared" si="2104"/>
        <v/>
      </c>
      <c r="U2170" s="24"/>
      <c r="V2170" s="66" t="s">
        <v>29</v>
      </c>
      <c r="W2170" s="29" t="str">
        <f t="shared" si="2024"/>
        <v>/</v>
      </c>
      <c r="X2170" s="37" t="s">
        <v>1377</v>
      </c>
      <c r="Y2170" s="31"/>
      <c r="Z2170" s="26" t="str">
        <f t="shared" si="5"/>
        <v/>
      </c>
      <c r="AA2170" s="26" t="str">
        <f t="shared" si="6"/>
        <v/>
      </c>
      <c r="AB2170" s="32" t="str">
        <f t="shared" si="7"/>
        <v/>
      </c>
      <c r="AC2170" s="32" t="str">
        <f t="shared" ref="AC2170:AG2170" si="2192">IF(J2170&lt;&gt;"", IF(AND($P2170=FALSE, $A2170=FALSE), -J2170, IF(AND($P2170=FALSE, $A2170=TRUE), 0, IF($P2170=TRUE, (J2170 / $R2170) * 100 * ($S2170 / 100)-J2170, ))), )</f>
        <v/>
      </c>
      <c r="AD2170" s="32" t="str">
        <f t="shared" si="2192"/>
        <v/>
      </c>
      <c r="AE2170" s="32" t="str">
        <f t="shared" si="2192"/>
        <v/>
      </c>
      <c r="AF2170" s="32" t="str">
        <f t="shared" si="2192"/>
        <v/>
      </c>
      <c r="AG2170" s="32" t="str">
        <f t="shared" si="2192"/>
        <v/>
      </c>
      <c r="AH2170" s="33"/>
    </row>
    <row r="2171" hidden="1" outlineLevel="2">
      <c r="A2171" s="81" t="b">
        <v>0</v>
      </c>
      <c r="B2171" s="17"/>
      <c r="C2171" s="18"/>
      <c r="D2171" s="42">
        <v>45377.0</v>
      </c>
      <c r="E2171" s="43" t="s">
        <v>60</v>
      </c>
      <c r="F2171" s="53" t="s">
        <v>1317</v>
      </c>
      <c r="G2171" s="45">
        <v>2.0</v>
      </c>
      <c r="H2171" s="48"/>
      <c r="I2171" s="45">
        <v>3.0</v>
      </c>
      <c r="J2171" s="79"/>
      <c r="K2171" s="79"/>
      <c r="L2171" s="79"/>
      <c r="M2171" s="79"/>
      <c r="N2171" s="79"/>
      <c r="O2171" s="47"/>
      <c r="P2171" s="20" t="b">
        <v>1</v>
      </c>
      <c r="Q2171" s="24"/>
      <c r="R2171" s="48">
        <f t="shared" si="2103"/>
        <v>5</v>
      </c>
      <c r="S2171" s="45">
        <v>16.4</v>
      </c>
      <c r="T2171" s="49" t="str">
        <f t="shared" si="2104"/>
        <v>+228</v>
      </c>
      <c r="U2171" s="47"/>
      <c r="V2171" s="28" t="str">
        <f>IF(ISBLANK($D2171), "0",)</f>
        <v/>
      </c>
      <c r="W2171" s="29" t="str">
        <f t="shared" si="2024"/>
        <v/>
      </c>
      <c r="X2171" s="30"/>
      <c r="Y2171" s="84"/>
      <c r="Z2171" s="26">
        <f t="shared" si="5"/>
        <v>4.56</v>
      </c>
      <c r="AA2171" s="26">
        <f t="shared" si="6"/>
        <v>6.84</v>
      </c>
      <c r="AB2171" s="32" t="str">
        <f t="shared" si="7"/>
        <v/>
      </c>
      <c r="AC2171" s="32" t="str">
        <f t="shared" ref="AC2171:AG2171" si="2193">IF(J2171&lt;&gt;"", IF(AND($P2171=FALSE, $A2171=FALSE), -J2171, IF(AND($P2171=FALSE, $A2171=TRUE), 0, IF($P2171=TRUE, (J2171 / $R2171) * 100 * ($S2171 / 100)-J2171, ))), )</f>
        <v/>
      </c>
      <c r="AD2171" s="32" t="str">
        <f t="shared" si="2193"/>
        <v/>
      </c>
      <c r="AE2171" s="32" t="str">
        <f t="shared" si="2193"/>
        <v/>
      </c>
      <c r="AF2171" s="32" t="str">
        <f t="shared" si="2193"/>
        <v/>
      </c>
      <c r="AG2171" s="32" t="str">
        <f t="shared" si="2193"/>
        <v/>
      </c>
      <c r="AH2171" s="33"/>
    </row>
    <row r="2172" hidden="1" outlineLevel="3">
      <c r="A2172" s="16" t="b">
        <v>0</v>
      </c>
      <c r="B2172" s="17"/>
      <c r="C2172" s="18"/>
      <c r="D2172" s="42"/>
      <c r="E2172" s="20"/>
      <c r="F2172" s="53"/>
      <c r="G2172" s="45"/>
      <c r="H2172" s="45"/>
      <c r="I2172" s="45"/>
      <c r="J2172" s="36"/>
      <c r="K2172" s="23"/>
      <c r="L2172" s="36"/>
      <c r="M2172" s="23"/>
      <c r="N2172" s="23"/>
      <c r="O2172" s="24"/>
      <c r="P2172" s="16" t="b">
        <v>0</v>
      </c>
      <c r="Q2172" s="24"/>
      <c r="R2172" s="48" t="str">
        <f t="shared" si="2103"/>
        <v/>
      </c>
      <c r="S2172" s="26"/>
      <c r="T2172" s="49" t="str">
        <f t="shared" si="2104"/>
        <v/>
      </c>
      <c r="U2172" s="24"/>
      <c r="V2172" s="66" t="s">
        <v>29</v>
      </c>
      <c r="W2172" s="29" t="str">
        <f t="shared" si="2024"/>
        <v>/</v>
      </c>
      <c r="X2172" s="37" t="s">
        <v>1378</v>
      </c>
      <c r="Y2172" s="31"/>
      <c r="Z2172" s="26" t="str">
        <f t="shared" si="5"/>
        <v/>
      </c>
      <c r="AA2172" s="26" t="str">
        <f t="shared" si="6"/>
        <v/>
      </c>
      <c r="AB2172" s="32" t="str">
        <f t="shared" si="7"/>
        <v/>
      </c>
      <c r="AC2172" s="32" t="str">
        <f t="shared" ref="AC2172:AG2172" si="2194">IF(J2172&lt;&gt;"", IF(AND($P2172=FALSE, $A2172=FALSE), -J2172, IF(AND($P2172=FALSE, $A2172=TRUE), 0, IF($P2172=TRUE, (J2172 / $R2172) * 100 * ($S2172 / 100)-J2172, ))), )</f>
        <v/>
      </c>
      <c r="AD2172" s="32" t="str">
        <f t="shared" si="2194"/>
        <v/>
      </c>
      <c r="AE2172" s="32" t="str">
        <f t="shared" si="2194"/>
        <v/>
      </c>
      <c r="AF2172" s="32" t="str">
        <f t="shared" si="2194"/>
        <v/>
      </c>
      <c r="AG2172" s="32" t="str">
        <f t="shared" si="2194"/>
        <v/>
      </c>
      <c r="AH2172" s="33"/>
    </row>
    <row r="2173" hidden="1" outlineLevel="3">
      <c r="A2173" s="16" t="b">
        <v>0</v>
      </c>
      <c r="B2173" s="17"/>
      <c r="C2173" s="18"/>
      <c r="D2173" s="42"/>
      <c r="E2173" s="20"/>
      <c r="F2173" s="53"/>
      <c r="G2173" s="45"/>
      <c r="H2173" s="45"/>
      <c r="I2173" s="45"/>
      <c r="J2173" s="36"/>
      <c r="K2173" s="23"/>
      <c r="L2173" s="36"/>
      <c r="M2173" s="23"/>
      <c r="N2173" s="23"/>
      <c r="O2173" s="24"/>
      <c r="P2173" s="16" t="b">
        <v>0</v>
      </c>
      <c r="Q2173" s="24"/>
      <c r="R2173" s="48" t="str">
        <f t="shared" si="2103"/>
        <v/>
      </c>
      <c r="S2173" s="26"/>
      <c r="T2173" s="49" t="str">
        <f t="shared" si="2104"/>
        <v/>
      </c>
      <c r="U2173" s="24"/>
      <c r="V2173" s="66" t="s">
        <v>29</v>
      </c>
      <c r="W2173" s="29" t="str">
        <f t="shared" si="2024"/>
        <v>/</v>
      </c>
      <c r="X2173" s="37" t="s">
        <v>1379</v>
      </c>
      <c r="Y2173" s="31"/>
      <c r="Z2173" s="26" t="str">
        <f t="shared" si="5"/>
        <v/>
      </c>
      <c r="AA2173" s="26" t="str">
        <f t="shared" si="6"/>
        <v/>
      </c>
      <c r="AB2173" s="32" t="str">
        <f t="shared" si="7"/>
        <v/>
      </c>
      <c r="AC2173" s="32" t="str">
        <f t="shared" ref="AC2173:AG2173" si="2195">IF(J2173&lt;&gt;"", IF(AND($P2173=FALSE, $A2173=FALSE), -J2173, IF(AND($P2173=FALSE, $A2173=TRUE), 0, IF($P2173=TRUE, (J2173 / $R2173) * 100 * ($S2173 / 100)-J2173, ))), )</f>
        <v/>
      </c>
      <c r="AD2173" s="32" t="str">
        <f t="shared" si="2195"/>
        <v/>
      </c>
      <c r="AE2173" s="32" t="str">
        <f t="shared" si="2195"/>
        <v/>
      </c>
      <c r="AF2173" s="32" t="str">
        <f t="shared" si="2195"/>
        <v/>
      </c>
      <c r="AG2173" s="32" t="str">
        <f t="shared" si="2195"/>
        <v/>
      </c>
      <c r="AH2173" s="33"/>
    </row>
    <row r="2174" hidden="1" outlineLevel="3">
      <c r="A2174" s="16" t="b">
        <v>0</v>
      </c>
      <c r="B2174" s="17"/>
      <c r="C2174" s="18"/>
      <c r="D2174" s="42"/>
      <c r="E2174" s="20"/>
      <c r="F2174" s="53"/>
      <c r="G2174" s="45"/>
      <c r="H2174" s="45"/>
      <c r="I2174" s="45"/>
      <c r="J2174" s="36"/>
      <c r="K2174" s="23"/>
      <c r="L2174" s="36"/>
      <c r="M2174" s="23"/>
      <c r="N2174" s="23"/>
      <c r="O2174" s="24"/>
      <c r="P2174" s="16" t="b">
        <v>0</v>
      </c>
      <c r="Q2174" s="24"/>
      <c r="R2174" s="48" t="str">
        <f t="shared" si="2103"/>
        <v/>
      </c>
      <c r="S2174" s="26"/>
      <c r="T2174" s="49" t="str">
        <f t="shared" si="2104"/>
        <v/>
      </c>
      <c r="U2174" s="24"/>
      <c r="V2174" s="66" t="s">
        <v>29</v>
      </c>
      <c r="W2174" s="29" t="str">
        <f t="shared" si="2024"/>
        <v>/</v>
      </c>
      <c r="X2174" s="37" t="s">
        <v>1380</v>
      </c>
      <c r="Y2174" s="31"/>
      <c r="Z2174" s="26" t="str">
        <f t="shared" si="5"/>
        <v/>
      </c>
      <c r="AA2174" s="26" t="str">
        <f t="shared" si="6"/>
        <v/>
      </c>
      <c r="AB2174" s="32" t="str">
        <f t="shared" si="7"/>
        <v/>
      </c>
      <c r="AC2174" s="32" t="str">
        <f t="shared" ref="AC2174:AG2174" si="2196">IF(J2174&lt;&gt;"", IF(AND($P2174=FALSE, $A2174=FALSE), -J2174, IF(AND($P2174=FALSE, $A2174=TRUE), 0, IF($P2174=TRUE, (J2174 / $R2174) * 100 * ($S2174 / 100)-J2174, ))), )</f>
        <v/>
      </c>
      <c r="AD2174" s="32" t="str">
        <f t="shared" si="2196"/>
        <v/>
      </c>
      <c r="AE2174" s="32" t="str">
        <f t="shared" si="2196"/>
        <v/>
      </c>
      <c r="AF2174" s="32" t="str">
        <f t="shared" si="2196"/>
        <v/>
      </c>
      <c r="AG2174" s="32" t="str">
        <f t="shared" si="2196"/>
        <v/>
      </c>
      <c r="AH2174" s="33"/>
    </row>
    <row r="2175" hidden="1" outlineLevel="3">
      <c r="A2175" s="16" t="b">
        <v>0</v>
      </c>
      <c r="B2175" s="17"/>
      <c r="C2175" s="18"/>
      <c r="D2175" s="42"/>
      <c r="E2175" s="20"/>
      <c r="F2175" s="53"/>
      <c r="G2175" s="45"/>
      <c r="H2175" s="45"/>
      <c r="I2175" s="45"/>
      <c r="J2175" s="36"/>
      <c r="K2175" s="23"/>
      <c r="L2175" s="36"/>
      <c r="M2175" s="23"/>
      <c r="N2175" s="23"/>
      <c r="O2175" s="24"/>
      <c r="P2175" s="16" t="b">
        <v>0</v>
      </c>
      <c r="Q2175" s="24"/>
      <c r="R2175" s="48" t="str">
        <f t="shared" si="2103"/>
        <v/>
      </c>
      <c r="S2175" s="26"/>
      <c r="T2175" s="49" t="str">
        <f t="shared" si="2104"/>
        <v/>
      </c>
      <c r="U2175" s="24"/>
      <c r="V2175" s="66" t="s">
        <v>29</v>
      </c>
      <c r="W2175" s="29" t="str">
        <f t="shared" si="2024"/>
        <v>/</v>
      </c>
      <c r="X2175" s="37" t="s">
        <v>1381</v>
      </c>
      <c r="Y2175" s="31"/>
      <c r="Z2175" s="26" t="str">
        <f t="shared" si="5"/>
        <v/>
      </c>
      <c r="AA2175" s="26" t="str">
        <f t="shared" si="6"/>
        <v/>
      </c>
      <c r="AB2175" s="32" t="str">
        <f t="shared" si="7"/>
        <v/>
      </c>
      <c r="AC2175" s="32" t="str">
        <f t="shared" ref="AC2175:AG2175" si="2197">IF(J2175&lt;&gt;"", IF(AND($P2175=FALSE, $A2175=FALSE), -J2175, IF(AND($P2175=FALSE, $A2175=TRUE), 0, IF($P2175=TRUE, (J2175 / $R2175) * 100 * ($S2175 / 100)-J2175, ))), )</f>
        <v/>
      </c>
      <c r="AD2175" s="32" t="str">
        <f t="shared" si="2197"/>
        <v/>
      </c>
      <c r="AE2175" s="32" t="str">
        <f t="shared" si="2197"/>
        <v/>
      </c>
      <c r="AF2175" s="32" t="str">
        <f t="shared" si="2197"/>
        <v/>
      </c>
      <c r="AG2175" s="32" t="str">
        <f t="shared" si="2197"/>
        <v/>
      </c>
      <c r="AH2175" s="33"/>
    </row>
    <row r="2176" hidden="1" outlineLevel="1" collapsed="1">
      <c r="A2176" s="81" t="b">
        <v>0</v>
      </c>
      <c r="B2176" s="87"/>
      <c r="C2176" s="88"/>
      <c r="D2176" s="42">
        <v>45379.0</v>
      </c>
      <c r="E2176" s="43" t="s">
        <v>60</v>
      </c>
      <c r="F2176" s="82" t="s">
        <v>1317</v>
      </c>
      <c r="G2176" s="45">
        <v>3.0</v>
      </c>
      <c r="H2176" s="79"/>
      <c r="I2176" s="48">
        <v>3.0</v>
      </c>
      <c r="J2176" s="79"/>
      <c r="K2176" s="79"/>
      <c r="L2176" s="79"/>
      <c r="M2176" s="79"/>
      <c r="N2176" s="79"/>
      <c r="O2176" s="47"/>
      <c r="P2176" s="20" t="b">
        <v>1</v>
      </c>
      <c r="Q2176" s="47"/>
      <c r="R2176" s="48">
        <f t="shared" si="2103"/>
        <v>6</v>
      </c>
      <c r="S2176" s="45">
        <v>14.38</v>
      </c>
      <c r="T2176" s="49" t="str">
        <f t="shared" si="2104"/>
        <v>+140</v>
      </c>
      <c r="U2176" s="47"/>
      <c r="V2176" s="89" t="str">
        <f>IF(ISBLANK($D2176), "0",)</f>
        <v/>
      </c>
      <c r="W2176" s="90" t="str">
        <f t="shared" si="2024"/>
        <v/>
      </c>
      <c r="X2176" s="90"/>
      <c r="Y2176" s="84"/>
      <c r="Z2176" s="26">
        <f t="shared" si="5"/>
        <v>4.19</v>
      </c>
      <c r="AA2176" s="26">
        <f t="shared" si="6"/>
        <v>4.19</v>
      </c>
      <c r="AB2176" s="32" t="str">
        <f t="shared" si="7"/>
        <v/>
      </c>
      <c r="AC2176" s="32" t="str">
        <f t="shared" ref="AC2176:AG2176" si="2198">IF(J2176&lt;&gt;"", IF(AND($P2176=FALSE, $A2176=FALSE), -J2176, IF(AND($P2176=FALSE, $A2176=TRUE), 0, IF($P2176=TRUE, (J2176 / $R2176) * 100 * ($S2176 / 100)-J2176, ))), )</f>
        <v/>
      </c>
      <c r="AD2176" s="32" t="str">
        <f t="shared" si="2198"/>
        <v/>
      </c>
      <c r="AE2176" s="32" t="str">
        <f t="shared" si="2198"/>
        <v/>
      </c>
      <c r="AF2176" s="32" t="str">
        <f t="shared" si="2198"/>
        <v/>
      </c>
      <c r="AG2176" s="32" t="str">
        <f t="shared" si="2198"/>
        <v/>
      </c>
      <c r="AH2176" s="91"/>
    </row>
    <row r="2177" hidden="1" outlineLevel="3">
      <c r="A2177" s="16" t="b">
        <v>0</v>
      </c>
      <c r="B2177" s="17"/>
      <c r="C2177" s="18"/>
      <c r="D2177" s="42"/>
      <c r="E2177" s="20"/>
      <c r="F2177" s="53"/>
      <c r="G2177" s="45"/>
      <c r="H2177" s="45"/>
      <c r="I2177" s="45"/>
      <c r="J2177" s="36"/>
      <c r="K2177" s="23"/>
      <c r="L2177" s="36"/>
      <c r="M2177" s="23"/>
      <c r="N2177" s="23"/>
      <c r="O2177" s="24"/>
      <c r="P2177" s="16" t="b">
        <v>0</v>
      </c>
      <c r="Q2177" s="24"/>
      <c r="R2177" s="48" t="str">
        <f t="shared" si="2103"/>
        <v/>
      </c>
      <c r="S2177" s="26"/>
      <c r="T2177" s="49" t="str">
        <f t="shared" si="2104"/>
        <v/>
      </c>
      <c r="U2177" s="24"/>
      <c r="V2177" s="66" t="s">
        <v>29</v>
      </c>
      <c r="W2177" s="29" t="str">
        <f t="shared" si="2024"/>
        <v>/</v>
      </c>
      <c r="X2177" s="37" t="s">
        <v>1382</v>
      </c>
      <c r="Y2177" s="31"/>
      <c r="Z2177" s="26" t="str">
        <f t="shared" si="5"/>
        <v/>
      </c>
      <c r="AA2177" s="26" t="str">
        <f t="shared" si="6"/>
        <v/>
      </c>
      <c r="AB2177" s="32" t="str">
        <f t="shared" si="7"/>
        <v/>
      </c>
      <c r="AC2177" s="32" t="str">
        <f t="shared" ref="AC2177:AG2177" si="2199">IF(J2177&lt;&gt;"", IF(AND($P2177=FALSE, $A2177=FALSE), -J2177, IF(AND($P2177=FALSE, $A2177=TRUE), 0, IF($P2177=TRUE, (J2177 / $R2177) * 100 * ($S2177 / 100)-J2177, ))), )</f>
        <v/>
      </c>
      <c r="AD2177" s="32" t="str">
        <f t="shared" si="2199"/>
        <v/>
      </c>
      <c r="AE2177" s="32" t="str">
        <f t="shared" si="2199"/>
        <v/>
      </c>
      <c r="AF2177" s="32" t="str">
        <f t="shared" si="2199"/>
        <v/>
      </c>
      <c r="AG2177" s="32" t="str">
        <f t="shared" si="2199"/>
        <v/>
      </c>
      <c r="AH2177" s="33"/>
    </row>
    <row r="2178" hidden="1" outlineLevel="3">
      <c r="A2178" s="16" t="b">
        <v>0</v>
      </c>
      <c r="B2178" s="17"/>
      <c r="C2178" s="18"/>
      <c r="D2178" s="42"/>
      <c r="E2178" s="20"/>
      <c r="F2178" s="53"/>
      <c r="G2178" s="45"/>
      <c r="H2178" s="45"/>
      <c r="I2178" s="45"/>
      <c r="J2178" s="36"/>
      <c r="K2178" s="23"/>
      <c r="L2178" s="36"/>
      <c r="M2178" s="23"/>
      <c r="N2178" s="23"/>
      <c r="O2178" s="24"/>
      <c r="P2178" s="16" t="b">
        <v>0</v>
      </c>
      <c r="Q2178" s="24"/>
      <c r="R2178" s="48" t="str">
        <f t="shared" si="2103"/>
        <v/>
      </c>
      <c r="S2178" s="26"/>
      <c r="T2178" s="49" t="str">
        <f t="shared" si="2104"/>
        <v/>
      </c>
      <c r="U2178" s="24"/>
      <c r="V2178" s="66" t="s">
        <v>29</v>
      </c>
      <c r="W2178" s="29" t="str">
        <f t="shared" si="2024"/>
        <v>/</v>
      </c>
      <c r="X2178" s="37" t="s">
        <v>1378</v>
      </c>
      <c r="Y2178" s="31"/>
      <c r="Z2178" s="26" t="str">
        <f t="shared" si="5"/>
        <v/>
      </c>
      <c r="AA2178" s="26" t="str">
        <f t="shared" si="6"/>
        <v/>
      </c>
      <c r="AB2178" s="32" t="str">
        <f t="shared" si="7"/>
        <v/>
      </c>
      <c r="AC2178" s="32" t="str">
        <f t="shared" ref="AC2178:AG2178" si="2200">IF(J2178&lt;&gt;"", IF(AND($P2178=FALSE, $A2178=FALSE), -J2178, IF(AND($P2178=FALSE, $A2178=TRUE), 0, IF($P2178=TRUE, (J2178 / $R2178) * 100 * ($S2178 / 100)-J2178, ))), )</f>
        <v/>
      </c>
      <c r="AD2178" s="32" t="str">
        <f t="shared" si="2200"/>
        <v/>
      </c>
      <c r="AE2178" s="32" t="str">
        <f t="shared" si="2200"/>
        <v/>
      </c>
      <c r="AF2178" s="32" t="str">
        <f t="shared" si="2200"/>
        <v/>
      </c>
      <c r="AG2178" s="32" t="str">
        <f t="shared" si="2200"/>
        <v/>
      </c>
      <c r="AH2178" s="33"/>
    </row>
    <row r="2179" hidden="1" outlineLevel="2">
      <c r="A2179" s="81" t="b">
        <v>0</v>
      </c>
      <c r="B2179" s="87"/>
      <c r="C2179" s="88"/>
      <c r="D2179" s="42">
        <v>45379.0</v>
      </c>
      <c r="E2179" s="43" t="s">
        <v>60</v>
      </c>
      <c r="F2179" s="82" t="s">
        <v>1317</v>
      </c>
      <c r="G2179" s="45">
        <v>2.0</v>
      </c>
      <c r="H2179" s="79"/>
      <c r="I2179" s="48">
        <v>3.0</v>
      </c>
      <c r="J2179" s="79"/>
      <c r="K2179" s="79"/>
      <c r="L2179" s="79"/>
      <c r="M2179" s="79"/>
      <c r="N2179" s="79"/>
      <c r="O2179" s="47"/>
      <c r="P2179" s="20" t="b">
        <v>0</v>
      </c>
      <c r="Q2179" s="47"/>
      <c r="R2179" s="48">
        <f t="shared" si="2103"/>
        <v>5</v>
      </c>
      <c r="S2179" s="45">
        <v>19.63</v>
      </c>
      <c r="T2179" s="49" t="str">
        <f t="shared" si="2104"/>
        <v>+293</v>
      </c>
      <c r="U2179" s="47"/>
      <c r="V2179" s="89" t="str">
        <f>IF(ISBLANK($D2179), "0",)</f>
        <v/>
      </c>
      <c r="W2179" s="90" t="str">
        <f t="shared" si="2024"/>
        <v/>
      </c>
      <c r="X2179" s="90"/>
      <c r="Y2179" s="84"/>
      <c r="Z2179" s="26">
        <f t="shared" si="5"/>
        <v>-2</v>
      </c>
      <c r="AA2179" s="26">
        <f t="shared" si="6"/>
        <v>-3</v>
      </c>
      <c r="AB2179" s="32" t="str">
        <f t="shared" si="7"/>
        <v/>
      </c>
      <c r="AC2179" s="32" t="str">
        <f t="shared" ref="AC2179:AG2179" si="2201">IF(J2179&lt;&gt;"", IF(AND($P2179=FALSE, $A2179=FALSE), -J2179, IF(AND($P2179=FALSE, $A2179=TRUE), 0, IF($P2179=TRUE, (J2179 / $R2179) * 100 * ($S2179 / 100)-J2179, ))), )</f>
        <v/>
      </c>
      <c r="AD2179" s="32" t="str">
        <f t="shared" si="2201"/>
        <v/>
      </c>
      <c r="AE2179" s="32" t="str">
        <f t="shared" si="2201"/>
        <v/>
      </c>
      <c r="AF2179" s="32" t="str">
        <f t="shared" si="2201"/>
        <v/>
      </c>
      <c r="AG2179" s="32" t="str">
        <f t="shared" si="2201"/>
        <v/>
      </c>
      <c r="AH2179" s="91"/>
    </row>
    <row r="2180" hidden="1" outlineLevel="3">
      <c r="A2180" s="16" t="b">
        <v>0</v>
      </c>
      <c r="B2180" s="17"/>
      <c r="C2180" s="18"/>
      <c r="D2180" s="42"/>
      <c r="E2180" s="20"/>
      <c r="F2180" s="53"/>
      <c r="G2180" s="45"/>
      <c r="H2180" s="45"/>
      <c r="I2180" s="45"/>
      <c r="J2180" s="36"/>
      <c r="K2180" s="23"/>
      <c r="L2180" s="36"/>
      <c r="M2180" s="23"/>
      <c r="N2180" s="23"/>
      <c r="O2180" s="24"/>
      <c r="P2180" s="16" t="b">
        <v>0</v>
      </c>
      <c r="Q2180" s="24"/>
      <c r="R2180" s="48" t="str">
        <f t="shared" si="2103"/>
        <v/>
      </c>
      <c r="S2180" s="26"/>
      <c r="T2180" s="49" t="str">
        <f t="shared" si="2104"/>
        <v/>
      </c>
      <c r="U2180" s="24"/>
      <c r="V2180" s="66" t="s">
        <v>29</v>
      </c>
      <c r="W2180" s="29" t="str">
        <f t="shared" si="2024"/>
        <v>/</v>
      </c>
      <c r="X2180" s="37" t="s">
        <v>711</v>
      </c>
      <c r="Y2180" s="31"/>
      <c r="Z2180" s="26" t="str">
        <f t="shared" si="5"/>
        <v/>
      </c>
      <c r="AA2180" s="26" t="str">
        <f t="shared" si="6"/>
        <v/>
      </c>
      <c r="AB2180" s="32" t="str">
        <f t="shared" si="7"/>
        <v/>
      </c>
      <c r="AC2180" s="32" t="str">
        <f t="shared" ref="AC2180:AG2180" si="2202">IF(J2180&lt;&gt;"", IF(AND($P2180=FALSE, $A2180=FALSE), -J2180, IF(AND($P2180=FALSE, $A2180=TRUE), 0, IF($P2180=TRUE, (J2180 / $R2180) * 100 * ($S2180 / 100)-J2180, ))), )</f>
        <v/>
      </c>
      <c r="AD2180" s="32" t="str">
        <f t="shared" si="2202"/>
        <v/>
      </c>
      <c r="AE2180" s="32" t="str">
        <f t="shared" si="2202"/>
        <v/>
      </c>
      <c r="AF2180" s="32" t="str">
        <f t="shared" si="2202"/>
        <v/>
      </c>
      <c r="AG2180" s="32" t="str">
        <f t="shared" si="2202"/>
        <v/>
      </c>
      <c r="AH2180" s="33"/>
    </row>
    <row r="2181" hidden="1" outlineLevel="3">
      <c r="A2181" s="16" t="b">
        <v>0</v>
      </c>
      <c r="B2181" s="17"/>
      <c r="C2181" s="18"/>
      <c r="D2181" s="42"/>
      <c r="E2181" s="20"/>
      <c r="F2181" s="53"/>
      <c r="G2181" s="45"/>
      <c r="H2181" s="45"/>
      <c r="I2181" s="45"/>
      <c r="J2181" s="36"/>
      <c r="K2181" s="23"/>
      <c r="L2181" s="36"/>
      <c r="M2181" s="23"/>
      <c r="N2181" s="23"/>
      <c r="O2181" s="24"/>
      <c r="P2181" s="16" t="b">
        <v>0</v>
      </c>
      <c r="Q2181" s="24"/>
      <c r="R2181" s="48" t="str">
        <f t="shared" si="2103"/>
        <v/>
      </c>
      <c r="S2181" s="26"/>
      <c r="T2181" s="49" t="str">
        <f t="shared" si="2104"/>
        <v/>
      </c>
      <c r="U2181" s="24"/>
      <c r="V2181" s="66" t="s">
        <v>29</v>
      </c>
      <c r="W2181" s="29" t="str">
        <f t="shared" si="2024"/>
        <v>/</v>
      </c>
      <c r="X2181" s="37" t="s">
        <v>1383</v>
      </c>
      <c r="Y2181" s="31"/>
      <c r="Z2181" s="26" t="str">
        <f t="shared" si="5"/>
        <v/>
      </c>
      <c r="AA2181" s="26" t="str">
        <f t="shared" si="6"/>
        <v/>
      </c>
      <c r="AB2181" s="32" t="str">
        <f t="shared" si="7"/>
        <v/>
      </c>
      <c r="AC2181" s="32" t="str">
        <f t="shared" ref="AC2181:AG2181" si="2203">IF(J2181&lt;&gt;"", IF(AND($P2181=FALSE, $A2181=FALSE), -J2181, IF(AND($P2181=FALSE, $A2181=TRUE), 0, IF($P2181=TRUE, (J2181 / $R2181) * 100 * ($S2181 / 100)-J2181, ))), )</f>
        <v/>
      </c>
      <c r="AD2181" s="32" t="str">
        <f t="shared" si="2203"/>
        <v/>
      </c>
      <c r="AE2181" s="32" t="str">
        <f t="shared" si="2203"/>
        <v/>
      </c>
      <c r="AF2181" s="32" t="str">
        <f t="shared" si="2203"/>
        <v/>
      </c>
      <c r="AG2181" s="32" t="str">
        <f t="shared" si="2203"/>
        <v/>
      </c>
      <c r="AH2181" s="33"/>
    </row>
    <row r="2182" hidden="1" outlineLevel="3">
      <c r="A2182" s="16" t="b">
        <v>0</v>
      </c>
      <c r="B2182" s="17"/>
      <c r="C2182" s="18"/>
      <c r="D2182" s="42"/>
      <c r="E2182" s="20"/>
      <c r="F2182" s="53"/>
      <c r="G2182" s="45"/>
      <c r="H2182" s="45"/>
      <c r="I2182" s="45"/>
      <c r="J2182" s="36"/>
      <c r="K2182" s="23"/>
      <c r="L2182" s="36"/>
      <c r="M2182" s="23"/>
      <c r="N2182" s="23"/>
      <c r="O2182" s="24"/>
      <c r="P2182" s="16" t="b">
        <v>0</v>
      </c>
      <c r="Q2182" s="24"/>
      <c r="R2182" s="48" t="str">
        <f t="shared" si="2103"/>
        <v/>
      </c>
      <c r="S2182" s="26"/>
      <c r="T2182" s="49" t="str">
        <f t="shared" si="2104"/>
        <v/>
      </c>
      <c r="U2182" s="24"/>
      <c r="V2182" s="66">
        <v>18.0</v>
      </c>
      <c r="W2182" s="29" t="str">
        <f t="shared" si="2024"/>
        <v>/</v>
      </c>
      <c r="X2182" s="37" t="s">
        <v>1171</v>
      </c>
      <c r="Y2182" s="31"/>
      <c r="Z2182" s="26" t="str">
        <f t="shared" si="5"/>
        <v/>
      </c>
      <c r="AA2182" s="26" t="str">
        <f t="shared" si="6"/>
        <v/>
      </c>
      <c r="AB2182" s="32" t="str">
        <f t="shared" si="7"/>
        <v/>
      </c>
      <c r="AC2182" s="32" t="str">
        <f t="shared" ref="AC2182:AG2182" si="2204">IF(J2182&lt;&gt;"", IF(AND($P2182=FALSE, $A2182=FALSE), -J2182, IF(AND($P2182=FALSE, $A2182=TRUE), 0, IF($P2182=TRUE, (J2182 / $R2182) * 100 * ($S2182 / 100)-J2182, ))), )</f>
        <v/>
      </c>
      <c r="AD2182" s="32" t="str">
        <f t="shared" si="2204"/>
        <v/>
      </c>
      <c r="AE2182" s="32" t="str">
        <f t="shared" si="2204"/>
        <v/>
      </c>
      <c r="AF2182" s="32" t="str">
        <f t="shared" si="2204"/>
        <v/>
      </c>
      <c r="AG2182" s="32" t="str">
        <f t="shared" si="2204"/>
        <v/>
      </c>
      <c r="AH2182" s="33"/>
    </row>
    <row r="2183" hidden="1" outlineLevel="3">
      <c r="A2183" s="16" t="b">
        <v>0</v>
      </c>
      <c r="B2183" s="17"/>
      <c r="C2183" s="18"/>
      <c r="D2183" s="42"/>
      <c r="E2183" s="20"/>
      <c r="F2183" s="53"/>
      <c r="G2183" s="45"/>
      <c r="H2183" s="45"/>
      <c r="I2183" s="45"/>
      <c r="J2183" s="36"/>
      <c r="K2183" s="23"/>
      <c r="L2183" s="36"/>
      <c r="M2183" s="23"/>
      <c r="N2183" s="23"/>
      <c r="O2183" s="24"/>
      <c r="P2183" s="16" t="b">
        <v>0</v>
      </c>
      <c r="Q2183" s="24"/>
      <c r="R2183" s="48" t="str">
        <f t="shared" si="2103"/>
        <v/>
      </c>
      <c r="S2183" s="26"/>
      <c r="T2183" s="49" t="str">
        <f t="shared" si="2104"/>
        <v/>
      </c>
      <c r="U2183" s="24"/>
      <c r="V2183" s="66" t="s">
        <v>29</v>
      </c>
      <c r="W2183" s="29" t="str">
        <f t="shared" si="2024"/>
        <v>/</v>
      </c>
      <c r="X2183" s="37" t="s">
        <v>1384</v>
      </c>
      <c r="Y2183" s="31"/>
      <c r="Z2183" s="26" t="str">
        <f t="shared" si="5"/>
        <v/>
      </c>
      <c r="AA2183" s="26" t="str">
        <f t="shared" si="6"/>
        <v/>
      </c>
      <c r="AB2183" s="32" t="str">
        <f t="shared" si="7"/>
        <v/>
      </c>
      <c r="AC2183" s="32" t="str">
        <f t="shared" ref="AC2183:AG2183" si="2205">IF(J2183&lt;&gt;"", IF(AND($P2183=FALSE, $A2183=FALSE), -J2183, IF(AND($P2183=FALSE, $A2183=TRUE), 0, IF($P2183=TRUE, (J2183 / $R2183) * 100 * ($S2183 / 100)-J2183, ))), )</f>
        <v/>
      </c>
      <c r="AD2183" s="32" t="str">
        <f t="shared" si="2205"/>
        <v/>
      </c>
      <c r="AE2183" s="32" t="str">
        <f t="shared" si="2205"/>
        <v/>
      </c>
      <c r="AF2183" s="32" t="str">
        <f t="shared" si="2205"/>
        <v/>
      </c>
      <c r="AG2183" s="32" t="str">
        <f t="shared" si="2205"/>
        <v/>
      </c>
      <c r="AH2183" s="33"/>
    </row>
    <row r="2184" hidden="1" outlineLevel="3">
      <c r="A2184" s="16" t="b">
        <v>0</v>
      </c>
      <c r="B2184" s="17"/>
      <c r="C2184" s="18"/>
      <c r="D2184" s="42"/>
      <c r="E2184" s="20"/>
      <c r="F2184" s="53"/>
      <c r="G2184" s="45"/>
      <c r="H2184" s="45"/>
      <c r="I2184" s="45"/>
      <c r="J2184" s="36"/>
      <c r="K2184" s="23"/>
      <c r="L2184" s="36"/>
      <c r="M2184" s="23"/>
      <c r="N2184" s="23"/>
      <c r="O2184" s="24"/>
      <c r="P2184" s="16" t="b">
        <v>0</v>
      </c>
      <c r="Q2184" s="24"/>
      <c r="R2184" s="48" t="str">
        <f t="shared" si="2103"/>
        <v/>
      </c>
      <c r="S2184" s="26"/>
      <c r="T2184" s="49" t="str">
        <f t="shared" si="2104"/>
        <v/>
      </c>
      <c r="U2184" s="24"/>
      <c r="V2184" s="66" t="s">
        <v>29</v>
      </c>
      <c r="W2184" s="29" t="str">
        <f t="shared" si="2024"/>
        <v>/</v>
      </c>
      <c r="X2184" s="37" t="s">
        <v>1385</v>
      </c>
      <c r="Y2184" s="31"/>
      <c r="Z2184" s="26" t="str">
        <f t="shared" si="5"/>
        <v/>
      </c>
      <c r="AA2184" s="26" t="str">
        <f t="shared" si="6"/>
        <v/>
      </c>
      <c r="AB2184" s="32" t="str">
        <f t="shared" si="7"/>
        <v/>
      </c>
      <c r="AC2184" s="32" t="str">
        <f t="shared" ref="AC2184:AG2184" si="2206">IF(J2184&lt;&gt;"", IF(AND($P2184=FALSE, $A2184=FALSE), -J2184, IF(AND($P2184=FALSE, $A2184=TRUE), 0, IF($P2184=TRUE, (J2184 / $R2184) * 100 * ($S2184 / 100)-J2184, ))), )</f>
        <v/>
      </c>
      <c r="AD2184" s="32" t="str">
        <f t="shared" si="2206"/>
        <v/>
      </c>
      <c r="AE2184" s="32" t="str">
        <f t="shared" si="2206"/>
        <v/>
      </c>
      <c r="AF2184" s="32" t="str">
        <f t="shared" si="2206"/>
        <v/>
      </c>
      <c r="AG2184" s="32" t="str">
        <f t="shared" si="2206"/>
        <v/>
      </c>
      <c r="AH2184" s="33"/>
    </row>
    <row r="2185" hidden="1" outlineLevel="1" collapsed="1">
      <c r="A2185" s="81" t="b">
        <v>0</v>
      </c>
      <c r="B2185" s="87"/>
      <c r="C2185" s="88"/>
      <c r="D2185" s="42">
        <v>45380.0</v>
      </c>
      <c r="E2185" s="43" t="s">
        <v>60</v>
      </c>
      <c r="F2185" s="82" t="s">
        <v>1317</v>
      </c>
      <c r="G2185" s="45">
        <v>3.0</v>
      </c>
      <c r="H2185" s="79"/>
      <c r="I2185" s="48">
        <v>3.0</v>
      </c>
      <c r="J2185" s="79"/>
      <c r="K2185" s="79"/>
      <c r="L2185" s="79"/>
      <c r="M2185" s="79"/>
      <c r="N2185" s="79"/>
      <c r="O2185" s="47"/>
      <c r="P2185" s="20" t="b">
        <v>0</v>
      </c>
      <c r="Q2185" s="47"/>
      <c r="R2185" s="48">
        <f t="shared" si="2103"/>
        <v>6</v>
      </c>
      <c r="S2185" s="45">
        <v>17.48</v>
      </c>
      <c r="T2185" s="49" t="str">
        <f t="shared" si="2104"/>
        <v>+191</v>
      </c>
      <c r="U2185" s="47"/>
      <c r="V2185" s="89" t="str">
        <f>IF(ISBLANK($D2185), "0",)</f>
        <v/>
      </c>
      <c r="W2185" s="90" t="str">
        <f t="shared" si="2024"/>
        <v/>
      </c>
      <c r="X2185" s="90"/>
      <c r="Y2185" s="84"/>
      <c r="Z2185" s="26">
        <f t="shared" si="5"/>
        <v>-3</v>
      </c>
      <c r="AA2185" s="26">
        <f t="shared" si="6"/>
        <v>-3</v>
      </c>
      <c r="AB2185" s="32" t="str">
        <f t="shared" si="7"/>
        <v/>
      </c>
      <c r="AC2185" s="32" t="str">
        <f t="shared" ref="AC2185:AG2185" si="2207">IF(J2185&lt;&gt;"", IF(AND($P2185=FALSE, $A2185=FALSE), -J2185, IF(AND($P2185=FALSE, $A2185=TRUE), 0, IF($P2185=TRUE, (J2185 / $R2185) * 100 * ($S2185 / 100)-J2185, ))), )</f>
        <v/>
      </c>
      <c r="AD2185" s="32" t="str">
        <f t="shared" si="2207"/>
        <v/>
      </c>
      <c r="AE2185" s="32" t="str">
        <f t="shared" si="2207"/>
        <v/>
      </c>
      <c r="AF2185" s="32" t="str">
        <f t="shared" si="2207"/>
        <v/>
      </c>
      <c r="AG2185" s="32" t="str">
        <f t="shared" si="2207"/>
        <v/>
      </c>
      <c r="AH2185" s="91"/>
    </row>
    <row r="2186" hidden="1" outlineLevel="3">
      <c r="A2186" s="16" t="b">
        <v>0</v>
      </c>
      <c r="B2186" s="17"/>
      <c r="C2186" s="18"/>
      <c r="D2186" s="42"/>
      <c r="E2186" s="20"/>
      <c r="F2186" s="53"/>
      <c r="G2186" s="45"/>
      <c r="H2186" s="45"/>
      <c r="I2186" s="45"/>
      <c r="J2186" s="36"/>
      <c r="K2186" s="23"/>
      <c r="L2186" s="36"/>
      <c r="M2186" s="23"/>
      <c r="N2186" s="23"/>
      <c r="O2186" s="24"/>
      <c r="P2186" s="16" t="b">
        <v>0</v>
      </c>
      <c r="Q2186" s="24"/>
      <c r="R2186" s="48" t="str">
        <f t="shared" si="2103"/>
        <v/>
      </c>
      <c r="S2186" s="26"/>
      <c r="T2186" s="49" t="str">
        <f t="shared" si="2104"/>
        <v/>
      </c>
      <c r="U2186" s="24"/>
      <c r="V2186" s="66">
        <v>4.0</v>
      </c>
      <c r="W2186" s="29" t="str">
        <f t="shared" si="2024"/>
        <v>/</v>
      </c>
      <c r="X2186" s="37" t="s">
        <v>1386</v>
      </c>
      <c r="Y2186" s="31"/>
      <c r="Z2186" s="26" t="str">
        <f t="shared" si="5"/>
        <v/>
      </c>
      <c r="AA2186" s="26" t="str">
        <f t="shared" si="6"/>
        <v/>
      </c>
      <c r="AB2186" s="32" t="str">
        <f t="shared" si="7"/>
        <v/>
      </c>
      <c r="AC2186" s="32" t="str">
        <f t="shared" ref="AC2186:AG2186" si="2208">IF(J2186&lt;&gt;"", IF(AND($P2186=FALSE, $A2186=FALSE), -J2186, IF(AND($P2186=FALSE, $A2186=TRUE), 0, IF($P2186=TRUE, (J2186 / $R2186) * 100 * ($S2186 / 100)-J2186, ))), )</f>
        <v/>
      </c>
      <c r="AD2186" s="32" t="str">
        <f t="shared" si="2208"/>
        <v/>
      </c>
      <c r="AE2186" s="32" t="str">
        <f t="shared" si="2208"/>
        <v/>
      </c>
      <c r="AF2186" s="32" t="str">
        <f t="shared" si="2208"/>
        <v/>
      </c>
      <c r="AG2186" s="32" t="str">
        <f t="shared" si="2208"/>
        <v/>
      </c>
      <c r="AH2186" s="33"/>
    </row>
    <row r="2187" hidden="1" outlineLevel="3">
      <c r="A2187" s="16" t="b">
        <v>0</v>
      </c>
      <c r="B2187" s="17"/>
      <c r="C2187" s="18"/>
      <c r="D2187" s="42"/>
      <c r="E2187" s="20"/>
      <c r="F2187" s="53"/>
      <c r="G2187" s="45"/>
      <c r="H2187" s="45"/>
      <c r="I2187" s="45"/>
      <c r="J2187" s="36"/>
      <c r="K2187" s="23"/>
      <c r="L2187" s="36"/>
      <c r="M2187" s="23"/>
      <c r="N2187" s="23"/>
      <c r="O2187" s="24"/>
      <c r="P2187" s="16" t="b">
        <v>0</v>
      </c>
      <c r="Q2187" s="24"/>
      <c r="R2187" s="48" t="str">
        <f t="shared" si="2103"/>
        <v/>
      </c>
      <c r="S2187" s="26"/>
      <c r="T2187" s="49" t="str">
        <f t="shared" si="2104"/>
        <v/>
      </c>
      <c r="U2187" s="24"/>
      <c r="V2187" s="66" t="s">
        <v>29</v>
      </c>
      <c r="W2187" s="29" t="str">
        <f t="shared" si="2024"/>
        <v>/</v>
      </c>
      <c r="X2187" s="37" t="s">
        <v>1387</v>
      </c>
      <c r="Y2187" s="31"/>
      <c r="Z2187" s="26" t="str">
        <f t="shared" si="5"/>
        <v/>
      </c>
      <c r="AA2187" s="26" t="str">
        <f t="shared" si="6"/>
        <v/>
      </c>
      <c r="AB2187" s="32" t="str">
        <f t="shared" si="7"/>
        <v/>
      </c>
      <c r="AC2187" s="32" t="str">
        <f t="shared" ref="AC2187:AG2187" si="2209">IF(J2187&lt;&gt;"", IF(AND($P2187=FALSE, $A2187=FALSE), -J2187, IF(AND($P2187=FALSE, $A2187=TRUE), 0, IF($P2187=TRUE, (J2187 / $R2187) * 100 * ($S2187 / 100)-J2187, ))), )</f>
        <v/>
      </c>
      <c r="AD2187" s="32" t="str">
        <f t="shared" si="2209"/>
        <v/>
      </c>
      <c r="AE2187" s="32" t="str">
        <f t="shared" si="2209"/>
        <v/>
      </c>
      <c r="AF2187" s="32" t="str">
        <f t="shared" si="2209"/>
        <v/>
      </c>
      <c r="AG2187" s="32" t="str">
        <f t="shared" si="2209"/>
        <v/>
      </c>
      <c r="AH2187" s="33"/>
    </row>
    <row r="2188" hidden="1" outlineLevel="2" collapsed="1">
      <c r="A2188" s="81" t="b">
        <v>0</v>
      </c>
      <c r="B2188" s="87"/>
      <c r="C2188" s="88"/>
      <c r="D2188" s="42">
        <v>45380.0</v>
      </c>
      <c r="E2188" s="43" t="s">
        <v>60</v>
      </c>
      <c r="F2188" s="82" t="s">
        <v>1317</v>
      </c>
      <c r="G2188" s="45">
        <v>2.0</v>
      </c>
      <c r="H2188" s="79"/>
      <c r="I2188" s="48">
        <v>3.0</v>
      </c>
      <c r="J2188" s="79"/>
      <c r="K2188" s="79"/>
      <c r="L2188" s="79"/>
      <c r="M2188" s="79"/>
      <c r="N2188" s="79"/>
      <c r="O2188" s="47"/>
      <c r="P2188" s="20" t="b">
        <v>0</v>
      </c>
      <c r="Q2188" s="47"/>
      <c r="R2188" s="48">
        <f t="shared" si="2103"/>
        <v>5</v>
      </c>
      <c r="S2188" s="45">
        <v>32.9</v>
      </c>
      <c r="T2188" s="49" t="str">
        <f t="shared" si="2104"/>
        <v>+558</v>
      </c>
      <c r="U2188" s="47"/>
      <c r="V2188" s="89" t="str">
        <f>IF(ISBLANK($D2188), "0",)</f>
        <v/>
      </c>
      <c r="W2188" s="90" t="str">
        <f t="shared" si="2024"/>
        <v/>
      </c>
      <c r="X2188" s="90"/>
      <c r="Y2188" s="84"/>
      <c r="Z2188" s="26">
        <f t="shared" si="5"/>
        <v>-2</v>
      </c>
      <c r="AA2188" s="26">
        <f t="shared" si="6"/>
        <v>-3</v>
      </c>
      <c r="AB2188" s="32" t="str">
        <f t="shared" si="7"/>
        <v/>
      </c>
      <c r="AC2188" s="32" t="str">
        <f t="shared" ref="AC2188:AG2188" si="2210">IF(J2188&lt;&gt;"", IF(AND($P2188=FALSE, $A2188=FALSE), -J2188, IF(AND($P2188=FALSE, $A2188=TRUE), 0, IF($P2188=TRUE, (J2188 / $R2188) * 100 * ($S2188 / 100)-J2188, ))), )</f>
        <v/>
      </c>
      <c r="AD2188" s="32" t="str">
        <f t="shared" si="2210"/>
        <v/>
      </c>
      <c r="AE2188" s="32" t="str">
        <f t="shared" si="2210"/>
        <v/>
      </c>
      <c r="AF2188" s="32" t="str">
        <f t="shared" si="2210"/>
        <v/>
      </c>
      <c r="AG2188" s="32" t="str">
        <f t="shared" si="2210"/>
        <v/>
      </c>
      <c r="AH2188" s="91"/>
    </row>
    <row r="2189" hidden="1" outlineLevel="3">
      <c r="A2189" s="16" t="b">
        <v>0</v>
      </c>
      <c r="B2189" s="17"/>
      <c r="C2189" s="18"/>
      <c r="D2189" s="42"/>
      <c r="E2189" s="20"/>
      <c r="F2189" s="53"/>
      <c r="G2189" s="45"/>
      <c r="H2189" s="45"/>
      <c r="I2189" s="45"/>
      <c r="J2189" s="36"/>
      <c r="K2189" s="23"/>
      <c r="L2189" s="36"/>
      <c r="M2189" s="23"/>
      <c r="N2189" s="23"/>
      <c r="O2189" s="24"/>
      <c r="P2189" s="16" t="b">
        <v>0</v>
      </c>
      <c r="Q2189" s="24"/>
      <c r="R2189" s="48" t="str">
        <f t="shared" si="2103"/>
        <v/>
      </c>
      <c r="S2189" s="26"/>
      <c r="T2189" s="49" t="str">
        <f t="shared" si="2104"/>
        <v/>
      </c>
      <c r="U2189" s="24"/>
      <c r="V2189" s="66" t="s">
        <v>29</v>
      </c>
      <c r="W2189" s="29" t="str">
        <f t="shared" si="2024"/>
        <v>/</v>
      </c>
      <c r="X2189" s="37" t="s">
        <v>1388</v>
      </c>
      <c r="Y2189" s="31"/>
      <c r="Z2189" s="26" t="str">
        <f t="shared" si="5"/>
        <v/>
      </c>
      <c r="AA2189" s="26" t="str">
        <f t="shared" si="6"/>
        <v/>
      </c>
      <c r="AB2189" s="32" t="str">
        <f t="shared" si="7"/>
        <v/>
      </c>
      <c r="AC2189" s="32" t="str">
        <f t="shared" ref="AC2189:AG2189" si="2211">IF(J2189&lt;&gt;"", IF(AND($P2189=FALSE, $A2189=FALSE), -J2189, IF(AND($P2189=FALSE, $A2189=TRUE), 0, IF($P2189=TRUE, (J2189 / $R2189) * 100 * ($S2189 / 100)-J2189, ))), )</f>
        <v/>
      </c>
      <c r="AD2189" s="32" t="str">
        <f t="shared" si="2211"/>
        <v/>
      </c>
      <c r="AE2189" s="32" t="str">
        <f t="shared" si="2211"/>
        <v/>
      </c>
      <c r="AF2189" s="32" t="str">
        <f t="shared" si="2211"/>
        <v/>
      </c>
      <c r="AG2189" s="32" t="str">
        <f t="shared" si="2211"/>
        <v/>
      </c>
      <c r="AH2189" s="33"/>
    </row>
    <row r="2190" hidden="1" outlineLevel="3">
      <c r="A2190" s="16" t="b">
        <v>0</v>
      </c>
      <c r="B2190" s="17"/>
      <c r="C2190" s="18"/>
      <c r="D2190" s="42"/>
      <c r="E2190" s="20"/>
      <c r="F2190" s="53"/>
      <c r="G2190" s="45"/>
      <c r="H2190" s="45"/>
      <c r="I2190" s="45"/>
      <c r="J2190" s="36"/>
      <c r="K2190" s="23"/>
      <c r="L2190" s="36"/>
      <c r="M2190" s="23"/>
      <c r="N2190" s="23"/>
      <c r="O2190" s="24"/>
      <c r="P2190" s="16" t="b">
        <v>0</v>
      </c>
      <c r="Q2190" s="24"/>
      <c r="R2190" s="48" t="str">
        <f t="shared" si="2103"/>
        <v/>
      </c>
      <c r="S2190" s="26"/>
      <c r="T2190" s="49" t="str">
        <f t="shared" si="2104"/>
        <v/>
      </c>
      <c r="U2190" s="24"/>
      <c r="V2190" s="66">
        <v>6.0</v>
      </c>
      <c r="W2190" s="29" t="str">
        <f t="shared" si="2024"/>
        <v>/</v>
      </c>
      <c r="X2190" s="37" t="s">
        <v>1389</v>
      </c>
      <c r="Y2190" s="31"/>
      <c r="Z2190" s="26" t="str">
        <f t="shared" si="5"/>
        <v/>
      </c>
      <c r="AA2190" s="26" t="str">
        <f t="shared" si="6"/>
        <v/>
      </c>
      <c r="AB2190" s="32" t="str">
        <f t="shared" si="7"/>
        <v/>
      </c>
      <c r="AC2190" s="32" t="str">
        <f t="shared" ref="AC2190:AG2190" si="2212">IF(J2190&lt;&gt;"", IF(AND($P2190=FALSE, $A2190=FALSE), -J2190, IF(AND($P2190=FALSE, $A2190=TRUE), 0, IF($P2190=TRUE, (J2190 / $R2190) * 100 * ($S2190 / 100)-J2190, ))), )</f>
        <v/>
      </c>
      <c r="AD2190" s="32" t="str">
        <f t="shared" si="2212"/>
        <v/>
      </c>
      <c r="AE2190" s="32" t="str">
        <f t="shared" si="2212"/>
        <v/>
      </c>
      <c r="AF2190" s="32" t="str">
        <f t="shared" si="2212"/>
        <v/>
      </c>
      <c r="AG2190" s="32" t="str">
        <f t="shared" si="2212"/>
        <v/>
      </c>
      <c r="AH2190" s="33"/>
    </row>
    <row r="2191" hidden="1" outlineLevel="3">
      <c r="A2191" s="16" t="b">
        <v>0</v>
      </c>
      <c r="B2191" s="17"/>
      <c r="C2191" s="18"/>
      <c r="D2191" s="42"/>
      <c r="E2191" s="20"/>
      <c r="F2191" s="53"/>
      <c r="G2191" s="45"/>
      <c r="H2191" s="45"/>
      <c r="I2191" s="45"/>
      <c r="J2191" s="36"/>
      <c r="K2191" s="23"/>
      <c r="L2191" s="36"/>
      <c r="M2191" s="23"/>
      <c r="N2191" s="23"/>
      <c r="O2191" s="24"/>
      <c r="P2191" s="16" t="b">
        <v>0</v>
      </c>
      <c r="Q2191" s="24"/>
      <c r="R2191" s="48" t="str">
        <f t="shared" si="2103"/>
        <v/>
      </c>
      <c r="S2191" s="26"/>
      <c r="T2191" s="49" t="str">
        <f t="shared" si="2104"/>
        <v/>
      </c>
      <c r="U2191" s="24"/>
      <c r="V2191" s="66" t="s">
        <v>29</v>
      </c>
      <c r="W2191" s="29" t="str">
        <f t="shared" si="2024"/>
        <v>/</v>
      </c>
      <c r="X2191" s="37" t="s">
        <v>1390</v>
      </c>
      <c r="Y2191" s="31"/>
      <c r="Z2191" s="26" t="str">
        <f t="shared" si="5"/>
        <v/>
      </c>
      <c r="AA2191" s="26" t="str">
        <f t="shared" si="6"/>
        <v/>
      </c>
      <c r="AB2191" s="32" t="str">
        <f t="shared" si="7"/>
        <v/>
      </c>
      <c r="AC2191" s="32" t="str">
        <f t="shared" ref="AC2191:AG2191" si="2213">IF(J2191&lt;&gt;"", IF(AND($P2191=FALSE, $A2191=FALSE), -J2191, IF(AND($P2191=FALSE, $A2191=TRUE), 0, IF($P2191=TRUE, (J2191 / $R2191) * 100 * ($S2191 / 100)-J2191, ))), )</f>
        <v/>
      </c>
      <c r="AD2191" s="32" t="str">
        <f t="shared" si="2213"/>
        <v/>
      </c>
      <c r="AE2191" s="32" t="str">
        <f t="shared" si="2213"/>
        <v/>
      </c>
      <c r="AF2191" s="32" t="str">
        <f t="shared" si="2213"/>
        <v/>
      </c>
      <c r="AG2191" s="32" t="str">
        <f t="shared" si="2213"/>
        <v/>
      </c>
      <c r="AH2191" s="33"/>
    </row>
    <row r="2192" hidden="1" outlineLevel="3">
      <c r="A2192" s="16" t="b">
        <v>0</v>
      </c>
      <c r="B2192" s="17"/>
      <c r="C2192" s="18"/>
      <c r="D2192" s="42"/>
      <c r="E2192" s="20"/>
      <c r="F2192" s="53"/>
      <c r="G2192" s="45"/>
      <c r="H2192" s="45"/>
      <c r="I2192" s="45"/>
      <c r="J2192" s="36"/>
      <c r="K2192" s="23"/>
      <c r="L2192" s="36"/>
      <c r="M2192" s="23"/>
      <c r="N2192" s="23"/>
      <c r="O2192" s="24"/>
      <c r="P2192" s="16" t="b">
        <v>0</v>
      </c>
      <c r="Q2192" s="24"/>
      <c r="R2192" s="48" t="str">
        <f t="shared" si="2103"/>
        <v/>
      </c>
      <c r="S2192" s="26"/>
      <c r="T2192" s="49" t="str">
        <f t="shared" si="2104"/>
        <v/>
      </c>
      <c r="U2192" s="24"/>
      <c r="V2192" s="66" t="s">
        <v>29</v>
      </c>
      <c r="W2192" s="29" t="str">
        <f t="shared" si="2024"/>
        <v>/</v>
      </c>
      <c r="X2192" s="37" t="s">
        <v>1391</v>
      </c>
      <c r="Y2192" s="31"/>
      <c r="Z2192" s="26" t="str">
        <f t="shared" si="5"/>
        <v/>
      </c>
      <c r="AA2192" s="26" t="str">
        <f t="shared" si="6"/>
        <v/>
      </c>
      <c r="AB2192" s="32" t="str">
        <f t="shared" si="7"/>
        <v/>
      </c>
      <c r="AC2192" s="32" t="str">
        <f t="shared" ref="AC2192:AG2192" si="2214">IF(J2192&lt;&gt;"", IF(AND($P2192=FALSE, $A2192=FALSE), -J2192, IF(AND($P2192=FALSE, $A2192=TRUE), 0, IF($P2192=TRUE, (J2192 / $R2192) * 100 * ($S2192 / 100)-J2192, ))), )</f>
        <v/>
      </c>
      <c r="AD2192" s="32" t="str">
        <f t="shared" si="2214"/>
        <v/>
      </c>
      <c r="AE2192" s="32" t="str">
        <f t="shared" si="2214"/>
        <v/>
      </c>
      <c r="AF2192" s="32" t="str">
        <f t="shared" si="2214"/>
        <v/>
      </c>
      <c r="AG2192" s="32" t="str">
        <f t="shared" si="2214"/>
        <v/>
      </c>
      <c r="AH2192" s="33"/>
    </row>
    <row r="2193" hidden="1" outlineLevel="2">
      <c r="A2193" s="81" t="b">
        <v>0</v>
      </c>
      <c r="B2193" s="87"/>
      <c r="C2193" s="88"/>
      <c r="D2193" s="42">
        <v>45380.0</v>
      </c>
      <c r="E2193" s="43" t="s">
        <v>60</v>
      </c>
      <c r="F2193" s="82" t="s">
        <v>1317</v>
      </c>
      <c r="G2193" s="45">
        <v>2.0</v>
      </c>
      <c r="H2193" s="79"/>
      <c r="I2193" s="48">
        <v>3.0</v>
      </c>
      <c r="J2193" s="79"/>
      <c r="K2193" s="79"/>
      <c r="L2193" s="79"/>
      <c r="M2193" s="79"/>
      <c r="N2193" s="79"/>
      <c r="O2193" s="47"/>
      <c r="P2193" s="20" t="b">
        <v>0</v>
      </c>
      <c r="Q2193" s="47"/>
      <c r="R2193" s="48">
        <f t="shared" si="2103"/>
        <v>5</v>
      </c>
      <c r="S2193" s="45">
        <v>11.27</v>
      </c>
      <c r="T2193" s="49" t="str">
        <f t="shared" si="2104"/>
        <v>+125</v>
      </c>
      <c r="U2193" s="47"/>
      <c r="V2193" s="89" t="str">
        <f>IF(ISBLANK($D2193), "0",)</f>
        <v/>
      </c>
      <c r="W2193" s="90" t="str">
        <f t="shared" si="2024"/>
        <v/>
      </c>
      <c r="X2193" s="90"/>
      <c r="Y2193" s="84"/>
      <c r="Z2193" s="26">
        <f t="shared" si="5"/>
        <v>-2</v>
      </c>
      <c r="AA2193" s="26">
        <f t="shared" si="6"/>
        <v>-3</v>
      </c>
      <c r="AB2193" s="32" t="str">
        <f t="shared" si="7"/>
        <v/>
      </c>
      <c r="AC2193" s="32" t="str">
        <f t="shared" ref="AC2193:AG2193" si="2215">IF(J2193&lt;&gt;"", IF(AND($P2193=FALSE, $A2193=FALSE), -J2193, IF(AND($P2193=FALSE, $A2193=TRUE), 0, IF($P2193=TRUE, (J2193 / $R2193) * 100 * ($S2193 / 100)-J2193, ))), )</f>
        <v/>
      </c>
      <c r="AD2193" s="32" t="str">
        <f t="shared" si="2215"/>
        <v/>
      </c>
      <c r="AE2193" s="32" t="str">
        <f t="shared" si="2215"/>
        <v/>
      </c>
      <c r="AF2193" s="32" t="str">
        <f t="shared" si="2215"/>
        <v/>
      </c>
      <c r="AG2193" s="32" t="str">
        <f t="shared" si="2215"/>
        <v/>
      </c>
      <c r="AH2193" s="91"/>
    </row>
    <row r="2194" hidden="1" outlineLevel="3">
      <c r="A2194" s="16" t="b">
        <v>0</v>
      </c>
      <c r="B2194" s="17"/>
      <c r="C2194" s="18"/>
      <c r="D2194" s="42"/>
      <c r="E2194" s="20"/>
      <c r="F2194" s="53"/>
      <c r="G2194" s="45"/>
      <c r="H2194" s="45"/>
      <c r="I2194" s="45"/>
      <c r="J2194" s="36"/>
      <c r="K2194" s="23"/>
      <c r="L2194" s="36"/>
      <c r="M2194" s="23"/>
      <c r="N2194" s="23"/>
      <c r="O2194" s="24"/>
      <c r="P2194" s="16" t="b">
        <v>0</v>
      </c>
      <c r="Q2194" s="24"/>
      <c r="R2194" s="48" t="str">
        <f t="shared" si="2103"/>
        <v/>
      </c>
      <c r="S2194" s="26"/>
      <c r="T2194" s="49" t="str">
        <f t="shared" si="2104"/>
        <v/>
      </c>
      <c r="U2194" s="24"/>
      <c r="V2194" s="66">
        <v>7.0</v>
      </c>
      <c r="W2194" s="29" t="str">
        <f t="shared" si="2024"/>
        <v>/</v>
      </c>
      <c r="X2194" s="37" t="s">
        <v>1392</v>
      </c>
      <c r="Y2194" s="31"/>
      <c r="Z2194" s="26" t="str">
        <f t="shared" si="5"/>
        <v/>
      </c>
      <c r="AA2194" s="26" t="str">
        <f t="shared" si="6"/>
        <v/>
      </c>
      <c r="AB2194" s="32" t="str">
        <f t="shared" si="7"/>
        <v/>
      </c>
      <c r="AC2194" s="32" t="str">
        <f t="shared" ref="AC2194:AG2194" si="2216">IF(J2194&lt;&gt;"", IF(AND($P2194=FALSE, $A2194=FALSE), -J2194, IF(AND($P2194=FALSE, $A2194=TRUE), 0, IF($P2194=TRUE, (J2194 / $R2194) * 100 * ($S2194 / 100)-J2194, ))), )</f>
        <v/>
      </c>
      <c r="AD2194" s="32" t="str">
        <f t="shared" si="2216"/>
        <v/>
      </c>
      <c r="AE2194" s="32" t="str">
        <f t="shared" si="2216"/>
        <v/>
      </c>
      <c r="AF2194" s="32" t="str">
        <f t="shared" si="2216"/>
        <v/>
      </c>
      <c r="AG2194" s="32" t="str">
        <f t="shared" si="2216"/>
        <v/>
      </c>
      <c r="AH2194" s="33"/>
    </row>
    <row r="2195" hidden="1" outlineLevel="3">
      <c r="A2195" s="16" t="b">
        <v>0</v>
      </c>
      <c r="B2195" s="17"/>
      <c r="C2195" s="18"/>
      <c r="D2195" s="42"/>
      <c r="E2195" s="20"/>
      <c r="F2195" s="53"/>
      <c r="G2195" s="45"/>
      <c r="H2195" s="45"/>
      <c r="I2195" s="45"/>
      <c r="J2195" s="36"/>
      <c r="K2195" s="23"/>
      <c r="L2195" s="36"/>
      <c r="M2195" s="23"/>
      <c r="N2195" s="23"/>
      <c r="O2195" s="24"/>
      <c r="P2195" s="16" t="b">
        <v>0</v>
      </c>
      <c r="Q2195" s="24"/>
      <c r="R2195" s="48" t="str">
        <f t="shared" si="2103"/>
        <v/>
      </c>
      <c r="S2195" s="26"/>
      <c r="T2195" s="49" t="str">
        <f t="shared" si="2104"/>
        <v/>
      </c>
      <c r="U2195" s="24"/>
      <c r="V2195" s="66">
        <v>12.0</v>
      </c>
      <c r="W2195" s="29" t="str">
        <f t="shared" si="2024"/>
        <v>/</v>
      </c>
      <c r="X2195" s="37" t="s">
        <v>1393</v>
      </c>
      <c r="Y2195" s="31"/>
      <c r="Z2195" s="26" t="str">
        <f t="shared" si="5"/>
        <v/>
      </c>
      <c r="AA2195" s="26" t="str">
        <f t="shared" si="6"/>
        <v/>
      </c>
      <c r="AB2195" s="32" t="str">
        <f t="shared" si="7"/>
        <v/>
      </c>
      <c r="AC2195" s="32" t="str">
        <f t="shared" ref="AC2195:AG2195" si="2217">IF(J2195&lt;&gt;"", IF(AND($P2195=FALSE, $A2195=FALSE), -J2195, IF(AND($P2195=FALSE, $A2195=TRUE), 0, IF($P2195=TRUE, (J2195 / $R2195) * 100 * ($S2195 / 100)-J2195, ))), )</f>
        <v/>
      </c>
      <c r="AD2195" s="32" t="str">
        <f t="shared" si="2217"/>
        <v/>
      </c>
      <c r="AE2195" s="32" t="str">
        <f t="shared" si="2217"/>
        <v/>
      </c>
      <c r="AF2195" s="32" t="str">
        <f t="shared" si="2217"/>
        <v/>
      </c>
      <c r="AG2195" s="32" t="str">
        <f t="shared" si="2217"/>
        <v/>
      </c>
      <c r="AH2195" s="33"/>
    </row>
    <row r="2196" hidden="1" outlineLevel="1" collapsed="1">
      <c r="A2196" s="81" t="b">
        <v>0</v>
      </c>
      <c r="B2196" s="87"/>
      <c r="C2196" s="88"/>
      <c r="D2196" s="42">
        <v>45381.0</v>
      </c>
      <c r="E2196" s="43" t="s">
        <v>60</v>
      </c>
      <c r="F2196" s="82" t="s">
        <v>1317</v>
      </c>
      <c r="G2196" s="45">
        <v>3.0</v>
      </c>
      <c r="H2196" s="79"/>
      <c r="I2196" s="48">
        <v>3.0</v>
      </c>
      <c r="J2196" s="79"/>
      <c r="K2196" s="79"/>
      <c r="L2196" s="79"/>
      <c r="M2196" s="79"/>
      <c r="N2196" s="79"/>
      <c r="O2196" s="47"/>
      <c r="P2196" s="20" t="b">
        <v>1</v>
      </c>
      <c r="Q2196" s="47"/>
      <c r="R2196" s="48">
        <f t="shared" si="2103"/>
        <v>6</v>
      </c>
      <c r="S2196" s="45">
        <v>17.48</v>
      </c>
      <c r="T2196" s="49" t="str">
        <f t="shared" si="2104"/>
        <v>+191</v>
      </c>
      <c r="U2196" s="47"/>
      <c r="V2196" s="89" t="str">
        <f>IF(ISBLANK($D2196), "0",)</f>
        <v/>
      </c>
      <c r="W2196" s="90" t="str">
        <f t="shared" si="2024"/>
        <v/>
      </c>
      <c r="X2196" s="90"/>
      <c r="Y2196" s="84"/>
      <c r="Z2196" s="26">
        <f t="shared" si="5"/>
        <v>5.74</v>
      </c>
      <c r="AA2196" s="26">
        <f t="shared" si="6"/>
        <v>5.74</v>
      </c>
      <c r="AB2196" s="32" t="str">
        <f t="shared" si="7"/>
        <v/>
      </c>
      <c r="AC2196" s="32" t="str">
        <f t="shared" ref="AC2196:AG2196" si="2218">IF(J2196&lt;&gt;"", IF(AND($P2196=FALSE, $A2196=FALSE), -J2196, IF(AND($P2196=FALSE, $A2196=TRUE), 0, IF($P2196=TRUE, (J2196 / $R2196) * 100 * ($S2196 / 100)-J2196, ))), )</f>
        <v/>
      </c>
      <c r="AD2196" s="32" t="str">
        <f t="shared" si="2218"/>
        <v/>
      </c>
      <c r="AE2196" s="32" t="str">
        <f t="shared" si="2218"/>
        <v/>
      </c>
      <c r="AF2196" s="32" t="str">
        <f t="shared" si="2218"/>
        <v/>
      </c>
      <c r="AG2196" s="32" t="str">
        <f t="shared" si="2218"/>
        <v/>
      </c>
      <c r="AH2196" s="91"/>
    </row>
    <row r="2197" hidden="1" outlineLevel="3">
      <c r="A2197" s="16" t="b">
        <v>0</v>
      </c>
      <c r="B2197" s="17"/>
      <c r="C2197" s="18"/>
      <c r="D2197" s="42"/>
      <c r="E2197" s="20"/>
      <c r="F2197" s="53"/>
      <c r="G2197" s="45"/>
      <c r="H2197" s="45"/>
      <c r="I2197" s="45"/>
      <c r="J2197" s="36"/>
      <c r="K2197" s="23"/>
      <c r="L2197" s="36"/>
      <c r="M2197" s="23"/>
      <c r="N2197" s="23"/>
      <c r="O2197" s="24"/>
      <c r="P2197" s="16" t="b">
        <v>0</v>
      </c>
      <c r="Q2197" s="24"/>
      <c r="R2197" s="48" t="str">
        <f t="shared" si="2103"/>
        <v/>
      </c>
      <c r="S2197" s="26"/>
      <c r="T2197" s="49" t="str">
        <f t="shared" si="2104"/>
        <v/>
      </c>
      <c r="U2197" s="24"/>
      <c r="V2197" s="66" t="s">
        <v>29</v>
      </c>
      <c r="W2197" s="29" t="str">
        <f t="shared" si="2024"/>
        <v>/</v>
      </c>
      <c r="X2197" s="37" t="s">
        <v>1394</v>
      </c>
      <c r="Y2197" s="31"/>
      <c r="Z2197" s="26" t="str">
        <f t="shared" si="5"/>
        <v/>
      </c>
      <c r="AA2197" s="26" t="str">
        <f t="shared" si="6"/>
        <v/>
      </c>
      <c r="AB2197" s="32" t="str">
        <f t="shared" si="7"/>
        <v/>
      </c>
      <c r="AC2197" s="32" t="str">
        <f t="shared" ref="AC2197:AG2197" si="2219">IF(J2197&lt;&gt;"", IF(AND($P2197=FALSE, $A2197=FALSE), -J2197, IF(AND($P2197=FALSE, $A2197=TRUE), 0, IF($P2197=TRUE, (J2197 / $R2197) * 100 * ($S2197 / 100)-J2197, ))), )</f>
        <v/>
      </c>
      <c r="AD2197" s="32" t="str">
        <f t="shared" si="2219"/>
        <v/>
      </c>
      <c r="AE2197" s="32" t="str">
        <f t="shared" si="2219"/>
        <v/>
      </c>
      <c r="AF2197" s="32" t="str">
        <f t="shared" si="2219"/>
        <v/>
      </c>
      <c r="AG2197" s="32" t="str">
        <f t="shared" si="2219"/>
        <v/>
      </c>
      <c r="AH2197" s="33"/>
    </row>
    <row r="2198" hidden="1" outlineLevel="3">
      <c r="A2198" s="16" t="b">
        <v>0</v>
      </c>
      <c r="B2198" s="17"/>
      <c r="C2198" s="18"/>
      <c r="D2198" s="42"/>
      <c r="E2198" s="20"/>
      <c r="F2198" s="53"/>
      <c r="G2198" s="45"/>
      <c r="H2198" s="45"/>
      <c r="I2198" s="45"/>
      <c r="J2198" s="36"/>
      <c r="K2198" s="23"/>
      <c r="L2198" s="36"/>
      <c r="M2198" s="23"/>
      <c r="N2198" s="23"/>
      <c r="O2198" s="24"/>
      <c r="P2198" s="16" t="b">
        <v>0</v>
      </c>
      <c r="Q2198" s="24"/>
      <c r="R2198" s="48" t="str">
        <f t="shared" si="2103"/>
        <v/>
      </c>
      <c r="S2198" s="26"/>
      <c r="T2198" s="49" t="str">
        <f t="shared" si="2104"/>
        <v/>
      </c>
      <c r="U2198" s="24"/>
      <c r="V2198" s="66" t="s">
        <v>29</v>
      </c>
      <c r="W2198" s="29" t="str">
        <f t="shared" si="2024"/>
        <v>/</v>
      </c>
      <c r="X2198" s="37" t="s">
        <v>1395</v>
      </c>
      <c r="Y2198" s="31"/>
      <c r="Z2198" s="26" t="str">
        <f t="shared" si="5"/>
        <v/>
      </c>
      <c r="AA2198" s="26" t="str">
        <f t="shared" si="6"/>
        <v/>
      </c>
      <c r="AB2198" s="32" t="str">
        <f t="shared" si="7"/>
        <v/>
      </c>
      <c r="AC2198" s="32" t="str">
        <f t="shared" ref="AC2198:AG2198" si="2220">IF(J2198&lt;&gt;"", IF(AND($P2198=FALSE, $A2198=FALSE), -J2198, IF(AND($P2198=FALSE, $A2198=TRUE), 0, IF($P2198=TRUE, (J2198 / $R2198) * 100 * ($S2198 / 100)-J2198, ))), )</f>
        <v/>
      </c>
      <c r="AD2198" s="32" t="str">
        <f t="shared" si="2220"/>
        <v/>
      </c>
      <c r="AE2198" s="32" t="str">
        <f t="shared" si="2220"/>
        <v/>
      </c>
      <c r="AF2198" s="32" t="str">
        <f t="shared" si="2220"/>
        <v/>
      </c>
      <c r="AG2198" s="32" t="str">
        <f t="shared" si="2220"/>
        <v/>
      </c>
      <c r="AH2198" s="33"/>
    </row>
    <row r="2199" hidden="1" outlineLevel="2">
      <c r="A2199" s="81" t="b">
        <v>0</v>
      </c>
      <c r="B2199" s="87"/>
      <c r="C2199" s="88"/>
      <c r="D2199" s="42">
        <v>45381.0</v>
      </c>
      <c r="E2199" s="80" t="s">
        <v>1396</v>
      </c>
      <c r="F2199" s="53" t="s">
        <v>1397</v>
      </c>
      <c r="G2199" s="45">
        <v>3.0</v>
      </c>
      <c r="H2199" s="79"/>
      <c r="I2199" s="48"/>
      <c r="J2199" s="79"/>
      <c r="K2199" s="79"/>
      <c r="L2199" s="79"/>
      <c r="M2199" s="79"/>
      <c r="N2199" s="79"/>
      <c r="O2199" s="47"/>
      <c r="P2199" s="20" t="b">
        <v>1</v>
      </c>
      <c r="Q2199" s="47"/>
      <c r="R2199" s="48">
        <f t="shared" si="2103"/>
        <v>3</v>
      </c>
      <c r="S2199" s="45">
        <v>6.0</v>
      </c>
      <c r="T2199" s="49">
        <f t="shared" si="2104"/>
        <v>-100</v>
      </c>
      <c r="U2199" s="47"/>
      <c r="V2199" s="89" t="str">
        <f>IF(ISBLANK($D2199), "0",)</f>
        <v/>
      </c>
      <c r="W2199" s="90" t="str">
        <f t="shared" si="2024"/>
        <v/>
      </c>
      <c r="X2199" s="90"/>
      <c r="Y2199" s="84"/>
      <c r="Z2199" s="26">
        <f t="shared" si="5"/>
        <v>3</v>
      </c>
      <c r="AA2199" s="26" t="str">
        <f t="shared" si="6"/>
        <v/>
      </c>
      <c r="AB2199" s="32" t="str">
        <f t="shared" si="7"/>
        <v/>
      </c>
      <c r="AC2199" s="32" t="str">
        <f t="shared" ref="AC2199:AG2199" si="2221">IF(J2199&lt;&gt;"", IF(AND($P2199=FALSE, $A2199=FALSE), -J2199, IF(AND($P2199=FALSE, $A2199=TRUE), 0, IF($P2199=TRUE, (J2199 / $R2199) * 100 * ($S2199 / 100)-J2199, ))), )</f>
        <v/>
      </c>
      <c r="AD2199" s="32" t="str">
        <f t="shared" si="2221"/>
        <v/>
      </c>
      <c r="AE2199" s="32" t="str">
        <f t="shared" si="2221"/>
        <v/>
      </c>
      <c r="AF2199" s="32" t="str">
        <f t="shared" si="2221"/>
        <v/>
      </c>
      <c r="AG2199" s="32" t="str">
        <f t="shared" si="2221"/>
        <v/>
      </c>
      <c r="AH2199" s="91"/>
    </row>
    <row r="2200" hidden="1" outlineLevel="3">
      <c r="A2200" s="16" t="b">
        <v>0</v>
      </c>
      <c r="B2200" s="17"/>
      <c r="C2200" s="18"/>
      <c r="D2200" s="42"/>
      <c r="E2200" s="20"/>
      <c r="F2200" s="53"/>
      <c r="G2200" s="45"/>
      <c r="H2200" s="45"/>
      <c r="I2200" s="45"/>
      <c r="J2200" s="36"/>
      <c r="K2200" s="23"/>
      <c r="L2200" s="36"/>
      <c r="M2200" s="23"/>
      <c r="N2200" s="23"/>
      <c r="O2200" s="24"/>
      <c r="P2200" s="16" t="b">
        <v>0</v>
      </c>
      <c r="Q2200" s="24"/>
      <c r="R2200" s="48" t="str">
        <f t="shared" si="2103"/>
        <v/>
      </c>
      <c r="S2200" s="26"/>
      <c r="T2200" s="49" t="str">
        <f t="shared" si="2104"/>
        <v/>
      </c>
      <c r="U2200" s="24"/>
      <c r="V2200" s="66" t="s">
        <v>29</v>
      </c>
      <c r="W2200" s="29" t="str">
        <f t="shared" si="2024"/>
        <v>/</v>
      </c>
      <c r="X2200" s="37" t="s">
        <v>1398</v>
      </c>
      <c r="Y2200" s="31"/>
      <c r="Z2200" s="26" t="str">
        <f t="shared" si="5"/>
        <v/>
      </c>
      <c r="AA2200" s="26" t="str">
        <f t="shared" si="6"/>
        <v/>
      </c>
      <c r="AB2200" s="32" t="str">
        <f t="shared" si="7"/>
        <v/>
      </c>
      <c r="AC2200" s="32" t="str">
        <f t="shared" ref="AC2200:AG2200" si="2222">IF(J2200&lt;&gt;"", IF(AND($P2200=FALSE, $A2200=FALSE), -J2200, IF(AND($P2200=FALSE, $A2200=TRUE), 0, IF($P2200=TRUE, (J2200 / $R2200) * 100 * ($S2200 / 100)-J2200, ))), )</f>
        <v/>
      </c>
      <c r="AD2200" s="32" t="str">
        <f t="shared" si="2222"/>
        <v/>
      </c>
      <c r="AE2200" s="32" t="str">
        <f t="shared" si="2222"/>
        <v/>
      </c>
      <c r="AF2200" s="32" t="str">
        <f t="shared" si="2222"/>
        <v/>
      </c>
      <c r="AG2200" s="32" t="str">
        <f t="shared" si="2222"/>
        <v/>
      </c>
      <c r="AH2200" s="33"/>
    </row>
    <row r="2201" hidden="1" outlineLevel="3">
      <c r="A2201" s="16" t="b">
        <v>0</v>
      </c>
      <c r="B2201" s="17"/>
      <c r="C2201" s="18"/>
      <c r="D2201" s="42"/>
      <c r="E2201" s="20"/>
      <c r="F2201" s="53"/>
      <c r="G2201" s="45"/>
      <c r="H2201" s="45"/>
      <c r="I2201" s="45"/>
      <c r="J2201" s="36"/>
      <c r="K2201" s="23"/>
      <c r="L2201" s="36"/>
      <c r="M2201" s="23"/>
      <c r="N2201" s="23"/>
      <c r="O2201" s="24"/>
      <c r="P2201" s="16" t="b">
        <v>0</v>
      </c>
      <c r="Q2201" s="24"/>
      <c r="R2201" s="48" t="str">
        <f t="shared" si="2103"/>
        <v/>
      </c>
      <c r="S2201" s="26"/>
      <c r="T2201" s="49" t="str">
        <f t="shared" si="2104"/>
        <v/>
      </c>
      <c r="U2201" s="24"/>
      <c r="V2201" s="66" t="s">
        <v>29</v>
      </c>
      <c r="W2201" s="29" t="str">
        <f t="shared" si="2024"/>
        <v>/</v>
      </c>
      <c r="X2201" s="37" t="s">
        <v>1399</v>
      </c>
      <c r="Y2201" s="31"/>
      <c r="Z2201" s="26" t="str">
        <f t="shared" si="5"/>
        <v/>
      </c>
      <c r="AA2201" s="26" t="str">
        <f t="shared" si="6"/>
        <v/>
      </c>
      <c r="AB2201" s="32" t="str">
        <f t="shared" si="7"/>
        <v/>
      </c>
      <c r="AC2201" s="32" t="str">
        <f t="shared" ref="AC2201:AG2201" si="2223">IF(J2201&lt;&gt;"", IF(AND($P2201=FALSE, $A2201=FALSE), -J2201, IF(AND($P2201=FALSE, $A2201=TRUE), 0, IF($P2201=TRUE, (J2201 / $R2201) * 100 * ($S2201 / 100)-J2201, ))), )</f>
        <v/>
      </c>
      <c r="AD2201" s="32" t="str">
        <f t="shared" si="2223"/>
        <v/>
      </c>
      <c r="AE2201" s="32" t="str">
        <f t="shared" si="2223"/>
        <v/>
      </c>
      <c r="AF2201" s="32" t="str">
        <f t="shared" si="2223"/>
        <v/>
      </c>
      <c r="AG2201" s="32" t="str">
        <f t="shared" si="2223"/>
        <v/>
      </c>
      <c r="AH2201" s="33"/>
    </row>
    <row r="2202" hidden="1" outlineLevel="1" collapsed="1">
      <c r="A2202" s="81" t="b">
        <v>0</v>
      </c>
      <c r="B2202" s="87"/>
      <c r="C2202" s="88"/>
      <c r="D2202" s="42">
        <v>45382.0</v>
      </c>
      <c r="E2202" s="43" t="s">
        <v>60</v>
      </c>
      <c r="F2202" s="82" t="s">
        <v>1317</v>
      </c>
      <c r="G2202" s="45">
        <v>3.0</v>
      </c>
      <c r="H2202" s="79"/>
      <c r="I2202" s="48">
        <v>3.0</v>
      </c>
      <c r="J2202" s="79"/>
      <c r="K2202" s="79"/>
      <c r="L2202" s="79"/>
      <c r="M2202" s="79"/>
      <c r="N2202" s="79"/>
      <c r="O2202" s="47"/>
      <c r="P2202" s="20" t="b">
        <v>1</v>
      </c>
      <c r="Q2202" s="47"/>
      <c r="R2202" s="48">
        <f t="shared" si="2103"/>
        <v>6</v>
      </c>
      <c r="S2202" s="45">
        <v>13.2</v>
      </c>
      <c r="T2202" s="49" t="str">
        <f t="shared" si="2104"/>
        <v>+120</v>
      </c>
      <c r="U2202" s="47"/>
      <c r="V2202" s="89" t="str">
        <f>IF(ISBLANK($D2202), "0",)</f>
        <v/>
      </c>
      <c r="W2202" s="90" t="str">
        <f t="shared" si="2024"/>
        <v/>
      </c>
      <c r="X2202" s="90"/>
      <c r="Y2202" s="84"/>
      <c r="Z2202" s="26">
        <f t="shared" si="5"/>
        <v>3.6</v>
      </c>
      <c r="AA2202" s="26">
        <f t="shared" si="6"/>
        <v>3.6</v>
      </c>
      <c r="AB2202" s="32" t="str">
        <f t="shared" si="7"/>
        <v/>
      </c>
      <c r="AC2202" s="32" t="str">
        <f t="shared" ref="AC2202:AG2202" si="2224">IF(J2202&lt;&gt;"", IF(AND($P2202=FALSE, $A2202=FALSE), -J2202, IF(AND($P2202=FALSE, $A2202=TRUE), 0, IF($P2202=TRUE, (J2202 / $R2202) * 100 * ($S2202 / 100)-J2202, ))), )</f>
        <v/>
      </c>
      <c r="AD2202" s="32" t="str">
        <f t="shared" si="2224"/>
        <v/>
      </c>
      <c r="AE2202" s="32" t="str">
        <f t="shared" si="2224"/>
        <v/>
      </c>
      <c r="AF2202" s="32" t="str">
        <f t="shared" si="2224"/>
        <v/>
      </c>
      <c r="AG2202" s="32" t="str">
        <f t="shared" si="2224"/>
        <v/>
      </c>
      <c r="AH2202" s="91"/>
    </row>
    <row r="2203" hidden="1" outlineLevel="3">
      <c r="A2203" s="16" t="b">
        <v>0</v>
      </c>
      <c r="B2203" s="17"/>
      <c r="C2203" s="18"/>
      <c r="D2203" s="42"/>
      <c r="E2203" s="20"/>
      <c r="F2203" s="53"/>
      <c r="G2203" s="45"/>
      <c r="H2203" s="45"/>
      <c r="I2203" s="45"/>
      <c r="J2203" s="36"/>
      <c r="K2203" s="23"/>
      <c r="L2203" s="36"/>
      <c r="M2203" s="23"/>
      <c r="N2203" s="23"/>
      <c r="O2203" s="24"/>
      <c r="P2203" s="16" t="b">
        <v>0</v>
      </c>
      <c r="Q2203" s="24"/>
      <c r="R2203" s="48" t="str">
        <f t="shared" si="2103"/>
        <v/>
      </c>
      <c r="S2203" s="26"/>
      <c r="T2203" s="49" t="str">
        <f t="shared" si="2104"/>
        <v/>
      </c>
      <c r="U2203" s="24"/>
      <c r="V2203" s="66" t="s">
        <v>29</v>
      </c>
      <c r="W2203" s="29" t="str">
        <f t="shared" si="2024"/>
        <v>/</v>
      </c>
      <c r="X2203" s="37" t="s">
        <v>723</v>
      </c>
      <c r="Y2203" s="31"/>
      <c r="Z2203" s="26" t="str">
        <f t="shared" si="5"/>
        <v/>
      </c>
      <c r="AA2203" s="26" t="str">
        <f t="shared" si="6"/>
        <v/>
      </c>
      <c r="AB2203" s="32" t="str">
        <f t="shared" si="7"/>
        <v/>
      </c>
      <c r="AC2203" s="32" t="str">
        <f t="shared" ref="AC2203:AG2203" si="2225">IF(J2203&lt;&gt;"", IF(AND($P2203=FALSE, $A2203=FALSE), -J2203, IF(AND($P2203=FALSE, $A2203=TRUE), 0, IF($P2203=TRUE, (J2203 / $R2203) * 100 * ($S2203 / 100)-J2203, ))), )</f>
        <v/>
      </c>
      <c r="AD2203" s="32" t="str">
        <f t="shared" si="2225"/>
        <v/>
      </c>
      <c r="AE2203" s="32" t="str">
        <f t="shared" si="2225"/>
        <v/>
      </c>
      <c r="AF2203" s="32" t="str">
        <f t="shared" si="2225"/>
        <v/>
      </c>
      <c r="AG2203" s="32" t="str">
        <f t="shared" si="2225"/>
        <v/>
      </c>
      <c r="AH2203" s="33"/>
    </row>
    <row r="2204" hidden="1" outlineLevel="3">
      <c r="A2204" s="16" t="b">
        <v>0</v>
      </c>
      <c r="B2204" s="17"/>
      <c r="C2204" s="18"/>
      <c r="D2204" s="42"/>
      <c r="E2204" s="20"/>
      <c r="F2204" s="53"/>
      <c r="G2204" s="45"/>
      <c r="H2204" s="45"/>
      <c r="I2204" s="45"/>
      <c r="J2204" s="36"/>
      <c r="K2204" s="23"/>
      <c r="L2204" s="36"/>
      <c r="M2204" s="23"/>
      <c r="N2204" s="23"/>
      <c r="O2204" s="24"/>
      <c r="P2204" s="16" t="b">
        <v>0</v>
      </c>
      <c r="Q2204" s="24"/>
      <c r="R2204" s="48" t="str">
        <f t="shared" si="2103"/>
        <v/>
      </c>
      <c r="S2204" s="26"/>
      <c r="T2204" s="49" t="str">
        <f t="shared" si="2104"/>
        <v/>
      </c>
      <c r="U2204" s="24"/>
      <c r="V2204" s="66" t="s">
        <v>29</v>
      </c>
      <c r="W2204" s="29" t="str">
        <f t="shared" si="2024"/>
        <v>/</v>
      </c>
      <c r="X2204" s="37" t="s">
        <v>217</v>
      </c>
      <c r="Y2204" s="31"/>
      <c r="Z2204" s="26" t="str">
        <f t="shared" si="5"/>
        <v/>
      </c>
      <c r="AA2204" s="26" t="str">
        <f t="shared" si="6"/>
        <v/>
      </c>
      <c r="AB2204" s="32" t="str">
        <f t="shared" si="7"/>
        <v/>
      </c>
      <c r="AC2204" s="32" t="str">
        <f t="shared" ref="AC2204:AG2204" si="2226">IF(J2204&lt;&gt;"", IF(AND($P2204=FALSE, $A2204=FALSE), -J2204, IF(AND($P2204=FALSE, $A2204=TRUE), 0, IF($P2204=TRUE, (J2204 / $R2204) * 100 * ($S2204 / 100)-J2204, ))), )</f>
        <v/>
      </c>
      <c r="AD2204" s="32" t="str">
        <f t="shared" si="2226"/>
        <v/>
      </c>
      <c r="AE2204" s="32" t="str">
        <f t="shared" si="2226"/>
        <v/>
      </c>
      <c r="AF2204" s="32" t="str">
        <f t="shared" si="2226"/>
        <v/>
      </c>
      <c r="AG2204" s="32" t="str">
        <f t="shared" si="2226"/>
        <v/>
      </c>
      <c r="AH2204" s="33"/>
    </row>
    <row r="2205" hidden="1" outlineLevel="1" collapsed="1">
      <c r="A2205" s="81" t="b">
        <v>0</v>
      </c>
      <c r="B2205" s="87"/>
      <c r="C2205" s="88"/>
      <c r="D2205" s="42">
        <v>45384.0</v>
      </c>
      <c r="E2205" s="43" t="s">
        <v>60</v>
      </c>
      <c r="F2205" s="53" t="s">
        <v>1400</v>
      </c>
      <c r="G2205" s="45">
        <v>3.0</v>
      </c>
      <c r="H2205" s="79"/>
      <c r="I2205" s="48">
        <v>3.0</v>
      </c>
      <c r="J2205" s="79"/>
      <c r="K2205" s="79"/>
      <c r="L2205" s="79"/>
      <c r="M2205" s="79"/>
      <c r="N2205" s="79"/>
      <c r="O2205" s="47"/>
      <c r="P2205" s="20" t="b">
        <v>0</v>
      </c>
      <c r="Q2205" s="47"/>
      <c r="R2205" s="48">
        <f t="shared" si="2103"/>
        <v>6</v>
      </c>
      <c r="S2205" s="45">
        <v>14.07</v>
      </c>
      <c r="T2205" s="49" t="str">
        <f t="shared" si="2104"/>
        <v>+135</v>
      </c>
      <c r="U2205" s="47"/>
      <c r="V2205" s="89" t="str">
        <f>IF(ISBLANK($D2205), "0",)</f>
        <v/>
      </c>
      <c r="W2205" s="90" t="str">
        <f t="shared" si="2024"/>
        <v/>
      </c>
      <c r="X2205" s="90"/>
      <c r="Y2205" s="84"/>
      <c r="Z2205" s="26">
        <f t="shared" si="5"/>
        <v>-3</v>
      </c>
      <c r="AA2205" s="26">
        <f t="shared" si="6"/>
        <v>-3</v>
      </c>
      <c r="AB2205" s="32" t="str">
        <f t="shared" si="7"/>
        <v/>
      </c>
      <c r="AC2205" s="32" t="str">
        <f t="shared" ref="AC2205:AG2205" si="2227">IF(J2205&lt;&gt;"", IF(AND($P2205=FALSE, $A2205=FALSE), -J2205, IF(AND($P2205=FALSE, $A2205=TRUE), 0, IF($P2205=TRUE, (J2205 / $R2205) * 100 * ($S2205 / 100)-J2205, ))), )</f>
        <v/>
      </c>
      <c r="AD2205" s="32" t="str">
        <f t="shared" si="2227"/>
        <v/>
      </c>
      <c r="AE2205" s="32" t="str">
        <f t="shared" si="2227"/>
        <v/>
      </c>
      <c r="AF2205" s="32" t="str">
        <f t="shared" si="2227"/>
        <v/>
      </c>
      <c r="AG2205" s="32" t="str">
        <f t="shared" si="2227"/>
        <v/>
      </c>
      <c r="AH2205" s="91"/>
    </row>
    <row r="2206" hidden="1" outlineLevel="3">
      <c r="A2206" s="16" t="b">
        <v>0</v>
      </c>
      <c r="B2206" s="17"/>
      <c r="C2206" s="18"/>
      <c r="D2206" s="42"/>
      <c r="E2206" s="20"/>
      <c r="F2206" s="53"/>
      <c r="G2206" s="45"/>
      <c r="H2206" s="45"/>
      <c r="I2206" s="45"/>
      <c r="J2206" s="36"/>
      <c r="K2206" s="23"/>
      <c r="L2206" s="36"/>
      <c r="M2206" s="23"/>
      <c r="N2206" s="23"/>
      <c r="O2206" s="24"/>
      <c r="P2206" s="16" t="b">
        <v>0</v>
      </c>
      <c r="Q2206" s="24"/>
      <c r="R2206" s="48" t="str">
        <f t="shared" si="2103"/>
        <v/>
      </c>
      <c r="S2206" s="26"/>
      <c r="T2206" s="49" t="str">
        <f t="shared" si="2104"/>
        <v/>
      </c>
      <c r="U2206" s="24"/>
      <c r="V2206" s="66">
        <v>5.0</v>
      </c>
      <c r="W2206" s="29" t="str">
        <f t="shared" si="2024"/>
        <v>/</v>
      </c>
      <c r="X2206" s="37" t="s">
        <v>1401</v>
      </c>
      <c r="Y2206" s="31"/>
      <c r="Z2206" s="26" t="str">
        <f t="shared" si="5"/>
        <v/>
      </c>
      <c r="AA2206" s="26" t="str">
        <f t="shared" si="6"/>
        <v/>
      </c>
      <c r="AB2206" s="32" t="str">
        <f t="shared" si="7"/>
        <v/>
      </c>
      <c r="AC2206" s="32" t="str">
        <f t="shared" ref="AC2206:AG2206" si="2228">IF(J2206&lt;&gt;"", IF(AND($P2206=FALSE, $A2206=FALSE), -J2206, IF(AND($P2206=FALSE, $A2206=TRUE), 0, IF($P2206=TRUE, (J2206 / $R2206) * 100 * ($S2206 / 100)-J2206, ))), )</f>
        <v/>
      </c>
      <c r="AD2206" s="32" t="str">
        <f t="shared" si="2228"/>
        <v/>
      </c>
      <c r="AE2206" s="32" t="str">
        <f t="shared" si="2228"/>
        <v/>
      </c>
      <c r="AF2206" s="32" t="str">
        <f t="shared" si="2228"/>
        <v/>
      </c>
      <c r="AG2206" s="32" t="str">
        <f t="shared" si="2228"/>
        <v/>
      </c>
      <c r="AH2206" s="33"/>
    </row>
    <row r="2207" hidden="1" outlineLevel="3">
      <c r="A2207" s="16" t="b">
        <v>0</v>
      </c>
      <c r="B2207" s="17"/>
      <c r="C2207" s="18"/>
      <c r="D2207" s="42"/>
      <c r="E2207" s="20"/>
      <c r="F2207" s="53"/>
      <c r="G2207" s="45"/>
      <c r="H2207" s="45"/>
      <c r="I2207" s="45"/>
      <c r="J2207" s="36"/>
      <c r="K2207" s="23"/>
      <c r="L2207" s="36"/>
      <c r="M2207" s="23"/>
      <c r="N2207" s="23"/>
      <c r="O2207" s="24"/>
      <c r="P2207" s="16" t="b">
        <v>0</v>
      </c>
      <c r="Q2207" s="24"/>
      <c r="R2207" s="48" t="str">
        <f t="shared" si="2103"/>
        <v/>
      </c>
      <c r="S2207" s="26"/>
      <c r="T2207" s="49" t="str">
        <f t="shared" si="2104"/>
        <v/>
      </c>
      <c r="U2207" s="24"/>
      <c r="V2207" s="66" t="s">
        <v>29</v>
      </c>
      <c r="W2207" s="29" t="str">
        <f t="shared" si="2024"/>
        <v>/</v>
      </c>
      <c r="X2207" s="37" t="s">
        <v>65</v>
      </c>
      <c r="Y2207" s="31"/>
      <c r="Z2207" s="26" t="str">
        <f t="shared" si="5"/>
        <v/>
      </c>
      <c r="AA2207" s="26" t="str">
        <f t="shared" si="6"/>
        <v/>
      </c>
      <c r="AB2207" s="32" t="str">
        <f t="shared" si="7"/>
        <v/>
      </c>
      <c r="AC2207" s="32" t="str">
        <f t="shared" ref="AC2207:AG2207" si="2229">IF(J2207&lt;&gt;"", IF(AND($P2207=FALSE, $A2207=FALSE), -J2207, IF(AND($P2207=FALSE, $A2207=TRUE), 0, IF($P2207=TRUE, (J2207 / $R2207) * 100 * ($S2207 / 100)-J2207, ))), )</f>
        <v/>
      </c>
      <c r="AD2207" s="32" t="str">
        <f t="shared" si="2229"/>
        <v/>
      </c>
      <c r="AE2207" s="32" t="str">
        <f t="shared" si="2229"/>
        <v/>
      </c>
      <c r="AF2207" s="32" t="str">
        <f t="shared" si="2229"/>
        <v/>
      </c>
      <c r="AG2207" s="32" t="str">
        <f t="shared" si="2229"/>
        <v/>
      </c>
      <c r="AH2207" s="33"/>
    </row>
    <row r="2208" hidden="1" outlineLevel="2" collapsed="1">
      <c r="A2208" s="81" t="b">
        <v>0</v>
      </c>
      <c r="B2208" s="87"/>
      <c r="C2208" s="88"/>
      <c r="D2208" s="42">
        <v>45384.0</v>
      </c>
      <c r="E2208" s="43" t="s">
        <v>60</v>
      </c>
      <c r="F2208" s="53" t="s">
        <v>1400</v>
      </c>
      <c r="G2208" s="45">
        <v>3.0</v>
      </c>
      <c r="H2208" s="79"/>
      <c r="I2208" s="48">
        <v>3.0</v>
      </c>
      <c r="J2208" s="79"/>
      <c r="K2208" s="79"/>
      <c r="L2208" s="79"/>
      <c r="M2208" s="79"/>
      <c r="N2208" s="79"/>
      <c r="O2208" s="47"/>
      <c r="P2208" s="20" t="b">
        <v>1</v>
      </c>
      <c r="Q2208" s="47"/>
      <c r="R2208" s="48">
        <f t="shared" si="2103"/>
        <v>6</v>
      </c>
      <c r="S2208" s="45">
        <v>13.34</v>
      </c>
      <c r="T2208" s="49" t="str">
        <f t="shared" si="2104"/>
        <v>+122</v>
      </c>
      <c r="U2208" s="47"/>
      <c r="V2208" s="89" t="str">
        <f>IF(ISBLANK($D2208), "0",)</f>
        <v/>
      </c>
      <c r="W2208" s="90" t="str">
        <f t="shared" si="2024"/>
        <v/>
      </c>
      <c r="X2208" s="90"/>
      <c r="Y2208" s="84"/>
      <c r="Z2208" s="26">
        <f t="shared" si="5"/>
        <v>3.67</v>
      </c>
      <c r="AA2208" s="26">
        <f t="shared" si="6"/>
        <v>3.67</v>
      </c>
      <c r="AB2208" s="32" t="str">
        <f t="shared" si="7"/>
        <v/>
      </c>
      <c r="AC2208" s="32" t="str">
        <f t="shared" ref="AC2208:AG2208" si="2230">IF(J2208&lt;&gt;"", IF(AND($P2208=FALSE, $A2208=FALSE), -J2208, IF(AND($P2208=FALSE, $A2208=TRUE), 0, IF($P2208=TRUE, (J2208 / $R2208) * 100 * ($S2208 / 100)-J2208, ))), )</f>
        <v/>
      </c>
      <c r="AD2208" s="32" t="str">
        <f t="shared" si="2230"/>
        <v/>
      </c>
      <c r="AE2208" s="32" t="str">
        <f t="shared" si="2230"/>
        <v/>
      </c>
      <c r="AF2208" s="32" t="str">
        <f t="shared" si="2230"/>
        <v/>
      </c>
      <c r="AG2208" s="32" t="str">
        <f t="shared" si="2230"/>
        <v/>
      </c>
      <c r="AH2208" s="91"/>
    </row>
    <row r="2209" hidden="1" outlineLevel="3">
      <c r="A2209" s="16" t="b">
        <v>0</v>
      </c>
      <c r="B2209" s="17"/>
      <c r="C2209" s="18"/>
      <c r="D2209" s="42"/>
      <c r="E2209" s="20"/>
      <c r="F2209" s="53"/>
      <c r="G2209" s="45"/>
      <c r="H2209" s="45"/>
      <c r="I2209" s="45"/>
      <c r="J2209" s="36"/>
      <c r="K2209" s="23"/>
      <c r="L2209" s="36"/>
      <c r="M2209" s="23"/>
      <c r="N2209" s="23"/>
      <c r="O2209" s="24"/>
      <c r="P2209" s="16" t="b">
        <v>0</v>
      </c>
      <c r="Q2209" s="24"/>
      <c r="R2209" s="48" t="str">
        <f t="shared" si="2103"/>
        <v/>
      </c>
      <c r="S2209" s="26"/>
      <c r="T2209" s="49" t="str">
        <f t="shared" si="2104"/>
        <v/>
      </c>
      <c r="U2209" s="24"/>
      <c r="V2209" s="66" t="s">
        <v>29</v>
      </c>
      <c r="W2209" s="29" t="str">
        <f t="shared" si="2024"/>
        <v>/</v>
      </c>
      <c r="X2209" s="37" t="s">
        <v>1324</v>
      </c>
      <c r="Y2209" s="31"/>
      <c r="Z2209" s="26" t="str">
        <f t="shared" si="5"/>
        <v/>
      </c>
      <c r="AA2209" s="26" t="str">
        <f t="shared" si="6"/>
        <v/>
      </c>
      <c r="AB2209" s="32" t="str">
        <f t="shared" si="7"/>
        <v/>
      </c>
      <c r="AC2209" s="32" t="str">
        <f t="shared" ref="AC2209:AG2209" si="2231">IF(J2209&lt;&gt;"", IF(AND($P2209=FALSE, $A2209=FALSE), -J2209, IF(AND($P2209=FALSE, $A2209=TRUE), 0, IF($P2209=TRUE, (J2209 / $R2209) * 100 * ($S2209 / 100)-J2209, ))), )</f>
        <v/>
      </c>
      <c r="AD2209" s="32" t="str">
        <f t="shared" si="2231"/>
        <v/>
      </c>
      <c r="AE2209" s="32" t="str">
        <f t="shared" si="2231"/>
        <v/>
      </c>
      <c r="AF2209" s="32" t="str">
        <f t="shared" si="2231"/>
        <v/>
      </c>
      <c r="AG2209" s="32" t="str">
        <f t="shared" si="2231"/>
        <v/>
      </c>
      <c r="AH2209" s="33"/>
    </row>
    <row r="2210" hidden="1" outlineLevel="3">
      <c r="A2210" s="16" t="b">
        <v>0</v>
      </c>
      <c r="B2210" s="17"/>
      <c r="C2210" s="18"/>
      <c r="D2210" s="42"/>
      <c r="E2210" s="20"/>
      <c r="F2210" s="53"/>
      <c r="G2210" s="45"/>
      <c r="H2210" s="45"/>
      <c r="I2210" s="45"/>
      <c r="J2210" s="36"/>
      <c r="K2210" s="23"/>
      <c r="L2210" s="36"/>
      <c r="M2210" s="23"/>
      <c r="N2210" s="23"/>
      <c r="O2210" s="24"/>
      <c r="P2210" s="16" t="b">
        <v>0</v>
      </c>
      <c r="Q2210" s="24"/>
      <c r="R2210" s="48" t="str">
        <f t="shared" si="2103"/>
        <v/>
      </c>
      <c r="S2210" s="26"/>
      <c r="T2210" s="49" t="str">
        <f t="shared" si="2104"/>
        <v/>
      </c>
      <c r="U2210" s="24"/>
      <c r="V2210" s="66" t="s">
        <v>29</v>
      </c>
      <c r="W2210" s="29" t="str">
        <f t="shared" si="2024"/>
        <v>/</v>
      </c>
      <c r="X2210" s="37" t="s">
        <v>812</v>
      </c>
      <c r="Y2210" s="31"/>
      <c r="Z2210" s="26" t="str">
        <f t="shared" si="5"/>
        <v/>
      </c>
      <c r="AA2210" s="26" t="str">
        <f t="shared" si="6"/>
        <v/>
      </c>
      <c r="AB2210" s="32" t="str">
        <f t="shared" si="7"/>
        <v/>
      </c>
      <c r="AC2210" s="32" t="str">
        <f t="shared" ref="AC2210:AG2210" si="2232">IF(J2210&lt;&gt;"", IF(AND($P2210=FALSE, $A2210=FALSE), -J2210, IF(AND($P2210=FALSE, $A2210=TRUE), 0, IF($P2210=TRUE, (J2210 / $R2210) * 100 * ($S2210 / 100)-J2210, ))), )</f>
        <v/>
      </c>
      <c r="AD2210" s="32" t="str">
        <f t="shared" si="2232"/>
        <v/>
      </c>
      <c r="AE2210" s="32" t="str">
        <f t="shared" si="2232"/>
        <v/>
      </c>
      <c r="AF2210" s="32" t="str">
        <f t="shared" si="2232"/>
        <v/>
      </c>
      <c r="AG2210" s="32" t="str">
        <f t="shared" si="2232"/>
        <v/>
      </c>
      <c r="AH2210" s="33"/>
    </row>
    <row r="2211" hidden="1" outlineLevel="3">
      <c r="A2211" s="16" t="b">
        <v>0</v>
      </c>
      <c r="B2211" s="17"/>
      <c r="C2211" s="18"/>
      <c r="D2211" s="42"/>
      <c r="E2211" s="20"/>
      <c r="F2211" s="53"/>
      <c r="G2211" s="45"/>
      <c r="H2211" s="45"/>
      <c r="I2211" s="45"/>
      <c r="J2211" s="36"/>
      <c r="K2211" s="23"/>
      <c r="L2211" s="36"/>
      <c r="M2211" s="23"/>
      <c r="N2211" s="23"/>
      <c r="O2211" s="24"/>
      <c r="P2211" s="16" t="b">
        <v>0</v>
      </c>
      <c r="Q2211" s="24"/>
      <c r="R2211" s="48" t="str">
        <f t="shared" si="2103"/>
        <v/>
      </c>
      <c r="S2211" s="26"/>
      <c r="T2211" s="49" t="str">
        <f t="shared" si="2104"/>
        <v/>
      </c>
      <c r="U2211" s="24"/>
      <c r="V2211" s="66" t="s">
        <v>29</v>
      </c>
      <c r="W2211" s="29" t="str">
        <f t="shared" si="2024"/>
        <v>/</v>
      </c>
      <c r="X2211" s="37" t="s">
        <v>1402</v>
      </c>
      <c r="Y2211" s="31"/>
      <c r="Z2211" s="26" t="str">
        <f t="shared" si="5"/>
        <v/>
      </c>
      <c r="AA2211" s="26" t="str">
        <f t="shared" si="6"/>
        <v/>
      </c>
      <c r="AB2211" s="32" t="str">
        <f t="shared" si="7"/>
        <v/>
      </c>
      <c r="AC2211" s="32" t="str">
        <f t="shared" ref="AC2211:AG2211" si="2233">IF(J2211&lt;&gt;"", IF(AND($P2211=FALSE, $A2211=FALSE), -J2211, IF(AND($P2211=FALSE, $A2211=TRUE), 0, IF($P2211=TRUE, (J2211 / $R2211) * 100 * ($S2211 / 100)-J2211, ))), )</f>
        <v/>
      </c>
      <c r="AD2211" s="32" t="str">
        <f t="shared" si="2233"/>
        <v/>
      </c>
      <c r="AE2211" s="32" t="str">
        <f t="shared" si="2233"/>
        <v/>
      </c>
      <c r="AF2211" s="32" t="str">
        <f t="shared" si="2233"/>
        <v/>
      </c>
      <c r="AG2211" s="32" t="str">
        <f t="shared" si="2233"/>
        <v/>
      </c>
      <c r="AH2211" s="33"/>
    </row>
    <row r="2212" hidden="1" outlineLevel="2" collapsed="1">
      <c r="A2212" s="81" t="b">
        <v>0</v>
      </c>
      <c r="B2212" s="87"/>
      <c r="C2212" s="88"/>
      <c r="D2212" s="42">
        <v>45384.0</v>
      </c>
      <c r="E2212" s="43" t="s">
        <v>60</v>
      </c>
      <c r="F2212" s="53" t="s">
        <v>1400</v>
      </c>
      <c r="G2212" s="45">
        <v>2.0</v>
      </c>
      <c r="H2212" s="79"/>
      <c r="I2212" s="48">
        <v>3.0</v>
      </c>
      <c r="J2212" s="79"/>
      <c r="K2212" s="79"/>
      <c r="L2212" s="79"/>
      <c r="M2212" s="79"/>
      <c r="N2212" s="79"/>
      <c r="O2212" s="47"/>
      <c r="P2212" s="20" t="b">
        <v>0</v>
      </c>
      <c r="Q2212" s="47"/>
      <c r="R2212" s="48">
        <f t="shared" si="2103"/>
        <v>5</v>
      </c>
      <c r="S2212" s="45">
        <v>16.63</v>
      </c>
      <c r="T2212" s="49" t="str">
        <f t="shared" si="2104"/>
        <v>+233</v>
      </c>
      <c r="U2212" s="47"/>
      <c r="V2212" s="89" t="str">
        <f>IF(ISBLANK($D2212), "0",)</f>
        <v/>
      </c>
      <c r="W2212" s="90" t="str">
        <f t="shared" si="2024"/>
        <v/>
      </c>
      <c r="X2212" s="90"/>
      <c r="Y2212" s="84"/>
      <c r="Z2212" s="26">
        <f t="shared" si="5"/>
        <v>-2</v>
      </c>
      <c r="AA2212" s="26">
        <f t="shared" si="6"/>
        <v>-3</v>
      </c>
      <c r="AB2212" s="32" t="str">
        <f t="shared" si="7"/>
        <v/>
      </c>
      <c r="AC2212" s="32" t="str">
        <f t="shared" ref="AC2212:AG2212" si="2234">IF(J2212&lt;&gt;"", IF(AND($P2212=FALSE, $A2212=FALSE), -J2212, IF(AND($P2212=FALSE, $A2212=TRUE), 0, IF($P2212=TRUE, (J2212 / $R2212) * 100 * ($S2212 / 100)-J2212, ))), )</f>
        <v/>
      </c>
      <c r="AD2212" s="32" t="str">
        <f t="shared" si="2234"/>
        <v/>
      </c>
      <c r="AE2212" s="32" t="str">
        <f t="shared" si="2234"/>
        <v/>
      </c>
      <c r="AF2212" s="32" t="str">
        <f t="shared" si="2234"/>
        <v/>
      </c>
      <c r="AG2212" s="32" t="str">
        <f t="shared" si="2234"/>
        <v/>
      </c>
      <c r="AH2212" s="91"/>
    </row>
    <row r="2213" hidden="1" outlineLevel="3">
      <c r="A2213" s="16" t="b">
        <v>0</v>
      </c>
      <c r="B2213" s="17"/>
      <c r="C2213" s="18"/>
      <c r="D2213" s="42"/>
      <c r="E2213" s="20"/>
      <c r="F2213" s="53"/>
      <c r="G2213" s="45"/>
      <c r="H2213" s="45"/>
      <c r="I2213" s="45"/>
      <c r="J2213" s="36"/>
      <c r="K2213" s="23"/>
      <c r="L2213" s="36"/>
      <c r="M2213" s="23"/>
      <c r="N2213" s="23"/>
      <c r="O2213" s="24"/>
      <c r="P2213" s="16" t="b">
        <v>0</v>
      </c>
      <c r="Q2213" s="24"/>
      <c r="R2213" s="48" t="str">
        <f t="shared" si="2103"/>
        <v/>
      </c>
      <c r="S2213" s="26"/>
      <c r="T2213" s="49" t="str">
        <f t="shared" si="2104"/>
        <v/>
      </c>
      <c r="U2213" s="24"/>
      <c r="V2213" s="66" t="s">
        <v>358</v>
      </c>
      <c r="W2213" s="29" t="str">
        <f t="shared" si="2024"/>
        <v>/</v>
      </c>
      <c r="X2213" s="37" t="s">
        <v>1403</v>
      </c>
      <c r="Y2213" s="31"/>
      <c r="Z2213" s="26" t="str">
        <f t="shared" si="5"/>
        <v/>
      </c>
      <c r="AA2213" s="26" t="str">
        <f t="shared" si="6"/>
        <v/>
      </c>
      <c r="AB2213" s="32" t="str">
        <f t="shared" si="7"/>
        <v/>
      </c>
      <c r="AC2213" s="32" t="str">
        <f t="shared" ref="AC2213:AG2213" si="2235">IF(J2213&lt;&gt;"", IF(AND($P2213=FALSE, $A2213=FALSE), -J2213, IF(AND($P2213=FALSE, $A2213=TRUE), 0, IF($P2213=TRUE, (J2213 / $R2213) * 100 * ($S2213 / 100)-J2213, ))), )</f>
        <v/>
      </c>
      <c r="AD2213" s="32" t="str">
        <f t="shared" si="2235"/>
        <v/>
      </c>
      <c r="AE2213" s="32" t="str">
        <f t="shared" si="2235"/>
        <v/>
      </c>
      <c r="AF2213" s="32" t="str">
        <f t="shared" si="2235"/>
        <v/>
      </c>
      <c r="AG2213" s="32" t="str">
        <f t="shared" si="2235"/>
        <v/>
      </c>
      <c r="AH2213" s="33"/>
    </row>
    <row r="2214" hidden="1" outlineLevel="3">
      <c r="A2214" s="16" t="b">
        <v>0</v>
      </c>
      <c r="B2214" s="17"/>
      <c r="C2214" s="18"/>
      <c r="D2214" s="42"/>
      <c r="E2214" s="20"/>
      <c r="F2214" s="53"/>
      <c r="G2214" s="45"/>
      <c r="H2214" s="45"/>
      <c r="I2214" s="45"/>
      <c r="J2214" s="36"/>
      <c r="K2214" s="23"/>
      <c r="L2214" s="36"/>
      <c r="M2214" s="23"/>
      <c r="N2214" s="23"/>
      <c r="O2214" s="24"/>
      <c r="P2214" s="16" t="b">
        <v>0</v>
      </c>
      <c r="Q2214" s="24"/>
      <c r="R2214" s="48" t="str">
        <f t="shared" si="2103"/>
        <v/>
      </c>
      <c r="S2214" s="26"/>
      <c r="T2214" s="49" t="str">
        <f t="shared" si="2104"/>
        <v/>
      </c>
      <c r="U2214" s="24"/>
      <c r="V2214" s="66">
        <v>5.0</v>
      </c>
      <c r="W2214" s="29" t="str">
        <f t="shared" si="2024"/>
        <v>/</v>
      </c>
      <c r="X2214" s="37" t="s">
        <v>1404</v>
      </c>
      <c r="Y2214" s="31"/>
      <c r="Z2214" s="26" t="str">
        <f t="shared" si="5"/>
        <v/>
      </c>
      <c r="AA2214" s="26" t="str">
        <f t="shared" si="6"/>
        <v/>
      </c>
      <c r="AB2214" s="32" t="str">
        <f t="shared" si="7"/>
        <v/>
      </c>
      <c r="AC2214" s="32" t="str">
        <f t="shared" ref="AC2214:AG2214" si="2236">IF(J2214&lt;&gt;"", IF(AND($P2214=FALSE, $A2214=FALSE), -J2214, IF(AND($P2214=FALSE, $A2214=TRUE), 0, IF($P2214=TRUE, (J2214 / $R2214) * 100 * ($S2214 / 100)-J2214, ))), )</f>
        <v/>
      </c>
      <c r="AD2214" s="32" t="str">
        <f t="shared" si="2236"/>
        <v/>
      </c>
      <c r="AE2214" s="32" t="str">
        <f t="shared" si="2236"/>
        <v/>
      </c>
      <c r="AF2214" s="32" t="str">
        <f t="shared" si="2236"/>
        <v/>
      </c>
      <c r="AG2214" s="32" t="str">
        <f t="shared" si="2236"/>
        <v/>
      </c>
      <c r="AH2214" s="33"/>
    </row>
    <row r="2215" hidden="1" outlineLevel="3">
      <c r="A2215" s="16" t="b">
        <v>0</v>
      </c>
      <c r="B2215" s="17"/>
      <c r="C2215" s="18"/>
      <c r="D2215" s="42"/>
      <c r="E2215" s="20"/>
      <c r="F2215" s="53"/>
      <c r="G2215" s="45"/>
      <c r="H2215" s="45"/>
      <c r="I2215" s="45"/>
      <c r="J2215" s="36"/>
      <c r="K2215" s="23"/>
      <c r="L2215" s="36"/>
      <c r="M2215" s="23"/>
      <c r="N2215" s="23"/>
      <c r="O2215" s="24"/>
      <c r="P2215" s="16" t="b">
        <v>0</v>
      </c>
      <c r="Q2215" s="24"/>
      <c r="R2215" s="48" t="str">
        <f t="shared" si="2103"/>
        <v/>
      </c>
      <c r="S2215" s="26"/>
      <c r="T2215" s="49" t="str">
        <f t="shared" si="2104"/>
        <v/>
      </c>
      <c r="U2215" s="24"/>
      <c r="V2215" s="66">
        <v>21.0</v>
      </c>
      <c r="W2215" s="29" t="str">
        <f t="shared" si="2024"/>
        <v>/</v>
      </c>
      <c r="X2215" s="37" t="s">
        <v>1405</v>
      </c>
      <c r="Y2215" s="31"/>
      <c r="Z2215" s="26" t="str">
        <f t="shared" si="5"/>
        <v/>
      </c>
      <c r="AA2215" s="26" t="str">
        <f t="shared" si="6"/>
        <v/>
      </c>
      <c r="AB2215" s="32" t="str">
        <f t="shared" si="7"/>
        <v/>
      </c>
      <c r="AC2215" s="32" t="str">
        <f t="shared" ref="AC2215:AG2215" si="2237">IF(J2215&lt;&gt;"", IF(AND($P2215=FALSE, $A2215=FALSE), -J2215, IF(AND($P2215=FALSE, $A2215=TRUE), 0, IF($P2215=TRUE, (J2215 / $R2215) * 100 * ($S2215 / 100)-J2215, ))), )</f>
        <v/>
      </c>
      <c r="AD2215" s="32" t="str">
        <f t="shared" si="2237"/>
        <v/>
      </c>
      <c r="AE2215" s="32" t="str">
        <f t="shared" si="2237"/>
        <v/>
      </c>
      <c r="AF2215" s="32" t="str">
        <f t="shared" si="2237"/>
        <v/>
      </c>
      <c r="AG2215" s="32" t="str">
        <f t="shared" si="2237"/>
        <v/>
      </c>
      <c r="AH2215" s="33"/>
    </row>
    <row r="2216" hidden="1" outlineLevel="2">
      <c r="A2216" s="81" t="b">
        <v>0</v>
      </c>
      <c r="B2216" s="87"/>
      <c r="C2216" s="88"/>
      <c r="D2216" s="42">
        <v>45384.0</v>
      </c>
      <c r="E2216" s="43" t="s">
        <v>60</v>
      </c>
      <c r="F2216" s="53" t="s">
        <v>1400</v>
      </c>
      <c r="G2216" s="45">
        <v>2.0</v>
      </c>
      <c r="H2216" s="79"/>
      <c r="I2216" s="48">
        <v>3.0</v>
      </c>
      <c r="J2216" s="79"/>
      <c r="K2216" s="79"/>
      <c r="L2216" s="79"/>
      <c r="M2216" s="79"/>
      <c r="N2216" s="79"/>
      <c r="O2216" s="47"/>
      <c r="P2216" s="20" t="b">
        <v>0</v>
      </c>
      <c r="Q2216" s="47"/>
      <c r="R2216" s="48">
        <f t="shared" si="2103"/>
        <v>5</v>
      </c>
      <c r="S2216" s="45">
        <v>19.02</v>
      </c>
      <c r="T2216" s="49" t="str">
        <f t="shared" si="2104"/>
        <v>+280</v>
      </c>
      <c r="U2216" s="47"/>
      <c r="V2216" s="89" t="str">
        <f>IF(ISBLANK($D2216), "0",)</f>
        <v/>
      </c>
      <c r="W2216" s="90" t="str">
        <f t="shared" si="2024"/>
        <v/>
      </c>
      <c r="X2216" s="90"/>
      <c r="Y2216" s="84"/>
      <c r="Z2216" s="26">
        <f t="shared" si="5"/>
        <v>-2</v>
      </c>
      <c r="AA2216" s="26">
        <f t="shared" si="6"/>
        <v>-3</v>
      </c>
      <c r="AB2216" s="32" t="str">
        <f t="shared" si="7"/>
        <v/>
      </c>
      <c r="AC2216" s="32" t="str">
        <f t="shared" ref="AC2216:AG2216" si="2238">IF(J2216&lt;&gt;"", IF(AND($P2216=FALSE, $A2216=FALSE), -J2216, IF(AND($P2216=FALSE, $A2216=TRUE), 0, IF($P2216=TRUE, (J2216 / $R2216) * 100 * ($S2216 / 100)-J2216, ))), )</f>
        <v/>
      </c>
      <c r="AD2216" s="32" t="str">
        <f t="shared" si="2238"/>
        <v/>
      </c>
      <c r="AE2216" s="32" t="str">
        <f t="shared" si="2238"/>
        <v/>
      </c>
      <c r="AF2216" s="32" t="str">
        <f t="shared" si="2238"/>
        <v/>
      </c>
      <c r="AG2216" s="32" t="str">
        <f t="shared" si="2238"/>
        <v/>
      </c>
      <c r="AH2216" s="91"/>
    </row>
    <row r="2217" hidden="1" outlineLevel="3">
      <c r="A2217" s="16" t="b">
        <v>0</v>
      </c>
      <c r="B2217" s="17"/>
      <c r="C2217" s="18"/>
      <c r="D2217" s="42"/>
      <c r="E2217" s="20"/>
      <c r="F2217" s="53"/>
      <c r="G2217" s="45"/>
      <c r="H2217" s="45"/>
      <c r="I2217" s="45"/>
      <c r="J2217" s="36"/>
      <c r="K2217" s="23"/>
      <c r="L2217" s="36"/>
      <c r="M2217" s="23"/>
      <c r="N2217" s="23"/>
      <c r="O2217" s="24"/>
      <c r="P2217" s="16" t="b">
        <v>0</v>
      </c>
      <c r="Q2217" s="24"/>
      <c r="R2217" s="48" t="str">
        <f t="shared" si="2103"/>
        <v/>
      </c>
      <c r="S2217" s="26"/>
      <c r="T2217" s="49" t="str">
        <f t="shared" si="2104"/>
        <v/>
      </c>
      <c r="U2217" s="24"/>
      <c r="V2217" s="66" t="s">
        <v>29</v>
      </c>
      <c r="W2217" s="29" t="str">
        <f t="shared" si="2024"/>
        <v>/</v>
      </c>
      <c r="X2217" s="37" t="s">
        <v>1406</v>
      </c>
      <c r="Y2217" s="31"/>
      <c r="Z2217" s="26" t="str">
        <f t="shared" si="5"/>
        <v/>
      </c>
      <c r="AA2217" s="26" t="str">
        <f t="shared" si="6"/>
        <v/>
      </c>
      <c r="AB2217" s="32" t="str">
        <f t="shared" si="7"/>
        <v/>
      </c>
      <c r="AC2217" s="32" t="str">
        <f t="shared" ref="AC2217:AG2217" si="2239">IF(J2217&lt;&gt;"", IF(AND($P2217=FALSE, $A2217=FALSE), -J2217, IF(AND($P2217=FALSE, $A2217=TRUE), 0, IF($P2217=TRUE, (J2217 / $R2217) * 100 * ($S2217 / 100)-J2217, ))), )</f>
        <v/>
      </c>
      <c r="AD2217" s="32" t="str">
        <f t="shared" si="2239"/>
        <v/>
      </c>
      <c r="AE2217" s="32" t="str">
        <f t="shared" si="2239"/>
        <v/>
      </c>
      <c r="AF2217" s="32" t="str">
        <f t="shared" si="2239"/>
        <v/>
      </c>
      <c r="AG2217" s="32" t="str">
        <f t="shared" si="2239"/>
        <v/>
      </c>
      <c r="AH2217" s="33"/>
    </row>
    <row r="2218" hidden="1" outlineLevel="3">
      <c r="A2218" s="16" t="b">
        <v>0</v>
      </c>
      <c r="B2218" s="17"/>
      <c r="C2218" s="18"/>
      <c r="D2218" s="42"/>
      <c r="E2218" s="20"/>
      <c r="F2218" s="53"/>
      <c r="G2218" s="45"/>
      <c r="H2218" s="45"/>
      <c r="I2218" s="45"/>
      <c r="J2218" s="36"/>
      <c r="K2218" s="23"/>
      <c r="L2218" s="36"/>
      <c r="M2218" s="23"/>
      <c r="N2218" s="23"/>
      <c r="O2218" s="24"/>
      <c r="P2218" s="16" t="b">
        <v>0</v>
      </c>
      <c r="Q2218" s="24"/>
      <c r="R2218" s="48" t="str">
        <f t="shared" si="2103"/>
        <v/>
      </c>
      <c r="S2218" s="26"/>
      <c r="T2218" s="49" t="str">
        <f t="shared" si="2104"/>
        <v/>
      </c>
      <c r="U2218" s="24"/>
      <c r="V2218" s="66" t="s">
        <v>29</v>
      </c>
      <c r="W2218" s="29" t="str">
        <f t="shared" si="2024"/>
        <v>/</v>
      </c>
      <c r="X2218" s="37" t="s">
        <v>1407</v>
      </c>
      <c r="Y2218" s="31"/>
      <c r="Z2218" s="26" t="str">
        <f t="shared" si="5"/>
        <v/>
      </c>
      <c r="AA2218" s="26" t="str">
        <f t="shared" si="6"/>
        <v/>
      </c>
      <c r="AB2218" s="32" t="str">
        <f t="shared" si="7"/>
        <v/>
      </c>
      <c r="AC2218" s="32" t="str">
        <f t="shared" ref="AC2218:AG2218" si="2240">IF(J2218&lt;&gt;"", IF(AND($P2218=FALSE, $A2218=FALSE), -J2218, IF(AND($P2218=FALSE, $A2218=TRUE), 0, IF($P2218=TRUE, (J2218 / $R2218) * 100 * ($S2218 / 100)-J2218, ))), )</f>
        <v/>
      </c>
      <c r="AD2218" s="32" t="str">
        <f t="shared" si="2240"/>
        <v/>
      </c>
      <c r="AE2218" s="32" t="str">
        <f t="shared" si="2240"/>
        <v/>
      </c>
      <c r="AF2218" s="32" t="str">
        <f t="shared" si="2240"/>
        <v/>
      </c>
      <c r="AG2218" s="32" t="str">
        <f t="shared" si="2240"/>
        <v/>
      </c>
      <c r="AH2218" s="33"/>
    </row>
    <row r="2219" hidden="1" outlineLevel="3">
      <c r="A2219" s="16" t="b">
        <v>0</v>
      </c>
      <c r="B2219" s="17"/>
      <c r="C2219" s="18"/>
      <c r="D2219" s="42"/>
      <c r="E2219" s="20"/>
      <c r="F2219" s="53"/>
      <c r="G2219" s="45"/>
      <c r="H2219" s="45"/>
      <c r="I2219" s="45"/>
      <c r="J2219" s="36"/>
      <c r="K2219" s="23"/>
      <c r="L2219" s="36"/>
      <c r="M2219" s="23"/>
      <c r="N2219" s="23"/>
      <c r="O2219" s="24"/>
      <c r="P2219" s="16" t="b">
        <v>0</v>
      </c>
      <c r="Q2219" s="24"/>
      <c r="R2219" s="48" t="str">
        <f t="shared" si="2103"/>
        <v/>
      </c>
      <c r="S2219" s="26"/>
      <c r="T2219" s="49" t="str">
        <f t="shared" si="2104"/>
        <v/>
      </c>
      <c r="U2219" s="24"/>
      <c r="V2219" s="66" t="s">
        <v>29</v>
      </c>
      <c r="W2219" s="29" t="str">
        <f t="shared" si="2024"/>
        <v>/</v>
      </c>
      <c r="X2219" s="37" t="s">
        <v>1391</v>
      </c>
      <c r="Y2219" s="31"/>
      <c r="Z2219" s="26" t="str">
        <f t="shared" si="5"/>
        <v/>
      </c>
      <c r="AA2219" s="26" t="str">
        <f t="shared" si="6"/>
        <v/>
      </c>
      <c r="AB2219" s="32" t="str">
        <f t="shared" si="7"/>
        <v/>
      </c>
      <c r="AC2219" s="32" t="str">
        <f t="shared" ref="AC2219:AG2219" si="2241">IF(J2219&lt;&gt;"", IF(AND($P2219=FALSE, $A2219=FALSE), -J2219, IF(AND($P2219=FALSE, $A2219=TRUE), 0, IF($P2219=TRUE, (J2219 / $R2219) * 100 * ($S2219 / 100)-J2219, ))), )</f>
        <v/>
      </c>
      <c r="AD2219" s="32" t="str">
        <f t="shared" si="2241"/>
        <v/>
      </c>
      <c r="AE2219" s="32" t="str">
        <f t="shared" si="2241"/>
        <v/>
      </c>
      <c r="AF2219" s="32" t="str">
        <f t="shared" si="2241"/>
        <v/>
      </c>
      <c r="AG2219" s="32" t="str">
        <f t="shared" si="2241"/>
        <v/>
      </c>
      <c r="AH2219" s="33"/>
    </row>
    <row r="2220" hidden="1" outlineLevel="3">
      <c r="A2220" s="16" t="b">
        <v>0</v>
      </c>
      <c r="B2220" s="17"/>
      <c r="C2220" s="18"/>
      <c r="D2220" s="42"/>
      <c r="E2220" s="20"/>
      <c r="F2220" s="53"/>
      <c r="G2220" s="45"/>
      <c r="H2220" s="45"/>
      <c r="I2220" s="45"/>
      <c r="J2220" s="36"/>
      <c r="K2220" s="23"/>
      <c r="L2220" s="36"/>
      <c r="M2220" s="23"/>
      <c r="N2220" s="23"/>
      <c r="O2220" s="24"/>
      <c r="P2220" s="16" t="b">
        <v>0</v>
      </c>
      <c r="Q2220" s="24"/>
      <c r="R2220" s="48" t="str">
        <f t="shared" si="2103"/>
        <v/>
      </c>
      <c r="S2220" s="26"/>
      <c r="T2220" s="49" t="str">
        <f t="shared" si="2104"/>
        <v/>
      </c>
      <c r="U2220" s="24"/>
      <c r="V2220" s="66" t="s">
        <v>29</v>
      </c>
      <c r="W2220" s="29" t="str">
        <f t="shared" si="2024"/>
        <v>/</v>
      </c>
      <c r="X2220" s="37" t="s">
        <v>816</v>
      </c>
      <c r="Y2220" s="31"/>
      <c r="Z2220" s="26" t="str">
        <f t="shared" si="5"/>
        <v/>
      </c>
      <c r="AA2220" s="26" t="str">
        <f t="shared" si="6"/>
        <v/>
      </c>
      <c r="AB2220" s="32" t="str">
        <f t="shared" si="7"/>
        <v/>
      </c>
      <c r="AC2220" s="32" t="str">
        <f t="shared" ref="AC2220:AG2220" si="2242">IF(J2220&lt;&gt;"", IF(AND($P2220=FALSE, $A2220=FALSE), -J2220, IF(AND($P2220=FALSE, $A2220=TRUE), 0, IF($P2220=TRUE, (J2220 / $R2220) * 100 * ($S2220 / 100)-J2220, ))), )</f>
        <v/>
      </c>
      <c r="AD2220" s="32" t="str">
        <f t="shared" si="2242"/>
        <v/>
      </c>
      <c r="AE2220" s="32" t="str">
        <f t="shared" si="2242"/>
        <v/>
      </c>
      <c r="AF2220" s="32" t="str">
        <f t="shared" si="2242"/>
        <v/>
      </c>
      <c r="AG2220" s="32" t="str">
        <f t="shared" si="2242"/>
        <v/>
      </c>
      <c r="AH2220" s="33"/>
    </row>
    <row r="2221" hidden="1" outlineLevel="3">
      <c r="A2221" s="16" t="b">
        <v>0</v>
      </c>
      <c r="B2221" s="17"/>
      <c r="C2221" s="18"/>
      <c r="D2221" s="42"/>
      <c r="E2221" s="20"/>
      <c r="F2221" s="53"/>
      <c r="G2221" s="45"/>
      <c r="H2221" s="45"/>
      <c r="I2221" s="45"/>
      <c r="J2221" s="36"/>
      <c r="K2221" s="23"/>
      <c r="L2221" s="36"/>
      <c r="M2221" s="23"/>
      <c r="N2221" s="23"/>
      <c r="O2221" s="24"/>
      <c r="P2221" s="16" t="b">
        <v>0</v>
      </c>
      <c r="Q2221" s="24"/>
      <c r="R2221" s="48" t="str">
        <f t="shared" si="2103"/>
        <v/>
      </c>
      <c r="S2221" s="26"/>
      <c r="T2221" s="49" t="str">
        <f t="shared" si="2104"/>
        <v/>
      </c>
      <c r="U2221" s="24"/>
      <c r="V2221" s="66">
        <v>6.0</v>
      </c>
      <c r="W2221" s="29" t="str">
        <f t="shared" si="2024"/>
        <v>/</v>
      </c>
      <c r="X2221" s="37" t="s">
        <v>1408</v>
      </c>
      <c r="Y2221" s="31"/>
      <c r="Z2221" s="26" t="str">
        <f t="shared" si="5"/>
        <v/>
      </c>
      <c r="AA2221" s="26" t="str">
        <f t="shared" si="6"/>
        <v/>
      </c>
      <c r="AB2221" s="32" t="str">
        <f t="shared" si="7"/>
        <v/>
      </c>
      <c r="AC2221" s="32" t="str">
        <f t="shared" ref="AC2221:AG2221" si="2243">IF(J2221&lt;&gt;"", IF(AND($P2221=FALSE, $A2221=FALSE), -J2221, IF(AND($P2221=FALSE, $A2221=TRUE), 0, IF($P2221=TRUE, (J2221 / $R2221) * 100 * ($S2221 / 100)-J2221, ))), )</f>
        <v/>
      </c>
      <c r="AD2221" s="32" t="str">
        <f t="shared" si="2243"/>
        <v/>
      </c>
      <c r="AE2221" s="32" t="str">
        <f t="shared" si="2243"/>
        <v/>
      </c>
      <c r="AF2221" s="32" t="str">
        <f t="shared" si="2243"/>
        <v/>
      </c>
      <c r="AG2221" s="32" t="str">
        <f t="shared" si="2243"/>
        <v/>
      </c>
      <c r="AH2221" s="33"/>
    </row>
    <row r="2222" hidden="1" outlineLevel="1" collapsed="1">
      <c r="A2222" s="81" t="b">
        <v>0</v>
      </c>
      <c r="B2222" s="87"/>
      <c r="C2222" s="88"/>
      <c r="D2222" s="42">
        <v>45385.0</v>
      </c>
      <c r="E2222" s="43" t="s">
        <v>60</v>
      </c>
      <c r="F2222" s="53" t="s">
        <v>1400</v>
      </c>
      <c r="G2222" s="45">
        <v>3.0</v>
      </c>
      <c r="H2222" s="79"/>
      <c r="I2222" s="48">
        <v>3.0</v>
      </c>
      <c r="J2222" s="79"/>
      <c r="K2222" s="79"/>
      <c r="L2222" s="79"/>
      <c r="M2222" s="79"/>
      <c r="N2222" s="79"/>
      <c r="O2222" s="47"/>
      <c r="P2222" s="20" t="b">
        <v>0</v>
      </c>
      <c r="Q2222" s="47"/>
      <c r="R2222" s="48">
        <f t="shared" si="2103"/>
        <v>6</v>
      </c>
      <c r="S2222" s="45">
        <v>14.71</v>
      </c>
      <c r="T2222" s="49" t="str">
        <f t="shared" si="2104"/>
        <v>+145</v>
      </c>
      <c r="U2222" s="47"/>
      <c r="V2222" s="89" t="str">
        <f>IF(ISBLANK($D2222), "0",)</f>
        <v/>
      </c>
      <c r="W2222" s="90" t="str">
        <f t="shared" si="2024"/>
        <v/>
      </c>
      <c r="X2222" s="90"/>
      <c r="Y2222" s="84"/>
      <c r="Z2222" s="26">
        <f t="shared" si="5"/>
        <v>-3</v>
      </c>
      <c r="AA2222" s="26">
        <f t="shared" si="6"/>
        <v>-3</v>
      </c>
      <c r="AB2222" s="32" t="str">
        <f t="shared" si="7"/>
        <v/>
      </c>
      <c r="AC2222" s="32" t="str">
        <f t="shared" ref="AC2222:AG2222" si="2244">IF(J2222&lt;&gt;"", IF(AND($P2222=FALSE, $A2222=FALSE), -J2222, IF(AND($P2222=FALSE, $A2222=TRUE), 0, IF($P2222=TRUE, (J2222 / $R2222) * 100 * ($S2222 / 100)-J2222, ))), )</f>
        <v/>
      </c>
      <c r="AD2222" s="32" t="str">
        <f t="shared" si="2244"/>
        <v/>
      </c>
      <c r="AE2222" s="32" t="str">
        <f t="shared" si="2244"/>
        <v/>
      </c>
      <c r="AF2222" s="32" t="str">
        <f t="shared" si="2244"/>
        <v/>
      </c>
      <c r="AG2222" s="32" t="str">
        <f t="shared" si="2244"/>
        <v/>
      </c>
      <c r="AH2222" s="91"/>
    </row>
    <row r="2223" hidden="1" outlineLevel="3">
      <c r="A2223" s="16" t="b">
        <v>0</v>
      </c>
      <c r="B2223" s="17"/>
      <c r="C2223" s="18"/>
      <c r="D2223" s="42"/>
      <c r="E2223" s="20"/>
      <c r="F2223" s="53"/>
      <c r="G2223" s="45"/>
      <c r="H2223" s="45"/>
      <c r="I2223" s="45"/>
      <c r="J2223" s="36"/>
      <c r="K2223" s="23"/>
      <c r="L2223" s="36"/>
      <c r="M2223" s="23"/>
      <c r="N2223" s="23"/>
      <c r="O2223" s="24"/>
      <c r="P2223" s="16" t="b">
        <v>0</v>
      </c>
      <c r="Q2223" s="24"/>
      <c r="R2223" s="48" t="str">
        <f t="shared" si="2103"/>
        <v/>
      </c>
      <c r="S2223" s="26"/>
      <c r="T2223" s="49" t="str">
        <f t="shared" si="2104"/>
        <v/>
      </c>
      <c r="U2223" s="24"/>
      <c r="V2223" s="66" t="s">
        <v>29</v>
      </c>
      <c r="W2223" s="29" t="str">
        <f t="shared" si="2024"/>
        <v>/</v>
      </c>
      <c r="X2223" s="37" t="s">
        <v>984</v>
      </c>
      <c r="Y2223" s="31"/>
      <c r="Z2223" s="26" t="str">
        <f t="shared" si="5"/>
        <v/>
      </c>
      <c r="AA2223" s="26" t="str">
        <f t="shared" si="6"/>
        <v/>
      </c>
      <c r="AB2223" s="32" t="str">
        <f t="shared" si="7"/>
        <v/>
      </c>
      <c r="AC2223" s="32" t="str">
        <f t="shared" ref="AC2223:AG2223" si="2245">IF(J2223&lt;&gt;"", IF(AND($P2223=FALSE, $A2223=FALSE), -J2223, IF(AND($P2223=FALSE, $A2223=TRUE), 0, IF($P2223=TRUE, (J2223 / $R2223) * 100 * ($S2223 / 100)-J2223, ))), )</f>
        <v/>
      </c>
      <c r="AD2223" s="32" t="str">
        <f t="shared" si="2245"/>
        <v/>
      </c>
      <c r="AE2223" s="32" t="str">
        <f t="shared" si="2245"/>
        <v/>
      </c>
      <c r="AF2223" s="32" t="str">
        <f t="shared" si="2245"/>
        <v/>
      </c>
      <c r="AG2223" s="32" t="str">
        <f t="shared" si="2245"/>
        <v/>
      </c>
      <c r="AH2223" s="33"/>
    </row>
    <row r="2224" hidden="1" outlineLevel="3">
      <c r="A2224" s="16" t="b">
        <v>0</v>
      </c>
      <c r="B2224" s="17"/>
      <c r="C2224" s="18"/>
      <c r="D2224" s="42"/>
      <c r="E2224" s="20"/>
      <c r="F2224" s="53"/>
      <c r="G2224" s="45"/>
      <c r="H2224" s="45"/>
      <c r="I2224" s="45"/>
      <c r="J2224" s="36"/>
      <c r="K2224" s="23"/>
      <c r="L2224" s="36"/>
      <c r="M2224" s="23"/>
      <c r="N2224" s="23"/>
      <c r="O2224" s="24"/>
      <c r="P2224" s="16" t="b">
        <v>0</v>
      </c>
      <c r="Q2224" s="24"/>
      <c r="R2224" s="48" t="str">
        <f t="shared" si="2103"/>
        <v/>
      </c>
      <c r="S2224" s="26"/>
      <c r="T2224" s="49" t="str">
        <f t="shared" si="2104"/>
        <v/>
      </c>
      <c r="U2224" s="24"/>
      <c r="V2224" s="66">
        <v>3.0</v>
      </c>
      <c r="W2224" s="29" t="str">
        <f t="shared" si="2024"/>
        <v>/</v>
      </c>
      <c r="X2224" s="37" t="s">
        <v>1409</v>
      </c>
      <c r="Y2224" s="31"/>
      <c r="Z2224" s="26" t="str">
        <f t="shared" si="5"/>
        <v/>
      </c>
      <c r="AA2224" s="26" t="str">
        <f t="shared" si="6"/>
        <v/>
      </c>
      <c r="AB2224" s="32" t="str">
        <f t="shared" si="7"/>
        <v/>
      </c>
      <c r="AC2224" s="32" t="str">
        <f t="shared" ref="AC2224:AG2224" si="2246">IF(J2224&lt;&gt;"", IF(AND($P2224=FALSE, $A2224=FALSE), -J2224, IF(AND($P2224=FALSE, $A2224=TRUE), 0, IF($P2224=TRUE, (J2224 / $R2224) * 100 * ($S2224 / 100)-J2224, ))), )</f>
        <v/>
      </c>
      <c r="AD2224" s="32" t="str">
        <f t="shared" si="2246"/>
        <v/>
      </c>
      <c r="AE2224" s="32" t="str">
        <f t="shared" si="2246"/>
        <v/>
      </c>
      <c r="AF2224" s="32" t="str">
        <f t="shared" si="2246"/>
        <v/>
      </c>
      <c r="AG2224" s="32" t="str">
        <f t="shared" si="2246"/>
        <v/>
      </c>
      <c r="AH2224" s="33"/>
    </row>
    <row r="2225" hidden="1" outlineLevel="3">
      <c r="A2225" s="16" t="b">
        <v>0</v>
      </c>
      <c r="B2225" s="17"/>
      <c r="C2225" s="18"/>
      <c r="D2225" s="42"/>
      <c r="E2225" s="20"/>
      <c r="F2225" s="53"/>
      <c r="G2225" s="45"/>
      <c r="H2225" s="45"/>
      <c r="I2225" s="45"/>
      <c r="J2225" s="36"/>
      <c r="K2225" s="23"/>
      <c r="L2225" s="36"/>
      <c r="M2225" s="23"/>
      <c r="N2225" s="23"/>
      <c r="O2225" s="24"/>
      <c r="P2225" s="16" t="b">
        <v>0</v>
      </c>
      <c r="Q2225" s="24"/>
      <c r="R2225" s="48" t="str">
        <f t="shared" si="2103"/>
        <v/>
      </c>
      <c r="S2225" s="26"/>
      <c r="T2225" s="49" t="str">
        <f t="shared" si="2104"/>
        <v/>
      </c>
      <c r="U2225" s="24"/>
      <c r="V2225" s="66" t="s">
        <v>29</v>
      </c>
      <c r="W2225" s="29" t="str">
        <f t="shared" si="2024"/>
        <v>/</v>
      </c>
      <c r="X2225" s="37" t="s">
        <v>289</v>
      </c>
      <c r="Y2225" s="31"/>
      <c r="Z2225" s="26" t="str">
        <f t="shared" si="5"/>
        <v/>
      </c>
      <c r="AA2225" s="26" t="str">
        <f t="shared" si="6"/>
        <v/>
      </c>
      <c r="AB2225" s="32" t="str">
        <f t="shared" si="7"/>
        <v/>
      </c>
      <c r="AC2225" s="32" t="str">
        <f t="shared" ref="AC2225:AG2225" si="2247">IF(J2225&lt;&gt;"", IF(AND($P2225=FALSE, $A2225=FALSE), -J2225, IF(AND($P2225=FALSE, $A2225=TRUE), 0, IF($P2225=TRUE, (J2225 / $R2225) * 100 * ($S2225 / 100)-J2225, ))), )</f>
        <v/>
      </c>
      <c r="AD2225" s="32" t="str">
        <f t="shared" si="2247"/>
        <v/>
      </c>
      <c r="AE2225" s="32" t="str">
        <f t="shared" si="2247"/>
        <v/>
      </c>
      <c r="AF2225" s="32" t="str">
        <f t="shared" si="2247"/>
        <v/>
      </c>
      <c r="AG2225" s="32" t="str">
        <f t="shared" si="2247"/>
        <v/>
      </c>
      <c r="AH2225" s="33"/>
    </row>
    <row r="2226" hidden="1" outlineLevel="3">
      <c r="A2226" s="16" t="b">
        <v>0</v>
      </c>
      <c r="B2226" s="17"/>
      <c r="C2226" s="18"/>
      <c r="D2226" s="42"/>
      <c r="E2226" s="20"/>
      <c r="F2226" s="53"/>
      <c r="G2226" s="45"/>
      <c r="H2226" s="45"/>
      <c r="I2226" s="45"/>
      <c r="J2226" s="36"/>
      <c r="K2226" s="23"/>
      <c r="L2226" s="36"/>
      <c r="M2226" s="23"/>
      <c r="N2226" s="23"/>
      <c r="O2226" s="24"/>
      <c r="P2226" s="16" t="b">
        <v>0</v>
      </c>
      <c r="Q2226" s="24"/>
      <c r="R2226" s="48" t="str">
        <f t="shared" si="2103"/>
        <v/>
      </c>
      <c r="S2226" s="26"/>
      <c r="T2226" s="49" t="str">
        <f t="shared" si="2104"/>
        <v/>
      </c>
      <c r="U2226" s="24"/>
      <c r="V2226" s="66" t="s">
        <v>29</v>
      </c>
      <c r="W2226" s="29" t="str">
        <f t="shared" si="2024"/>
        <v>/</v>
      </c>
      <c r="X2226" s="37" t="s">
        <v>1410</v>
      </c>
      <c r="Y2226" s="31"/>
      <c r="Z2226" s="26" t="str">
        <f t="shared" si="5"/>
        <v/>
      </c>
      <c r="AA2226" s="26" t="str">
        <f t="shared" si="6"/>
        <v/>
      </c>
      <c r="AB2226" s="32" t="str">
        <f t="shared" si="7"/>
        <v/>
      </c>
      <c r="AC2226" s="32" t="str">
        <f t="shared" ref="AC2226:AG2226" si="2248">IF(J2226&lt;&gt;"", IF(AND($P2226=FALSE, $A2226=FALSE), -J2226, IF(AND($P2226=FALSE, $A2226=TRUE), 0, IF($P2226=TRUE, (J2226 / $R2226) * 100 * ($S2226 / 100)-J2226, ))), )</f>
        <v/>
      </c>
      <c r="AD2226" s="32" t="str">
        <f t="shared" si="2248"/>
        <v/>
      </c>
      <c r="AE2226" s="32" t="str">
        <f t="shared" si="2248"/>
        <v/>
      </c>
      <c r="AF2226" s="32" t="str">
        <f t="shared" si="2248"/>
        <v/>
      </c>
      <c r="AG2226" s="32" t="str">
        <f t="shared" si="2248"/>
        <v/>
      </c>
      <c r="AH2226" s="33"/>
    </row>
    <row r="2227" hidden="1" outlineLevel="3">
      <c r="A2227" s="16" t="b">
        <v>0</v>
      </c>
      <c r="B2227" s="17"/>
      <c r="C2227" s="18"/>
      <c r="D2227" s="42"/>
      <c r="E2227" s="20"/>
      <c r="F2227" s="53"/>
      <c r="G2227" s="45"/>
      <c r="H2227" s="45"/>
      <c r="I2227" s="45"/>
      <c r="J2227" s="36"/>
      <c r="K2227" s="23"/>
      <c r="L2227" s="36"/>
      <c r="M2227" s="23"/>
      <c r="N2227" s="23"/>
      <c r="O2227" s="24"/>
      <c r="P2227" s="16" t="b">
        <v>0</v>
      </c>
      <c r="Q2227" s="24"/>
      <c r="R2227" s="48" t="str">
        <f t="shared" si="2103"/>
        <v/>
      </c>
      <c r="S2227" s="26"/>
      <c r="T2227" s="49" t="str">
        <f t="shared" si="2104"/>
        <v/>
      </c>
      <c r="U2227" s="24"/>
      <c r="V2227" s="66" t="s">
        <v>29</v>
      </c>
      <c r="W2227" s="29" t="str">
        <f t="shared" si="2024"/>
        <v>/</v>
      </c>
      <c r="X2227" s="37" t="s">
        <v>1411</v>
      </c>
      <c r="Y2227" s="31"/>
      <c r="Z2227" s="26" t="str">
        <f t="shared" si="5"/>
        <v/>
      </c>
      <c r="AA2227" s="26" t="str">
        <f t="shared" si="6"/>
        <v/>
      </c>
      <c r="AB2227" s="32" t="str">
        <f t="shared" si="7"/>
        <v/>
      </c>
      <c r="AC2227" s="32" t="str">
        <f t="shared" ref="AC2227:AG2227" si="2249">IF(J2227&lt;&gt;"", IF(AND($P2227=FALSE, $A2227=FALSE), -J2227, IF(AND($P2227=FALSE, $A2227=TRUE), 0, IF($P2227=TRUE, (J2227 / $R2227) * 100 * ($S2227 / 100)-J2227, ))), )</f>
        <v/>
      </c>
      <c r="AD2227" s="32" t="str">
        <f t="shared" si="2249"/>
        <v/>
      </c>
      <c r="AE2227" s="32" t="str">
        <f t="shared" si="2249"/>
        <v/>
      </c>
      <c r="AF2227" s="32" t="str">
        <f t="shared" si="2249"/>
        <v/>
      </c>
      <c r="AG2227" s="32" t="str">
        <f t="shared" si="2249"/>
        <v/>
      </c>
      <c r="AH2227" s="33"/>
    </row>
    <row r="2228" hidden="1" outlineLevel="1" collapsed="1">
      <c r="A2228" s="81" t="b">
        <v>0</v>
      </c>
      <c r="B2228" s="87"/>
      <c r="C2228" s="88"/>
      <c r="D2228" s="42">
        <v>45386.0</v>
      </c>
      <c r="E2228" s="43" t="s">
        <v>60</v>
      </c>
      <c r="F2228" s="53" t="s">
        <v>1400</v>
      </c>
      <c r="G2228" s="45">
        <v>2.0</v>
      </c>
      <c r="H2228" s="79"/>
      <c r="I2228" s="45">
        <v>2.0</v>
      </c>
      <c r="J2228" s="79"/>
      <c r="K2228" s="79"/>
      <c r="L2228" s="79"/>
      <c r="M2228" s="79"/>
      <c r="N2228" s="79"/>
      <c r="O2228" s="47"/>
      <c r="P2228" s="20" t="b">
        <v>0</v>
      </c>
      <c r="Q2228" s="47"/>
      <c r="R2228" s="48">
        <f t="shared" si="2103"/>
        <v>4</v>
      </c>
      <c r="S2228" s="45">
        <v>7.64</v>
      </c>
      <c r="T2228" s="49">
        <f t="shared" si="2104"/>
        <v>-110</v>
      </c>
      <c r="U2228" s="47"/>
      <c r="V2228" s="89" t="str">
        <f>IF(ISBLANK($D2228), "0",)</f>
        <v/>
      </c>
      <c r="W2228" s="90" t="str">
        <f t="shared" si="2024"/>
        <v/>
      </c>
      <c r="X2228" s="90"/>
      <c r="Y2228" s="84"/>
      <c r="Z2228" s="26">
        <f t="shared" si="5"/>
        <v>-2</v>
      </c>
      <c r="AA2228" s="26">
        <f t="shared" si="6"/>
        <v>-2</v>
      </c>
      <c r="AB2228" s="32" t="str">
        <f t="shared" si="7"/>
        <v/>
      </c>
      <c r="AC2228" s="32" t="str">
        <f t="shared" ref="AC2228:AG2228" si="2250">IF(J2228&lt;&gt;"", IF(AND($P2228=FALSE, $A2228=FALSE), -J2228, IF(AND($P2228=FALSE, $A2228=TRUE), 0, IF($P2228=TRUE, (J2228 / $R2228) * 100 * ($S2228 / 100)-J2228, ))), )</f>
        <v/>
      </c>
      <c r="AD2228" s="32" t="str">
        <f t="shared" si="2250"/>
        <v/>
      </c>
      <c r="AE2228" s="32" t="str">
        <f t="shared" si="2250"/>
        <v/>
      </c>
      <c r="AF2228" s="32" t="str">
        <f t="shared" si="2250"/>
        <v/>
      </c>
      <c r="AG2228" s="32" t="str">
        <f t="shared" si="2250"/>
        <v/>
      </c>
      <c r="AH2228" s="91"/>
    </row>
    <row r="2229" hidden="1" outlineLevel="3">
      <c r="A2229" s="16" t="b">
        <v>0</v>
      </c>
      <c r="B2229" s="17"/>
      <c r="C2229" s="18"/>
      <c r="D2229" s="42"/>
      <c r="E2229" s="20"/>
      <c r="F2229" s="53"/>
      <c r="G2229" s="45"/>
      <c r="H2229" s="45"/>
      <c r="I2229" s="45"/>
      <c r="J2229" s="36"/>
      <c r="K2229" s="23"/>
      <c r="L2229" s="36"/>
      <c r="M2229" s="23"/>
      <c r="N2229" s="23"/>
      <c r="O2229" s="24"/>
      <c r="P2229" s="16" t="b">
        <v>0</v>
      </c>
      <c r="Q2229" s="24"/>
      <c r="R2229" s="48" t="str">
        <f t="shared" si="2103"/>
        <v/>
      </c>
      <c r="S2229" s="26"/>
      <c r="T2229" s="49" t="str">
        <f t="shared" si="2104"/>
        <v/>
      </c>
      <c r="U2229" s="24"/>
      <c r="V2229" s="66" t="s">
        <v>1412</v>
      </c>
      <c r="W2229" s="29" t="str">
        <f t="shared" si="2024"/>
        <v>/</v>
      </c>
      <c r="X2229" s="37" t="s">
        <v>1413</v>
      </c>
      <c r="Y2229" s="31"/>
      <c r="Z2229" s="26" t="str">
        <f t="shared" si="5"/>
        <v/>
      </c>
      <c r="AA2229" s="26" t="str">
        <f t="shared" si="6"/>
        <v/>
      </c>
      <c r="AB2229" s="32" t="str">
        <f t="shared" si="7"/>
        <v/>
      </c>
      <c r="AC2229" s="32" t="str">
        <f t="shared" ref="AC2229:AG2229" si="2251">IF(J2229&lt;&gt;"", IF(AND($P2229=FALSE, $A2229=FALSE), -J2229, IF(AND($P2229=FALSE, $A2229=TRUE), 0, IF($P2229=TRUE, (J2229 / $R2229) * 100 * ($S2229 / 100)-J2229, ))), )</f>
        <v/>
      </c>
      <c r="AD2229" s="32" t="str">
        <f t="shared" si="2251"/>
        <v/>
      </c>
      <c r="AE2229" s="32" t="str">
        <f t="shared" si="2251"/>
        <v/>
      </c>
      <c r="AF2229" s="32" t="str">
        <f t="shared" si="2251"/>
        <v/>
      </c>
      <c r="AG2229" s="32" t="str">
        <f t="shared" si="2251"/>
        <v/>
      </c>
      <c r="AH2229" s="33"/>
    </row>
    <row r="2230" hidden="1" outlineLevel="2" collapsed="1">
      <c r="A2230" s="81" t="b">
        <v>0</v>
      </c>
      <c r="B2230" s="87"/>
      <c r="C2230" s="88"/>
      <c r="D2230" s="42">
        <v>45386.0</v>
      </c>
      <c r="E2230" s="43" t="s">
        <v>60</v>
      </c>
      <c r="F2230" s="53" t="s">
        <v>1400</v>
      </c>
      <c r="G2230" s="45">
        <v>2.0</v>
      </c>
      <c r="H2230" s="79"/>
      <c r="I2230" s="45">
        <v>2.0</v>
      </c>
      <c r="J2230" s="79"/>
      <c r="K2230" s="79"/>
      <c r="L2230" s="79"/>
      <c r="M2230" s="79"/>
      <c r="N2230" s="79"/>
      <c r="O2230" s="47"/>
      <c r="P2230" s="20" t="b">
        <v>0</v>
      </c>
      <c r="Q2230" s="47"/>
      <c r="R2230" s="48">
        <f t="shared" si="2103"/>
        <v>4</v>
      </c>
      <c r="S2230" s="45">
        <v>10.54</v>
      </c>
      <c r="T2230" s="49" t="str">
        <f t="shared" si="2104"/>
        <v>+164</v>
      </c>
      <c r="U2230" s="47"/>
      <c r="V2230" s="89" t="str">
        <f>IF(ISBLANK($D2230), "0",)</f>
        <v/>
      </c>
      <c r="W2230" s="90" t="str">
        <f t="shared" si="2024"/>
        <v/>
      </c>
      <c r="X2230" s="90"/>
      <c r="Y2230" s="84"/>
      <c r="Z2230" s="26">
        <f t="shared" si="5"/>
        <v>-2</v>
      </c>
      <c r="AA2230" s="26">
        <f t="shared" si="6"/>
        <v>-2</v>
      </c>
      <c r="AB2230" s="32" t="str">
        <f t="shared" si="7"/>
        <v/>
      </c>
      <c r="AC2230" s="32" t="str">
        <f t="shared" ref="AC2230:AG2230" si="2252">IF(J2230&lt;&gt;"", IF(AND($P2230=FALSE, $A2230=FALSE), -J2230, IF(AND($P2230=FALSE, $A2230=TRUE), 0, IF($P2230=TRUE, (J2230 / $R2230) * 100 * ($S2230 / 100)-J2230, ))), )</f>
        <v/>
      </c>
      <c r="AD2230" s="32" t="str">
        <f t="shared" si="2252"/>
        <v/>
      </c>
      <c r="AE2230" s="32" t="str">
        <f t="shared" si="2252"/>
        <v/>
      </c>
      <c r="AF2230" s="32" t="str">
        <f t="shared" si="2252"/>
        <v/>
      </c>
      <c r="AG2230" s="32" t="str">
        <f t="shared" si="2252"/>
        <v/>
      </c>
      <c r="AH2230" s="91"/>
    </row>
    <row r="2231" hidden="1" outlineLevel="3">
      <c r="A2231" s="16" t="b">
        <v>0</v>
      </c>
      <c r="B2231" s="17"/>
      <c r="C2231" s="18"/>
      <c r="D2231" s="42"/>
      <c r="E2231" s="20"/>
      <c r="F2231" s="53"/>
      <c r="G2231" s="45"/>
      <c r="H2231" s="45"/>
      <c r="I2231" s="45"/>
      <c r="J2231" s="36"/>
      <c r="K2231" s="23"/>
      <c r="L2231" s="36"/>
      <c r="M2231" s="23"/>
      <c r="N2231" s="23"/>
      <c r="O2231" s="24"/>
      <c r="P2231" s="16" t="b">
        <v>0</v>
      </c>
      <c r="Q2231" s="24"/>
      <c r="R2231" s="48" t="str">
        <f t="shared" si="2103"/>
        <v/>
      </c>
      <c r="S2231" s="26"/>
      <c r="T2231" s="49" t="str">
        <f t="shared" si="2104"/>
        <v/>
      </c>
      <c r="U2231" s="24"/>
      <c r="V2231" s="66">
        <v>25.0</v>
      </c>
      <c r="W2231" s="29" t="str">
        <f t="shared" si="2024"/>
        <v>/</v>
      </c>
      <c r="X2231" s="37" t="s">
        <v>814</v>
      </c>
      <c r="Y2231" s="31"/>
      <c r="Z2231" s="26" t="str">
        <f t="shared" si="5"/>
        <v/>
      </c>
      <c r="AA2231" s="26" t="str">
        <f t="shared" si="6"/>
        <v/>
      </c>
      <c r="AB2231" s="32" t="str">
        <f t="shared" si="7"/>
        <v/>
      </c>
      <c r="AC2231" s="32" t="str">
        <f t="shared" ref="AC2231:AG2231" si="2253">IF(J2231&lt;&gt;"", IF(AND($P2231=FALSE, $A2231=FALSE), -J2231, IF(AND($P2231=FALSE, $A2231=TRUE), 0, IF($P2231=TRUE, (J2231 / $R2231) * 100 * ($S2231 / 100)-J2231, ))), )</f>
        <v/>
      </c>
      <c r="AD2231" s="32" t="str">
        <f t="shared" si="2253"/>
        <v/>
      </c>
      <c r="AE2231" s="32" t="str">
        <f t="shared" si="2253"/>
        <v/>
      </c>
      <c r="AF2231" s="32" t="str">
        <f t="shared" si="2253"/>
        <v/>
      </c>
      <c r="AG2231" s="32" t="str">
        <f t="shared" si="2253"/>
        <v/>
      </c>
      <c r="AH2231" s="33"/>
    </row>
    <row r="2232" hidden="1" outlineLevel="3">
      <c r="A2232" s="16" t="b">
        <v>0</v>
      </c>
      <c r="B2232" s="17"/>
      <c r="C2232" s="18"/>
      <c r="D2232" s="42"/>
      <c r="E2232" s="20"/>
      <c r="F2232" s="53"/>
      <c r="G2232" s="45"/>
      <c r="H2232" s="45"/>
      <c r="I2232" s="45"/>
      <c r="J2232" s="36"/>
      <c r="K2232" s="23"/>
      <c r="L2232" s="36"/>
      <c r="M2232" s="23"/>
      <c r="N2232" s="23"/>
      <c r="O2232" s="24"/>
      <c r="P2232" s="16" t="b">
        <v>0</v>
      </c>
      <c r="Q2232" s="24"/>
      <c r="R2232" s="48" t="str">
        <f t="shared" si="2103"/>
        <v/>
      </c>
      <c r="S2232" s="26"/>
      <c r="T2232" s="49" t="str">
        <f t="shared" si="2104"/>
        <v/>
      </c>
      <c r="U2232" s="24"/>
      <c r="V2232" s="66" t="s">
        <v>29</v>
      </c>
      <c r="W2232" s="29" t="str">
        <f t="shared" si="2024"/>
        <v>/</v>
      </c>
      <c r="X2232" s="37" t="s">
        <v>480</v>
      </c>
      <c r="Y2232" s="31"/>
      <c r="Z2232" s="26" t="str">
        <f t="shared" si="5"/>
        <v/>
      </c>
      <c r="AA2232" s="26" t="str">
        <f t="shared" si="6"/>
        <v/>
      </c>
      <c r="AB2232" s="32" t="str">
        <f t="shared" si="7"/>
        <v/>
      </c>
      <c r="AC2232" s="32" t="str">
        <f t="shared" ref="AC2232:AG2232" si="2254">IF(J2232&lt;&gt;"", IF(AND($P2232=FALSE, $A2232=FALSE), -J2232, IF(AND($P2232=FALSE, $A2232=TRUE), 0, IF($P2232=TRUE, (J2232 / $R2232) * 100 * ($S2232 / 100)-J2232, ))), )</f>
        <v/>
      </c>
      <c r="AD2232" s="32" t="str">
        <f t="shared" si="2254"/>
        <v/>
      </c>
      <c r="AE2232" s="32" t="str">
        <f t="shared" si="2254"/>
        <v/>
      </c>
      <c r="AF2232" s="32" t="str">
        <f t="shared" si="2254"/>
        <v/>
      </c>
      <c r="AG2232" s="32" t="str">
        <f t="shared" si="2254"/>
        <v/>
      </c>
      <c r="AH2232" s="33"/>
    </row>
    <row r="2233" hidden="1" outlineLevel="3">
      <c r="A2233" s="16" t="b">
        <v>0</v>
      </c>
      <c r="B2233" s="17"/>
      <c r="C2233" s="18"/>
      <c r="D2233" s="42"/>
      <c r="E2233" s="20"/>
      <c r="F2233" s="53"/>
      <c r="G2233" s="45"/>
      <c r="H2233" s="45"/>
      <c r="I2233" s="45"/>
      <c r="J2233" s="36"/>
      <c r="K2233" s="23"/>
      <c r="L2233" s="36"/>
      <c r="M2233" s="23"/>
      <c r="N2233" s="23"/>
      <c r="O2233" s="24"/>
      <c r="P2233" s="16" t="b">
        <v>0</v>
      </c>
      <c r="Q2233" s="24"/>
      <c r="R2233" s="48" t="str">
        <f t="shared" si="2103"/>
        <v/>
      </c>
      <c r="S2233" s="26"/>
      <c r="T2233" s="49" t="str">
        <f t="shared" si="2104"/>
        <v/>
      </c>
      <c r="U2233" s="24"/>
      <c r="V2233" s="66">
        <v>8.0</v>
      </c>
      <c r="W2233" s="29" t="str">
        <f t="shared" si="2024"/>
        <v>/</v>
      </c>
      <c r="X2233" s="37" t="s">
        <v>1414</v>
      </c>
      <c r="Y2233" s="31"/>
      <c r="Z2233" s="26" t="str">
        <f t="shared" si="5"/>
        <v/>
      </c>
      <c r="AA2233" s="26" t="str">
        <f t="shared" si="6"/>
        <v/>
      </c>
      <c r="AB2233" s="32" t="str">
        <f t="shared" si="7"/>
        <v/>
      </c>
      <c r="AC2233" s="32" t="str">
        <f t="shared" ref="AC2233:AG2233" si="2255">IF(J2233&lt;&gt;"", IF(AND($P2233=FALSE, $A2233=FALSE), -J2233, IF(AND($P2233=FALSE, $A2233=TRUE), 0, IF($P2233=TRUE, (J2233 / $R2233) * 100 * ($S2233 / 100)-J2233, ))), )</f>
        <v/>
      </c>
      <c r="AD2233" s="32" t="str">
        <f t="shared" si="2255"/>
        <v/>
      </c>
      <c r="AE2233" s="32" t="str">
        <f t="shared" si="2255"/>
        <v/>
      </c>
      <c r="AF2233" s="32" t="str">
        <f t="shared" si="2255"/>
        <v/>
      </c>
      <c r="AG2233" s="32" t="str">
        <f t="shared" si="2255"/>
        <v/>
      </c>
      <c r="AH2233" s="33"/>
    </row>
    <row r="2234" hidden="1" outlineLevel="2" collapsed="1">
      <c r="A2234" s="81" t="b">
        <v>0</v>
      </c>
      <c r="B2234" s="87"/>
      <c r="C2234" s="88"/>
      <c r="D2234" s="42">
        <v>45386.0</v>
      </c>
      <c r="E2234" s="43" t="s">
        <v>60</v>
      </c>
      <c r="F2234" s="53" t="s">
        <v>1400</v>
      </c>
      <c r="G2234" s="45">
        <v>2.0</v>
      </c>
      <c r="H2234" s="79"/>
      <c r="I2234" s="45">
        <v>2.0</v>
      </c>
      <c r="J2234" s="79"/>
      <c r="K2234" s="79"/>
      <c r="L2234" s="79"/>
      <c r="M2234" s="79"/>
      <c r="N2234" s="79"/>
      <c r="O2234" s="47"/>
      <c r="P2234" s="20" t="b">
        <v>1</v>
      </c>
      <c r="Q2234" s="47"/>
      <c r="R2234" s="48">
        <f t="shared" si="2103"/>
        <v>4</v>
      </c>
      <c r="S2234" s="45">
        <v>14.98</v>
      </c>
      <c r="T2234" s="49" t="str">
        <f t="shared" si="2104"/>
        <v>+275</v>
      </c>
      <c r="U2234" s="47"/>
      <c r="V2234" s="89" t="str">
        <f>IF(ISBLANK($D2234), "0",)</f>
        <v/>
      </c>
      <c r="W2234" s="90" t="str">
        <f t="shared" si="2024"/>
        <v/>
      </c>
      <c r="X2234" s="90"/>
      <c r="Y2234" s="84"/>
      <c r="Z2234" s="26">
        <f t="shared" si="5"/>
        <v>5.49</v>
      </c>
      <c r="AA2234" s="26">
        <f t="shared" si="6"/>
        <v>5.49</v>
      </c>
      <c r="AB2234" s="32" t="str">
        <f t="shared" si="7"/>
        <v/>
      </c>
      <c r="AC2234" s="32" t="str">
        <f t="shared" ref="AC2234:AG2234" si="2256">IF(J2234&lt;&gt;"", IF(AND($P2234=FALSE, $A2234=FALSE), -J2234, IF(AND($P2234=FALSE, $A2234=TRUE), 0, IF($P2234=TRUE, (J2234 / $R2234) * 100 * ($S2234 / 100)-J2234, ))), )</f>
        <v/>
      </c>
      <c r="AD2234" s="32" t="str">
        <f t="shared" si="2256"/>
        <v/>
      </c>
      <c r="AE2234" s="32" t="str">
        <f t="shared" si="2256"/>
        <v/>
      </c>
      <c r="AF2234" s="32" t="str">
        <f t="shared" si="2256"/>
        <v/>
      </c>
      <c r="AG2234" s="32" t="str">
        <f t="shared" si="2256"/>
        <v/>
      </c>
      <c r="AH2234" s="91"/>
    </row>
    <row r="2235" hidden="1" outlineLevel="3">
      <c r="A2235" s="16" t="b">
        <v>0</v>
      </c>
      <c r="B2235" s="17"/>
      <c r="C2235" s="18"/>
      <c r="D2235" s="42"/>
      <c r="E2235" s="20"/>
      <c r="F2235" s="53"/>
      <c r="G2235" s="45"/>
      <c r="H2235" s="45"/>
      <c r="I2235" s="45"/>
      <c r="J2235" s="36"/>
      <c r="K2235" s="23"/>
      <c r="L2235" s="36"/>
      <c r="M2235" s="23"/>
      <c r="N2235" s="23"/>
      <c r="O2235" s="24"/>
      <c r="P2235" s="16" t="b">
        <v>0</v>
      </c>
      <c r="Q2235" s="24"/>
      <c r="R2235" s="48" t="str">
        <f t="shared" si="2103"/>
        <v/>
      </c>
      <c r="S2235" s="26"/>
      <c r="T2235" s="49" t="str">
        <f t="shared" si="2104"/>
        <v/>
      </c>
      <c r="U2235" s="24"/>
      <c r="V2235" s="66" t="s">
        <v>29</v>
      </c>
      <c r="W2235" s="29" t="str">
        <f t="shared" si="2024"/>
        <v>/</v>
      </c>
      <c r="X2235" s="37" t="s">
        <v>1415</v>
      </c>
      <c r="Y2235" s="31"/>
      <c r="Z2235" s="26" t="str">
        <f t="shared" si="5"/>
        <v/>
      </c>
      <c r="AA2235" s="26" t="str">
        <f t="shared" si="6"/>
        <v/>
      </c>
      <c r="AB2235" s="32" t="str">
        <f t="shared" si="7"/>
        <v/>
      </c>
      <c r="AC2235" s="32" t="str">
        <f t="shared" ref="AC2235:AG2235" si="2257">IF(J2235&lt;&gt;"", IF(AND($P2235=FALSE, $A2235=FALSE), -J2235, IF(AND($P2235=FALSE, $A2235=TRUE), 0, IF($P2235=TRUE, (J2235 / $R2235) * 100 * ($S2235 / 100)-J2235, ))), )</f>
        <v/>
      </c>
      <c r="AD2235" s="32" t="str">
        <f t="shared" si="2257"/>
        <v/>
      </c>
      <c r="AE2235" s="32" t="str">
        <f t="shared" si="2257"/>
        <v/>
      </c>
      <c r="AF2235" s="32" t="str">
        <f t="shared" si="2257"/>
        <v/>
      </c>
      <c r="AG2235" s="32" t="str">
        <f t="shared" si="2257"/>
        <v/>
      </c>
      <c r="AH2235" s="33"/>
    </row>
    <row r="2236" hidden="1" outlineLevel="3">
      <c r="A2236" s="16" t="b">
        <v>0</v>
      </c>
      <c r="B2236" s="17"/>
      <c r="C2236" s="18"/>
      <c r="D2236" s="42"/>
      <c r="E2236" s="20"/>
      <c r="F2236" s="53"/>
      <c r="G2236" s="45"/>
      <c r="H2236" s="45"/>
      <c r="I2236" s="45"/>
      <c r="J2236" s="36"/>
      <c r="K2236" s="23"/>
      <c r="L2236" s="36"/>
      <c r="M2236" s="23"/>
      <c r="N2236" s="23"/>
      <c r="O2236" s="24"/>
      <c r="P2236" s="16" t="b">
        <v>0</v>
      </c>
      <c r="Q2236" s="24"/>
      <c r="R2236" s="48" t="str">
        <f t="shared" si="2103"/>
        <v/>
      </c>
      <c r="S2236" s="26"/>
      <c r="T2236" s="49" t="str">
        <f t="shared" si="2104"/>
        <v/>
      </c>
      <c r="U2236" s="24"/>
      <c r="V2236" s="66" t="s">
        <v>29</v>
      </c>
      <c r="W2236" s="29" t="str">
        <f t="shared" si="2024"/>
        <v>/</v>
      </c>
      <c r="X2236" s="37" t="s">
        <v>1416</v>
      </c>
      <c r="Y2236" s="31"/>
      <c r="Z2236" s="26" t="str">
        <f t="shared" si="5"/>
        <v/>
      </c>
      <c r="AA2236" s="26" t="str">
        <f t="shared" si="6"/>
        <v/>
      </c>
      <c r="AB2236" s="32" t="str">
        <f t="shared" si="7"/>
        <v/>
      </c>
      <c r="AC2236" s="32" t="str">
        <f t="shared" ref="AC2236:AG2236" si="2258">IF(J2236&lt;&gt;"", IF(AND($P2236=FALSE, $A2236=FALSE), -J2236, IF(AND($P2236=FALSE, $A2236=TRUE), 0, IF($P2236=TRUE, (J2236 / $R2236) * 100 * ($S2236 / 100)-J2236, ))), )</f>
        <v/>
      </c>
      <c r="AD2236" s="32" t="str">
        <f t="shared" si="2258"/>
        <v/>
      </c>
      <c r="AE2236" s="32" t="str">
        <f t="shared" si="2258"/>
        <v/>
      </c>
      <c r="AF2236" s="32" t="str">
        <f t="shared" si="2258"/>
        <v/>
      </c>
      <c r="AG2236" s="32" t="str">
        <f t="shared" si="2258"/>
        <v/>
      </c>
      <c r="AH2236" s="33"/>
    </row>
    <row r="2237" hidden="1" outlineLevel="3">
      <c r="A2237" s="16" t="b">
        <v>0</v>
      </c>
      <c r="B2237" s="17"/>
      <c r="C2237" s="18"/>
      <c r="D2237" s="42"/>
      <c r="E2237" s="20"/>
      <c r="F2237" s="53"/>
      <c r="G2237" s="45"/>
      <c r="H2237" s="45"/>
      <c r="I2237" s="45"/>
      <c r="J2237" s="36"/>
      <c r="K2237" s="23"/>
      <c r="L2237" s="36"/>
      <c r="M2237" s="23"/>
      <c r="N2237" s="23"/>
      <c r="O2237" s="24"/>
      <c r="P2237" s="16" t="b">
        <v>0</v>
      </c>
      <c r="Q2237" s="24"/>
      <c r="R2237" s="48" t="str">
        <f t="shared" si="2103"/>
        <v/>
      </c>
      <c r="S2237" s="26"/>
      <c r="T2237" s="49" t="str">
        <f t="shared" si="2104"/>
        <v/>
      </c>
      <c r="U2237" s="24"/>
      <c r="V2237" s="66" t="s">
        <v>29</v>
      </c>
      <c r="W2237" s="29" t="str">
        <f t="shared" si="2024"/>
        <v>/</v>
      </c>
      <c r="X2237" s="37" t="s">
        <v>239</v>
      </c>
      <c r="Y2237" s="31"/>
      <c r="Z2237" s="26" t="str">
        <f t="shared" si="5"/>
        <v/>
      </c>
      <c r="AA2237" s="26" t="str">
        <f t="shared" si="6"/>
        <v/>
      </c>
      <c r="AB2237" s="32" t="str">
        <f t="shared" si="7"/>
        <v/>
      </c>
      <c r="AC2237" s="32" t="str">
        <f t="shared" ref="AC2237:AG2237" si="2259">IF(J2237&lt;&gt;"", IF(AND($P2237=FALSE, $A2237=FALSE), -J2237, IF(AND($P2237=FALSE, $A2237=TRUE), 0, IF($P2237=TRUE, (J2237 / $R2237) * 100 * ($S2237 / 100)-J2237, ))), )</f>
        <v/>
      </c>
      <c r="AD2237" s="32" t="str">
        <f t="shared" si="2259"/>
        <v/>
      </c>
      <c r="AE2237" s="32" t="str">
        <f t="shared" si="2259"/>
        <v/>
      </c>
      <c r="AF2237" s="32" t="str">
        <f t="shared" si="2259"/>
        <v/>
      </c>
      <c r="AG2237" s="32" t="str">
        <f t="shared" si="2259"/>
        <v/>
      </c>
      <c r="AH2237" s="33"/>
    </row>
    <row r="2238" hidden="1" outlineLevel="3">
      <c r="A2238" s="16" t="b">
        <v>0</v>
      </c>
      <c r="B2238" s="17"/>
      <c r="C2238" s="18"/>
      <c r="D2238" s="42"/>
      <c r="E2238" s="20"/>
      <c r="F2238" s="53"/>
      <c r="G2238" s="45"/>
      <c r="H2238" s="45"/>
      <c r="I2238" s="45"/>
      <c r="J2238" s="36"/>
      <c r="K2238" s="23"/>
      <c r="L2238" s="36"/>
      <c r="M2238" s="23"/>
      <c r="N2238" s="23"/>
      <c r="O2238" s="24"/>
      <c r="P2238" s="16" t="b">
        <v>0</v>
      </c>
      <c r="Q2238" s="24"/>
      <c r="R2238" s="48" t="str">
        <f t="shared" si="2103"/>
        <v/>
      </c>
      <c r="S2238" s="26"/>
      <c r="T2238" s="49" t="str">
        <f t="shared" si="2104"/>
        <v/>
      </c>
      <c r="U2238" s="24"/>
      <c r="V2238" s="66" t="s">
        <v>29</v>
      </c>
      <c r="W2238" s="29" t="str">
        <f t="shared" si="2024"/>
        <v>/</v>
      </c>
      <c r="X2238" s="37" t="s">
        <v>1417</v>
      </c>
      <c r="Y2238" s="31"/>
      <c r="Z2238" s="26" t="str">
        <f t="shared" si="5"/>
        <v/>
      </c>
      <c r="AA2238" s="26" t="str">
        <f t="shared" si="6"/>
        <v/>
      </c>
      <c r="AB2238" s="32" t="str">
        <f t="shared" si="7"/>
        <v/>
      </c>
      <c r="AC2238" s="32" t="str">
        <f t="shared" ref="AC2238:AG2238" si="2260">IF(J2238&lt;&gt;"", IF(AND($P2238=FALSE, $A2238=FALSE), -J2238, IF(AND($P2238=FALSE, $A2238=TRUE), 0, IF($P2238=TRUE, (J2238 / $R2238) * 100 * ($S2238 / 100)-J2238, ))), )</f>
        <v/>
      </c>
      <c r="AD2238" s="32" t="str">
        <f t="shared" si="2260"/>
        <v/>
      </c>
      <c r="AE2238" s="32" t="str">
        <f t="shared" si="2260"/>
        <v/>
      </c>
      <c r="AF2238" s="32" t="str">
        <f t="shared" si="2260"/>
        <v/>
      </c>
      <c r="AG2238" s="32" t="str">
        <f t="shared" si="2260"/>
        <v/>
      </c>
      <c r="AH2238" s="33"/>
    </row>
    <row r="2239" hidden="1" outlineLevel="2">
      <c r="A2239" s="81" t="b">
        <v>0</v>
      </c>
      <c r="B2239" s="87"/>
      <c r="C2239" s="88"/>
      <c r="D2239" s="42">
        <v>45386.0</v>
      </c>
      <c r="E2239" s="43" t="s">
        <v>60</v>
      </c>
      <c r="F2239" s="53" t="s">
        <v>1400</v>
      </c>
      <c r="G2239" s="45">
        <v>1.5</v>
      </c>
      <c r="H2239" s="79"/>
      <c r="I2239" s="45">
        <v>2.5</v>
      </c>
      <c r="J2239" s="79"/>
      <c r="K2239" s="79"/>
      <c r="L2239" s="79"/>
      <c r="M2239" s="79"/>
      <c r="N2239" s="79"/>
      <c r="O2239" s="47"/>
      <c r="P2239" s="20" t="b">
        <v>0</v>
      </c>
      <c r="Q2239" s="47"/>
      <c r="R2239" s="48">
        <f t="shared" si="2103"/>
        <v>4</v>
      </c>
      <c r="S2239" s="45">
        <v>40.97</v>
      </c>
      <c r="T2239" s="49" t="str">
        <f t="shared" si="2104"/>
        <v>+924</v>
      </c>
      <c r="U2239" s="47"/>
      <c r="V2239" s="92"/>
      <c r="W2239" s="90" t="str">
        <f t="shared" si="2024"/>
        <v/>
      </c>
      <c r="X2239" s="90"/>
      <c r="Y2239" s="84"/>
      <c r="Z2239" s="26">
        <f t="shared" si="5"/>
        <v>-1.5</v>
      </c>
      <c r="AA2239" s="26">
        <f t="shared" si="6"/>
        <v>-2.5</v>
      </c>
      <c r="AB2239" s="32" t="str">
        <f t="shared" si="7"/>
        <v/>
      </c>
      <c r="AC2239" s="32" t="str">
        <f t="shared" ref="AC2239:AG2239" si="2261">IF(J2239&lt;&gt;"", IF(AND($P2239=FALSE, $A2239=FALSE), -J2239, IF(AND($P2239=FALSE, $A2239=TRUE), 0, IF($P2239=TRUE, (J2239 / $R2239) * 100 * ($S2239 / 100)-J2239, ))), )</f>
        <v/>
      </c>
      <c r="AD2239" s="32" t="str">
        <f t="shared" si="2261"/>
        <v/>
      </c>
      <c r="AE2239" s="32" t="str">
        <f t="shared" si="2261"/>
        <v/>
      </c>
      <c r="AF2239" s="32" t="str">
        <f t="shared" si="2261"/>
        <v/>
      </c>
      <c r="AG2239" s="32" t="str">
        <f t="shared" si="2261"/>
        <v/>
      </c>
      <c r="AH2239" s="91"/>
    </row>
    <row r="2240" hidden="1" outlineLevel="3">
      <c r="A2240" s="16" t="b">
        <v>0</v>
      </c>
      <c r="B2240" s="17"/>
      <c r="C2240" s="18"/>
      <c r="D2240" s="42"/>
      <c r="E2240" s="20"/>
      <c r="F2240" s="53"/>
      <c r="G2240" s="45"/>
      <c r="H2240" s="45"/>
      <c r="I2240" s="45"/>
      <c r="J2240" s="36"/>
      <c r="K2240" s="23"/>
      <c r="L2240" s="36"/>
      <c r="M2240" s="23"/>
      <c r="N2240" s="23"/>
      <c r="O2240" s="24"/>
      <c r="P2240" s="16" t="b">
        <v>0</v>
      </c>
      <c r="Q2240" s="24"/>
      <c r="R2240" s="48" t="str">
        <f t="shared" si="2103"/>
        <v/>
      </c>
      <c r="S2240" s="26"/>
      <c r="T2240" s="49" t="str">
        <f t="shared" si="2104"/>
        <v/>
      </c>
      <c r="U2240" s="24"/>
      <c r="V2240" s="66" t="s">
        <v>29</v>
      </c>
      <c r="W2240" s="29" t="str">
        <f t="shared" si="2024"/>
        <v>/</v>
      </c>
      <c r="X2240" s="37" t="s">
        <v>1418</v>
      </c>
      <c r="Y2240" s="31"/>
      <c r="Z2240" s="26" t="str">
        <f t="shared" si="5"/>
        <v/>
      </c>
      <c r="AA2240" s="26" t="str">
        <f t="shared" si="6"/>
        <v/>
      </c>
      <c r="AB2240" s="32" t="str">
        <f t="shared" si="7"/>
        <v/>
      </c>
      <c r="AC2240" s="32" t="str">
        <f t="shared" ref="AC2240:AG2240" si="2262">IF(J2240&lt;&gt;"", IF(AND($P2240=FALSE, $A2240=FALSE), -J2240, IF(AND($P2240=FALSE, $A2240=TRUE), 0, IF($P2240=TRUE, (J2240 / $R2240) * 100 * ($S2240 / 100)-J2240, ))), )</f>
        <v/>
      </c>
      <c r="AD2240" s="32" t="str">
        <f t="shared" si="2262"/>
        <v/>
      </c>
      <c r="AE2240" s="32" t="str">
        <f t="shared" si="2262"/>
        <v/>
      </c>
      <c r="AF2240" s="32" t="str">
        <f t="shared" si="2262"/>
        <v/>
      </c>
      <c r="AG2240" s="32" t="str">
        <f t="shared" si="2262"/>
        <v/>
      </c>
      <c r="AH2240" s="33"/>
    </row>
    <row r="2241" hidden="1" outlineLevel="3">
      <c r="A2241" s="16" t="b">
        <v>0</v>
      </c>
      <c r="B2241" s="17"/>
      <c r="C2241" s="18"/>
      <c r="D2241" s="42"/>
      <c r="E2241" s="20"/>
      <c r="F2241" s="53"/>
      <c r="G2241" s="45"/>
      <c r="H2241" s="45"/>
      <c r="I2241" s="45"/>
      <c r="J2241" s="36"/>
      <c r="K2241" s="23"/>
      <c r="L2241" s="36"/>
      <c r="M2241" s="23"/>
      <c r="N2241" s="23"/>
      <c r="O2241" s="24"/>
      <c r="P2241" s="16" t="b">
        <v>0</v>
      </c>
      <c r="Q2241" s="24"/>
      <c r="R2241" s="48" t="str">
        <f t="shared" si="2103"/>
        <v/>
      </c>
      <c r="S2241" s="26"/>
      <c r="T2241" s="49" t="str">
        <f t="shared" si="2104"/>
        <v/>
      </c>
      <c r="U2241" s="24"/>
      <c r="V2241" s="66" t="s">
        <v>29</v>
      </c>
      <c r="W2241" s="29" t="str">
        <f t="shared" si="2024"/>
        <v>/</v>
      </c>
      <c r="X2241" s="37" t="s">
        <v>1419</v>
      </c>
      <c r="Y2241" s="31"/>
      <c r="Z2241" s="26" t="str">
        <f t="shared" si="5"/>
        <v/>
      </c>
      <c r="AA2241" s="26" t="str">
        <f t="shared" si="6"/>
        <v/>
      </c>
      <c r="AB2241" s="32" t="str">
        <f t="shared" si="7"/>
        <v/>
      </c>
      <c r="AC2241" s="32" t="str">
        <f t="shared" ref="AC2241:AG2241" si="2263">IF(J2241&lt;&gt;"", IF(AND($P2241=FALSE, $A2241=FALSE), -J2241, IF(AND($P2241=FALSE, $A2241=TRUE), 0, IF($P2241=TRUE, (J2241 / $R2241) * 100 * ($S2241 / 100)-J2241, ))), )</f>
        <v/>
      </c>
      <c r="AD2241" s="32" t="str">
        <f t="shared" si="2263"/>
        <v/>
      </c>
      <c r="AE2241" s="32" t="str">
        <f t="shared" si="2263"/>
        <v/>
      </c>
      <c r="AF2241" s="32" t="str">
        <f t="shared" si="2263"/>
        <v/>
      </c>
      <c r="AG2241" s="32" t="str">
        <f t="shared" si="2263"/>
        <v/>
      </c>
      <c r="AH2241" s="33"/>
    </row>
    <row r="2242" hidden="1" outlineLevel="3">
      <c r="A2242" s="16" t="b">
        <v>0</v>
      </c>
      <c r="B2242" s="17"/>
      <c r="C2242" s="18"/>
      <c r="D2242" s="42"/>
      <c r="E2242" s="20"/>
      <c r="F2242" s="53"/>
      <c r="G2242" s="45"/>
      <c r="H2242" s="45"/>
      <c r="I2242" s="45"/>
      <c r="J2242" s="36"/>
      <c r="K2242" s="23"/>
      <c r="L2242" s="36"/>
      <c r="M2242" s="23"/>
      <c r="N2242" s="23"/>
      <c r="O2242" s="24"/>
      <c r="P2242" s="16" t="b">
        <v>0</v>
      </c>
      <c r="Q2242" s="24"/>
      <c r="R2242" s="48" t="str">
        <f t="shared" si="2103"/>
        <v/>
      </c>
      <c r="S2242" s="26"/>
      <c r="T2242" s="49" t="str">
        <f t="shared" si="2104"/>
        <v/>
      </c>
      <c r="U2242" s="24"/>
      <c r="V2242" s="66" t="s">
        <v>29</v>
      </c>
      <c r="W2242" s="29" t="str">
        <f t="shared" si="2024"/>
        <v>/</v>
      </c>
      <c r="X2242" s="37" t="s">
        <v>1420</v>
      </c>
      <c r="Y2242" s="31"/>
      <c r="Z2242" s="26" t="str">
        <f t="shared" si="5"/>
        <v/>
      </c>
      <c r="AA2242" s="26" t="str">
        <f t="shared" si="6"/>
        <v/>
      </c>
      <c r="AB2242" s="32" t="str">
        <f t="shared" si="7"/>
        <v/>
      </c>
      <c r="AC2242" s="32" t="str">
        <f t="shared" ref="AC2242:AG2242" si="2264">IF(J2242&lt;&gt;"", IF(AND($P2242=FALSE, $A2242=FALSE), -J2242, IF(AND($P2242=FALSE, $A2242=TRUE), 0, IF($P2242=TRUE, (J2242 / $R2242) * 100 * ($S2242 / 100)-J2242, ))), )</f>
        <v/>
      </c>
      <c r="AD2242" s="32" t="str">
        <f t="shared" si="2264"/>
        <v/>
      </c>
      <c r="AE2242" s="32" t="str">
        <f t="shared" si="2264"/>
        <v/>
      </c>
      <c r="AF2242" s="32" t="str">
        <f t="shared" si="2264"/>
        <v/>
      </c>
      <c r="AG2242" s="32" t="str">
        <f t="shared" si="2264"/>
        <v/>
      </c>
      <c r="AH2242" s="33"/>
    </row>
    <row r="2243" hidden="1" outlineLevel="3">
      <c r="A2243" s="16" t="b">
        <v>0</v>
      </c>
      <c r="B2243" s="17"/>
      <c r="C2243" s="18"/>
      <c r="D2243" s="42"/>
      <c r="E2243" s="20"/>
      <c r="F2243" s="53"/>
      <c r="G2243" s="45"/>
      <c r="H2243" s="45"/>
      <c r="I2243" s="45"/>
      <c r="J2243" s="36"/>
      <c r="K2243" s="23"/>
      <c r="L2243" s="36"/>
      <c r="M2243" s="23"/>
      <c r="N2243" s="23"/>
      <c r="O2243" s="24"/>
      <c r="P2243" s="16" t="b">
        <v>0</v>
      </c>
      <c r="Q2243" s="24"/>
      <c r="R2243" s="48" t="str">
        <f t="shared" si="2103"/>
        <v/>
      </c>
      <c r="S2243" s="26"/>
      <c r="T2243" s="49" t="str">
        <f t="shared" si="2104"/>
        <v/>
      </c>
      <c r="U2243" s="24"/>
      <c r="V2243" s="66">
        <v>8.0</v>
      </c>
      <c r="W2243" s="29" t="str">
        <f t="shared" si="2024"/>
        <v>/</v>
      </c>
      <c r="X2243" s="37" t="s">
        <v>1421</v>
      </c>
      <c r="Y2243" s="31"/>
      <c r="Z2243" s="26" t="str">
        <f t="shared" si="5"/>
        <v/>
      </c>
      <c r="AA2243" s="26" t="str">
        <f t="shared" si="6"/>
        <v/>
      </c>
      <c r="AB2243" s="32" t="str">
        <f t="shared" si="7"/>
        <v/>
      </c>
      <c r="AC2243" s="32" t="str">
        <f t="shared" ref="AC2243:AG2243" si="2265">IF(J2243&lt;&gt;"", IF(AND($P2243=FALSE, $A2243=FALSE), -J2243, IF(AND($P2243=FALSE, $A2243=TRUE), 0, IF($P2243=TRUE, (J2243 / $R2243) * 100 * ($S2243 / 100)-J2243, ))), )</f>
        <v/>
      </c>
      <c r="AD2243" s="32" t="str">
        <f t="shared" si="2265"/>
        <v/>
      </c>
      <c r="AE2243" s="32" t="str">
        <f t="shared" si="2265"/>
        <v/>
      </c>
      <c r="AF2243" s="32" t="str">
        <f t="shared" si="2265"/>
        <v/>
      </c>
      <c r="AG2243" s="32" t="str">
        <f t="shared" si="2265"/>
        <v/>
      </c>
      <c r="AH2243" s="33"/>
    </row>
    <row r="2244" hidden="1" outlineLevel="1" collapsed="1">
      <c r="A2244" s="81" t="b">
        <v>0</v>
      </c>
      <c r="B2244" s="87"/>
      <c r="C2244" s="88"/>
      <c r="D2244" s="42">
        <v>45387.0</v>
      </c>
      <c r="E2244" s="43" t="s">
        <v>60</v>
      </c>
      <c r="F2244" s="53" t="s">
        <v>1400</v>
      </c>
      <c r="G2244" s="45">
        <v>1.5</v>
      </c>
      <c r="H2244" s="79"/>
      <c r="I2244" s="45">
        <v>3.0</v>
      </c>
      <c r="J2244" s="79"/>
      <c r="K2244" s="79"/>
      <c r="L2244" s="79"/>
      <c r="M2244" s="79"/>
      <c r="N2244" s="79"/>
      <c r="O2244" s="47"/>
      <c r="P2244" s="20" t="b">
        <v>0</v>
      </c>
      <c r="Q2244" s="47"/>
      <c r="R2244" s="48">
        <f t="shared" si="2103"/>
        <v>4.5</v>
      </c>
      <c r="S2244" s="45">
        <v>30.46</v>
      </c>
      <c r="T2244" s="49" t="str">
        <f t="shared" si="2104"/>
        <v>+577</v>
      </c>
      <c r="U2244" s="47"/>
      <c r="V2244" s="89" t="str">
        <f>IF(ISBLANK($D2244), "0",)</f>
        <v/>
      </c>
      <c r="W2244" s="90" t="str">
        <f t="shared" si="2024"/>
        <v/>
      </c>
      <c r="X2244" s="90"/>
      <c r="Y2244" s="84"/>
      <c r="Z2244" s="26">
        <f t="shared" si="5"/>
        <v>-1.5</v>
      </c>
      <c r="AA2244" s="26">
        <f t="shared" si="6"/>
        <v>-3</v>
      </c>
      <c r="AB2244" s="32" t="str">
        <f t="shared" si="7"/>
        <v/>
      </c>
      <c r="AC2244" s="32" t="str">
        <f t="shared" ref="AC2244:AG2244" si="2266">IF(J2244&lt;&gt;"", IF(AND($P2244=FALSE, $A2244=FALSE), -J2244, IF(AND($P2244=FALSE, $A2244=TRUE), 0, IF($P2244=TRUE, (J2244 / $R2244) * 100 * ($S2244 / 100)-J2244, ))), )</f>
        <v/>
      </c>
      <c r="AD2244" s="32" t="str">
        <f t="shared" si="2266"/>
        <v/>
      </c>
      <c r="AE2244" s="32" t="str">
        <f t="shared" si="2266"/>
        <v/>
      </c>
      <c r="AF2244" s="32" t="str">
        <f t="shared" si="2266"/>
        <v/>
      </c>
      <c r="AG2244" s="32" t="str">
        <f t="shared" si="2266"/>
        <v/>
      </c>
      <c r="AH2244" s="91"/>
    </row>
    <row r="2245" hidden="1" outlineLevel="3">
      <c r="A2245" s="16" t="b">
        <v>0</v>
      </c>
      <c r="B2245" s="17"/>
      <c r="C2245" s="18"/>
      <c r="D2245" s="42"/>
      <c r="E2245" s="20"/>
      <c r="F2245" s="53"/>
      <c r="G2245" s="45"/>
      <c r="H2245" s="45"/>
      <c r="I2245" s="45"/>
      <c r="J2245" s="36"/>
      <c r="K2245" s="23"/>
      <c r="L2245" s="36"/>
      <c r="M2245" s="23"/>
      <c r="N2245" s="23"/>
      <c r="O2245" s="24"/>
      <c r="P2245" s="16" t="b">
        <v>0</v>
      </c>
      <c r="Q2245" s="24"/>
      <c r="R2245" s="48" t="str">
        <f t="shared" si="2103"/>
        <v/>
      </c>
      <c r="S2245" s="26"/>
      <c r="T2245" s="49" t="str">
        <f t="shared" si="2104"/>
        <v/>
      </c>
      <c r="U2245" s="24"/>
      <c r="V2245" s="66">
        <v>17.0</v>
      </c>
      <c r="W2245" s="29" t="str">
        <f t="shared" si="2024"/>
        <v>/</v>
      </c>
      <c r="X2245" s="37" t="s">
        <v>1422</v>
      </c>
      <c r="Y2245" s="31"/>
      <c r="Z2245" s="26" t="str">
        <f t="shared" si="5"/>
        <v/>
      </c>
      <c r="AA2245" s="26" t="str">
        <f t="shared" si="6"/>
        <v/>
      </c>
      <c r="AB2245" s="32" t="str">
        <f t="shared" si="7"/>
        <v/>
      </c>
      <c r="AC2245" s="32" t="str">
        <f t="shared" ref="AC2245:AG2245" si="2267">IF(J2245&lt;&gt;"", IF(AND($P2245=FALSE, $A2245=FALSE), -J2245, IF(AND($P2245=FALSE, $A2245=TRUE), 0, IF($P2245=TRUE, (J2245 / $R2245) * 100 * ($S2245 / 100)-J2245, ))), )</f>
        <v/>
      </c>
      <c r="AD2245" s="32" t="str">
        <f t="shared" si="2267"/>
        <v/>
      </c>
      <c r="AE2245" s="32" t="str">
        <f t="shared" si="2267"/>
        <v/>
      </c>
      <c r="AF2245" s="32" t="str">
        <f t="shared" si="2267"/>
        <v/>
      </c>
      <c r="AG2245" s="32" t="str">
        <f t="shared" si="2267"/>
        <v/>
      </c>
      <c r="AH2245" s="33"/>
    </row>
    <row r="2246" hidden="1" outlineLevel="3">
      <c r="A2246" s="16" t="b">
        <v>0</v>
      </c>
      <c r="B2246" s="17"/>
      <c r="C2246" s="18"/>
      <c r="D2246" s="42"/>
      <c r="E2246" s="20"/>
      <c r="F2246" s="53"/>
      <c r="G2246" s="45"/>
      <c r="H2246" s="45"/>
      <c r="I2246" s="45"/>
      <c r="J2246" s="36"/>
      <c r="K2246" s="23"/>
      <c r="L2246" s="36"/>
      <c r="M2246" s="23"/>
      <c r="N2246" s="23"/>
      <c r="O2246" s="24"/>
      <c r="P2246" s="16" t="b">
        <v>0</v>
      </c>
      <c r="Q2246" s="24"/>
      <c r="R2246" s="48" t="str">
        <f t="shared" si="2103"/>
        <v/>
      </c>
      <c r="S2246" s="26"/>
      <c r="T2246" s="49" t="str">
        <f t="shared" si="2104"/>
        <v/>
      </c>
      <c r="U2246" s="24"/>
      <c r="V2246" s="66">
        <v>3.0</v>
      </c>
      <c r="W2246" s="29" t="str">
        <f t="shared" si="2024"/>
        <v>/</v>
      </c>
      <c r="X2246" s="37" t="s">
        <v>1423</v>
      </c>
      <c r="Y2246" s="31"/>
      <c r="Z2246" s="26" t="str">
        <f t="shared" si="5"/>
        <v/>
      </c>
      <c r="AA2246" s="26" t="str">
        <f t="shared" si="6"/>
        <v/>
      </c>
      <c r="AB2246" s="32" t="str">
        <f t="shared" si="7"/>
        <v/>
      </c>
      <c r="AC2246" s="32" t="str">
        <f t="shared" ref="AC2246:AG2246" si="2268">IF(J2246&lt;&gt;"", IF(AND($P2246=FALSE, $A2246=FALSE), -J2246, IF(AND($P2246=FALSE, $A2246=TRUE), 0, IF($P2246=TRUE, (J2246 / $R2246) * 100 * ($S2246 / 100)-J2246, ))), )</f>
        <v/>
      </c>
      <c r="AD2246" s="32" t="str">
        <f t="shared" si="2268"/>
        <v/>
      </c>
      <c r="AE2246" s="32" t="str">
        <f t="shared" si="2268"/>
        <v/>
      </c>
      <c r="AF2246" s="32" t="str">
        <f t="shared" si="2268"/>
        <v/>
      </c>
      <c r="AG2246" s="32" t="str">
        <f t="shared" si="2268"/>
        <v/>
      </c>
      <c r="AH2246" s="33"/>
    </row>
    <row r="2247" hidden="1" outlineLevel="3">
      <c r="A2247" s="16" t="b">
        <v>0</v>
      </c>
      <c r="B2247" s="17"/>
      <c r="C2247" s="18"/>
      <c r="D2247" s="42"/>
      <c r="E2247" s="20"/>
      <c r="F2247" s="53"/>
      <c r="G2247" s="45"/>
      <c r="H2247" s="45"/>
      <c r="I2247" s="45"/>
      <c r="J2247" s="36"/>
      <c r="K2247" s="23"/>
      <c r="L2247" s="36"/>
      <c r="M2247" s="23"/>
      <c r="N2247" s="23"/>
      <c r="O2247" s="24"/>
      <c r="P2247" s="16" t="b">
        <v>0</v>
      </c>
      <c r="Q2247" s="24"/>
      <c r="R2247" s="48" t="str">
        <f t="shared" si="2103"/>
        <v/>
      </c>
      <c r="S2247" s="26"/>
      <c r="T2247" s="49" t="str">
        <f t="shared" si="2104"/>
        <v/>
      </c>
      <c r="U2247" s="24"/>
      <c r="V2247" s="66">
        <v>1.0</v>
      </c>
      <c r="W2247" s="29" t="str">
        <f t="shared" si="2024"/>
        <v>/</v>
      </c>
      <c r="X2247" s="37" t="s">
        <v>1424</v>
      </c>
      <c r="Y2247" s="31"/>
      <c r="Z2247" s="26" t="str">
        <f t="shared" si="5"/>
        <v/>
      </c>
      <c r="AA2247" s="26" t="str">
        <f t="shared" si="6"/>
        <v/>
      </c>
      <c r="AB2247" s="32" t="str">
        <f t="shared" si="7"/>
        <v/>
      </c>
      <c r="AC2247" s="32" t="str">
        <f t="shared" ref="AC2247:AG2247" si="2269">IF(J2247&lt;&gt;"", IF(AND($P2247=FALSE, $A2247=FALSE), -J2247, IF(AND($P2247=FALSE, $A2247=TRUE), 0, IF($P2247=TRUE, (J2247 / $R2247) * 100 * ($S2247 / 100)-J2247, ))), )</f>
        <v/>
      </c>
      <c r="AD2247" s="32" t="str">
        <f t="shared" si="2269"/>
        <v/>
      </c>
      <c r="AE2247" s="32" t="str">
        <f t="shared" si="2269"/>
        <v/>
      </c>
      <c r="AF2247" s="32" t="str">
        <f t="shared" si="2269"/>
        <v/>
      </c>
      <c r="AG2247" s="32" t="str">
        <f t="shared" si="2269"/>
        <v/>
      </c>
      <c r="AH2247" s="33"/>
    </row>
    <row r="2248" hidden="1" outlineLevel="3">
      <c r="A2248" s="16" t="b">
        <v>0</v>
      </c>
      <c r="B2248" s="17"/>
      <c r="C2248" s="18"/>
      <c r="D2248" s="42"/>
      <c r="E2248" s="20"/>
      <c r="F2248" s="53"/>
      <c r="G2248" s="45"/>
      <c r="H2248" s="45"/>
      <c r="I2248" s="45"/>
      <c r="J2248" s="36"/>
      <c r="K2248" s="23"/>
      <c r="L2248" s="36"/>
      <c r="M2248" s="23"/>
      <c r="N2248" s="23"/>
      <c r="O2248" s="24"/>
      <c r="P2248" s="16" t="b">
        <v>0</v>
      </c>
      <c r="Q2248" s="24"/>
      <c r="R2248" s="48" t="str">
        <f t="shared" si="2103"/>
        <v/>
      </c>
      <c r="S2248" s="26"/>
      <c r="T2248" s="49" t="str">
        <f t="shared" si="2104"/>
        <v/>
      </c>
      <c r="U2248" s="24"/>
      <c r="V2248" s="66">
        <v>1.0</v>
      </c>
      <c r="W2248" s="29" t="str">
        <f t="shared" si="2024"/>
        <v>/</v>
      </c>
      <c r="X2248" s="37" t="s">
        <v>1425</v>
      </c>
      <c r="Y2248" s="31"/>
      <c r="Z2248" s="26" t="str">
        <f t="shared" si="5"/>
        <v/>
      </c>
      <c r="AA2248" s="26" t="str">
        <f t="shared" si="6"/>
        <v/>
      </c>
      <c r="AB2248" s="32" t="str">
        <f t="shared" si="7"/>
        <v/>
      </c>
      <c r="AC2248" s="32" t="str">
        <f t="shared" ref="AC2248:AG2248" si="2270">IF(J2248&lt;&gt;"", IF(AND($P2248=FALSE, $A2248=FALSE), -J2248, IF(AND($P2248=FALSE, $A2248=TRUE), 0, IF($P2248=TRUE, (J2248 / $R2248) * 100 * ($S2248 / 100)-J2248, ))), )</f>
        <v/>
      </c>
      <c r="AD2248" s="32" t="str">
        <f t="shared" si="2270"/>
        <v/>
      </c>
      <c r="AE2248" s="32" t="str">
        <f t="shared" si="2270"/>
        <v/>
      </c>
      <c r="AF2248" s="32" t="str">
        <f t="shared" si="2270"/>
        <v/>
      </c>
      <c r="AG2248" s="32" t="str">
        <f t="shared" si="2270"/>
        <v/>
      </c>
      <c r="AH2248" s="33"/>
    </row>
    <row r="2249" hidden="1" outlineLevel="2" collapsed="1">
      <c r="A2249" s="81" t="b">
        <v>0</v>
      </c>
      <c r="B2249" s="87"/>
      <c r="C2249" s="88"/>
      <c r="D2249" s="42">
        <v>45387.0</v>
      </c>
      <c r="E2249" s="43" t="s">
        <v>60</v>
      </c>
      <c r="F2249" s="53" t="s">
        <v>1400</v>
      </c>
      <c r="G2249" s="45">
        <v>2.0</v>
      </c>
      <c r="H2249" s="79"/>
      <c r="I2249" s="45">
        <v>3.0</v>
      </c>
      <c r="J2249" s="79"/>
      <c r="K2249" s="79"/>
      <c r="L2249" s="79"/>
      <c r="M2249" s="79"/>
      <c r="N2249" s="79"/>
      <c r="O2249" s="47"/>
      <c r="P2249" s="20" t="b">
        <v>1</v>
      </c>
      <c r="Q2249" s="47"/>
      <c r="R2249" s="48">
        <f t="shared" si="2103"/>
        <v>5</v>
      </c>
      <c r="S2249" s="45">
        <v>16.38</v>
      </c>
      <c r="T2249" s="49" t="str">
        <f t="shared" si="2104"/>
        <v>+228</v>
      </c>
      <c r="U2249" s="47"/>
      <c r="V2249" s="89" t="str">
        <f>IF(ISBLANK($D2249), "0",)</f>
        <v/>
      </c>
      <c r="W2249" s="90" t="str">
        <f t="shared" si="2024"/>
        <v/>
      </c>
      <c r="X2249" s="90"/>
      <c r="Y2249" s="84"/>
      <c r="Z2249" s="26">
        <f t="shared" si="5"/>
        <v>4.552</v>
      </c>
      <c r="AA2249" s="26">
        <f t="shared" si="6"/>
        <v>6.828</v>
      </c>
      <c r="AB2249" s="32" t="str">
        <f t="shared" si="7"/>
        <v/>
      </c>
      <c r="AC2249" s="32" t="str">
        <f t="shared" ref="AC2249:AG2249" si="2271">IF(J2249&lt;&gt;"", IF(AND($P2249=FALSE, $A2249=FALSE), -J2249, IF(AND($P2249=FALSE, $A2249=TRUE), 0, IF($P2249=TRUE, (J2249 / $R2249) * 100 * ($S2249 / 100)-J2249, ))), )</f>
        <v/>
      </c>
      <c r="AD2249" s="32" t="str">
        <f t="shared" si="2271"/>
        <v/>
      </c>
      <c r="AE2249" s="32" t="str">
        <f t="shared" si="2271"/>
        <v/>
      </c>
      <c r="AF2249" s="32" t="str">
        <f t="shared" si="2271"/>
        <v/>
      </c>
      <c r="AG2249" s="32" t="str">
        <f t="shared" si="2271"/>
        <v/>
      </c>
      <c r="AH2249" s="91"/>
    </row>
    <row r="2250" hidden="1" outlineLevel="3">
      <c r="A2250" s="16" t="b">
        <v>0</v>
      </c>
      <c r="B2250" s="17"/>
      <c r="C2250" s="18"/>
      <c r="D2250" s="42"/>
      <c r="E2250" s="20"/>
      <c r="F2250" s="53"/>
      <c r="G2250" s="45"/>
      <c r="H2250" s="45"/>
      <c r="I2250" s="45"/>
      <c r="J2250" s="36"/>
      <c r="K2250" s="23"/>
      <c r="L2250" s="36"/>
      <c r="M2250" s="23"/>
      <c r="N2250" s="23"/>
      <c r="O2250" s="24"/>
      <c r="P2250" s="16" t="b">
        <v>0</v>
      </c>
      <c r="Q2250" s="24"/>
      <c r="R2250" s="48" t="str">
        <f t="shared" si="2103"/>
        <v/>
      </c>
      <c r="S2250" s="26"/>
      <c r="T2250" s="49" t="str">
        <f t="shared" si="2104"/>
        <v/>
      </c>
      <c r="U2250" s="24"/>
      <c r="V2250" s="66" t="s">
        <v>358</v>
      </c>
      <c r="W2250" s="29" t="str">
        <f t="shared" si="2024"/>
        <v>/</v>
      </c>
      <c r="X2250" s="37" t="s">
        <v>1426</v>
      </c>
      <c r="Y2250" s="31"/>
      <c r="Z2250" s="26" t="str">
        <f t="shared" si="5"/>
        <v/>
      </c>
      <c r="AA2250" s="26" t="str">
        <f t="shared" si="6"/>
        <v/>
      </c>
      <c r="AB2250" s="32" t="str">
        <f t="shared" si="7"/>
        <v/>
      </c>
      <c r="AC2250" s="32" t="str">
        <f t="shared" ref="AC2250:AG2250" si="2272">IF(J2250&lt;&gt;"", IF(AND($P2250=FALSE, $A2250=FALSE), -J2250, IF(AND($P2250=FALSE, $A2250=TRUE), 0, IF($P2250=TRUE, (J2250 / $R2250) * 100 * ($S2250 / 100)-J2250, ))), )</f>
        <v/>
      </c>
      <c r="AD2250" s="32" t="str">
        <f t="shared" si="2272"/>
        <v/>
      </c>
      <c r="AE2250" s="32" t="str">
        <f t="shared" si="2272"/>
        <v/>
      </c>
      <c r="AF2250" s="32" t="str">
        <f t="shared" si="2272"/>
        <v/>
      </c>
      <c r="AG2250" s="32" t="str">
        <f t="shared" si="2272"/>
        <v/>
      </c>
      <c r="AH2250" s="33"/>
    </row>
    <row r="2251" hidden="1" outlineLevel="3">
      <c r="A2251" s="16" t="b">
        <v>0</v>
      </c>
      <c r="B2251" s="17"/>
      <c r="C2251" s="18"/>
      <c r="D2251" s="42"/>
      <c r="E2251" s="20"/>
      <c r="F2251" s="53"/>
      <c r="G2251" s="45"/>
      <c r="H2251" s="45"/>
      <c r="I2251" s="45"/>
      <c r="J2251" s="36"/>
      <c r="K2251" s="23"/>
      <c r="L2251" s="36"/>
      <c r="M2251" s="23"/>
      <c r="N2251" s="23"/>
      <c r="O2251" s="24"/>
      <c r="P2251" s="16" t="b">
        <v>0</v>
      </c>
      <c r="Q2251" s="24"/>
      <c r="R2251" s="48" t="str">
        <f t="shared" si="2103"/>
        <v/>
      </c>
      <c r="S2251" s="26"/>
      <c r="T2251" s="49" t="str">
        <f t="shared" si="2104"/>
        <v/>
      </c>
      <c r="U2251" s="24"/>
      <c r="V2251" s="66" t="s">
        <v>29</v>
      </c>
      <c r="W2251" s="29" t="str">
        <f t="shared" si="2024"/>
        <v>/</v>
      </c>
      <c r="X2251" s="37" t="s">
        <v>469</v>
      </c>
      <c r="Y2251" s="31"/>
      <c r="Z2251" s="26" t="str">
        <f t="shared" si="5"/>
        <v/>
      </c>
      <c r="AA2251" s="26" t="str">
        <f t="shared" si="6"/>
        <v/>
      </c>
      <c r="AB2251" s="32" t="str">
        <f t="shared" si="7"/>
        <v/>
      </c>
      <c r="AC2251" s="32" t="str">
        <f t="shared" ref="AC2251:AG2251" si="2273">IF(J2251&lt;&gt;"", IF(AND($P2251=FALSE, $A2251=FALSE), -J2251, IF(AND($P2251=FALSE, $A2251=TRUE), 0, IF($P2251=TRUE, (J2251 / $R2251) * 100 * ($S2251 / 100)-J2251, ))), )</f>
        <v/>
      </c>
      <c r="AD2251" s="32" t="str">
        <f t="shared" si="2273"/>
        <v/>
      </c>
      <c r="AE2251" s="32" t="str">
        <f t="shared" si="2273"/>
        <v/>
      </c>
      <c r="AF2251" s="32" t="str">
        <f t="shared" si="2273"/>
        <v/>
      </c>
      <c r="AG2251" s="32" t="str">
        <f t="shared" si="2273"/>
        <v/>
      </c>
      <c r="AH2251" s="33"/>
    </row>
    <row r="2252" hidden="1" outlineLevel="3">
      <c r="A2252" s="16" t="b">
        <v>0</v>
      </c>
      <c r="B2252" s="17"/>
      <c r="C2252" s="18"/>
      <c r="D2252" s="42"/>
      <c r="E2252" s="20"/>
      <c r="F2252" s="53"/>
      <c r="G2252" s="45"/>
      <c r="H2252" s="45"/>
      <c r="I2252" s="45"/>
      <c r="J2252" s="36"/>
      <c r="K2252" s="23"/>
      <c r="L2252" s="36"/>
      <c r="M2252" s="23"/>
      <c r="N2252" s="23"/>
      <c r="O2252" s="24"/>
      <c r="P2252" s="16" t="b">
        <v>0</v>
      </c>
      <c r="Q2252" s="24"/>
      <c r="R2252" s="48" t="str">
        <f t="shared" si="2103"/>
        <v/>
      </c>
      <c r="S2252" s="26"/>
      <c r="T2252" s="49" t="str">
        <f t="shared" si="2104"/>
        <v/>
      </c>
      <c r="U2252" s="24"/>
      <c r="V2252" s="66" t="s">
        <v>29</v>
      </c>
      <c r="W2252" s="29" t="str">
        <f t="shared" si="2024"/>
        <v>/</v>
      </c>
      <c r="X2252" s="37" t="s">
        <v>1427</v>
      </c>
      <c r="Y2252" s="31"/>
      <c r="Z2252" s="26" t="str">
        <f t="shared" si="5"/>
        <v/>
      </c>
      <c r="AA2252" s="26" t="str">
        <f t="shared" si="6"/>
        <v/>
      </c>
      <c r="AB2252" s="32" t="str">
        <f t="shared" si="7"/>
        <v/>
      </c>
      <c r="AC2252" s="32" t="str">
        <f t="shared" ref="AC2252:AG2252" si="2274">IF(J2252&lt;&gt;"", IF(AND($P2252=FALSE, $A2252=FALSE), -J2252, IF(AND($P2252=FALSE, $A2252=TRUE), 0, IF($P2252=TRUE, (J2252 / $R2252) * 100 * ($S2252 / 100)-J2252, ))), )</f>
        <v/>
      </c>
      <c r="AD2252" s="32" t="str">
        <f t="shared" si="2274"/>
        <v/>
      </c>
      <c r="AE2252" s="32" t="str">
        <f t="shared" si="2274"/>
        <v/>
      </c>
      <c r="AF2252" s="32" t="str">
        <f t="shared" si="2274"/>
        <v/>
      </c>
      <c r="AG2252" s="32" t="str">
        <f t="shared" si="2274"/>
        <v/>
      </c>
      <c r="AH2252" s="33"/>
    </row>
    <row r="2253" hidden="1" outlineLevel="2">
      <c r="A2253" s="81" t="b">
        <v>0</v>
      </c>
      <c r="B2253" s="87"/>
      <c r="C2253" s="88"/>
      <c r="D2253" s="42">
        <v>45387.0</v>
      </c>
      <c r="E2253" s="43" t="s">
        <v>60</v>
      </c>
      <c r="F2253" s="53" t="s">
        <v>1400</v>
      </c>
      <c r="G2253" s="45">
        <v>2.0</v>
      </c>
      <c r="H2253" s="79"/>
      <c r="I2253" s="45">
        <v>3.0</v>
      </c>
      <c r="J2253" s="79"/>
      <c r="K2253" s="79"/>
      <c r="L2253" s="79"/>
      <c r="M2253" s="79"/>
      <c r="N2253" s="79"/>
      <c r="O2253" s="47"/>
      <c r="P2253" s="20" t="b">
        <v>1</v>
      </c>
      <c r="Q2253" s="47"/>
      <c r="R2253" s="48">
        <f t="shared" si="2103"/>
        <v>5</v>
      </c>
      <c r="S2253" s="45">
        <v>16.43</v>
      </c>
      <c r="T2253" s="49" t="str">
        <f t="shared" si="2104"/>
        <v>+229</v>
      </c>
      <c r="U2253" s="47"/>
      <c r="V2253" s="89" t="str">
        <f>IF(ISBLANK($D2253), "0",)</f>
        <v/>
      </c>
      <c r="W2253" s="90" t="str">
        <f t="shared" si="2024"/>
        <v/>
      </c>
      <c r="X2253" s="90"/>
      <c r="Y2253" s="84"/>
      <c r="Z2253" s="26">
        <f t="shared" si="5"/>
        <v>4.572</v>
      </c>
      <c r="AA2253" s="26">
        <f t="shared" si="6"/>
        <v>6.858</v>
      </c>
      <c r="AB2253" s="32" t="str">
        <f t="shared" si="7"/>
        <v/>
      </c>
      <c r="AC2253" s="32" t="str">
        <f t="shared" ref="AC2253:AG2253" si="2275">IF(J2253&lt;&gt;"", IF(AND($P2253=FALSE, $A2253=FALSE), -J2253, IF(AND($P2253=FALSE, $A2253=TRUE), 0, IF($P2253=TRUE, (J2253 / $R2253) * 100 * ($S2253 / 100)-J2253, ))), )</f>
        <v/>
      </c>
      <c r="AD2253" s="32" t="str">
        <f t="shared" si="2275"/>
        <v/>
      </c>
      <c r="AE2253" s="32" t="str">
        <f t="shared" si="2275"/>
        <v/>
      </c>
      <c r="AF2253" s="32" t="str">
        <f t="shared" si="2275"/>
        <v/>
      </c>
      <c r="AG2253" s="32" t="str">
        <f t="shared" si="2275"/>
        <v/>
      </c>
      <c r="AH2253" s="91"/>
    </row>
    <row r="2254" hidden="1" outlineLevel="3">
      <c r="A2254" s="16" t="b">
        <v>0</v>
      </c>
      <c r="B2254" s="17"/>
      <c r="C2254" s="18"/>
      <c r="D2254" s="42"/>
      <c r="E2254" s="20"/>
      <c r="F2254" s="53"/>
      <c r="G2254" s="45"/>
      <c r="H2254" s="45"/>
      <c r="I2254" s="45"/>
      <c r="J2254" s="36"/>
      <c r="K2254" s="23"/>
      <c r="L2254" s="36"/>
      <c r="M2254" s="23"/>
      <c r="N2254" s="23"/>
      <c r="O2254" s="24"/>
      <c r="P2254" s="16" t="b">
        <v>0</v>
      </c>
      <c r="Q2254" s="24"/>
      <c r="R2254" s="48" t="str">
        <f t="shared" si="2103"/>
        <v/>
      </c>
      <c r="S2254" s="26"/>
      <c r="T2254" s="49" t="str">
        <f t="shared" si="2104"/>
        <v/>
      </c>
      <c r="U2254" s="24"/>
      <c r="V2254" s="66" t="s">
        <v>29</v>
      </c>
      <c r="W2254" s="29" t="str">
        <f t="shared" si="2024"/>
        <v>/</v>
      </c>
      <c r="X2254" s="37" t="s">
        <v>1428</v>
      </c>
      <c r="Y2254" s="31"/>
      <c r="Z2254" s="26" t="str">
        <f t="shared" si="5"/>
        <v/>
      </c>
      <c r="AA2254" s="26" t="str">
        <f t="shared" si="6"/>
        <v/>
      </c>
      <c r="AB2254" s="32" t="str">
        <f t="shared" si="7"/>
        <v/>
      </c>
      <c r="AC2254" s="32" t="str">
        <f t="shared" ref="AC2254:AG2254" si="2276">IF(J2254&lt;&gt;"", IF(AND($P2254=FALSE, $A2254=FALSE), -J2254, IF(AND($P2254=FALSE, $A2254=TRUE), 0, IF($P2254=TRUE, (J2254 / $R2254) * 100 * ($S2254 / 100)-J2254, ))), )</f>
        <v/>
      </c>
      <c r="AD2254" s="32" t="str">
        <f t="shared" si="2276"/>
        <v/>
      </c>
      <c r="AE2254" s="32" t="str">
        <f t="shared" si="2276"/>
        <v/>
      </c>
      <c r="AF2254" s="32" t="str">
        <f t="shared" si="2276"/>
        <v/>
      </c>
      <c r="AG2254" s="32" t="str">
        <f t="shared" si="2276"/>
        <v/>
      </c>
      <c r="AH2254" s="33"/>
    </row>
    <row r="2255" hidden="1" outlineLevel="3">
      <c r="A2255" s="16" t="b">
        <v>0</v>
      </c>
      <c r="B2255" s="17"/>
      <c r="C2255" s="18"/>
      <c r="D2255" s="42"/>
      <c r="E2255" s="20"/>
      <c r="F2255" s="53"/>
      <c r="G2255" s="45"/>
      <c r="H2255" s="45"/>
      <c r="I2255" s="45"/>
      <c r="J2255" s="36"/>
      <c r="K2255" s="23"/>
      <c r="L2255" s="36"/>
      <c r="M2255" s="23"/>
      <c r="N2255" s="23"/>
      <c r="O2255" s="24"/>
      <c r="P2255" s="16" t="b">
        <v>0</v>
      </c>
      <c r="Q2255" s="24"/>
      <c r="R2255" s="48" t="str">
        <f t="shared" si="2103"/>
        <v/>
      </c>
      <c r="S2255" s="26"/>
      <c r="T2255" s="49" t="str">
        <f t="shared" si="2104"/>
        <v/>
      </c>
      <c r="U2255" s="24"/>
      <c r="V2255" s="66" t="s">
        <v>29</v>
      </c>
      <c r="W2255" s="29" t="str">
        <f t="shared" si="2024"/>
        <v>/</v>
      </c>
      <c r="X2255" s="37" t="s">
        <v>1429</v>
      </c>
      <c r="Y2255" s="31"/>
      <c r="Z2255" s="26" t="str">
        <f t="shared" si="5"/>
        <v/>
      </c>
      <c r="AA2255" s="26" t="str">
        <f t="shared" si="6"/>
        <v/>
      </c>
      <c r="AB2255" s="32" t="str">
        <f t="shared" si="7"/>
        <v/>
      </c>
      <c r="AC2255" s="32" t="str">
        <f t="shared" ref="AC2255:AG2255" si="2277">IF(J2255&lt;&gt;"", IF(AND($P2255=FALSE, $A2255=FALSE), -J2255, IF(AND($P2255=FALSE, $A2255=TRUE), 0, IF($P2255=TRUE, (J2255 / $R2255) * 100 * ($S2255 / 100)-J2255, ))), )</f>
        <v/>
      </c>
      <c r="AD2255" s="32" t="str">
        <f t="shared" si="2277"/>
        <v/>
      </c>
      <c r="AE2255" s="32" t="str">
        <f t="shared" si="2277"/>
        <v/>
      </c>
      <c r="AF2255" s="32" t="str">
        <f t="shared" si="2277"/>
        <v/>
      </c>
      <c r="AG2255" s="32" t="str">
        <f t="shared" si="2277"/>
        <v/>
      </c>
      <c r="AH2255" s="33"/>
    </row>
    <row r="2256" hidden="1" outlineLevel="3">
      <c r="A2256" s="16" t="b">
        <v>0</v>
      </c>
      <c r="B2256" s="17"/>
      <c r="C2256" s="18"/>
      <c r="D2256" s="42"/>
      <c r="E2256" s="20"/>
      <c r="F2256" s="53"/>
      <c r="G2256" s="45"/>
      <c r="H2256" s="45"/>
      <c r="I2256" s="45"/>
      <c r="J2256" s="36"/>
      <c r="K2256" s="23"/>
      <c r="L2256" s="36"/>
      <c r="M2256" s="23"/>
      <c r="N2256" s="23"/>
      <c r="O2256" s="24"/>
      <c r="P2256" s="16" t="b">
        <v>0</v>
      </c>
      <c r="Q2256" s="24"/>
      <c r="R2256" s="48" t="str">
        <f t="shared" si="2103"/>
        <v/>
      </c>
      <c r="S2256" s="26"/>
      <c r="T2256" s="49" t="str">
        <f t="shared" si="2104"/>
        <v/>
      </c>
      <c r="U2256" s="24"/>
      <c r="V2256" s="66" t="s">
        <v>29</v>
      </c>
      <c r="W2256" s="29" t="str">
        <f t="shared" si="2024"/>
        <v>/</v>
      </c>
      <c r="X2256" s="37" t="s">
        <v>1417</v>
      </c>
      <c r="Y2256" s="31"/>
      <c r="Z2256" s="26" t="str">
        <f t="shared" si="5"/>
        <v/>
      </c>
      <c r="AA2256" s="26" t="str">
        <f t="shared" si="6"/>
        <v/>
      </c>
      <c r="AB2256" s="32" t="str">
        <f t="shared" si="7"/>
        <v/>
      </c>
      <c r="AC2256" s="32" t="str">
        <f t="shared" ref="AC2256:AG2256" si="2278">IF(J2256&lt;&gt;"", IF(AND($P2256=FALSE, $A2256=FALSE), -J2256, IF(AND($P2256=FALSE, $A2256=TRUE), 0, IF($P2256=TRUE, (J2256 / $R2256) * 100 * ($S2256 / 100)-J2256, ))), )</f>
        <v/>
      </c>
      <c r="AD2256" s="32" t="str">
        <f t="shared" si="2278"/>
        <v/>
      </c>
      <c r="AE2256" s="32" t="str">
        <f t="shared" si="2278"/>
        <v/>
      </c>
      <c r="AF2256" s="32" t="str">
        <f t="shared" si="2278"/>
        <v/>
      </c>
      <c r="AG2256" s="32" t="str">
        <f t="shared" si="2278"/>
        <v/>
      </c>
      <c r="AH2256" s="33"/>
    </row>
    <row r="2257" hidden="1" outlineLevel="1" collapsed="1">
      <c r="A2257" s="81" t="b">
        <v>0</v>
      </c>
      <c r="B2257" s="87"/>
      <c r="C2257" s="88"/>
      <c r="D2257" s="42">
        <v>45391.0</v>
      </c>
      <c r="E2257" s="43" t="s">
        <v>60</v>
      </c>
      <c r="F2257" s="53" t="s">
        <v>1400</v>
      </c>
      <c r="G2257" s="45">
        <v>3.0</v>
      </c>
      <c r="H2257" s="79"/>
      <c r="I2257" s="45">
        <v>3.0</v>
      </c>
      <c r="J2257" s="79"/>
      <c r="K2257" s="79"/>
      <c r="L2257" s="79"/>
      <c r="M2257" s="79"/>
      <c r="N2257" s="79"/>
      <c r="O2257" s="47"/>
      <c r="P2257" s="20" t="b">
        <v>0</v>
      </c>
      <c r="Q2257" s="47"/>
      <c r="R2257" s="48">
        <f t="shared" si="2103"/>
        <v>6</v>
      </c>
      <c r="S2257" s="45">
        <v>18.54</v>
      </c>
      <c r="T2257" s="49" t="str">
        <f t="shared" si="2104"/>
        <v>+209</v>
      </c>
      <c r="U2257" s="47"/>
      <c r="V2257" s="89" t="str">
        <f>IF(ISBLANK($D2257), "0",)</f>
        <v/>
      </c>
      <c r="W2257" s="90" t="str">
        <f t="shared" si="2024"/>
        <v/>
      </c>
      <c r="X2257" s="90"/>
      <c r="Y2257" s="84"/>
      <c r="Z2257" s="26">
        <f t="shared" si="5"/>
        <v>-3</v>
      </c>
      <c r="AA2257" s="26">
        <f t="shared" si="6"/>
        <v>-3</v>
      </c>
      <c r="AB2257" s="32" t="str">
        <f t="shared" si="7"/>
        <v/>
      </c>
      <c r="AC2257" s="32" t="str">
        <f t="shared" ref="AC2257:AG2257" si="2279">IF(J2257&lt;&gt;"", IF(AND($P2257=FALSE, $A2257=FALSE), -J2257, IF(AND($P2257=FALSE, $A2257=TRUE), 0, IF($P2257=TRUE, (J2257 / $R2257) * 100 * ($S2257 / 100)-J2257, ))), )</f>
        <v/>
      </c>
      <c r="AD2257" s="32" t="str">
        <f t="shared" si="2279"/>
        <v/>
      </c>
      <c r="AE2257" s="32" t="str">
        <f t="shared" si="2279"/>
        <v/>
      </c>
      <c r="AF2257" s="32" t="str">
        <f t="shared" si="2279"/>
        <v/>
      </c>
      <c r="AG2257" s="32" t="str">
        <f t="shared" si="2279"/>
        <v/>
      </c>
      <c r="AH2257" s="91"/>
    </row>
    <row r="2258" hidden="1" outlineLevel="3">
      <c r="A2258" s="16" t="b">
        <v>0</v>
      </c>
      <c r="B2258" s="17"/>
      <c r="C2258" s="18"/>
      <c r="D2258" s="42"/>
      <c r="E2258" s="20"/>
      <c r="F2258" s="53"/>
      <c r="G2258" s="45"/>
      <c r="H2258" s="45"/>
      <c r="I2258" s="45"/>
      <c r="J2258" s="36"/>
      <c r="K2258" s="23"/>
      <c r="L2258" s="36"/>
      <c r="M2258" s="23"/>
      <c r="N2258" s="23"/>
      <c r="O2258" s="24"/>
      <c r="P2258" s="16" t="b">
        <v>0</v>
      </c>
      <c r="Q2258" s="24"/>
      <c r="R2258" s="48" t="str">
        <f t="shared" si="2103"/>
        <v/>
      </c>
      <c r="S2258" s="26"/>
      <c r="T2258" s="49" t="str">
        <f t="shared" si="2104"/>
        <v/>
      </c>
      <c r="U2258" s="24"/>
      <c r="V2258" s="66" t="s">
        <v>29</v>
      </c>
      <c r="W2258" s="29" t="str">
        <f t="shared" si="2024"/>
        <v>/</v>
      </c>
      <c r="X2258" s="37" t="s">
        <v>180</v>
      </c>
      <c r="Y2258" s="31"/>
      <c r="Z2258" s="26" t="str">
        <f t="shared" si="5"/>
        <v/>
      </c>
      <c r="AA2258" s="26" t="str">
        <f t="shared" si="6"/>
        <v/>
      </c>
      <c r="AB2258" s="32" t="str">
        <f t="shared" si="7"/>
        <v/>
      </c>
      <c r="AC2258" s="32" t="str">
        <f t="shared" ref="AC2258:AG2258" si="2280">IF(J2258&lt;&gt;"", IF(AND($P2258=FALSE, $A2258=FALSE), -J2258, IF(AND($P2258=FALSE, $A2258=TRUE), 0, IF($P2258=TRUE, (J2258 / $R2258) * 100 * ($S2258 / 100)-J2258, ))), )</f>
        <v/>
      </c>
      <c r="AD2258" s="32" t="str">
        <f t="shared" si="2280"/>
        <v/>
      </c>
      <c r="AE2258" s="32" t="str">
        <f t="shared" si="2280"/>
        <v/>
      </c>
      <c r="AF2258" s="32" t="str">
        <f t="shared" si="2280"/>
        <v/>
      </c>
      <c r="AG2258" s="32" t="str">
        <f t="shared" si="2280"/>
        <v/>
      </c>
      <c r="AH2258" s="33"/>
    </row>
    <row r="2259" hidden="1" outlineLevel="3">
      <c r="A2259" s="16" t="b">
        <v>0</v>
      </c>
      <c r="B2259" s="17"/>
      <c r="C2259" s="18"/>
      <c r="D2259" s="42"/>
      <c r="E2259" s="20"/>
      <c r="F2259" s="53"/>
      <c r="G2259" s="45"/>
      <c r="H2259" s="45"/>
      <c r="I2259" s="45"/>
      <c r="J2259" s="36"/>
      <c r="K2259" s="23"/>
      <c r="L2259" s="36"/>
      <c r="M2259" s="23"/>
      <c r="N2259" s="23"/>
      <c r="O2259" s="24"/>
      <c r="P2259" s="16" t="b">
        <v>0</v>
      </c>
      <c r="Q2259" s="24"/>
      <c r="R2259" s="48" t="str">
        <f t="shared" si="2103"/>
        <v/>
      </c>
      <c r="S2259" s="26"/>
      <c r="T2259" s="49" t="str">
        <f t="shared" si="2104"/>
        <v/>
      </c>
      <c r="U2259" s="24"/>
      <c r="V2259" s="66" t="s">
        <v>29</v>
      </c>
      <c r="W2259" s="29" t="str">
        <f t="shared" si="2024"/>
        <v>/</v>
      </c>
      <c r="X2259" s="37" t="s">
        <v>1430</v>
      </c>
      <c r="Y2259" s="31"/>
      <c r="Z2259" s="26" t="str">
        <f t="shared" si="5"/>
        <v/>
      </c>
      <c r="AA2259" s="26" t="str">
        <f t="shared" si="6"/>
        <v/>
      </c>
      <c r="AB2259" s="32" t="str">
        <f t="shared" si="7"/>
        <v/>
      </c>
      <c r="AC2259" s="32" t="str">
        <f t="shared" ref="AC2259:AG2259" si="2281">IF(J2259&lt;&gt;"", IF(AND($P2259=FALSE, $A2259=FALSE), -J2259, IF(AND($P2259=FALSE, $A2259=TRUE), 0, IF($P2259=TRUE, (J2259 / $R2259) * 100 * ($S2259 / 100)-J2259, ))), )</f>
        <v/>
      </c>
      <c r="AD2259" s="32" t="str">
        <f t="shared" si="2281"/>
        <v/>
      </c>
      <c r="AE2259" s="32" t="str">
        <f t="shared" si="2281"/>
        <v/>
      </c>
      <c r="AF2259" s="32" t="str">
        <f t="shared" si="2281"/>
        <v/>
      </c>
      <c r="AG2259" s="32" t="str">
        <f t="shared" si="2281"/>
        <v/>
      </c>
      <c r="AH2259" s="33"/>
    </row>
    <row r="2260" hidden="1" outlineLevel="3">
      <c r="A2260" s="16" t="b">
        <v>0</v>
      </c>
      <c r="B2260" s="17"/>
      <c r="C2260" s="18"/>
      <c r="D2260" s="42"/>
      <c r="E2260" s="20"/>
      <c r="F2260" s="53"/>
      <c r="G2260" s="45"/>
      <c r="H2260" s="45"/>
      <c r="I2260" s="45"/>
      <c r="J2260" s="36"/>
      <c r="K2260" s="23"/>
      <c r="L2260" s="36"/>
      <c r="M2260" s="23"/>
      <c r="N2260" s="23"/>
      <c r="O2260" s="24"/>
      <c r="P2260" s="16" t="b">
        <v>0</v>
      </c>
      <c r="Q2260" s="24"/>
      <c r="R2260" s="48" t="str">
        <f t="shared" si="2103"/>
        <v/>
      </c>
      <c r="S2260" s="26"/>
      <c r="T2260" s="49" t="str">
        <f t="shared" si="2104"/>
        <v/>
      </c>
      <c r="U2260" s="24"/>
      <c r="V2260" s="66">
        <v>15.0</v>
      </c>
      <c r="W2260" s="29" t="str">
        <f t="shared" si="2024"/>
        <v>/</v>
      </c>
      <c r="X2260" s="37" t="s">
        <v>230</v>
      </c>
      <c r="Y2260" s="31"/>
      <c r="Z2260" s="26" t="str">
        <f t="shared" si="5"/>
        <v/>
      </c>
      <c r="AA2260" s="26" t="str">
        <f t="shared" si="6"/>
        <v/>
      </c>
      <c r="AB2260" s="32" t="str">
        <f t="shared" si="7"/>
        <v/>
      </c>
      <c r="AC2260" s="32" t="str">
        <f t="shared" ref="AC2260:AG2260" si="2282">IF(J2260&lt;&gt;"", IF(AND($P2260=FALSE, $A2260=FALSE), -J2260, IF(AND($P2260=FALSE, $A2260=TRUE), 0, IF($P2260=TRUE, (J2260 / $R2260) * 100 * ($S2260 / 100)-J2260, ))), )</f>
        <v/>
      </c>
      <c r="AD2260" s="32" t="str">
        <f t="shared" si="2282"/>
        <v/>
      </c>
      <c r="AE2260" s="32" t="str">
        <f t="shared" si="2282"/>
        <v/>
      </c>
      <c r="AF2260" s="32" t="str">
        <f t="shared" si="2282"/>
        <v/>
      </c>
      <c r="AG2260" s="32" t="str">
        <f t="shared" si="2282"/>
        <v/>
      </c>
      <c r="AH2260" s="33"/>
    </row>
    <row r="2261" hidden="1" outlineLevel="3">
      <c r="A2261" s="16" t="b">
        <v>0</v>
      </c>
      <c r="B2261" s="17"/>
      <c r="C2261" s="18"/>
      <c r="D2261" s="42"/>
      <c r="E2261" s="20"/>
      <c r="F2261" s="53"/>
      <c r="G2261" s="45"/>
      <c r="H2261" s="45"/>
      <c r="I2261" s="45"/>
      <c r="J2261" s="36"/>
      <c r="K2261" s="23"/>
      <c r="L2261" s="36"/>
      <c r="M2261" s="23"/>
      <c r="N2261" s="23"/>
      <c r="O2261" s="24"/>
      <c r="P2261" s="16" t="b">
        <v>0</v>
      </c>
      <c r="Q2261" s="24"/>
      <c r="R2261" s="48" t="str">
        <f t="shared" si="2103"/>
        <v/>
      </c>
      <c r="S2261" s="26"/>
      <c r="T2261" s="49" t="str">
        <f t="shared" si="2104"/>
        <v/>
      </c>
      <c r="U2261" s="24"/>
      <c r="V2261" s="66" t="s">
        <v>29</v>
      </c>
      <c r="W2261" s="29" t="str">
        <f t="shared" si="2024"/>
        <v>/</v>
      </c>
      <c r="X2261" s="37" t="s">
        <v>1417</v>
      </c>
      <c r="Y2261" s="31"/>
      <c r="Z2261" s="26" t="str">
        <f t="shared" si="5"/>
        <v/>
      </c>
      <c r="AA2261" s="26" t="str">
        <f t="shared" si="6"/>
        <v/>
      </c>
      <c r="AB2261" s="32" t="str">
        <f t="shared" si="7"/>
        <v/>
      </c>
      <c r="AC2261" s="32" t="str">
        <f t="shared" ref="AC2261:AG2261" si="2283">IF(J2261&lt;&gt;"", IF(AND($P2261=FALSE, $A2261=FALSE), -J2261, IF(AND($P2261=FALSE, $A2261=TRUE), 0, IF($P2261=TRUE, (J2261 / $R2261) * 100 * ($S2261 / 100)-J2261, ))), )</f>
        <v/>
      </c>
      <c r="AD2261" s="32" t="str">
        <f t="shared" si="2283"/>
        <v/>
      </c>
      <c r="AE2261" s="32" t="str">
        <f t="shared" si="2283"/>
        <v/>
      </c>
      <c r="AF2261" s="32" t="str">
        <f t="shared" si="2283"/>
        <v/>
      </c>
      <c r="AG2261" s="32" t="str">
        <f t="shared" si="2283"/>
        <v/>
      </c>
      <c r="AH2261" s="33"/>
    </row>
    <row r="2262" hidden="1" outlineLevel="1" collapsed="1">
      <c r="A2262" s="81" t="b">
        <v>0</v>
      </c>
      <c r="B2262" s="87"/>
      <c r="C2262" s="88"/>
      <c r="D2262" s="42">
        <v>45392.0</v>
      </c>
      <c r="E2262" s="43" t="s">
        <v>60</v>
      </c>
      <c r="F2262" s="53" t="s">
        <v>1400</v>
      </c>
      <c r="G2262" s="45">
        <v>3.0</v>
      </c>
      <c r="H2262" s="79"/>
      <c r="I2262" s="45">
        <v>3.0</v>
      </c>
      <c r="J2262" s="79"/>
      <c r="K2262" s="79"/>
      <c r="L2262" s="79"/>
      <c r="M2262" s="79"/>
      <c r="N2262" s="79"/>
      <c r="O2262" s="47"/>
      <c r="P2262" s="20" t="b">
        <v>1</v>
      </c>
      <c r="Q2262" s="47"/>
      <c r="R2262" s="48">
        <f t="shared" si="2103"/>
        <v>6</v>
      </c>
      <c r="S2262" s="45">
        <v>14.13</v>
      </c>
      <c r="T2262" s="49" t="str">
        <f t="shared" si="2104"/>
        <v>+136</v>
      </c>
      <c r="U2262" s="47"/>
      <c r="V2262" s="89" t="str">
        <f>IF(ISBLANK($D2262), "0",)</f>
        <v/>
      </c>
      <c r="W2262" s="90" t="str">
        <f t="shared" si="2024"/>
        <v/>
      </c>
      <c r="X2262" s="90"/>
      <c r="Y2262" s="84"/>
      <c r="Z2262" s="26">
        <f t="shared" si="5"/>
        <v>4.065</v>
      </c>
      <c r="AA2262" s="26">
        <f t="shared" si="6"/>
        <v>4.065</v>
      </c>
      <c r="AB2262" s="32" t="str">
        <f t="shared" si="7"/>
        <v/>
      </c>
      <c r="AC2262" s="32" t="str">
        <f t="shared" ref="AC2262:AG2262" si="2284">IF(J2262&lt;&gt;"", IF(AND($P2262=FALSE, $A2262=FALSE), -J2262, IF(AND($P2262=FALSE, $A2262=TRUE), 0, IF($P2262=TRUE, (J2262 / $R2262) * 100 * ($S2262 / 100)-J2262, ))), )</f>
        <v/>
      </c>
      <c r="AD2262" s="32" t="str">
        <f t="shared" si="2284"/>
        <v/>
      </c>
      <c r="AE2262" s="32" t="str">
        <f t="shared" si="2284"/>
        <v/>
      </c>
      <c r="AF2262" s="32" t="str">
        <f t="shared" si="2284"/>
        <v/>
      </c>
      <c r="AG2262" s="32" t="str">
        <f t="shared" si="2284"/>
        <v/>
      </c>
      <c r="AH2262" s="91"/>
    </row>
    <row r="2263" hidden="1" outlineLevel="3">
      <c r="A2263" s="16" t="b">
        <v>0</v>
      </c>
      <c r="B2263" s="17"/>
      <c r="C2263" s="18"/>
      <c r="D2263" s="42"/>
      <c r="E2263" s="20"/>
      <c r="F2263" s="53"/>
      <c r="G2263" s="45"/>
      <c r="H2263" s="45"/>
      <c r="I2263" s="45"/>
      <c r="J2263" s="36"/>
      <c r="K2263" s="23"/>
      <c r="L2263" s="36"/>
      <c r="M2263" s="23"/>
      <c r="N2263" s="23"/>
      <c r="O2263" s="24"/>
      <c r="P2263" s="16" t="b">
        <v>0</v>
      </c>
      <c r="Q2263" s="24"/>
      <c r="R2263" s="48" t="str">
        <f t="shared" si="2103"/>
        <v/>
      </c>
      <c r="S2263" s="26"/>
      <c r="T2263" s="49" t="str">
        <f t="shared" si="2104"/>
        <v/>
      </c>
      <c r="U2263" s="24"/>
      <c r="V2263" s="66" t="s">
        <v>29</v>
      </c>
      <c r="W2263" s="29" t="str">
        <f t="shared" si="2024"/>
        <v>/</v>
      </c>
      <c r="X2263" s="37" t="s">
        <v>63</v>
      </c>
      <c r="Y2263" s="31"/>
      <c r="Z2263" s="26" t="str">
        <f t="shared" si="5"/>
        <v/>
      </c>
      <c r="AA2263" s="26" t="str">
        <f t="shared" si="6"/>
        <v/>
      </c>
      <c r="AB2263" s="32" t="str">
        <f t="shared" si="7"/>
        <v/>
      </c>
      <c r="AC2263" s="32" t="str">
        <f t="shared" ref="AC2263:AG2263" si="2285">IF(J2263&lt;&gt;"", IF(AND($P2263=FALSE, $A2263=FALSE), -J2263, IF(AND($P2263=FALSE, $A2263=TRUE), 0, IF($P2263=TRUE, (J2263 / $R2263) * 100 * ($S2263 / 100)-J2263, ))), )</f>
        <v/>
      </c>
      <c r="AD2263" s="32" t="str">
        <f t="shared" si="2285"/>
        <v/>
      </c>
      <c r="AE2263" s="32" t="str">
        <f t="shared" si="2285"/>
        <v/>
      </c>
      <c r="AF2263" s="32" t="str">
        <f t="shared" si="2285"/>
        <v/>
      </c>
      <c r="AG2263" s="32" t="str">
        <f t="shared" si="2285"/>
        <v/>
      </c>
      <c r="AH2263" s="33"/>
    </row>
    <row r="2264" hidden="1" outlineLevel="3">
      <c r="A2264" s="16" t="b">
        <v>0</v>
      </c>
      <c r="B2264" s="17"/>
      <c r="C2264" s="18"/>
      <c r="D2264" s="42"/>
      <c r="E2264" s="20"/>
      <c r="F2264" s="53"/>
      <c r="G2264" s="45"/>
      <c r="H2264" s="45"/>
      <c r="I2264" s="45"/>
      <c r="J2264" s="36"/>
      <c r="K2264" s="23"/>
      <c r="L2264" s="36"/>
      <c r="M2264" s="23"/>
      <c r="N2264" s="23"/>
      <c r="O2264" s="24"/>
      <c r="P2264" s="16" t="b">
        <v>0</v>
      </c>
      <c r="Q2264" s="24"/>
      <c r="R2264" s="48" t="str">
        <f t="shared" si="2103"/>
        <v/>
      </c>
      <c r="S2264" s="26"/>
      <c r="T2264" s="49" t="str">
        <f t="shared" si="2104"/>
        <v/>
      </c>
      <c r="U2264" s="24"/>
      <c r="V2264" s="66" t="s">
        <v>29</v>
      </c>
      <c r="W2264" s="29" t="str">
        <f t="shared" si="2024"/>
        <v>/</v>
      </c>
      <c r="X2264" s="37" t="s">
        <v>1431</v>
      </c>
      <c r="Y2264" s="31"/>
      <c r="Z2264" s="26" t="str">
        <f t="shared" si="5"/>
        <v/>
      </c>
      <c r="AA2264" s="26" t="str">
        <f t="shared" si="6"/>
        <v/>
      </c>
      <c r="AB2264" s="32" t="str">
        <f t="shared" si="7"/>
        <v/>
      </c>
      <c r="AC2264" s="32" t="str">
        <f t="shared" ref="AC2264:AG2264" si="2286">IF(J2264&lt;&gt;"", IF(AND($P2264=FALSE, $A2264=FALSE), -J2264, IF(AND($P2264=FALSE, $A2264=TRUE), 0, IF($P2264=TRUE, (J2264 / $R2264) * 100 * ($S2264 / 100)-J2264, ))), )</f>
        <v/>
      </c>
      <c r="AD2264" s="32" t="str">
        <f t="shared" si="2286"/>
        <v/>
      </c>
      <c r="AE2264" s="32" t="str">
        <f t="shared" si="2286"/>
        <v/>
      </c>
      <c r="AF2264" s="32" t="str">
        <f t="shared" si="2286"/>
        <v/>
      </c>
      <c r="AG2264" s="32" t="str">
        <f t="shared" si="2286"/>
        <v/>
      </c>
      <c r="AH2264" s="33"/>
    </row>
    <row r="2265" hidden="1" outlineLevel="3">
      <c r="A2265" s="16" t="b">
        <v>0</v>
      </c>
      <c r="B2265" s="17"/>
      <c r="C2265" s="18"/>
      <c r="D2265" s="42"/>
      <c r="E2265" s="20"/>
      <c r="F2265" s="53"/>
      <c r="G2265" s="45"/>
      <c r="H2265" s="45"/>
      <c r="I2265" s="45"/>
      <c r="J2265" s="36"/>
      <c r="K2265" s="23"/>
      <c r="L2265" s="36"/>
      <c r="M2265" s="23"/>
      <c r="N2265" s="23"/>
      <c r="O2265" s="24"/>
      <c r="P2265" s="16" t="b">
        <v>0</v>
      </c>
      <c r="Q2265" s="24"/>
      <c r="R2265" s="48" t="str">
        <f t="shared" si="2103"/>
        <v/>
      </c>
      <c r="S2265" s="26"/>
      <c r="T2265" s="49" t="str">
        <f t="shared" si="2104"/>
        <v/>
      </c>
      <c r="U2265" s="24"/>
      <c r="V2265" s="66" t="s">
        <v>29</v>
      </c>
      <c r="W2265" s="29" t="str">
        <f t="shared" si="2024"/>
        <v>/</v>
      </c>
      <c r="X2265" s="37" t="s">
        <v>219</v>
      </c>
      <c r="Y2265" s="31"/>
      <c r="Z2265" s="26" t="str">
        <f t="shared" si="5"/>
        <v/>
      </c>
      <c r="AA2265" s="26" t="str">
        <f t="shared" si="6"/>
        <v/>
      </c>
      <c r="AB2265" s="32" t="str">
        <f t="shared" si="7"/>
        <v/>
      </c>
      <c r="AC2265" s="32" t="str">
        <f t="shared" ref="AC2265:AG2265" si="2287">IF(J2265&lt;&gt;"", IF(AND($P2265=FALSE, $A2265=FALSE), -J2265, IF(AND($P2265=FALSE, $A2265=TRUE), 0, IF($P2265=TRUE, (J2265 / $R2265) * 100 * ($S2265 / 100)-J2265, ))), )</f>
        <v/>
      </c>
      <c r="AD2265" s="32" t="str">
        <f t="shared" si="2287"/>
        <v/>
      </c>
      <c r="AE2265" s="32" t="str">
        <f t="shared" si="2287"/>
        <v/>
      </c>
      <c r="AF2265" s="32" t="str">
        <f t="shared" si="2287"/>
        <v/>
      </c>
      <c r="AG2265" s="32" t="str">
        <f t="shared" si="2287"/>
        <v/>
      </c>
      <c r="AH2265" s="33"/>
    </row>
    <row r="2266" hidden="1" outlineLevel="2">
      <c r="A2266" s="81" t="b">
        <v>0</v>
      </c>
      <c r="B2266" s="87"/>
      <c r="C2266" s="88"/>
      <c r="D2266" s="42">
        <v>45392.0</v>
      </c>
      <c r="E2266" s="43" t="s">
        <v>60</v>
      </c>
      <c r="F2266" s="53" t="s">
        <v>1400</v>
      </c>
      <c r="G2266" s="45">
        <v>3.0</v>
      </c>
      <c r="H2266" s="79"/>
      <c r="I2266" s="45">
        <v>3.0</v>
      </c>
      <c r="J2266" s="79"/>
      <c r="K2266" s="79"/>
      <c r="L2266" s="79"/>
      <c r="M2266" s="79"/>
      <c r="N2266" s="79"/>
      <c r="O2266" s="47"/>
      <c r="P2266" s="20" t="b">
        <v>1</v>
      </c>
      <c r="Q2266" s="47"/>
      <c r="R2266" s="48">
        <f t="shared" si="2103"/>
        <v>6</v>
      </c>
      <c r="S2266" s="45">
        <v>19.07</v>
      </c>
      <c r="T2266" s="49" t="str">
        <f t="shared" si="2104"/>
        <v>+218</v>
      </c>
      <c r="U2266" s="47"/>
      <c r="V2266" s="89" t="str">
        <f>IF(ISBLANK($D2266), "0",)</f>
        <v/>
      </c>
      <c r="W2266" s="90" t="str">
        <f t="shared" si="2024"/>
        <v/>
      </c>
      <c r="X2266" s="90"/>
      <c r="Y2266" s="84"/>
      <c r="Z2266" s="26">
        <f t="shared" si="5"/>
        <v>6.535</v>
      </c>
      <c r="AA2266" s="26">
        <f t="shared" si="6"/>
        <v>6.535</v>
      </c>
      <c r="AB2266" s="32" t="str">
        <f t="shared" si="7"/>
        <v/>
      </c>
      <c r="AC2266" s="32" t="str">
        <f t="shared" ref="AC2266:AG2266" si="2288">IF(J2266&lt;&gt;"", IF(AND($P2266=FALSE, $A2266=FALSE), -J2266, IF(AND($P2266=FALSE, $A2266=TRUE), 0, IF($P2266=TRUE, (J2266 / $R2266) * 100 * ($S2266 / 100)-J2266, ))), )</f>
        <v/>
      </c>
      <c r="AD2266" s="32" t="str">
        <f t="shared" si="2288"/>
        <v/>
      </c>
      <c r="AE2266" s="32" t="str">
        <f t="shared" si="2288"/>
        <v/>
      </c>
      <c r="AF2266" s="32" t="str">
        <f t="shared" si="2288"/>
        <v/>
      </c>
      <c r="AG2266" s="32" t="str">
        <f t="shared" si="2288"/>
        <v/>
      </c>
      <c r="AH2266" s="91"/>
    </row>
    <row r="2267" hidden="1" outlineLevel="3">
      <c r="A2267" s="16" t="b">
        <v>0</v>
      </c>
      <c r="B2267" s="17"/>
      <c r="C2267" s="18"/>
      <c r="D2267" s="42"/>
      <c r="E2267" s="20"/>
      <c r="F2267" s="53"/>
      <c r="G2267" s="45"/>
      <c r="H2267" s="45"/>
      <c r="I2267" s="45"/>
      <c r="J2267" s="36"/>
      <c r="K2267" s="23"/>
      <c r="L2267" s="36"/>
      <c r="M2267" s="23"/>
      <c r="N2267" s="23"/>
      <c r="O2267" s="24"/>
      <c r="P2267" s="16" t="b">
        <v>0</v>
      </c>
      <c r="Q2267" s="24"/>
      <c r="R2267" s="48" t="str">
        <f t="shared" si="2103"/>
        <v/>
      </c>
      <c r="S2267" s="26"/>
      <c r="T2267" s="49" t="str">
        <f t="shared" si="2104"/>
        <v/>
      </c>
      <c r="U2267" s="24"/>
      <c r="V2267" s="66" t="s">
        <v>29</v>
      </c>
      <c r="W2267" s="29" t="str">
        <f t="shared" si="2024"/>
        <v>/</v>
      </c>
      <c r="X2267" s="37" t="s">
        <v>239</v>
      </c>
      <c r="Y2267" s="31"/>
      <c r="Z2267" s="26" t="str">
        <f t="shared" si="5"/>
        <v/>
      </c>
      <c r="AA2267" s="26" t="str">
        <f t="shared" si="6"/>
        <v/>
      </c>
      <c r="AB2267" s="32" t="str">
        <f t="shared" si="7"/>
        <v/>
      </c>
      <c r="AC2267" s="32" t="str">
        <f t="shared" ref="AC2267:AG2267" si="2289">IF(J2267&lt;&gt;"", IF(AND($P2267=FALSE, $A2267=FALSE), -J2267, IF(AND($P2267=FALSE, $A2267=TRUE), 0, IF($P2267=TRUE, (J2267 / $R2267) * 100 * ($S2267 / 100)-J2267, ))), )</f>
        <v/>
      </c>
      <c r="AD2267" s="32" t="str">
        <f t="shared" si="2289"/>
        <v/>
      </c>
      <c r="AE2267" s="32" t="str">
        <f t="shared" si="2289"/>
        <v/>
      </c>
      <c r="AF2267" s="32" t="str">
        <f t="shared" si="2289"/>
        <v/>
      </c>
      <c r="AG2267" s="32" t="str">
        <f t="shared" si="2289"/>
        <v/>
      </c>
      <c r="AH2267" s="33"/>
    </row>
    <row r="2268" hidden="1" outlineLevel="3">
      <c r="A2268" s="16" t="b">
        <v>0</v>
      </c>
      <c r="B2268" s="17"/>
      <c r="C2268" s="18"/>
      <c r="D2268" s="42"/>
      <c r="E2268" s="20"/>
      <c r="F2268" s="53"/>
      <c r="G2268" s="45"/>
      <c r="H2268" s="45"/>
      <c r="I2268" s="45"/>
      <c r="J2268" s="36"/>
      <c r="K2268" s="23"/>
      <c r="L2268" s="36"/>
      <c r="M2268" s="23"/>
      <c r="N2268" s="23"/>
      <c r="O2268" s="24"/>
      <c r="P2268" s="16" t="b">
        <v>0</v>
      </c>
      <c r="Q2268" s="24"/>
      <c r="R2268" s="48" t="str">
        <f t="shared" si="2103"/>
        <v/>
      </c>
      <c r="S2268" s="26"/>
      <c r="T2268" s="49" t="str">
        <f t="shared" si="2104"/>
        <v/>
      </c>
      <c r="U2268" s="24"/>
      <c r="V2268" s="66" t="s">
        <v>29</v>
      </c>
      <c r="W2268" s="29" t="str">
        <f t="shared" si="2024"/>
        <v>/</v>
      </c>
      <c r="X2268" s="37" t="s">
        <v>1432</v>
      </c>
      <c r="Y2268" s="31"/>
      <c r="Z2268" s="26" t="str">
        <f t="shared" si="5"/>
        <v/>
      </c>
      <c r="AA2268" s="26" t="str">
        <f t="shared" si="6"/>
        <v/>
      </c>
      <c r="AB2268" s="32" t="str">
        <f t="shared" si="7"/>
        <v/>
      </c>
      <c r="AC2268" s="32" t="str">
        <f t="shared" ref="AC2268:AG2268" si="2290">IF(J2268&lt;&gt;"", IF(AND($P2268=FALSE, $A2268=FALSE), -J2268, IF(AND($P2268=FALSE, $A2268=TRUE), 0, IF($P2268=TRUE, (J2268 / $R2268) * 100 * ($S2268 / 100)-J2268, ))), )</f>
        <v/>
      </c>
      <c r="AD2268" s="32" t="str">
        <f t="shared" si="2290"/>
        <v/>
      </c>
      <c r="AE2268" s="32" t="str">
        <f t="shared" si="2290"/>
        <v/>
      </c>
      <c r="AF2268" s="32" t="str">
        <f t="shared" si="2290"/>
        <v/>
      </c>
      <c r="AG2268" s="32" t="str">
        <f t="shared" si="2290"/>
        <v/>
      </c>
      <c r="AH2268" s="33"/>
    </row>
    <row r="2269" hidden="1" outlineLevel="3">
      <c r="A2269" s="16" t="b">
        <v>0</v>
      </c>
      <c r="B2269" s="17"/>
      <c r="C2269" s="18"/>
      <c r="D2269" s="42"/>
      <c r="E2269" s="20"/>
      <c r="F2269" s="53"/>
      <c r="G2269" s="45"/>
      <c r="H2269" s="45"/>
      <c r="I2269" s="45"/>
      <c r="J2269" s="36"/>
      <c r="K2269" s="23"/>
      <c r="L2269" s="36"/>
      <c r="M2269" s="23"/>
      <c r="N2269" s="23"/>
      <c r="O2269" s="24"/>
      <c r="P2269" s="16" t="b">
        <v>0</v>
      </c>
      <c r="Q2269" s="24"/>
      <c r="R2269" s="48" t="str">
        <f t="shared" si="2103"/>
        <v/>
      </c>
      <c r="S2269" s="26"/>
      <c r="T2269" s="49" t="str">
        <f t="shared" si="2104"/>
        <v/>
      </c>
      <c r="U2269" s="24"/>
      <c r="V2269" s="66" t="s">
        <v>29</v>
      </c>
      <c r="W2269" s="29" t="str">
        <f t="shared" si="2024"/>
        <v>/</v>
      </c>
      <c r="X2269" s="37" t="s">
        <v>216</v>
      </c>
      <c r="Y2269" s="31"/>
      <c r="Z2269" s="26" t="str">
        <f t="shared" si="5"/>
        <v/>
      </c>
      <c r="AA2269" s="26" t="str">
        <f t="shared" si="6"/>
        <v/>
      </c>
      <c r="AB2269" s="32" t="str">
        <f t="shared" si="7"/>
        <v/>
      </c>
      <c r="AC2269" s="32" t="str">
        <f t="shared" ref="AC2269:AG2269" si="2291">IF(J2269&lt;&gt;"", IF(AND($P2269=FALSE, $A2269=FALSE), -J2269, IF(AND($P2269=FALSE, $A2269=TRUE), 0, IF($P2269=TRUE, (J2269 / $R2269) * 100 * ($S2269 / 100)-J2269, ))), )</f>
        <v/>
      </c>
      <c r="AD2269" s="32" t="str">
        <f t="shared" si="2291"/>
        <v/>
      </c>
      <c r="AE2269" s="32" t="str">
        <f t="shared" si="2291"/>
        <v/>
      </c>
      <c r="AF2269" s="32" t="str">
        <f t="shared" si="2291"/>
        <v/>
      </c>
      <c r="AG2269" s="32" t="str">
        <f t="shared" si="2291"/>
        <v/>
      </c>
      <c r="AH2269" s="33"/>
    </row>
    <row r="2270" hidden="1" outlineLevel="3">
      <c r="A2270" s="16" t="b">
        <v>0</v>
      </c>
      <c r="B2270" s="17"/>
      <c r="C2270" s="18"/>
      <c r="D2270" s="42"/>
      <c r="E2270" s="20"/>
      <c r="F2270" s="53"/>
      <c r="G2270" s="45"/>
      <c r="H2270" s="45"/>
      <c r="I2270" s="45"/>
      <c r="J2270" s="36"/>
      <c r="K2270" s="23"/>
      <c r="L2270" s="36"/>
      <c r="M2270" s="23"/>
      <c r="N2270" s="23"/>
      <c r="O2270" s="24"/>
      <c r="P2270" s="16" t="b">
        <v>0</v>
      </c>
      <c r="Q2270" s="24"/>
      <c r="R2270" s="48" t="str">
        <f t="shared" si="2103"/>
        <v/>
      </c>
      <c r="S2270" s="26"/>
      <c r="T2270" s="49" t="str">
        <f t="shared" si="2104"/>
        <v/>
      </c>
      <c r="U2270" s="24"/>
      <c r="V2270" s="66" t="s">
        <v>29</v>
      </c>
      <c r="W2270" s="29" t="str">
        <f t="shared" si="2024"/>
        <v>/</v>
      </c>
      <c r="X2270" s="37" t="s">
        <v>462</v>
      </c>
      <c r="Y2270" s="31"/>
      <c r="Z2270" s="26" t="str">
        <f t="shared" si="5"/>
        <v/>
      </c>
      <c r="AA2270" s="26" t="str">
        <f t="shared" si="6"/>
        <v/>
      </c>
      <c r="AB2270" s="32" t="str">
        <f t="shared" si="7"/>
        <v/>
      </c>
      <c r="AC2270" s="32" t="str">
        <f t="shared" ref="AC2270:AG2270" si="2292">IF(J2270&lt;&gt;"", IF(AND($P2270=FALSE, $A2270=FALSE), -J2270, IF(AND($P2270=FALSE, $A2270=TRUE), 0, IF($P2270=TRUE, (J2270 / $R2270) * 100 * ($S2270 / 100)-J2270, ))), )</f>
        <v/>
      </c>
      <c r="AD2270" s="32" t="str">
        <f t="shared" si="2292"/>
        <v/>
      </c>
      <c r="AE2270" s="32" t="str">
        <f t="shared" si="2292"/>
        <v/>
      </c>
      <c r="AF2270" s="32" t="str">
        <f t="shared" si="2292"/>
        <v/>
      </c>
      <c r="AG2270" s="32" t="str">
        <f t="shared" si="2292"/>
        <v/>
      </c>
      <c r="AH2270" s="33"/>
    </row>
    <row r="2271" hidden="1" outlineLevel="1" collapsed="1">
      <c r="A2271" s="81" t="b">
        <v>0</v>
      </c>
      <c r="B2271" s="87"/>
      <c r="C2271" s="88"/>
      <c r="D2271" s="42">
        <v>45398.0</v>
      </c>
      <c r="E2271" s="43" t="s">
        <v>60</v>
      </c>
      <c r="F2271" s="53" t="s">
        <v>1433</v>
      </c>
      <c r="G2271" s="45">
        <v>3.0</v>
      </c>
      <c r="H2271" s="79"/>
      <c r="I2271" s="45">
        <v>3.0</v>
      </c>
      <c r="J2271" s="79"/>
      <c r="K2271" s="79"/>
      <c r="L2271" s="79"/>
      <c r="M2271" s="79"/>
      <c r="N2271" s="79"/>
      <c r="O2271" s="47"/>
      <c r="P2271" s="20" t="b">
        <v>0</v>
      </c>
      <c r="Q2271" s="47"/>
      <c r="R2271" s="48">
        <f t="shared" si="2103"/>
        <v>6</v>
      </c>
      <c r="S2271" s="45">
        <v>15.37</v>
      </c>
      <c r="T2271" s="49" t="str">
        <f t="shared" si="2104"/>
        <v>+156</v>
      </c>
      <c r="U2271" s="47"/>
      <c r="V2271" s="89" t="str">
        <f>IF(ISBLANK($D2271), "0",)</f>
        <v/>
      </c>
      <c r="W2271" s="90" t="str">
        <f t="shared" si="2024"/>
        <v/>
      </c>
      <c r="X2271" s="90"/>
      <c r="Y2271" s="84"/>
      <c r="Z2271" s="26">
        <f t="shared" si="5"/>
        <v>-3</v>
      </c>
      <c r="AA2271" s="26">
        <f t="shared" si="6"/>
        <v>-3</v>
      </c>
      <c r="AB2271" s="32" t="str">
        <f t="shared" si="7"/>
        <v/>
      </c>
      <c r="AC2271" s="32" t="str">
        <f t="shared" ref="AC2271:AG2271" si="2293">IF(J2271&lt;&gt;"", IF(AND($P2271=FALSE, $A2271=FALSE), -J2271, IF(AND($P2271=FALSE, $A2271=TRUE), 0, IF($P2271=TRUE, (J2271 / $R2271) * 100 * ($S2271 / 100)-J2271, ))), )</f>
        <v/>
      </c>
      <c r="AD2271" s="32" t="str">
        <f t="shared" si="2293"/>
        <v/>
      </c>
      <c r="AE2271" s="32" t="str">
        <f t="shared" si="2293"/>
        <v/>
      </c>
      <c r="AF2271" s="32" t="str">
        <f t="shared" si="2293"/>
        <v/>
      </c>
      <c r="AG2271" s="32" t="str">
        <f t="shared" si="2293"/>
        <v/>
      </c>
      <c r="AH2271" s="91"/>
    </row>
    <row r="2272" hidden="1" outlineLevel="3">
      <c r="A2272" s="16" t="b">
        <v>0</v>
      </c>
      <c r="B2272" s="17"/>
      <c r="C2272" s="18"/>
      <c r="D2272" s="42"/>
      <c r="E2272" s="20"/>
      <c r="F2272" s="53"/>
      <c r="G2272" s="45"/>
      <c r="H2272" s="45"/>
      <c r="I2272" s="45"/>
      <c r="J2272" s="36"/>
      <c r="K2272" s="23"/>
      <c r="L2272" s="36"/>
      <c r="M2272" s="23"/>
      <c r="N2272" s="23"/>
      <c r="O2272" s="24"/>
      <c r="P2272" s="16" t="b">
        <v>0</v>
      </c>
      <c r="Q2272" s="24"/>
      <c r="R2272" s="48" t="str">
        <f t="shared" si="2103"/>
        <v/>
      </c>
      <c r="S2272" s="26"/>
      <c r="T2272" s="49" t="str">
        <f t="shared" si="2104"/>
        <v/>
      </c>
      <c r="U2272" s="24"/>
      <c r="V2272" s="66" t="s">
        <v>29</v>
      </c>
      <c r="W2272" s="29" t="str">
        <f t="shared" si="2024"/>
        <v>/</v>
      </c>
      <c r="X2272" s="37" t="s">
        <v>279</v>
      </c>
      <c r="Y2272" s="31"/>
      <c r="Z2272" s="26" t="str">
        <f t="shared" si="5"/>
        <v/>
      </c>
      <c r="AA2272" s="26" t="str">
        <f t="shared" si="6"/>
        <v/>
      </c>
      <c r="AB2272" s="32" t="str">
        <f t="shared" si="7"/>
        <v/>
      </c>
      <c r="AC2272" s="32" t="str">
        <f t="shared" ref="AC2272:AG2272" si="2294">IF(J2272&lt;&gt;"", IF(AND($P2272=FALSE, $A2272=FALSE), -J2272, IF(AND($P2272=FALSE, $A2272=TRUE), 0, IF($P2272=TRUE, (J2272 / $R2272) * 100 * ($S2272 / 100)-J2272, ))), )</f>
        <v/>
      </c>
      <c r="AD2272" s="32" t="str">
        <f t="shared" si="2294"/>
        <v/>
      </c>
      <c r="AE2272" s="32" t="str">
        <f t="shared" si="2294"/>
        <v/>
      </c>
      <c r="AF2272" s="32" t="str">
        <f t="shared" si="2294"/>
        <v/>
      </c>
      <c r="AG2272" s="32" t="str">
        <f t="shared" si="2294"/>
        <v/>
      </c>
      <c r="AH2272" s="33"/>
    </row>
    <row r="2273" hidden="1" outlineLevel="3">
      <c r="A2273" s="16" t="b">
        <v>0</v>
      </c>
      <c r="B2273" s="17"/>
      <c r="C2273" s="18"/>
      <c r="D2273" s="42"/>
      <c r="E2273" s="20"/>
      <c r="F2273" s="53"/>
      <c r="G2273" s="45"/>
      <c r="H2273" s="45"/>
      <c r="I2273" s="45"/>
      <c r="J2273" s="36"/>
      <c r="K2273" s="23"/>
      <c r="L2273" s="36"/>
      <c r="M2273" s="23"/>
      <c r="N2273" s="23"/>
      <c r="O2273" s="24"/>
      <c r="P2273" s="16" t="b">
        <v>0</v>
      </c>
      <c r="Q2273" s="24"/>
      <c r="R2273" s="48" t="str">
        <f t="shared" si="2103"/>
        <v/>
      </c>
      <c r="S2273" s="26"/>
      <c r="T2273" s="49" t="str">
        <f t="shared" si="2104"/>
        <v/>
      </c>
      <c r="U2273" s="24"/>
      <c r="V2273" s="66" t="s">
        <v>29</v>
      </c>
      <c r="W2273" s="29" t="str">
        <f t="shared" si="2024"/>
        <v>/</v>
      </c>
      <c r="X2273" s="37" t="s">
        <v>198</v>
      </c>
      <c r="Y2273" s="31"/>
      <c r="Z2273" s="26" t="str">
        <f t="shared" si="5"/>
        <v/>
      </c>
      <c r="AA2273" s="26" t="str">
        <f t="shared" si="6"/>
        <v/>
      </c>
      <c r="AB2273" s="32" t="str">
        <f t="shared" si="7"/>
        <v/>
      </c>
      <c r="AC2273" s="32" t="str">
        <f t="shared" ref="AC2273:AG2273" si="2295">IF(J2273&lt;&gt;"", IF(AND($P2273=FALSE, $A2273=FALSE), -J2273, IF(AND($P2273=FALSE, $A2273=TRUE), 0, IF($P2273=TRUE, (J2273 / $R2273) * 100 * ($S2273 / 100)-J2273, ))), )</f>
        <v/>
      </c>
      <c r="AD2273" s="32" t="str">
        <f t="shared" si="2295"/>
        <v/>
      </c>
      <c r="AE2273" s="32" t="str">
        <f t="shared" si="2295"/>
        <v/>
      </c>
      <c r="AF2273" s="32" t="str">
        <f t="shared" si="2295"/>
        <v/>
      </c>
      <c r="AG2273" s="32" t="str">
        <f t="shared" si="2295"/>
        <v/>
      </c>
      <c r="AH2273" s="33"/>
    </row>
    <row r="2274" hidden="1" outlineLevel="3">
      <c r="A2274" s="16" t="b">
        <v>0</v>
      </c>
      <c r="B2274" s="17"/>
      <c r="C2274" s="18"/>
      <c r="D2274" s="42"/>
      <c r="E2274" s="20"/>
      <c r="F2274" s="53"/>
      <c r="G2274" s="45"/>
      <c r="H2274" s="45"/>
      <c r="I2274" s="45"/>
      <c r="J2274" s="36"/>
      <c r="K2274" s="23"/>
      <c r="L2274" s="36"/>
      <c r="M2274" s="23"/>
      <c r="N2274" s="23"/>
      <c r="O2274" s="24"/>
      <c r="P2274" s="16" t="b">
        <v>0</v>
      </c>
      <c r="Q2274" s="24"/>
      <c r="R2274" s="48" t="str">
        <f t="shared" si="2103"/>
        <v/>
      </c>
      <c r="S2274" s="26"/>
      <c r="T2274" s="49" t="str">
        <f t="shared" si="2104"/>
        <v/>
      </c>
      <c r="U2274" s="24"/>
      <c r="V2274" s="66">
        <v>22.0</v>
      </c>
      <c r="W2274" s="29" t="str">
        <f t="shared" si="2024"/>
        <v>/</v>
      </c>
      <c r="X2274" s="37" t="s">
        <v>189</v>
      </c>
      <c r="Y2274" s="31"/>
      <c r="Z2274" s="26" t="str">
        <f t="shared" si="5"/>
        <v/>
      </c>
      <c r="AA2274" s="26" t="str">
        <f t="shared" si="6"/>
        <v/>
      </c>
      <c r="AB2274" s="32" t="str">
        <f t="shared" si="7"/>
        <v/>
      </c>
      <c r="AC2274" s="32" t="str">
        <f t="shared" ref="AC2274:AG2274" si="2296">IF(J2274&lt;&gt;"", IF(AND($P2274=FALSE, $A2274=FALSE), -J2274, IF(AND($P2274=FALSE, $A2274=TRUE), 0, IF($P2274=TRUE, (J2274 / $R2274) * 100 * ($S2274 / 100)-J2274, ))), )</f>
        <v/>
      </c>
      <c r="AD2274" s="32" t="str">
        <f t="shared" si="2296"/>
        <v/>
      </c>
      <c r="AE2274" s="32" t="str">
        <f t="shared" si="2296"/>
        <v/>
      </c>
      <c r="AF2274" s="32" t="str">
        <f t="shared" si="2296"/>
        <v/>
      </c>
      <c r="AG2274" s="32" t="str">
        <f t="shared" si="2296"/>
        <v/>
      </c>
      <c r="AH2274" s="33"/>
    </row>
    <row r="2275" hidden="1" outlineLevel="3">
      <c r="A2275" s="16" t="b">
        <v>0</v>
      </c>
      <c r="B2275" s="17"/>
      <c r="C2275" s="18"/>
      <c r="D2275" s="42"/>
      <c r="E2275" s="20"/>
      <c r="F2275" s="53"/>
      <c r="G2275" s="45"/>
      <c r="H2275" s="45"/>
      <c r="I2275" s="45"/>
      <c r="J2275" s="36"/>
      <c r="K2275" s="23"/>
      <c r="L2275" s="36"/>
      <c r="M2275" s="23"/>
      <c r="N2275" s="23"/>
      <c r="O2275" s="24"/>
      <c r="P2275" s="16" t="b">
        <v>0</v>
      </c>
      <c r="Q2275" s="24"/>
      <c r="R2275" s="48" t="str">
        <f t="shared" si="2103"/>
        <v/>
      </c>
      <c r="S2275" s="26"/>
      <c r="T2275" s="49" t="str">
        <f t="shared" si="2104"/>
        <v/>
      </c>
      <c r="U2275" s="24"/>
      <c r="V2275" s="66">
        <v>24.0</v>
      </c>
      <c r="W2275" s="29" t="str">
        <f t="shared" si="2024"/>
        <v>/</v>
      </c>
      <c r="X2275" s="37" t="s">
        <v>430</v>
      </c>
      <c r="Y2275" s="31"/>
      <c r="Z2275" s="26" t="str">
        <f t="shared" si="5"/>
        <v/>
      </c>
      <c r="AA2275" s="26" t="str">
        <f t="shared" si="6"/>
        <v/>
      </c>
      <c r="AB2275" s="32" t="str">
        <f t="shared" si="7"/>
        <v/>
      </c>
      <c r="AC2275" s="32" t="str">
        <f t="shared" ref="AC2275:AG2275" si="2297">IF(J2275&lt;&gt;"", IF(AND($P2275=FALSE, $A2275=FALSE), -J2275, IF(AND($P2275=FALSE, $A2275=TRUE), 0, IF($P2275=TRUE, (J2275 / $R2275) * 100 * ($S2275 / 100)-J2275, ))), )</f>
        <v/>
      </c>
      <c r="AD2275" s="32" t="str">
        <f t="shared" si="2297"/>
        <v/>
      </c>
      <c r="AE2275" s="32" t="str">
        <f t="shared" si="2297"/>
        <v/>
      </c>
      <c r="AF2275" s="32" t="str">
        <f t="shared" si="2297"/>
        <v/>
      </c>
      <c r="AG2275" s="32" t="str">
        <f t="shared" si="2297"/>
        <v/>
      </c>
      <c r="AH2275" s="33"/>
    </row>
    <row r="2276" hidden="1" outlineLevel="2" collapsed="1">
      <c r="A2276" s="81" t="b">
        <v>0</v>
      </c>
      <c r="B2276" s="87"/>
      <c r="C2276" s="88"/>
      <c r="D2276" s="42">
        <v>45398.0</v>
      </c>
      <c r="E2276" s="43" t="s">
        <v>60</v>
      </c>
      <c r="F2276" s="53" t="s">
        <v>1433</v>
      </c>
      <c r="G2276" s="45">
        <v>2.0</v>
      </c>
      <c r="H2276" s="79"/>
      <c r="I2276" s="45">
        <v>3.0</v>
      </c>
      <c r="J2276" s="79"/>
      <c r="K2276" s="79"/>
      <c r="L2276" s="79"/>
      <c r="M2276" s="79"/>
      <c r="N2276" s="79"/>
      <c r="O2276" s="47"/>
      <c r="P2276" s="20" t="b">
        <v>0</v>
      </c>
      <c r="Q2276" s="47"/>
      <c r="R2276" s="48">
        <f t="shared" si="2103"/>
        <v>5</v>
      </c>
      <c r="S2276" s="45">
        <v>15.92</v>
      </c>
      <c r="T2276" s="49" t="str">
        <f t="shared" si="2104"/>
        <v>+218</v>
      </c>
      <c r="U2276" s="47"/>
      <c r="V2276" s="89" t="str">
        <f>IF(ISBLANK($D2276), "0",)</f>
        <v/>
      </c>
      <c r="W2276" s="90" t="str">
        <f t="shared" si="2024"/>
        <v/>
      </c>
      <c r="X2276" s="90"/>
      <c r="Y2276" s="84"/>
      <c r="Z2276" s="26">
        <f t="shared" si="5"/>
        <v>-2</v>
      </c>
      <c r="AA2276" s="26">
        <f t="shared" si="6"/>
        <v>-3</v>
      </c>
      <c r="AB2276" s="32" t="str">
        <f t="shared" si="7"/>
        <v/>
      </c>
      <c r="AC2276" s="32" t="str">
        <f t="shared" ref="AC2276:AG2276" si="2298">IF(J2276&lt;&gt;"", IF(AND($P2276=FALSE, $A2276=FALSE), -J2276, IF(AND($P2276=FALSE, $A2276=TRUE), 0, IF($P2276=TRUE, (J2276 / $R2276) * 100 * ($S2276 / 100)-J2276, ))), )</f>
        <v/>
      </c>
      <c r="AD2276" s="32" t="str">
        <f t="shared" si="2298"/>
        <v/>
      </c>
      <c r="AE2276" s="32" t="str">
        <f t="shared" si="2298"/>
        <v/>
      </c>
      <c r="AF2276" s="32" t="str">
        <f t="shared" si="2298"/>
        <v/>
      </c>
      <c r="AG2276" s="32" t="str">
        <f t="shared" si="2298"/>
        <v/>
      </c>
      <c r="AH2276" s="91"/>
    </row>
    <row r="2277" hidden="1" outlineLevel="3">
      <c r="A2277" s="16" t="b">
        <v>0</v>
      </c>
      <c r="B2277" s="17"/>
      <c r="C2277" s="18"/>
      <c r="D2277" s="42"/>
      <c r="E2277" s="20"/>
      <c r="F2277" s="53"/>
      <c r="G2277" s="45"/>
      <c r="H2277" s="45"/>
      <c r="I2277" s="45"/>
      <c r="J2277" s="36"/>
      <c r="K2277" s="23"/>
      <c r="L2277" s="36"/>
      <c r="M2277" s="23"/>
      <c r="N2277" s="23"/>
      <c r="O2277" s="24"/>
      <c r="P2277" s="16" t="b">
        <v>0</v>
      </c>
      <c r="Q2277" s="24"/>
      <c r="R2277" s="48" t="str">
        <f t="shared" si="2103"/>
        <v/>
      </c>
      <c r="S2277" s="26"/>
      <c r="T2277" s="49" t="str">
        <f t="shared" si="2104"/>
        <v/>
      </c>
      <c r="U2277" s="24"/>
      <c r="V2277" s="66">
        <v>23.0</v>
      </c>
      <c r="W2277" s="29" t="str">
        <f t="shared" si="2024"/>
        <v>/</v>
      </c>
      <c r="X2277" s="37" t="s">
        <v>707</v>
      </c>
      <c r="Y2277" s="31"/>
      <c r="Z2277" s="26" t="str">
        <f t="shared" si="5"/>
        <v/>
      </c>
      <c r="AA2277" s="26" t="str">
        <f t="shared" si="6"/>
        <v/>
      </c>
      <c r="AB2277" s="32" t="str">
        <f t="shared" si="7"/>
        <v/>
      </c>
      <c r="AC2277" s="32" t="str">
        <f t="shared" ref="AC2277:AG2277" si="2299">IF(J2277&lt;&gt;"", IF(AND($P2277=FALSE, $A2277=FALSE), -J2277, IF(AND($P2277=FALSE, $A2277=TRUE), 0, IF($P2277=TRUE, (J2277 / $R2277) * 100 * ($S2277 / 100)-J2277, ))), )</f>
        <v/>
      </c>
      <c r="AD2277" s="32" t="str">
        <f t="shared" si="2299"/>
        <v/>
      </c>
      <c r="AE2277" s="32" t="str">
        <f t="shared" si="2299"/>
        <v/>
      </c>
      <c r="AF2277" s="32" t="str">
        <f t="shared" si="2299"/>
        <v/>
      </c>
      <c r="AG2277" s="32" t="str">
        <f t="shared" si="2299"/>
        <v/>
      </c>
      <c r="AH2277" s="33"/>
    </row>
    <row r="2278" hidden="1" outlineLevel="3">
      <c r="A2278" s="16" t="b">
        <v>0</v>
      </c>
      <c r="B2278" s="17"/>
      <c r="C2278" s="18"/>
      <c r="D2278" s="42"/>
      <c r="E2278" s="20"/>
      <c r="F2278" s="53"/>
      <c r="G2278" s="45"/>
      <c r="H2278" s="45"/>
      <c r="I2278" s="45"/>
      <c r="J2278" s="36"/>
      <c r="K2278" s="23"/>
      <c r="L2278" s="36"/>
      <c r="M2278" s="23"/>
      <c r="N2278" s="23"/>
      <c r="O2278" s="24"/>
      <c r="P2278" s="16" t="b">
        <v>0</v>
      </c>
      <c r="Q2278" s="24"/>
      <c r="R2278" s="48" t="str">
        <f t="shared" si="2103"/>
        <v/>
      </c>
      <c r="S2278" s="26"/>
      <c r="T2278" s="49" t="str">
        <f t="shared" si="2104"/>
        <v/>
      </c>
      <c r="U2278" s="24"/>
      <c r="V2278" s="66" t="s">
        <v>29</v>
      </c>
      <c r="W2278" s="29" t="str">
        <f t="shared" si="2024"/>
        <v>/</v>
      </c>
      <c r="X2278" s="37" t="s">
        <v>1434</v>
      </c>
      <c r="Y2278" s="31"/>
      <c r="Z2278" s="26" t="str">
        <f t="shared" si="5"/>
        <v/>
      </c>
      <c r="AA2278" s="26" t="str">
        <f t="shared" si="6"/>
        <v/>
      </c>
      <c r="AB2278" s="32" t="str">
        <f t="shared" si="7"/>
        <v/>
      </c>
      <c r="AC2278" s="32" t="str">
        <f t="shared" ref="AC2278:AG2278" si="2300">IF(J2278&lt;&gt;"", IF(AND($P2278=FALSE, $A2278=FALSE), -J2278, IF(AND($P2278=FALSE, $A2278=TRUE), 0, IF($P2278=TRUE, (J2278 / $R2278) * 100 * ($S2278 / 100)-J2278, ))), )</f>
        <v/>
      </c>
      <c r="AD2278" s="32" t="str">
        <f t="shared" si="2300"/>
        <v/>
      </c>
      <c r="AE2278" s="32" t="str">
        <f t="shared" si="2300"/>
        <v/>
      </c>
      <c r="AF2278" s="32" t="str">
        <f t="shared" si="2300"/>
        <v/>
      </c>
      <c r="AG2278" s="32" t="str">
        <f t="shared" si="2300"/>
        <v/>
      </c>
      <c r="AH2278" s="33"/>
    </row>
    <row r="2279" hidden="1" outlineLevel="3">
      <c r="A2279" s="16" t="b">
        <v>0</v>
      </c>
      <c r="B2279" s="17"/>
      <c r="C2279" s="18"/>
      <c r="D2279" s="42"/>
      <c r="E2279" s="20"/>
      <c r="F2279" s="53"/>
      <c r="G2279" s="45"/>
      <c r="H2279" s="45"/>
      <c r="I2279" s="45"/>
      <c r="J2279" s="36"/>
      <c r="K2279" s="23"/>
      <c r="L2279" s="36"/>
      <c r="M2279" s="23"/>
      <c r="N2279" s="23"/>
      <c r="O2279" s="24"/>
      <c r="P2279" s="16" t="b">
        <v>0</v>
      </c>
      <c r="Q2279" s="24"/>
      <c r="R2279" s="48" t="str">
        <f t="shared" si="2103"/>
        <v/>
      </c>
      <c r="S2279" s="26"/>
      <c r="T2279" s="49" t="str">
        <f t="shared" si="2104"/>
        <v/>
      </c>
      <c r="U2279" s="24"/>
      <c r="V2279" s="66" t="s">
        <v>29</v>
      </c>
      <c r="W2279" s="29" t="str">
        <f t="shared" si="2024"/>
        <v>/</v>
      </c>
      <c r="X2279" s="37" t="s">
        <v>1435</v>
      </c>
      <c r="Y2279" s="31"/>
      <c r="Z2279" s="26" t="str">
        <f t="shared" si="5"/>
        <v/>
      </c>
      <c r="AA2279" s="26" t="str">
        <f t="shared" si="6"/>
        <v/>
      </c>
      <c r="AB2279" s="32" t="str">
        <f t="shared" si="7"/>
        <v/>
      </c>
      <c r="AC2279" s="32" t="str">
        <f t="shared" ref="AC2279:AG2279" si="2301">IF(J2279&lt;&gt;"", IF(AND($P2279=FALSE, $A2279=FALSE), -J2279, IF(AND($P2279=FALSE, $A2279=TRUE), 0, IF($P2279=TRUE, (J2279 / $R2279) * 100 * ($S2279 / 100)-J2279, ))), )</f>
        <v/>
      </c>
      <c r="AD2279" s="32" t="str">
        <f t="shared" si="2301"/>
        <v/>
      </c>
      <c r="AE2279" s="32" t="str">
        <f t="shared" si="2301"/>
        <v/>
      </c>
      <c r="AF2279" s="32" t="str">
        <f t="shared" si="2301"/>
        <v/>
      </c>
      <c r="AG2279" s="32" t="str">
        <f t="shared" si="2301"/>
        <v/>
      </c>
      <c r="AH2279" s="33"/>
    </row>
    <row r="2280" hidden="1" outlineLevel="2" collapsed="1">
      <c r="A2280" s="81" t="b">
        <v>0</v>
      </c>
      <c r="B2280" s="87"/>
      <c r="C2280" s="88"/>
      <c r="D2280" s="42">
        <v>45398.0</v>
      </c>
      <c r="E2280" s="43" t="s">
        <v>60</v>
      </c>
      <c r="F2280" s="53" t="s">
        <v>1433</v>
      </c>
      <c r="G2280" s="45">
        <v>2.0</v>
      </c>
      <c r="H2280" s="79"/>
      <c r="I2280" s="45">
        <v>3.0</v>
      </c>
      <c r="J2280" s="79"/>
      <c r="K2280" s="79"/>
      <c r="L2280" s="79"/>
      <c r="M2280" s="79"/>
      <c r="N2280" s="79"/>
      <c r="O2280" s="47"/>
      <c r="P2280" s="20" t="b">
        <v>0</v>
      </c>
      <c r="Q2280" s="47"/>
      <c r="R2280" s="48">
        <f t="shared" si="2103"/>
        <v>5</v>
      </c>
      <c r="S2280" s="45">
        <v>15.75</v>
      </c>
      <c r="T2280" s="49" t="str">
        <f t="shared" si="2104"/>
        <v>+215</v>
      </c>
      <c r="U2280" s="47"/>
      <c r="V2280" s="89" t="str">
        <f>IF(ISBLANK($D2280), "0",)</f>
        <v/>
      </c>
      <c r="W2280" s="90" t="str">
        <f t="shared" si="2024"/>
        <v/>
      </c>
      <c r="X2280" s="90"/>
      <c r="Y2280" s="84"/>
      <c r="Z2280" s="26">
        <f t="shared" si="5"/>
        <v>-2</v>
      </c>
      <c r="AA2280" s="26">
        <f t="shared" si="6"/>
        <v>-3</v>
      </c>
      <c r="AB2280" s="32" t="str">
        <f t="shared" si="7"/>
        <v/>
      </c>
      <c r="AC2280" s="32" t="str">
        <f t="shared" ref="AC2280:AG2280" si="2302">IF(J2280&lt;&gt;"", IF(AND($P2280=FALSE, $A2280=FALSE), -J2280, IF(AND($P2280=FALSE, $A2280=TRUE), 0, IF($P2280=TRUE, (J2280 / $R2280) * 100 * ($S2280 / 100)-J2280, ))), )</f>
        <v/>
      </c>
      <c r="AD2280" s="32" t="str">
        <f t="shared" si="2302"/>
        <v/>
      </c>
      <c r="AE2280" s="32" t="str">
        <f t="shared" si="2302"/>
        <v/>
      </c>
      <c r="AF2280" s="32" t="str">
        <f t="shared" si="2302"/>
        <v/>
      </c>
      <c r="AG2280" s="32" t="str">
        <f t="shared" si="2302"/>
        <v/>
      </c>
      <c r="AH2280" s="91"/>
    </row>
    <row r="2281" hidden="1" outlineLevel="3">
      <c r="A2281" s="16" t="b">
        <v>0</v>
      </c>
      <c r="B2281" s="17"/>
      <c r="C2281" s="18"/>
      <c r="D2281" s="42"/>
      <c r="E2281" s="20"/>
      <c r="F2281" s="53"/>
      <c r="G2281" s="45"/>
      <c r="H2281" s="45"/>
      <c r="I2281" s="45"/>
      <c r="J2281" s="36"/>
      <c r="K2281" s="23"/>
      <c r="L2281" s="36"/>
      <c r="M2281" s="23"/>
      <c r="N2281" s="23"/>
      <c r="O2281" s="24"/>
      <c r="P2281" s="16" t="b">
        <v>0</v>
      </c>
      <c r="Q2281" s="24"/>
      <c r="R2281" s="48" t="str">
        <f t="shared" si="2103"/>
        <v/>
      </c>
      <c r="S2281" s="26"/>
      <c r="T2281" s="49" t="str">
        <f t="shared" si="2104"/>
        <v/>
      </c>
      <c r="U2281" s="24"/>
      <c r="V2281" s="66">
        <v>2.0</v>
      </c>
      <c r="W2281" s="29" t="str">
        <f t="shared" si="2024"/>
        <v>/</v>
      </c>
      <c r="X2281" s="37" t="s">
        <v>1276</v>
      </c>
      <c r="Y2281" s="31"/>
      <c r="Z2281" s="26" t="str">
        <f t="shared" si="5"/>
        <v/>
      </c>
      <c r="AA2281" s="26" t="str">
        <f t="shared" si="6"/>
        <v/>
      </c>
      <c r="AB2281" s="32" t="str">
        <f t="shared" si="7"/>
        <v/>
      </c>
      <c r="AC2281" s="32" t="str">
        <f t="shared" ref="AC2281:AG2281" si="2303">IF(J2281&lt;&gt;"", IF(AND($P2281=FALSE, $A2281=FALSE), -J2281, IF(AND($P2281=FALSE, $A2281=TRUE), 0, IF($P2281=TRUE, (J2281 / $R2281) * 100 * ($S2281 / 100)-J2281, ))), )</f>
        <v/>
      </c>
      <c r="AD2281" s="32" t="str">
        <f t="shared" si="2303"/>
        <v/>
      </c>
      <c r="AE2281" s="32" t="str">
        <f t="shared" si="2303"/>
        <v/>
      </c>
      <c r="AF2281" s="32" t="str">
        <f t="shared" si="2303"/>
        <v/>
      </c>
      <c r="AG2281" s="32" t="str">
        <f t="shared" si="2303"/>
        <v/>
      </c>
      <c r="AH2281" s="33"/>
    </row>
    <row r="2282" hidden="1" outlineLevel="3">
      <c r="A2282" s="16" t="b">
        <v>0</v>
      </c>
      <c r="B2282" s="17"/>
      <c r="C2282" s="18"/>
      <c r="D2282" s="42"/>
      <c r="E2282" s="20"/>
      <c r="F2282" s="53"/>
      <c r="G2282" s="45"/>
      <c r="H2282" s="45"/>
      <c r="I2282" s="45"/>
      <c r="J2282" s="36"/>
      <c r="K2282" s="23"/>
      <c r="L2282" s="36"/>
      <c r="M2282" s="23"/>
      <c r="N2282" s="23"/>
      <c r="O2282" s="24"/>
      <c r="P2282" s="16" t="b">
        <v>0</v>
      </c>
      <c r="Q2282" s="24"/>
      <c r="R2282" s="48" t="str">
        <f t="shared" si="2103"/>
        <v/>
      </c>
      <c r="S2282" s="26"/>
      <c r="T2282" s="49" t="str">
        <f t="shared" si="2104"/>
        <v/>
      </c>
      <c r="U2282" s="24"/>
      <c r="V2282" s="28" t="str">
        <f>IF(ISBLANK($D2282), "0",)</f>
        <v>0</v>
      </c>
      <c r="W2282" s="29" t="str">
        <f t="shared" si="2024"/>
        <v>/</v>
      </c>
      <c r="X2282" s="37" t="s">
        <v>1436</v>
      </c>
      <c r="Y2282" s="31"/>
      <c r="Z2282" s="26" t="str">
        <f t="shared" si="5"/>
        <v/>
      </c>
      <c r="AA2282" s="26" t="str">
        <f t="shared" si="6"/>
        <v/>
      </c>
      <c r="AB2282" s="32" t="str">
        <f t="shared" si="7"/>
        <v/>
      </c>
      <c r="AC2282" s="32" t="str">
        <f t="shared" ref="AC2282:AG2282" si="2304">IF(J2282&lt;&gt;"", IF(AND($P2282=FALSE, $A2282=FALSE), -J2282, IF(AND($P2282=FALSE, $A2282=TRUE), 0, IF($P2282=TRUE, (J2282 / $R2282) * 100 * ($S2282 / 100)-J2282, ))), )</f>
        <v/>
      </c>
      <c r="AD2282" s="32" t="str">
        <f t="shared" si="2304"/>
        <v/>
      </c>
      <c r="AE2282" s="32" t="str">
        <f t="shared" si="2304"/>
        <v/>
      </c>
      <c r="AF2282" s="32" t="str">
        <f t="shared" si="2304"/>
        <v/>
      </c>
      <c r="AG2282" s="32" t="str">
        <f t="shared" si="2304"/>
        <v/>
      </c>
      <c r="AH2282" s="33"/>
    </row>
    <row r="2283" hidden="1" outlineLevel="3">
      <c r="A2283" s="16" t="b">
        <v>0</v>
      </c>
      <c r="B2283" s="17"/>
      <c r="C2283" s="18"/>
      <c r="D2283" s="42"/>
      <c r="E2283" s="20"/>
      <c r="F2283" s="53"/>
      <c r="G2283" s="45"/>
      <c r="H2283" s="45"/>
      <c r="I2283" s="45"/>
      <c r="J2283" s="36"/>
      <c r="K2283" s="23"/>
      <c r="L2283" s="36"/>
      <c r="M2283" s="23"/>
      <c r="N2283" s="23"/>
      <c r="O2283" s="24"/>
      <c r="P2283" s="16" t="b">
        <v>0</v>
      </c>
      <c r="Q2283" s="24"/>
      <c r="R2283" s="48" t="str">
        <f t="shared" si="2103"/>
        <v/>
      </c>
      <c r="S2283" s="26"/>
      <c r="T2283" s="49" t="str">
        <f t="shared" si="2104"/>
        <v/>
      </c>
      <c r="U2283" s="24"/>
      <c r="V2283" s="66" t="s">
        <v>29</v>
      </c>
      <c r="W2283" s="29" t="str">
        <f t="shared" si="2024"/>
        <v>/</v>
      </c>
      <c r="X2283" s="37" t="s">
        <v>1437</v>
      </c>
      <c r="Y2283" s="31"/>
      <c r="Z2283" s="26" t="str">
        <f t="shared" si="5"/>
        <v/>
      </c>
      <c r="AA2283" s="26" t="str">
        <f t="shared" si="6"/>
        <v/>
      </c>
      <c r="AB2283" s="32" t="str">
        <f t="shared" si="7"/>
        <v/>
      </c>
      <c r="AC2283" s="32" t="str">
        <f t="shared" ref="AC2283:AG2283" si="2305">IF(J2283&lt;&gt;"", IF(AND($P2283=FALSE, $A2283=FALSE), -J2283, IF(AND($P2283=FALSE, $A2283=TRUE), 0, IF($P2283=TRUE, (J2283 / $R2283) * 100 * ($S2283 / 100)-J2283, ))), )</f>
        <v/>
      </c>
      <c r="AD2283" s="32" t="str">
        <f t="shared" si="2305"/>
        <v/>
      </c>
      <c r="AE2283" s="32" t="str">
        <f t="shared" si="2305"/>
        <v/>
      </c>
      <c r="AF2283" s="32" t="str">
        <f t="shared" si="2305"/>
        <v/>
      </c>
      <c r="AG2283" s="32" t="str">
        <f t="shared" si="2305"/>
        <v/>
      </c>
      <c r="AH2283" s="33"/>
    </row>
    <row r="2284" hidden="1" outlineLevel="2">
      <c r="A2284" s="81" t="b">
        <v>0</v>
      </c>
      <c r="B2284" s="87"/>
      <c r="C2284" s="88"/>
      <c r="D2284" s="42">
        <v>45398.0</v>
      </c>
      <c r="E2284" s="43" t="s">
        <v>60</v>
      </c>
      <c r="F2284" s="53" t="s">
        <v>1433</v>
      </c>
      <c r="G2284" s="45">
        <v>1.0</v>
      </c>
      <c r="H2284" s="79"/>
      <c r="I2284" s="45">
        <v>2.0</v>
      </c>
      <c r="J2284" s="79"/>
      <c r="K2284" s="79"/>
      <c r="L2284" s="79"/>
      <c r="M2284" s="79"/>
      <c r="N2284" s="79"/>
      <c r="O2284" s="47"/>
      <c r="P2284" s="20" t="b">
        <v>0</v>
      </c>
      <c r="Q2284" s="47"/>
      <c r="R2284" s="48">
        <f t="shared" si="2103"/>
        <v>3</v>
      </c>
      <c r="S2284" s="45">
        <v>121.99</v>
      </c>
      <c r="T2284" s="49" t="str">
        <f t="shared" si="2104"/>
        <v>+3966</v>
      </c>
      <c r="U2284" s="47"/>
      <c r="V2284" s="89" t="str">
        <f>IF(ISBLANK($D2284), "0",)</f>
        <v/>
      </c>
      <c r="W2284" s="90" t="str">
        <f t="shared" si="2024"/>
        <v/>
      </c>
      <c r="X2284" s="90"/>
      <c r="Y2284" s="84"/>
      <c r="Z2284" s="26">
        <f t="shared" si="5"/>
        <v>-1</v>
      </c>
      <c r="AA2284" s="26">
        <f t="shared" si="6"/>
        <v>-2</v>
      </c>
      <c r="AB2284" s="32" t="str">
        <f t="shared" si="7"/>
        <v/>
      </c>
      <c r="AC2284" s="32" t="str">
        <f t="shared" ref="AC2284:AG2284" si="2306">IF(J2284&lt;&gt;"", IF(AND($P2284=FALSE, $A2284=FALSE), -J2284, IF(AND($P2284=FALSE, $A2284=TRUE), 0, IF($P2284=TRUE, (J2284 / $R2284) * 100 * ($S2284 / 100)-J2284, ))), )</f>
        <v/>
      </c>
      <c r="AD2284" s="32" t="str">
        <f t="shared" si="2306"/>
        <v/>
      </c>
      <c r="AE2284" s="32" t="str">
        <f t="shared" si="2306"/>
        <v/>
      </c>
      <c r="AF2284" s="32" t="str">
        <f t="shared" si="2306"/>
        <v/>
      </c>
      <c r="AG2284" s="32" t="str">
        <f t="shared" si="2306"/>
        <v/>
      </c>
      <c r="AH2284" s="91"/>
    </row>
    <row r="2285" hidden="1" outlineLevel="3">
      <c r="A2285" s="16" t="b">
        <v>0</v>
      </c>
      <c r="B2285" s="17"/>
      <c r="C2285" s="18"/>
      <c r="D2285" s="42"/>
      <c r="E2285" s="20"/>
      <c r="F2285" s="53"/>
      <c r="G2285" s="45"/>
      <c r="H2285" s="45"/>
      <c r="I2285" s="45"/>
      <c r="J2285" s="36"/>
      <c r="K2285" s="23"/>
      <c r="L2285" s="36"/>
      <c r="M2285" s="23"/>
      <c r="N2285" s="23"/>
      <c r="O2285" s="24"/>
      <c r="P2285" s="16" t="b">
        <v>0</v>
      </c>
      <c r="Q2285" s="24"/>
      <c r="R2285" s="48" t="str">
        <f t="shared" si="2103"/>
        <v/>
      </c>
      <c r="S2285" s="26"/>
      <c r="T2285" s="49" t="str">
        <f t="shared" si="2104"/>
        <v/>
      </c>
      <c r="U2285" s="24"/>
      <c r="V2285" s="66">
        <v>23.0</v>
      </c>
      <c r="W2285" s="29" t="str">
        <f t="shared" si="2024"/>
        <v>/</v>
      </c>
      <c r="X2285" s="37" t="s">
        <v>1438</v>
      </c>
      <c r="Y2285" s="31"/>
      <c r="Z2285" s="26" t="str">
        <f t="shared" si="5"/>
        <v/>
      </c>
      <c r="AA2285" s="26" t="str">
        <f t="shared" si="6"/>
        <v/>
      </c>
      <c r="AB2285" s="32" t="str">
        <f t="shared" si="7"/>
        <v/>
      </c>
      <c r="AC2285" s="32" t="str">
        <f t="shared" ref="AC2285:AG2285" si="2307">IF(J2285&lt;&gt;"", IF(AND($P2285=FALSE, $A2285=FALSE), -J2285, IF(AND($P2285=FALSE, $A2285=TRUE), 0, IF($P2285=TRUE, (J2285 / $R2285) * 100 * ($S2285 / 100)-J2285, ))), )</f>
        <v/>
      </c>
      <c r="AD2285" s="32" t="str">
        <f t="shared" si="2307"/>
        <v/>
      </c>
      <c r="AE2285" s="32" t="str">
        <f t="shared" si="2307"/>
        <v/>
      </c>
      <c r="AF2285" s="32" t="str">
        <f t="shared" si="2307"/>
        <v/>
      </c>
      <c r="AG2285" s="32" t="str">
        <f t="shared" si="2307"/>
        <v/>
      </c>
      <c r="AH2285" s="33"/>
    </row>
    <row r="2286" hidden="1" outlineLevel="3">
      <c r="A2286" s="16" t="b">
        <v>0</v>
      </c>
      <c r="B2286" s="17"/>
      <c r="C2286" s="18"/>
      <c r="D2286" s="42"/>
      <c r="E2286" s="20"/>
      <c r="F2286" s="53"/>
      <c r="G2286" s="45"/>
      <c r="H2286" s="45"/>
      <c r="I2286" s="45"/>
      <c r="J2286" s="36"/>
      <c r="K2286" s="23"/>
      <c r="L2286" s="36"/>
      <c r="M2286" s="23"/>
      <c r="N2286" s="23"/>
      <c r="O2286" s="24"/>
      <c r="P2286" s="16" t="b">
        <v>0</v>
      </c>
      <c r="Q2286" s="24"/>
      <c r="R2286" s="48" t="str">
        <f t="shared" si="2103"/>
        <v/>
      </c>
      <c r="S2286" s="26"/>
      <c r="T2286" s="49" t="str">
        <f t="shared" si="2104"/>
        <v/>
      </c>
      <c r="U2286" s="24"/>
      <c r="V2286" s="66" t="s">
        <v>29</v>
      </c>
      <c r="W2286" s="29" t="str">
        <f t="shared" si="2024"/>
        <v>/</v>
      </c>
      <c r="X2286" s="37" t="s">
        <v>758</v>
      </c>
      <c r="Y2286" s="31"/>
      <c r="Z2286" s="26" t="str">
        <f t="shared" si="5"/>
        <v/>
      </c>
      <c r="AA2286" s="26" t="str">
        <f t="shared" si="6"/>
        <v/>
      </c>
      <c r="AB2286" s="32" t="str">
        <f t="shared" si="7"/>
        <v/>
      </c>
      <c r="AC2286" s="32" t="str">
        <f t="shared" ref="AC2286:AG2286" si="2308">IF(J2286&lt;&gt;"", IF(AND($P2286=FALSE, $A2286=FALSE), -J2286, IF(AND($P2286=FALSE, $A2286=TRUE), 0, IF($P2286=TRUE, (J2286 / $R2286) * 100 * ($S2286 / 100)-J2286, ))), )</f>
        <v/>
      </c>
      <c r="AD2286" s="32" t="str">
        <f t="shared" si="2308"/>
        <v/>
      </c>
      <c r="AE2286" s="32" t="str">
        <f t="shared" si="2308"/>
        <v/>
      </c>
      <c r="AF2286" s="32" t="str">
        <f t="shared" si="2308"/>
        <v/>
      </c>
      <c r="AG2286" s="32" t="str">
        <f t="shared" si="2308"/>
        <v/>
      </c>
      <c r="AH2286" s="33"/>
    </row>
    <row r="2287" hidden="1" outlineLevel="3">
      <c r="A2287" s="16" t="b">
        <v>0</v>
      </c>
      <c r="B2287" s="17"/>
      <c r="C2287" s="18"/>
      <c r="D2287" s="42"/>
      <c r="E2287" s="20"/>
      <c r="F2287" s="53"/>
      <c r="G2287" s="45"/>
      <c r="H2287" s="45"/>
      <c r="I2287" s="45"/>
      <c r="J2287" s="36"/>
      <c r="K2287" s="23"/>
      <c r="L2287" s="36"/>
      <c r="M2287" s="23"/>
      <c r="N2287" s="23"/>
      <c r="O2287" s="24"/>
      <c r="P2287" s="16" t="b">
        <v>0</v>
      </c>
      <c r="Q2287" s="24"/>
      <c r="R2287" s="48" t="str">
        <f t="shared" si="2103"/>
        <v/>
      </c>
      <c r="S2287" s="26"/>
      <c r="T2287" s="49" t="str">
        <f t="shared" si="2104"/>
        <v/>
      </c>
      <c r="U2287" s="24"/>
      <c r="V2287" s="66" t="s">
        <v>29</v>
      </c>
      <c r="W2287" s="29" t="str">
        <f t="shared" si="2024"/>
        <v>/</v>
      </c>
      <c r="X2287" s="37" t="s">
        <v>1439</v>
      </c>
      <c r="Y2287" s="31"/>
      <c r="Z2287" s="26" t="str">
        <f t="shared" si="5"/>
        <v/>
      </c>
      <c r="AA2287" s="26" t="str">
        <f t="shared" si="6"/>
        <v/>
      </c>
      <c r="AB2287" s="32" t="str">
        <f t="shared" si="7"/>
        <v/>
      </c>
      <c r="AC2287" s="32" t="str">
        <f t="shared" ref="AC2287:AG2287" si="2309">IF(J2287&lt;&gt;"", IF(AND($P2287=FALSE, $A2287=FALSE), -J2287, IF(AND($P2287=FALSE, $A2287=TRUE), 0, IF($P2287=TRUE, (J2287 / $R2287) * 100 * ($S2287 / 100)-J2287, ))), )</f>
        <v/>
      </c>
      <c r="AD2287" s="32" t="str">
        <f t="shared" si="2309"/>
        <v/>
      </c>
      <c r="AE2287" s="32" t="str">
        <f t="shared" si="2309"/>
        <v/>
      </c>
      <c r="AF2287" s="32" t="str">
        <f t="shared" si="2309"/>
        <v/>
      </c>
      <c r="AG2287" s="32" t="str">
        <f t="shared" si="2309"/>
        <v/>
      </c>
      <c r="AH2287" s="33"/>
    </row>
    <row r="2288" hidden="1" outlineLevel="3">
      <c r="A2288" s="16" t="b">
        <v>0</v>
      </c>
      <c r="B2288" s="17"/>
      <c r="C2288" s="18"/>
      <c r="D2288" s="42"/>
      <c r="E2288" s="20"/>
      <c r="F2288" s="53"/>
      <c r="G2288" s="45"/>
      <c r="H2288" s="45"/>
      <c r="I2288" s="45"/>
      <c r="J2288" s="36"/>
      <c r="K2288" s="23"/>
      <c r="L2288" s="36"/>
      <c r="M2288" s="23"/>
      <c r="N2288" s="23"/>
      <c r="O2288" s="24"/>
      <c r="P2288" s="16" t="b">
        <v>0</v>
      </c>
      <c r="Q2288" s="24"/>
      <c r="R2288" s="48" t="str">
        <f t="shared" si="2103"/>
        <v/>
      </c>
      <c r="S2288" s="26"/>
      <c r="T2288" s="49" t="str">
        <f t="shared" si="2104"/>
        <v/>
      </c>
      <c r="U2288" s="24"/>
      <c r="V2288" s="66">
        <v>24.0</v>
      </c>
      <c r="W2288" s="29" t="str">
        <f t="shared" si="2024"/>
        <v>/</v>
      </c>
      <c r="X2288" s="37" t="s">
        <v>1440</v>
      </c>
      <c r="Y2288" s="31"/>
      <c r="Z2288" s="26" t="str">
        <f t="shared" si="5"/>
        <v/>
      </c>
      <c r="AA2288" s="26" t="str">
        <f t="shared" si="6"/>
        <v/>
      </c>
      <c r="AB2288" s="32" t="str">
        <f t="shared" si="7"/>
        <v/>
      </c>
      <c r="AC2288" s="32" t="str">
        <f t="shared" ref="AC2288:AG2288" si="2310">IF(J2288&lt;&gt;"", IF(AND($P2288=FALSE, $A2288=FALSE), -J2288, IF(AND($P2288=FALSE, $A2288=TRUE), 0, IF($P2288=TRUE, (J2288 / $R2288) * 100 * ($S2288 / 100)-J2288, ))), )</f>
        <v/>
      </c>
      <c r="AD2288" s="32" t="str">
        <f t="shared" si="2310"/>
        <v/>
      </c>
      <c r="AE2288" s="32" t="str">
        <f t="shared" si="2310"/>
        <v/>
      </c>
      <c r="AF2288" s="32" t="str">
        <f t="shared" si="2310"/>
        <v/>
      </c>
      <c r="AG2288" s="32" t="str">
        <f t="shared" si="2310"/>
        <v/>
      </c>
      <c r="AH2288" s="33"/>
    </row>
    <row r="2289" hidden="1" outlineLevel="3">
      <c r="A2289" s="16" t="b">
        <v>0</v>
      </c>
      <c r="B2289" s="17"/>
      <c r="C2289" s="18"/>
      <c r="D2289" s="42"/>
      <c r="E2289" s="20"/>
      <c r="F2289" s="53"/>
      <c r="G2289" s="45"/>
      <c r="H2289" s="45"/>
      <c r="I2289" s="45"/>
      <c r="J2289" s="36"/>
      <c r="K2289" s="23"/>
      <c r="L2289" s="36"/>
      <c r="M2289" s="23"/>
      <c r="N2289" s="23"/>
      <c r="O2289" s="24"/>
      <c r="P2289" s="16" t="b">
        <v>0</v>
      </c>
      <c r="Q2289" s="24"/>
      <c r="R2289" s="48" t="str">
        <f t="shared" si="2103"/>
        <v/>
      </c>
      <c r="S2289" s="26"/>
      <c r="T2289" s="49" t="str">
        <f t="shared" si="2104"/>
        <v/>
      </c>
      <c r="U2289" s="24"/>
      <c r="V2289" s="66">
        <v>12.0</v>
      </c>
      <c r="W2289" s="29" t="str">
        <f t="shared" si="2024"/>
        <v>/</v>
      </c>
      <c r="X2289" s="37" t="s">
        <v>1441</v>
      </c>
      <c r="Y2289" s="31"/>
      <c r="Z2289" s="26" t="str">
        <f t="shared" si="5"/>
        <v/>
      </c>
      <c r="AA2289" s="26" t="str">
        <f t="shared" si="6"/>
        <v/>
      </c>
      <c r="AB2289" s="32" t="str">
        <f t="shared" si="7"/>
        <v/>
      </c>
      <c r="AC2289" s="32" t="str">
        <f t="shared" ref="AC2289:AG2289" si="2311">IF(J2289&lt;&gt;"", IF(AND($P2289=FALSE, $A2289=FALSE), -J2289, IF(AND($P2289=FALSE, $A2289=TRUE), 0, IF($P2289=TRUE, (J2289 / $R2289) * 100 * ($S2289 / 100)-J2289, ))), )</f>
        <v/>
      </c>
      <c r="AD2289" s="32" t="str">
        <f t="shared" si="2311"/>
        <v/>
      </c>
      <c r="AE2289" s="32" t="str">
        <f t="shared" si="2311"/>
        <v/>
      </c>
      <c r="AF2289" s="32" t="str">
        <f t="shared" si="2311"/>
        <v/>
      </c>
      <c r="AG2289" s="32" t="str">
        <f t="shared" si="2311"/>
        <v/>
      </c>
      <c r="AH2289" s="33"/>
    </row>
    <row r="2290" hidden="1" outlineLevel="3">
      <c r="A2290" s="16" t="b">
        <v>0</v>
      </c>
      <c r="B2290" s="17"/>
      <c r="C2290" s="18"/>
      <c r="D2290" s="42"/>
      <c r="E2290" s="20"/>
      <c r="F2290" s="53"/>
      <c r="G2290" s="45"/>
      <c r="H2290" s="45"/>
      <c r="I2290" s="45"/>
      <c r="J2290" s="36"/>
      <c r="K2290" s="23"/>
      <c r="L2290" s="36"/>
      <c r="M2290" s="23"/>
      <c r="N2290" s="23"/>
      <c r="O2290" s="24"/>
      <c r="P2290" s="16" t="b">
        <v>0</v>
      </c>
      <c r="Q2290" s="24"/>
      <c r="R2290" s="48" t="str">
        <f t="shared" si="2103"/>
        <v/>
      </c>
      <c r="S2290" s="26"/>
      <c r="T2290" s="49" t="str">
        <f t="shared" si="2104"/>
        <v/>
      </c>
      <c r="U2290" s="24"/>
      <c r="V2290" s="66">
        <v>2.0</v>
      </c>
      <c r="W2290" s="29" t="str">
        <f t="shared" si="2024"/>
        <v>/</v>
      </c>
      <c r="X2290" s="37" t="s">
        <v>1276</v>
      </c>
      <c r="Y2290" s="31"/>
      <c r="Z2290" s="26" t="str">
        <f t="shared" si="5"/>
        <v/>
      </c>
      <c r="AA2290" s="26" t="str">
        <f t="shared" si="6"/>
        <v/>
      </c>
      <c r="AB2290" s="32" t="str">
        <f t="shared" si="7"/>
        <v/>
      </c>
      <c r="AC2290" s="32" t="str">
        <f t="shared" ref="AC2290:AG2290" si="2312">IF(J2290&lt;&gt;"", IF(AND($P2290=FALSE, $A2290=FALSE), -J2290, IF(AND($P2290=FALSE, $A2290=TRUE), 0, IF($P2290=TRUE, (J2290 / $R2290) * 100 * ($S2290 / 100)-J2290, ))), )</f>
        <v/>
      </c>
      <c r="AD2290" s="32" t="str">
        <f t="shared" si="2312"/>
        <v/>
      </c>
      <c r="AE2290" s="32" t="str">
        <f t="shared" si="2312"/>
        <v/>
      </c>
      <c r="AF2290" s="32" t="str">
        <f t="shared" si="2312"/>
        <v/>
      </c>
      <c r="AG2290" s="32" t="str">
        <f t="shared" si="2312"/>
        <v/>
      </c>
      <c r="AH2290" s="33"/>
    </row>
    <row r="2291" hidden="1" outlineLevel="1" collapsed="1">
      <c r="A2291" s="81" t="b">
        <v>0</v>
      </c>
      <c r="B2291" s="87"/>
      <c r="C2291" s="88"/>
      <c r="D2291" s="42">
        <v>45399.0</v>
      </c>
      <c r="E2291" s="43" t="s">
        <v>60</v>
      </c>
      <c r="F2291" s="53" t="s">
        <v>1433</v>
      </c>
      <c r="G2291" s="45">
        <v>2.0</v>
      </c>
      <c r="H2291" s="79"/>
      <c r="I2291" s="45">
        <v>3.0</v>
      </c>
      <c r="J2291" s="79"/>
      <c r="K2291" s="79"/>
      <c r="L2291" s="79"/>
      <c r="M2291" s="79"/>
      <c r="N2291" s="79"/>
      <c r="O2291" s="47"/>
      <c r="P2291" s="20" t="b">
        <v>0</v>
      </c>
      <c r="Q2291" s="47"/>
      <c r="R2291" s="48">
        <f t="shared" si="2103"/>
        <v>5</v>
      </c>
      <c r="S2291" s="45">
        <v>16.77</v>
      </c>
      <c r="T2291" s="49" t="str">
        <f t="shared" si="2104"/>
        <v>+235</v>
      </c>
      <c r="U2291" s="47"/>
      <c r="V2291" s="89" t="str">
        <f>IF(ISBLANK($D2291), "0",)</f>
        <v/>
      </c>
      <c r="W2291" s="90" t="str">
        <f t="shared" si="2024"/>
        <v/>
      </c>
      <c r="X2291" s="90"/>
      <c r="Y2291" s="84"/>
      <c r="Z2291" s="26">
        <f t="shared" si="5"/>
        <v>-2</v>
      </c>
      <c r="AA2291" s="26">
        <f t="shared" si="6"/>
        <v>-3</v>
      </c>
      <c r="AB2291" s="32" t="str">
        <f t="shared" si="7"/>
        <v/>
      </c>
      <c r="AC2291" s="32" t="str">
        <f t="shared" ref="AC2291:AG2291" si="2313">IF(J2291&lt;&gt;"", IF(AND($P2291=FALSE, $A2291=FALSE), -J2291, IF(AND($P2291=FALSE, $A2291=TRUE), 0, IF($P2291=TRUE, (J2291 / $R2291) * 100 * ($S2291 / 100)-J2291, ))), )</f>
        <v/>
      </c>
      <c r="AD2291" s="32" t="str">
        <f t="shared" si="2313"/>
        <v/>
      </c>
      <c r="AE2291" s="32" t="str">
        <f t="shared" si="2313"/>
        <v/>
      </c>
      <c r="AF2291" s="32" t="str">
        <f t="shared" si="2313"/>
        <v/>
      </c>
      <c r="AG2291" s="32" t="str">
        <f t="shared" si="2313"/>
        <v/>
      </c>
      <c r="AH2291" s="91"/>
    </row>
    <row r="2292" hidden="1" outlineLevel="3">
      <c r="A2292" s="16" t="b">
        <v>0</v>
      </c>
      <c r="B2292" s="17"/>
      <c r="C2292" s="18"/>
      <c r="D2292" s="42"/>
      <c r="E2292" s="20"/>
      <c r="F2292" s="53"/>
      <c r="G2292" s="45"/>
      <c r="H2292" s="45"/>
      <c r="I2292" s="45"/>
      <c r="J2292" s="36"/>
      <c r="K2292" s="23"/>
      <c r="L2292" s="36"/>
      <c r="M2292" s="23"/>
      <c r="N2292" s="23"/>
      <c r="O2292" s="24"/>
      <c r="P2292" s="16" t="b">
        <v>0</v>
      </c>
      <c r="Q2292" s="24"/>
      <c r="R2292" s="48" t="str">
        <f t="shared" si="2103"/>
        <v/>
      </c>
      <c r="S2292" s="26"/>
      <c r="T2292" s="49" t="str">
        <f t="shared" si="2104"/>
        <v/>
      </c>
      <c r="U2292" s="24"/>
      <c r="V2292" s="66" t="s">
        <v>29</v>
      </c>
      <c r="W2292" s="29" t="str">
        <f t="shared" si="2024"/>
        <v>/</v>
      </c>
      <c r="X2292" s="37" t="s">
        <v>740</v>
      </c>
      <c r="Y2292" s="31"/>
      <c r="Z2292" s="26" t="str">
        <f t="shared" si="5"/>
        <v/>
      </c>
      <c r="AA2292" s="26" t="str">
        <f t="shared" si="6"/>
        <v/>
      </c>
      <c r="AB2292" s="32" t="str">
        <f t="shared" si="7"/>
        <v/>
      </c>
      <c r="AC2292" s="32" t="str">
        <f t="shared" ref="AC2292:AG2292" si="2314">IF(J2292&lt;&gt;"", IF(AND($P2292=FALSE, $A2292=FALSE), -J2292, IF(AND($P2292=FALSE, $A2292=TRUE), 0, IF($P2292=TRUE, (J2292 / $R2292) * 100 * ($S2292 / 100)-J2292, ))), )</f>
        <v/>
      </c>
      <c r="AD2292" s="32" t="str">
        <f t="shared" si="2314"/>
        <v/>
      </c>
      <c r="AE2292" s="32" t="str">
        <f t="shared" si="2314"/>
        <v/>
      </c>
      <c r="AF2292" s="32" t="str">
        <f t="shared" si="2314"/>
        <v/>
      </c>
      <c r="AG2292" s="32" t="str">
        <f t="shared" si="2314"/>
        <v/>
      </c>
      <c r="AH2292" s="33"/>
    </row>
    <row r="2293" hidden="1" outlineLevel="3">
      <c r="A2293" s="16" t="b">
        <v>0</v>
      </c>
      <c r="B2293" s="17"/>
      <c r="C2293" s="18"/>
      <c r="D2293" s="42"/>
      <c r="E2293" s="20"/>
      <c r="F2293" s="53"/>
      <c r="G2293" s="45"/>
      <c r="H2293" s="45"/>
      <c r="I2293" s="45"/>
      <c r="J2293" s="36"/>
      <c r="K2293" s="23"/>
      <c r="L2293" s="36"/>
      <c r="M2293" s="23"/>
      <c r="N2293" s="23"/>
      <c r="O2293" s="24"/>
      <c r="P2293" s="16" t="b">
        <v>0</v>
      </c>
      <c r="Q2293" s="24"/>
      <c r="R2293" s="48" t="str">
        <f t="shared" si="2103"/>
        <v/>
      </c>
      <c r="S2293" s="26"/>
      <c r="T2293" s="49" t="str">
        <f t="shared" si="2104"/>
        <v/>
      </c>
      <c r="U2293" s="24"/>
      <c r="V2293" s="66">
        <v>19.0</v>
      </c>
      <c r="W2293" s="29" t="str">
        <f t="shared" si="2024"/>
        <v>/</v>
      </c>
      <c r="X2293" s="37" t="s">
        <v>179</v>
      </c>
      <c r="Y2293" s="31"/>
      <c r="Z2293" s="26" t="str">
        <f t="shared" si="5"/>
        <v/>
      </c>
      <c r="AA2293" s="26" t="str">
        <f t="shared" si="6"/>
        <v/>
      </c>
      <c r="AB2293" s="32" t="str">
        <f t="shared" si="7"/>
        <v/>
      </c>
      <c r="AC2293" s="32" t="str">
        <f t="shared" ref="AC2293:AG2293" si="2315">IF(J2293&lt;&gt;"", IF(AND($P2293=FALSE, $A2293=FALSE), -J2293, IF(AND($P2293=FALSE, $A2293=TRUE), 0, IF($P2293=TRUE, (J2293 / $R2293) * 100 * ($S2293 / 100)-J2293, ))), )</f>
        <v/>
      </c>
      <c r="AD2293" s="32" t="str">
        <f t="shared" si="2315"/>
        <v/>
      </c>
      <c r="AE2293" s="32" t="str">
        <f t="shared" si="2315"/>
        <v/>
      </c>
      <c r="AF2293" s="32" t="str">
        <f t="shared" si="2315"/>
        <v/>
      </c>
      <c r="AG2293" s="32" t="str">
        <f t="shared" si="2315"/>
        <v/>
      </c>
      <c r="AH2293" s="33"/>
    </row>
    <row r="2294" hidden="1" outlineLevel="3">
      <c r="A2294" s="16" t="b">
        <v>0</v>
      </c>
      <c r="B2294" s="17"/>
      <c r="C2294" s="18"/>
      <c r="D2294" s="42"/>
      <c r="E2294" s="20"/>
      <c r="F2294" s="53"/>
      <c r="G2294" s="45"/>
      <c r="H2294" s="45"/>
      <c r="I2294" s="45"/>
      <c r="J2294" s="36"/>
      <c r="K2294" s="23"/>
      <c r="L2294" s="36"/>
      <c r="M2294" s="23"/>
      <c r="N2294" s="23"/>
      <c r="O2294" s="24"/>
      <c r="P2294" s="16" t="b">
        <v>0</v>
      </c>
      <c r="Q2294" s="24"/>
      <c r="R2294" s="48" t="str">
        <f t="shared" si="2103"/>
        <v/>
      </c>
      <c r="S2294" s="26"/>
      <c r="T2294" s="49" t="str">
        <f t="shared" si="2104"/>
        <v/>
      </c>
      <c r="U2294" s="24"/>
      <c r="V2294" s="66" t="s">
        <v>29</v>
      </c>
      <c r="W2294" s="29" t="str">
        <f t="shared" si="2024"/>
        <v>/</v>
      </c>
      <c r="X2294" s="37" t="s">
        <v>1442</v>
      </c>
      <c r="Y2294" s="31"/>
      <c r="Z2294" s="26" t="str">
        <f t="shared" si="5"/>
        <v/>
      </c>
      <c r="AA2294" s="26" t="str">
        <f t="shared" si="6"/>
        <v/>
      </c>
      <c r="AB2294" s="32" t="str">
        <f t="shared" si="7"/>
        <v/>
      </c>
      <c r="AC2294" s="32" t="str">
        <f t="shared" ref="AC2294:AG2294" si="2316">IF(J2294&lt;&gt;"", IF(AND($P2294=FALSE, $A2294=FALSE), -J2294, IF(AND($P2294=FALSE, $A2294=TRUE), 0, IF($P2294=TRUE, (J2294 / $R2294) * 100 * ($S2294 / 100)-J2294, ))), )</f>
        <v/>
      </c>
      <c r="AD2294" s="32" t="str">
        <f t="shared" si="2316"/>
        <v/>
      </c>
      <c r="AE2294" s="32" t="str">
        <f t="shared" si="2316"/>
        <v/>
      </c>
      <c r="AF2294" s="32" t="str">
        <f t="shared" si="2316"/>
        <v/>
      </c>
      <c r="AG2294" s="32" t="str">
        <f t="shared" si="2316"/>
        <v/>
      </c>
      <c r="AH2294" s="33"/>
    </row>
    <row r="2295" hidden="1" outlineLevel="3">
      <c r="A2295" s="16" t="b">
        <v>0</v>
      </c>
      <c r="B2295" s="17"/>
      <c r="C2295" s="18"/>
      <c r="D2295" s="42"/>
      <c r="E2295" s="20"/>
      <c r="F2295" s="53"/>
      <c r="G2295" s="45"/>
      <c r="H2295" s="45"/>
      <c r="I2295" s="45"/>
      <c r="J2295" s="36"/>
      <c r="K2295" s="23"/>
      <c r="L2295" s="36"/>
      <c r="M2295" s="23"/>
      <c r="N2295" s="23"/>
      <c r="O2295" s="24"/>
      <c r="P2295" s="16" t="b">
        <v>0</v>
      </c>
      <c r="Q2295" s="24"/>
      <c r="R2295" s="48" t="str">
        <f t="shared" si="2103"/>
        <v/>
      </c>
      <c r="S2295" s="26"/>
      <c r="T2295" s="49" t="str">
        <f t="shared" si="2104"/>
        <v/>
      </c>
      <c r="U2295" s="24"/>
      <c r="V2295" s="66" t="s">
        <v>29</v>
      </c>
      <c r="W2295" s="29" t="str">
        <f t="shared" si="2024"/>
        <v>/</v>
      </c>
      <c r="X2295" s="37" t="s">
        <v>1443</v>
      </c>
      <c r="Y2295" s="31"/>
      <c r="Z2295" s="26" t="str">
        <f t="shared" si="5"/>
        <v/>
      </c>
      <c r="AA2295" s="26" t="str">
        <f t="shared" si="6"/>
        <v/>
      </c>
      <c r="AB2295" s="32" t="str">
        <f t="shared" si="7"/>
        <v/>
      </c>
      <c r="AC2295" s="32" t="str">
        <f t="shared" ref="AC2295:AG2295" si="2317">IF(J2295&lt;&gt;"", IF(AND($P2295=FALSE, $A2295=FALSE), -J2295, IF(AND($P2295=FALSE, $A2295=TRUE), 0, IF($P2295=TRUE, (J2295 / $R2295) * 100 * ($S2295 / 100)-J2295, ))), )</f>
        <v/>
      </c>
      <c r="AD2295" s="32" t="str">
        <f t="shared" si="2317"/>
        <v/>
      </c>
      <c r="AE2295" s="32" t="str">
        <f t="shared" si="2317"/>
        <v/>
      </c>
      <c r="AF2295" s="32" t="str">
        <f t="shared" si="2317"/>
        <v/>
      </c>
      <c r="AG2295" s="32" t="str">
        <f t="shared" si="2317"/>
        <v/>
      </c>
      <c r="AH2295" s="33"/>
    </row>
    <row r="2296" hidden="1" outlineLevel="2" collapsed="1">
      <c r="A2296" s="81" t="b">
        <v>0</v>
      </c>
      <c r="B2296" s="87"/>
      <c r="C2296" s="88"/>
      <c r="D2296" s="42">
        <v>45399.0</v>
      </c>
      <c r="E2296" s="43" t="s">
        <v>60</v>
      </c>
      <c r="F2296" s="53" t="s">
        <v>1433</v>
      </c>
      <c r="G2296" s="45">
        <v>2.0</v>
      </c>
      <c r="H2296" s="79"/>
      <c r="I2296" s="45">
        <v>3.0</v>
      </c>
      <c r="J2296" s="79"/>
      <c r="K2296" s="79"/>
      <c r="L2296" s="79"/>
      <c r="M2296" s="79"/>
      <c r="N2296" s="79"/>
      <c r="O2296" s="47"/>
      <c r="P2296" s="20" t="b">
        <v>0</v>
      </c>
      <c r="Q2296" s="47"/>
      <c r="R2296" s="48">
        <f t="shared" si="2103"/>
        <v>5</v>
      </c>
      <c r="S2296" s="45">
        <v>11.13</v>
      </c>
      <c r="T2296" s="49" t="str">
        <f t="shared" si="2104"/>
        <v>+123</v>
      </c>
      <c r="U2296" s="47"/>
      <c r="V2296" s="89" t="str">
        <f>IF(ISBLANK($D2296), "0",)</f>
        <v/>
      </c>
      <c r="W2296" s="90" t="str">
        <f t="shared" si="2024"/>
        <v/>
      </c>
      <c r="X2296" s="90"/>
      <c r="Y2296" s="84"/>
      <c r="Z2296" s="26">
        <f t="shared" si="5"/>
        <v>-2</v>
      </c>
      <c r="AA2296" s="26">
        <f t="shared" si="6"/>
        <v>-3</v>
      </c>
      <c r="AB2296" s="32" t="str">
        <f t="shared" si="7"/>
        <v/>
      </c>
      <c r="AC2296" s="32" t="str">
        <f t="shared" ref="AC2296:AG2296" si="2318">IF(J2296&lt;&gt;"", IF(AND($P2296=FALSE, $A2296=FALSE), -J2296, IF(AND($P2296=FALSE, $A2296=TRUE), 0, IF($P2296=TRUE, (J2296 / $R2296) * 100 * ($S2296 / 100)-J2296, ))), )</f>
        <v/>
      </c>
      <c r="AD2296" s="32" t="str">
        <f t="shared" si="2318"/>
        <v/>
      </c>
      <c r="AE2296" s="32" t="str">
        <f t="shared" si="2318"/>
        <v/>
      </c>
      <c r="AF2296" s="32" t="str">
        <f t="shared" si="2318"/>
        <v/>
      </c>
      <c r="AG2296" s="32" t="str">
        <f t="shared" si="2318"/>
        <v/>
      </c>
      <c r="AH2296" s="91"/>
    </row>
    <row r="2297" hidden="1" outlineLevel="3">
      <c r="A2297" s="16" t="b">
        <v>0</v>
      </c>
      <c r="B2297" s="17"/>
      <c r="C2297" s="18"/>
      <c r="D2297" s="42"/>
      <c r="E2297" s="20"/>
      <c r="F2297" s="53"/>
      <c r="G2297" s="45"/>
      <c r="H2297" s="45"/>
      <c r="I2297" s="45"/>
      <c r="J2297" s="36"/>
      <c r="K2297" s="23"/>
      <c r="L2297" s="36"/>
      <c r="M2297" s="23"/>
      <c r="N2297" s="23"/>
      <c r="O2297" s="24"/>
      <c r="P2297" s="16" t="b">
        <v>0</v>
      </c>
      <c r="Q2297" s="24"/>
      <c r="R2297" s="48" t="str">
        <f t="shared" si="2103"/>
        <v/>
      </c>
      <c r="S2297" s="26"/>
      <c r="T2297" s="49" t="str">
        <f t="shared" si="2104"/>
        <v/>
      </c>
      <c r="U2297" s="24"/>
      <c r="V2297" s="66" t="s">
        <v>29</v>
      </c>
      <c r="W2297" s="29" t="str">
        <f t="shared" si="2024"/>
        <v>/</v>
      </c>
      <c r="X2297" s="37" t="s">
        <v>1444</v>
      </c>
      <c r="Y2297" s="31"/>
      <c r="Z2297" s="26" t="str">
        <f t="shared" si="5"/>
        <v/>
      </c>
      <c r="AA2297" s="26" t="str">
        <f t="shared" si="6"/>
        <v/>
      </c>
      <c r="AB2297" s="32" t="str">
        <f t="shared" si="7"/>
        <v/>
      </c>
      <c r="AC2297" s="32" t="str">
        <f t="shared" ref="AC2297:AG2297" si="2319">IF(J2297&lt;&gt;"", IF(AND($P2297=FALSE, $A2297=FALSE), -J2297, IF(AND($P2297=FALSE, $A2297=TRUE), 0, IF($P2297=TRUE, (J2297 / $R2297) * 100 * ($S2297 / 100)-J2297, ))), )</f>
        <v/>
      </c>
      <c r="AD2297" s="32" t="str">
        <f t="shared" si="2319"/>
        <v/>
      </c>
      <c r="AE2297" s="32" t="str">
        <f t="shared" si="2319"/>
        <v/>
      </c>
      <c r="AF2297" s="32" t="str">
        <f t="shared" si="2319"/>
        <v/>
      </c>
      <c r="AG2297" s="32" t="str">
        <f t="shared" si="2319"/>
        <v/>
      </c>
      <c r="AH2297" s="33"/>
    </row>
    <row r="2298" hidden="1" outlineLevel="3">
      <c r="A2298" s="16" t="b">
        <v>0</v>
      </c>
      <c r="B2298" s="17"/>
      <c r="C2298" s="18"/>
      <c r="D2298" s="42"/>
      <c r="E2298" s="20"/>
      <c r="F2298" s="53"/>
      <c r="G2298" s="45"/>
      <c r="H2298" s="45"/>
      <c r="I2298" s="45"/>
      <c r="J2298" s="36"/>
      <c r="K2298" s="23"/>
      <c r="L2298" s="36"/>
      <c r="M2298" s="23"/>
      <c r="N2298" s="23"/>
      <c r="O2298" s="24"/>
      <c r="P2298" s="16" t="b">
        <v>0</v>
      </c>
      <c r="Q2298" s="24"/>
      <c r="R2298" s="48" t="str">
        <f t="shared" si="2103"/>
        <v/>
      </c>
      <c r="S2298" s="26"/>
      <c r="T2298" s="49" t="str">
        <f t="shared" si="2104"/>
        <v/>
      </c>
      <c r="U2298" s="24"/>
      <c r="V2298" s="66">
        <v>22.0</v>
      </c>
      <c r="W2298" s="29" t="str">
        <f t="shared" si="2024"/>
        <v>/</v>
      </c>
      <c r="X2298" s="37" t="s">
        <v>1445</v>
      </c>
      <c r="Y2298" s="31"/>
      <c r="Z2298" s="26" t="str">
        <f t="shared" si="5"/>
        <v/>
      </c>
      <c r="AA2298" s="26" t="str">
        <f t="shared" si="6"/>
        <v/>
      </c>
      <c r="AB2298" s="32" t="str">
        <f t="shared" si="7"/>
        <v/>
      </c>
      <c r="AC2298" s="32" t="str">
        <f t="shared" ref="AC2298:AG2298" si="2320">IF(J2298&lt;&gt;"", IF(AND($P2298=FALSE, $A2298=FALSE), -J2298, IF(AND($P2298=FALSE, $A2298=TRUE), 0, IF($P2298=TRUE, (J2298 / $R2298) * 100 * ($S2298 / 100)-J2298, ))), )</f>
        <v/>
      </c>
      <c r="AD2298" s="32" t="str">
        <f t="shared" si="2320"/>
        <v/>
      </c>
      <c r="AE2298" s="32" t="str">
        <f t="shared" si="2320"/>
        <v/>
      </c>
      <c r="AF2298" s="32" t="str">
        <f t="shared" si="2320"/>
        <v/>
      </c>
      <c r="AG2298" s="32" t="str">
        <f t="shared" si="2320"/>
        <v/>
      </c>
      <c r="AH2298" s="33"/>
    </row>
    <row r="2299" hidden="1" outlineLevel="2" collapsed="1">
      <c r="A2299" s="81" t="b">
        <v>0</v>
      </c>
      <c r="B2299" s="87"/>
      <c r="C2299" s="88"/>
      <c r="D2299" s="42">
        <v>45399.0</v>
      </c>
      <c r="E2299" s="43" t="s">
        <v>60</v>
      </c>
      <c r="F2299" s="53" t="s">
        <v>1433</v>
      </c>
      <c r="G2299" s="45">
        <v>2.0</v>
      </c>
      <c r="H2299" s="79"/>
      <c r="I2299" s="45">
        <v>3.0</v>
      </c>
      <c r="J2299" s="79"/>
      <c r="K2299" s="79"/>
      <c r="L2299" s="79"/>
      <c r="M2299" s="79"/>
      <c r="N2299" s="79"/>
      <c r="O2299" s="47"/>
      <c r="P2299" s="20" t="b">
        <v>0</v>
      </c>
      <c r="Q2299" s="47"/>
      <c r="R2299" s="48">
        <f t="shared" si="2103"/>
        <v>5</v>
      </c>
      <c r="S2299" s="45">
        <v>11.13</v>
      </c>
      <c r="T2299" s="49" t="str">
        <f t="shared" si="2104"/>
        <v>+123</v>
      </c>
      <c r="U2299" s="47"/>
      <c r="V2299" s="89" t="str">
        <f>IF(ISBLANK($D2299), "0",)</f>
        <v/>
      </c>
      <c r="W2299" s="90" t="str">
        <f t="shared" si="2024"/>
        <v/>
      </c>
      <c r="X2299" s="90"/>
      <c r="Y2299" s="84"/>
      <c r="Z2299" s="26">
        <f t="shared" si="5"/>
        <v>-2</v>
      </c>
      <c r="AA2299" s="26">
        <f t="shared" si="6"/>
        <v>-3</v>
      </c>
      <c r="AB2299" s="32" t="str">
        <f t="shared" si="7"/>
        <v/>
      </c>
      <c r="AC2299" s="32" t="str">
        <f t="shared" ref="AC2299:AG2299" si="2321">IF(J2299&lt;&gt;"", IF(AND($P2299=FALSE, $A2299=FALSE), -J2299, IF(AND($P2299=FALSE, $A2299=TRUE), 0, IF($P2299=TRUE, (J2299 / $R2299) * 100 * ($S2299 / 100)-J2299, ))), )</f>
        <v/>
      </c>
      <c r="AD2299" s="32" t="str">
        <f t="shared" si="2321"/>
        <v/>
      </c>
      <c r="AE2299" s="32" t="str">
        <f t="shared" si="2321"/>
        <v/>
      </c>
      <c r="AF2299" s="32" t="str">
        <f t="shared" si="2321"/>
        <v/>
      </c>
      <c r="AG2299" s="32" t="str">
        <f t="shared" si="2321"/>
        <v/>
      </c>
      <c r="AH2299" s="91"/>
    </row>
    <row r="2300" hidden="1" outlineLevel="3">
      <c r="A2300" s="16" t="b">
        <v>0</v>
      </c>
      <c r="B2300" s="17"/>
      <c r="C2300" s="18"/>
      <c r="D2300" s="42"/>
      <c r="E2300" s="20"/>
      <c r="F2300" s="53"/>
      <c r="G2300" s="45"/>
      <c r="H2300" s="45"/>
      <c r="I2300" s="45"/>
      <c r="J2300" s="36"/>
      <c r="K2300" s="23"/>
      <c r="L2300" s="36"/>
      <c r="M2300" s="23"/>
      <c r="N2300" s="23"/>
      <c r="O2300" s="24"/>
      <c r="P2300" s="16" t="b">
        <v>0</v>
      </c>
      <c r="Q2300" s="24"/>
      <c r="R2300" s="48" t="str">
        <f t="shared" si="2103"/>
        <v/>
      </c>
      <c r="S2300" s="26"/>
      <c r="T2300" s="49" t="str">
        <f t="shared" si="2104"/>
        <v/>
      </c>
      <c r="U2300" s="24"/>
      <c r="V2300" s="66" t="s">
        <v>29</v>
      </c>
      <c r="W2300" s="29" t="str">
        <f t="shared" si="2024"/>
        <v>/</v>
      </c>
      <c r="X2300" s="37" t="s">
        <v>1446</v>
      </c>
      <c r="Y2300" s="31"/>
      <c r="Z2300" s="26" t="str">
        <f t="shared" si="5"/>
        <v/>
      </c>
      <c r="AA2300" s="26" t="str">
        <f t="shared" si="6"/>
        <v/>
      </c>
      <c r="AB2300" s="32" t="str">
        <f t="shared" si="7"/>
        <v/>
      </c>
      <c r="AC2300" s="32" t="str">
        <f t="shared" ref="AC2300:AG2300" si="2322">IF(J2300&lt;&gt;"", IF(AND($P2300=FALSE, $A2300=FALSE), -J2300, IF(AND($P2300=FALSE, $A2300=TRUE), 0, IF($P2300=TRUE, (J2300 / $R2300) * 100 * ($S2300 / 100)-J2300, ))), )</f>
        <v/>
      </c>
      <c r="AD2300" s="32" t="str">
        <f t="shared" si="2322"/>
        <v/>
      </c>
      <c r="AE2300" s="32" t="str">
        <f t="shared" si="2322"/>
        <v/>
      </c>
      <c r="AF2300" s="32" t="str">
        <f t="shared" si="2322"/>
        <v/>
      </c>
      <c r="AG2300" s="32" t="str">
        <f t="shared" si="2322"/>
        <v/>
      </c>
      <c r="AH2300" s="33"/>
    </row>
    <row r="2301" hidden="1" outlineLevel="3">
      <c r="A2301" s="16" t="b">
        <v>0</v>
      </c>
      <c r="B2301" s="17"/>
      <c r="C2301" s="18"/>
      <c r="D2301" s="42"/>
      <c r="E2301" s="20"/>
      <c r="F2301" s="53"/>
      <c r="G2301" s="45"/>
      <c r="H2301" s="45"/>
      <c r="I2301" s="45"/>
      <c r="J2301" s="36"/>
      <c r="K2301" s="23"/>
      <c r="L2301" s="36"/>
      <c r="M2301" s="23"/>
      <c r="N2301" s="23"/>
      <c r="O2301" s="24"/>
      <c r="P2301" s="16" t="b">
        <v>0</v>
      </c>
      <c r="Q2301" s="24"/>
      <c r="R2301" s="48" t="str">
        <f t="shared" si="2103"/>
        <v/>
      </c>
      <c r="S2301" s="26"/>
      <c r="T2301" s="49" t="str">
        <f t="shared" si="2104"/>
        <v/>
      </c>
      <c r="U2301" s="24"/>
      <c r="V2301" s="66" t="s">
        <v>29</v>
      </c>
      <c r="W2301" s="29" t="str">
        <f t="shared" si="2024"/>
        <v>/</v>
      </c>
      <c r="X2301" s="37" t="s">
        <v>1447</v>
      </c>
      <c r="Y2301" s="31"/>
      <c r="Z2301" s="26" t="str">
        <f t="shared" si="5"/>
        <v/>
      </c>
      <c r="AA2301" s="26" t="str">
        <f t="shared" si="6"/>
        <v/>
      </c>
      <c r="AB2301" s="32" t="str">
        <f t="shared" si="7"/>
        <v/>
      </c>
      <c r="AC2301" s="32" t="str">
        <f t="shared" ref="AC2301:AG2301" si="2323">IF(J2301&lt;&gt;"", IF(AND($P2301=FALSE, $A2301=FALSE), -J2301, IF(AND($P2301=FALSE, $A2301=TRUE), 0, IF($P2301=TRUE, (J2301 / $R2301) * 100 * ($S2301 / 100)-J2301, ))), )</f>
        <v/>
      </c>
      <c r="AD2301" s="32" t="str">
        <f t="shared" si="2323"/>
        <v/>
      </c>
      <c r="AE2301" s="32" t="str">
        <f t="shared" si="2323"/>
        <v/>
      </c>
      <c r="AF2301" s="32" t="str">
        <f t="shared" si="2323"/>
        <v/>
      </c>
      <c r="AG2301" s="32" t="str">
        <f t="shared" si="2323"/>
        <v/>
      </c>
      <c r="AH2301" s="33"/>
    </row>
    <row r="2302" hidden="1" outlineLevel="3">
      <c r="A2302" s="16" t="b">
        <v>0</v>
      </c>
      <c r="B2302" s="17"/>
      <c r="C2302" s="18"/>
      <c r="D2302" s="42"/>
      <c r="E2302" s="20"/>
      <c r="F2302" s="53"/>
      <c r="G2302" s="45"/>
      <c r="H2302" s="45"/>
      <c r="I2302" s="45"/>
      <c r="J2302" s="36"/>
      <c r="K2302" s="23"/>
      <c r="L2302" s="36"/>
      <c r="M2302" s="23"/>
      <c r="N2302" s="23"/>
      <c r="O2302" s="24"/>
      <c r="P2302" s="16" t="b">
        <v>0</v>
      </c>
      <c r="Q2302" s="24"/>
      <c r="R2302" s="48" t="str">
        <f t="shared" si="2103"/>
        <v/>
      </c>
      <c r="S2302" s="26"/>
      <c r="T2302" s="49" t="str">
        <f t="shared" si="2104"/>
        <v/>
      </c>
      <c r="U2302" s="24"/>
      <c r="V2302" s="66">
        <v>23.0</v>
      </c>
      <c r="W2302" s="29" t="str">
        <f t="shared" si="2024"/>
        <v>/</v>
      </c>
      <c r="X2302" s="37" t="s">
        <v>1448</v>
      </c>
      <c r="Y2302" s="31"/>
      <c r="Z2302" s="26" t="str">
        <f t="shared" si="5"/>
        <v/>
      </c>
      <c r="AA2302" s="26" t="str">
        <f t="shared" si="6"/>
        <v/>
      </c>
      <c r="AB2302" s="32" t="str">
        <f t="shared" si="7"/>
        <v/>
      </c>
      <c r="AC2302" s="32" t="str">
        <f t="shared" ref="AC2302:AG2302" si="2324">IF(J2302&lt;&gt;"", IF(AND($P2302=FALSE, $A2302=FALSE), -J2302, IF(AND($P2302=FALSE, $A2302=TRUE), 0, IF($P2302=TRUE, (J2302 / $R2302) * 100 * ($S2302 / 100)-J2302, ))), )</f>
        <v/>
      </c>
      <c r="AD2302" s="32" t="str">
        <f t="shared" si="2324"/>
        <v/>
      </c>
      <c r="AE2302" s="32" t="str">
        <f t="shared" si="2324"/>
        <v/>
      </c>
      <c r="AF2302" s="32" t="str">
        <f t="shared" si="2324"/>
        <v/>
      </c>
      <c r="AG2302" s="32" t="str">
        <f t="shared" si="2324"/>
        <v/>
      </c>
      <c r="AH2302" s="33"/>
    </row>
    <row r="2303" hidden="1" outlineLevel="2">
      <c r="A2303" s="81" t="b">
        <v>0</v>
      </c>
      <c r="B2303" s="87"/>
      <c r="C2303" s="88"/>
      <c r="D2303" s="42">
        <v>45399.0</v>
      </c>
      <c r="E2303" s="43" t="s">
        <v>60</v>
      </c>
      <c r="F2303" s="53" t="s">
        <v>1433</v>
      </c>
      <c r="G2303" s="45">
        <v>1.0</v>
      </c>
      <c r="H2303" s="79"/>
      <c r="I2303" s="45">
        <v>2.0</v>
      </c>
      <c r="J2303" s="79"/>
      <c r="K2303" s="79"/>
      <c r="L2303" s="79"/>
      <c r="M2303" s="79"/>
      <c r="N2303" s="79"/>
      <c r="O2303" s="47"/>
      <c r="P2303" s="20" t="b">
        <v>0</v>
      </c>
      <c r="Q2303" s="47"/>
      <c r="R2303" s="48">
        <f t="shared" si="2103"/>
        <v>3</v>
      </c>
      <c r="S2303" s="45">
        <v>33.76</v>
      </c>
      <c r="T2303" s="49" t="str">
        <f t="shared" si="2104"/>
        <v>+1025</v>
      </c>
      <c r="U2303" s="47"/>
      <c r="V2303" s="89" t="str">
        <f>IF(ISBLANK($D2303), "0",)</f>
        <v/>
      </c>
      <c r="W2303" s="90" t="str">
        <f t="shared" si="2024"/>
        <v/>
      </c>
      <c r="X2303" s="90"/>
      <c r="Y2303" s="84"/>
      <c r="Z2303" s="26">
        <f t="shared" si="5"/>
        <v>-1</v>
      </c>
      <c r="AA2303" s="26">
        <f t="shared" si="6"/>
        <v>-2</v>
      </c>
      <c r="AB2303" s="32" t="str">
        <f t="shared" si="7"/>
        <v/>
      </c>
      <c r="AC2303" s="32" t="str">
        <f t="shared" ref="AC2303:AG2303" si="2325">IF(J2303&lt;&gt;"", IF(AND($P2303=FALSE, $A2303=FALSE), -J2303, IF(AND($P2303=FALSE, $A2303=TRUE), 0, IF($P2303=TRUE, (J2303 / $R2303) * 100 * ($S2303 / 100)-J2303, ))), )</f>
        <v/>
      </c>
      <c r="AD2303" s="32" t="str">
        <f t="shared" si="2325"/>
        <v/>
      </c>
      <c r="AE2303" s="32" t="str">
        <f t="shared" si="2325"/>
        <v/>
      </c>
      <c r="AF2303" s="32" t="str">
        <f t="shared" si="2325"/>
        <v/>
      </c>
      <c r="AG2303" s="32" t="str">
        <f t="shared" si="2325"/>
        <v/>
      </c>
      <c r="AH2303" s="91"/>
    </row>
    <row r="2304" hidden="1" outlineLevel="3">
      <c r="A2304" s="16" t="b">
        <v>0</v>
      </c>
      <c r="B2304" s="17"/>
      <c r="C2304" s="18"/>
      <c r="D2304" s="42"/>
      <c r="E2304" s="20"/>
      <c r="F2304" s="53"/>
      <c r="G2304" s="45"/>
      <c r="H2304" s="45"/>
      <c r="I2304" s="45"/>
      <c r="J2304" s="36"/>
      <c r="K2304" s="23"/>
      <c r="L2304" s="36"/>
      <c r="M2304" s="23"/>
      <c r="N2304" s="23"/>
      <c r="O2304" s="24"/>
      <c r="P2304" s="16" t="b">
        <v>0</v>
      </c>
      <c r="Q2304" s="24"/>
      <c r="R2304" s="48" t="str">
        <f t="shared" si="2103"/>
        <v/>
      </c>
      <c r="S2304" s="26"/>
      <c r="T2304" s="49" t="str">
        <f t="shared" si="2104"/>
        <v/>
      </c>
      <c r="U2304" s="24"/>
      <c r="V2304" s="66" t="s">
        <v>29</v>
      </c>
      <c r="W2304" s="29" t="str">
        <f t="shared" si="2024"/>
        <v>/</v>
      </c>
      <c r="X2304" s="37" t="s">
        <v>1449</v>
      </c>
      <c r="Y2304" s="31"/>
      <c r="Z2304" s="26" t="str">
        <f t="shared" si="5"/>
        <v/>
      </c>
      <c r="AA2304" s="26" t="str">
        <f t="shared" si="6"/>
        <v/>
      </c>
      <c r="AB2304" s="32" t="str">
        <f t="shared" si="7"/>
        <v/>
      </c>
      <c r="AC2304" s="32" t="str">
        <f t="shared" ref="AC2304:AG2304" si="2326">IF(J2304&lt;&gt;"", IF(AND($P2304=FALSE, $A2304=FALSE), -J2304, IF(AND($P2304=FALSE, $A2304=TRUE), 0, IF($P2304=TRUE, (J2304 / $R2304) * 100 * ($S2304 / 100)-J2304, ))), )</f>
        <v/>
      </c>
      <c r="AD2304" s="32" t="str">
        <f t="shared" si="2326"/>
        <v/>
      </c>
      <c r="AE2304" s="32" t="str">
        <f t="shared" si="2326"/>
        <v/>
      </c>
      <c r="AF2304" s="32" t="str">
        <f t="shared" si="2326"/>
        <v/>
      </c>
      <c r="AG2304" s="32" t="str">
        <f t="shared" si="2326"/>
        <v/>
      </c>
      <c r="AH2304" s="33"/>
    </row>
    <row r="2305" hidden="1" outlineLevel="3">
      <c r="A2305" s="16" t="b">
        <v>0</v>
      </c>
      <c r="B2305" s="17"/>
      <c r="C2305" s="18"/>
      <c r="D2305" s="42"/>
      <c r="E2305" s="20"/>
      <c r="F2305" s="53"/>
      <c r="G2305" s="45"/>
      <c r="H2305" s="45"/>
      <c r="I2305" s="45"/>
      <c r="J2305" s="36"/>
      <c r="K2305" s="23"/>
      <c r="L2305" s="36"/>
      <c r="M2305" s="23"/>
      <c r="N2305" s="23"/>
      <c r="O2305" s="24"/>
      <c r="P2305" s="16" t="b">
        <v>0</v>
      </c>
      <c r="Q2305" s="24"/>
      <c r="R2305" s="48" t="str">
        <f t="shared" si="2103"/>
        <v/>
      </c>
      <c r="S2305" s="26"/>
      <c r="T2305" s="49" t="str">
        <f t="shared" si="2104"/>
        <v/>
      </c>
      <c r="U2305" s="24"/>
      <c r="V2305" s="66" t="s">
        <v>29</v>
      </c>
      <c r="W2305" s="29" t="str">
        <f t="shared" si="2024"/>
        <v>/</v>
      </c>
      <c r="X2305" s="37" t="s">
        <v>1450</v>
      </c>
      <c r="Y2305" s="31"/>
      <c r="Z2305" s="26" t="str">
        <f t="shared" si="5"/>
        <v/>
      </c>
      <c r="AA2305" s="26" t="str">
        <f t="shared" si="6"/>
        <v/>
      </c>
      <c r="AB2305" s="32" t="str">
        <f t="shared" si="7"/>
        <v/>
      </c>
      <c r="AC2305" s="32" t="str">
        <f t="shared" ref="AC2305:AG2305" si="2327">IF(J2305&lt;&gt;"", IF(AND($P2305=FALSE, $A2305=FALSE), -J2305, IF(AND($P2305=FALSE, $A2305=TRUE), 0, IF($P2305=TRUE, (J2305 / $R2305) * 100 * ($S2305 / 100)-J2305, ))), )</f>
        <v/>
      </c>
      <c r="AD2305" s="32" t="str">
        <f t="shared" si="2327"/>
        <v/>
      </c>
      <c r="AE2305" s="32" t="str">
        <f t="shared" si="2327"/>
        <v/>
      </c>
      <c r="AF2305" s="32" t="str">
        <f t="shared" si="2327"/>
        <v/>
      </c>
      <c r="AG2305" s="32" t="str">
        <f t="shared" si="2327"/>
        <v/>
      </c>
      <c r="AH2305" s="33"/>
    </row>
    <row r="2306" hidden="1" outlineLevel="3">
      <c r="A2306" s="16" t="b">
        <v>0</v>
      </c>
      <c r="B2306" s="17"/>
      <c r="C2306" s="18"/>
      <c r="D2306" s="42"/>
      <c r="E2306" s="20"/>
      <c r="F2306" s="53"/>
      <c r="G2306" s="45"/>
      <c r="H2306" s="45"/>
      <c r="I2306" s="45"/>
      <c r="J2306" s="36"/>
      <c r="K2306" s="23"/>
      <c r="L2306" s="36"/>
      <c r="M2306" s="23"/>
      <c r="N2306" s="23"/>
      <c r="O2306" s="24"/>
      <c r="P2306" s="16" t="b">
        <v>0</v>
      </c>
      <c r="Q2306" s="24"/>
      <c r="R2306" s="48" t="str">
        <f t="shared" si="2103"/>
        <v/>
      </c>
      <c r="S2306" s="26"/>
      <c r="T2306" s="49" t="str">
        <f t="shared" si="2104"/>
        <v/>
      </c>
      <c r="U2306" s="24"/>
      <c r="V2306" s="66">
        <v>10.0</v>
      </c>
      <c r="W2306" s="29" t="str">
        <f t="shared" si="2024"/>
        <v>/</v>
      </c>
      <c r="X2306" s="37" t="s">
        <v>1451</v>
      </c>
      <c r="Y2306" s="31"/>
      <c r="Z2306" s="26" t="str">
        <f t="shared" si="5"/>
        <v/>
      </c>
      <c r="AA2306" s="26" t="str">
        <f t="shared" si="6"/>
        <v/>
      </c>
      <c r="AB2306" s="32" t="str">
        <f t="shared" si="7"/>
        <v/>
      </c>
      <c r="AC2306" s="32" t="str">
        <f t="shared" ref="AC2306:AG2306" si="2328">IF(J2306&lt;&gt;"", IF(AND($P2306=FALSE, $A2306=FALSE), -J2306, IF(AND($P2306=FALSE, $A2306=TRUE), 0, IF($P2306=TRUE, (J2306 / $R2306) * 100 * ($S2306 / 100)-J2306, ))), )</f>
        <v/>
      </c>
      <c r="AD2306" s="32" t="str">
        <f t="shared" si="2328"/>
        <v/>
      </c>
      <c r="AE2306" s="32" t="str">
        <f t="shared" si="2328"/>
        <v/>
      </c>
      <c r="AF2306" s="32" t="str">
        <f t="shared" si="2328"/>
        <v/>
      </c>
      <c r="AG2306" s="32" t="str">
        <f t="shared" si="2328"/>
        <v/>
      </c>
      <c r="AH2306" s="33"/>
    </row>
    <row r="2307" hidden="1" outlineLevel="3">
      <c r="A2307" s="16" t="b">
        <v>0</v>
      </c>
      <c r="B2307" s="17"/>
      <c r="C2307" s="18"/>
      <c r="D2307" s="42"/>
      <c r="E2307" s="20"/>
      <c r="F2307" s="53"/>
      <c r="G2307" s="45"/>
      <c r="H2307" s="45"/>
      <c r="I2307" s="45"/>
      <c r="J2307" s="36"/>
      <c r="K2307" s="23"/>
      <c r="L2307" s="36"/>
      <c r="M2307" s="23"/>
      <c r="N2307" s="23"/>
      <c r="O2307" s="24"/>
      <c r="P2307" s="16" t="b">
        <v>0</v>
      </c>
      <c r="Q2307" s="24"/>
      <c r="R2307" s="48" t="str">
        <f t="shared" si="2103"/>
        <v/>
      </c>
      <c r="S2307" s="26"/>
      <c r="T2307" s="49" t="str">
        <f t="shared" si="2104"/>
        <v/>
      </c>
      <c r="U2307" s="24"/>
      <c r="V2307" s="66" t="s">
        <v>29</v>
      </c>
      <c r="W2307" s="29" t="str">
        <f t="shared" si="2024"/>
        <v>/</v>
      </c>
      <c r="X2307" s="37" t="s">
        <v>1452</v>
      </c>
      <c r="Y2307" s="31"/>
      <c r="Z2307" s="26" t="str">
        <f t="shared" si="5"/>
        <v/>
      </c>
      <c r="AA2307" s="26" t="str">
        <f t="shared" si="6"/>
        <v/>
      </c>
      <c r="AB2307" s="32" t="str">
        <f t="shared" si="7"/>
        <v/>
      </c>
      <c r="AC2307" s="32" t="str">
        <f t="shared" ref="AC2307:AG2307" si="2329">IF(J2307&lt;&gt;"", IF(AND($P2307=FALSE, $A2307=FALSE), -J2307, IF(AND($P2307=FALSE, $A2307=TRUE), 0, IF($P2307=TRUE, (J2307 / $R2307) * 100 * ($S2307 / 100)-J2307, ))), )</f>
        <v/>
      </c>
      <c r="AD2307" s="32" t="str">
        <f t="shared" si="2329"/>
        <v/>
      </c>
      <c r="AE2307" s="32" t="str">
        <f t="shared" si="2329"/>
        <v/>
      </c>
      <c r="AF2307" s="32" t="str">
        <f t="shared" si="2329"/>
        <v/>
      </c>
      <c r="AG2307" s="32" t="str">
        <f t="shared" si="2329"/>
        <v/>
      </c>
      <c r="AH2307" s="33"/>
    </row>
    <row r="2308" hidden="1" outlineLevel="3">
      <c r="A2308" s="16" t="b">
        <v>0</v>
      </c>
      <c r="B2308" s="17"/>
      <c r="C2308" s="18"/>
      <c r="D2308" s="42"/>
      <c r="E2308" s="20"/>
      <c r="F2308" s="53"/>
      <c r="G2308" s="45"/>
      <c r="H2308" s="45"/>
      <c r="I2308" s="45"/>
      <c r="J2308" s="36"/>
      <c r="K2308" s="23"/>
      <c r="L2308" s="36"/>
      <c r="M2308" s="23"/>
      <c r="N2308" s="23"/>
      <c r="O2308" s="24"/>
      <c r="P2308" s="16" t="b">
        <v>0</v>
      </c>
      <c r="Q2308" s="24"/>
      <c r="R2308" s="48" t="str">
        <f t="shared" si="2103"/>
        <v/>
      </c>
      <c r="S2308" s="26"/>
      <c r="T2308" s="49" t="str">
        <f t="shared" si="2104"/>
        <v/>
      </c>
      <c r="U2308" s="24"/>
      <c r="V2308" s="66">
        <v>2.0</v>
      </c>
      <c r="W2308" s="29" t="str">
        <f t="shared" si="2024"/>
        <v>/</v>
      </c>
      <c r="X2308" s="37" t="s">
        <v>1453</v>
      </c>
      <c r="Y2308" s="31"/>
      <c r="Z2308" s="26" t="str">
        <f t="shared" si="5"/>
        <v/>
      </c>
      <c r="AA2308" s="26" t="str">
        <f t="shared" si="6"/>
        <v/>
      </c>
      <c r="AB2308" s="32" t="str">
        <f t="shared" si="7"/>
        <v/>
      </c>
      <c r="AC2308" s="32" t="str">
        <f t="shared" ref="AC2308:AG2308" si="2330">IF(J2308&lt;&gt;"", IF(AND($P2308=FALSE, $A2308=FALSE), -J2308, IF(AND($P2308=FALSE, $A2308=TRUE), 0, IF($P2308=TRUE, (J2308 / $R2308) * 100 * ($S2308 / 100)-J2308, ))), )</f>
        <v/>
      </c>
      <c r="AD2308" s="32" t="str">
        <f t="shared" si="2330"/>
        <v/>
      </c>
      <c r="AE2308" s="32" t="str">
        <f t="shared" si="2330"/>
        <v/>
      </c>
      <c r="AF2308" s="32" t="str">
        <f t="shared" si="2330"/>
        <v/>
      </c>
      <c r="AG2308" s="32" t="str">
        <f t="shared" si="2330"/>
        <v/>
      </c>
      <c r="AH2308" s="33"/>
    </row>
    <row r="2309" hidden="1" outlineLevel="3">
      <c r="A2309" s="16" t="b">
        <v>0</v>
      </c>
      <c r="B2309" s="17"/>
      <c r="C2309" s="18"/>
      <c r="D2309" s="42"/>
      <c r="E2309" s="20"/>
      <c r="F2309" s="53"/>
      <c r="G2309" s="45"/>
      <c r="H2309" s="45"/>
      <c r="I2309" s="45"/>
      <c r="J2309" s="36"/>
      <c r="K2309" s="23"/>
      <c r="L2309" s="36"/>
      <c r="M2309" s="23"/>
      <c r="N2309" s="23"/>
      <c r="O2309" s="24"/>
      <c r="P2309" s="16" t="b">
        <v>0</v>
      </c>
      <c r="Q2309" s="24"/>
      <c r="R2309" s="48" t="str">
        <f t="shared" si="2103"/>
        <v/>
      </c>
      <c r="S2309" s="26"/>
      <c r="T2309" s="49" t="str">
        <f t="shared" si="2104"/>
        <v/>
      </c>
      <c r="U2309" s="24"/>
      <c r="V2309" s="66">
        <v>2.0</v>
      </c>
      <c r="W2309" s="29" t="str">
        <f t="shared" si="2024"/>
        <v>/</v>
      </c>
      <c r="X2309" s="37" t="s">
        <v>1454</v>
      </c>
      <c r="Y2309" s="31"/>
      <c r="Z2309" s="26" t="str">
        <f t="shared" si="5"/>
        <v/>
      </c>
      <c r="AA2309" s="26" t="str">
        <f t="shared" si="6"/>
        <v/>
      </c>
      <c r="AB2309" s="32" t="str">
        <f t="shared" si="7"/>
        <v/>
      </c>
      <c r="AC2309" s="32" t="str">
        <f t="shared" ref="AC2309:AG2309" si="2331">IF(J2309&lt;&gt;"", IF(AND($P2309=FALSE, $A2309=FALSE), -J2309, IF(AND($P2309=FALSE, $A2309=TRUE), 0, IF($P2309=TRUE, (J2309 / $R2309) * 100 * ($S2309 / 100)-J2309, ))), )</f>
        <v/>
      </c>
      <c r="AD2309" s="32" t="str">
        <f t="shared" si="2331"/>
        <v/>
      </c>
      <c r="AE2309" s="32" t="str">
        <f t="shared" si="2331"/>
        <v/>
      </c>
      <c r="AF2309" s="32" t="str">
        <f t="shared" si="2331"/>
        <v/>
      </c>
      <c r="AG2309" s="32" t="str">
        <f t="shared" si="2331"/>
        <v/>
      </c>
      <c r="AH2309" s="33"/>
    </row>
    <row r="2310" hidden="1" outlineLevel="1" collapsed="1">
      <c r="A2310" s="81" t="b">
        <v>0</v>
      </c>
      <c r="B2310" s="87"/>
      <c r="C2310" s="88"/>
      <c r="D2310" s="42">
        <v>45401.0</v>
      </c>
      <c r="E2310" s="43" t="s">
        <v>60</v>
      </c>
      <c r="F2310" s="53" t="s">
        <v>1433</v>
      </c>
      <c r="G2310" s="45">
        <v>1.0</v>
      </c>
      <c r="H2310" s="79"/>
      <c r="I2310" s="45">
        <v>1.0</v>
      </c>
      <c r="J2310" s="79"/>
      <c r="K2310" s="79"/>
      <c r="L2310" s="79"/>
      <c r="M2310" s="79"/>
      <c r="N2310" s="79"/>
      <c r="O2310" s="47"/>
      <c r="P2310" s="20" t="b">
        <v>0</v>
      </c>
      <c r="Q2310" s="47"/>
      <c r="R2310" s="48">
        <f t="shared" si="2103"/>
        <v>2</v>
      </c>
      <c r="S2310" s="45">
        <v>8.24</v>
      </c>
      <c r="T2310" s="49" t="str">
        <f t="shared" si="2104"/>
        <v>+312</v>
      </c>
      <c r="U2310" s="47"/>
      <c r="V2310" s="89" t="str">
        <f>IF(ISBLANK($D2310), "0",)</f>
        <v/>
      </c>
      <c r="W2310" s="90" t="str">
        <f t="shared" si="2024"/>
        <v/>
      </c>
      <c r="X2310" s="90"/>
      <c r="Y2310" s="84"/>
      <c r="Z2310" s="26">
        <f t="shared" si="5"/>
        <v>-1</v>
      </c>
      <c r="AA2310" s="26">
        <f t="shared" si="6"/>
        <v>-1</v>
      </c>
      <c r="AB2310" s="32" t="str">
        <f t="shared" si="7"/>
        <v/>
      </c>
      <c r="AC2310" s="32" t="str">
        <f t="shared" ref="AC2310:AG2310" si="2332">IF(J2310&lt;&gt;"", IF(AND($P2310=FALSE, $A2310=FALSE), -J2310, IF(AND($P2310=FALSE, $A2310=TRUE), 0, IF($P2310=TRUE, (J2310 / $R2310) * 100 * ($S2310 / 100)-J2310, ))), )</f>
        <v/>
      </c>
      <c r="AD2310" s="32" t="str">
        <f t="shared" si="2332"/>
        <v/>
      </c>
      <c r="AE2310" s="32" t="str">
        <f t="shared" si="2332"/>
        <v/>
      </c>
      <c r="AF2310" s="32" t="str">
        <f t="shared" si="2332"/>
        <v/>
      </c>
      <c r="AG2310" s="32" t="str">
        <f t="shared" si="2332"/>
        <v/>
      </c>
      <c r="AH2310" s="91"/>
    </row>
    <row r="2311" hidden="1" outlineLevel="3">
      <c r="A2311" s="16" t="b">
        <v>0</v>
      </c>
      <c r="B2311" s="17"/>
      <c r="C2311" s="18"/>
      <c r="D2311" s="42"/>
      <c r="E2311" s="20"/>
      <c r="F2311" s="53"/>
      <c r="G2311" s="45"/>
      <c r="H2311" s="45"/>
      <c r="I2311" s="45"/>
      <c r="J2311" s="36"/>
      <c r="K2311" s="23"/>
      <c r="L2311" s="36"/>
      <c r="M2311" s="23"/>
      <c r="N2311" s="23"/>
      <c r="O2311" s="24"/>
      <c r="P2311" s="16" t="b">
        <v>0</v>
      </c>
      <c r="Q2311" s="24"/>
      <c r="R2311" s="48" t="str">
        <f t="shared" si="2103"/>
        <v/>
      </c>
      <c r="S2311" s="26"/>
      <c r="T2311" s="49" t="str">
        <f t="shared" si="2104"/>
        <v/>
      </c>
      <c r="U2311" s="24"/>
      <c r="V2311" s="86" t="s">
        <v>1455</v>
      </c>
      <c r="W2311" s="29" t="str">
        <f t="shared" si="2024"/>
        <v>/</v>
      </c>
      <c r="X2311" s="37" t="s">
        <v>255</v>
      </c>
      <c r="Y2311" s="31"/>
      <c r="Z2311" s="26" t="str">
        <f t="shared" si="5"/>
        <v/>
      </c>
      <c r="AA2311" s="26" t="str">
        <f t="shared" si="6"/>
        <v/>
      </c>
      <c r="AB2311" s="32" t="str">
        <f t="shared" si="7"/>
        <v/>
      </c>
      <c r="AC2311" s="32" t="str">
        <f t="shared" ref="AC2311:AG2311" si="2333">IF(J2311&lt;&gt;"", IF(AND($P2311=FALSE, $A2311=FALSE), -J2311, IF(AND($P2311=FALSE, $A2311=TRUE), 0, IF($P2311=TRUE, (J2311 / $R2311) * 100 * ($S2311 / 100)-J2311, ))), )</f>
        <v/>
      </c>
      <c r="AD2311" s="32" t="str">
        <f t="shared" si="2333"/>
        <v/>
      </c>
      <c r="AE2311" s="32" t="str">
        <f t="shared" si="2333"/>
        <v/>
      </c>
      <c r="AF2311" s="32" t="str">
        <f t="shared" si="2333"/>
        <v/>
      </c>
      <c r="AG2311" s="32" t="str">
        <f t="shared" si="2333"/>
        <v/>
      </c>
      <c r="AH2311" s="33"/>
    </row>
    <row r="2312" hidden="1" outlineLevel="3">
      <c r="A2312" s="16" t="b">
        <v>0</v>
      </c>
      <c r="B2312" s="17"/>
      <c r="C2312" s="18"/>
      <c r="D2312" s="42"/>
      <c r="E2312" s="20"/>
      <c r="F2312" s="53"/>
      <c r="G2312" s="45"/>
      <c r="H2312" s="45"/>
      <c r="I2312" s="45"/>
      <c r="J2312" s="36"/>
      <c r="K2312" s="23"/>
      <c r="L2312" s="36"/>
      <c r="M2312" s="23"/>
      <c r="N2312" s="23"/>
      <c r="O2312" s="24"/>
      <c r="P2312" s="16" t="b">
        <v>0</v>
      </c>
      <c r="Q2312" s="24"/>
      <c r="R2312" s="48" t="str">
        <f t="shared" si="2103"/>
        <v/>
      </c>
      <c r="S2312" s="26"/>
      <c r="T2312" s="49" t="str">
        <f t="shared" si="2104"/>
        <v/>
      </c>
      <c r="U2312" s="24"/>
      <c r="V2312" s="86" t="s">
        <v>1456</v>
      </c>
      <c r="W2312" s="29" t="str">
        <f t="shared" si="2024"/>
        <v>/</v>
      </c>
      <c r="X2312" s="37" t="s">
        <v>1169</v>
      </c>
      <c r="Y2312" s="31"/>
      <c r="Z2312" s="26" t="str">
        <f t="shared" si="5"/>
        <v/>
      </c>
      <c r="AA2312" s="26" t="str">
        <f t="shared" si="6"/>
        <v/>
      </c>
      <c r="AB2312" s="32" t="str">
        <f t="shared" si="7"/>
        <v/>
      </c>
      <c r="AC2312" s="32" t="str">
        <f t="shared" ref="AC2312:AG2312" si="2334">IF(J2312&lt;&gt;"", IF(AND($P2312=FALSE, $A2312=FALSE), -J2312, IF(AND($P2312=FALSE, $A2312=TRUE), 0, IF($P2312=TRUE, (J2312 / $R2312) * 100 * ($S2312 / 100)-J2312, ))), )</f>
        <v/>
      </c>
      <c r="AD2312" s="32" t="str">
        <f t="shared" si="2334"/>
        <v/>
      </c>
      <c r="AE2312" s="32" t="str">
        <f t="shared" si="2334"/>
        <v/>
      </c>
      <c r="AF2312" s="32" t="str">
        <f t="shared" si="2334"/>
        <v/>
      </c>
      <c r="AG2312" s="32" t="str">
        <f t="shared" si="2334"/>
        <v/>
      </c>
      <c r="AH2312" s="33"/>
    </row>
    <row r="2313" hidden="1" outlineLevel="2" collapsed="1">
      <c r="A2313" s="81" t="b">
        <v>0</v>
      </c>
      <c r="B2313" s="87"/>
      <c r="C2313" s="88"/>
      <c r="D2313" s="42">
        <v>45401.0</v>
      </c>
      <c r="E2313" s="43" t="s">
        <v>60</v>
      </c>
      <c r="F2313" s="53" t="s">
        <v>1433</v>
      </c>
      <c r="G2313" s="45">
        <v>2.0</v>
      </c>
      <c r="H2313" s="79"/>
      <c r="I2313" s="45">
        <v>3.0</v>
      </c>
      <c r="J2313" s="79"/>
      <c r="K2313" s="79"/>
      <c r="L2313" s="79"/>
      <c r="M2313" s="79"/>
      <c r="N2313" s="79"/>
      <c r="O2313" s="47"/>
      <c r="P2313" s="20" t="b">
        <v>0</v>
      </c>
      <c r="Q2313" s="47"/>
      <c r="R2313" s="48">
        <f t="shared" si="2103"/>
        <v>5</v>
      </c>
      <c r="S2313" s="45">
        <v>15.69</v>
      </c>
      <c r="T2313" s="49" t="str">
        <f t="shared" si="2104"/>
        <v>+214</v>
      </c>
      <c r="U2313" s="47"/>
      <c r="V2313" s="89" t="str">
        <f>IF(ISBLANK($D2313), "0",)</f>
        <v/>
      </c>
      <c r="W2313" s="90" t="str">
        <f t="shared" si="2024"/>
        <v/>
      </c>
      <c r="X2313" s="90"/>
      <c r="Y2313" s="84"/>
      <c r="Z2313" s="26">
        <f t="shared" si="5"/>
        <v>-2</v>
      </c>
      <c r="AA2313" s="26">
        <f t="shared" si="6"/>
        <v>-3</v>
      </c>
      <c r="AB2313" s="32" t="str">
        <f t="shared" si="7"/>
        <v/>
      </c>
      <c r="AC2313" s="32" t="str">
        <f t="shared" ref="AC2313:AG2313" si="2335">IF(J2313&lt;&gt;"", IF(AND($P2313=FALSE, $A2313=FALSE), -J2313, IF(AND($P2313=FALSE, $A2313=TRUE), 0, IF($P2313=TRUE, (J2313 / $R2313) * 100 * ($S2313 / 100)-J2313, ))), )</f>
        <v/>
      </c>
      <c r="AD2313" s="32" t="str">
        <f t="shared" si="2335"/>
        <v/>
      </c>
      <c r="AE2313" s="32" t="str">
        <f t="shared" si="2335"/>
        <v/>
      </c>
      <c r="AF2313" s="32" t="str">
        <f t="shared" si="2335"/>
        <v/>
      </c>
      <c r="AG2313" s="32" t="str">
        <f t="shared" si="2335"/>
        <v/>
      </c>
      <c r="AH2313" s="91"/>
    </row>
    <row r="2314" hidden="1" outlineLevel="3">
      <c r="A2314" s="16" t="b">
        <v>0</v>
      </c>
      <c r="B2314" s="17"/>
      <c r="C2314" s="18"/>
      <c r="D2314" s="42"/>
      <c r="E2314" s="20"/>
      <c r="F2314" s="53"/>
      <c r="G2314" s="45"/>
      <c r="H2314" s="45"/>
      <c r="I2314" s="45"/>
      <c r="J2314" s="36"/>
      <c r="K2314" s="23"/>
      <c r="L2314" s="36"/>
      <c r="M2314" s="23"/>
      <c r="N2314" s="23"/>
      <c r="O2314" s="24"/>
      <c r="P2314" s="16" t="b">
        <v>0</v>
      </c>
      <c r="Q2314" s="24"/>
      <c r="R2314" s="48" t="str">
        <f t="shared" si="2103"/>
        <v/>
      </c>
      <c r="S2314" s="26"/>
      <c r="T2314" s="49" t="str">
        <f t="shared" si="2104"/>
        <v/>
      </c>
      <c r="U2314" s="24"/>
      <c r="V2314" s="66" t="s">
        <v>29</v>
      </c>
      <c r="W2314" s="29" t="str">
        <f t="shared" si="2024"/>
        <v>/</v>
      </c>
      <c r="X2314" s="37" t="s">
        <v>1457</v>
      </c>
      <c r="Y2314" s="31"/>
      <c r="Z2314" s="26" t="str">
        <f t="shared" si="5"/>
        <v/>
      </c>
      <c r="AA2314" s="26" t="str">
        <f t="shared" si="6"/>
        <v/>
      </c>
      <c r="AB2314" s="32" t="str">
        <f t="shared" si="7"/>
        <v/>
      </c>
      <c r="AC2314" s="32" t="str">
        <f t="shared" ref="AC2314:AG2314" si="2336">IF(J2314&lt;&gt;"", IF(AND($P2314=FALSE, $A2314=FALSE), -J2314, IF(AND($P2314=FALSE, $A2314=TRUE), 0, IF($P2314=TRUE, (J2314 / $R2314) * 100 * ($S2314 / 100)-J2314, ))), )</f>
        <v/>
      </c>
      <c r="AD2314" s="32" t="str">
        <f t="shared" si="2336"/>
        <v/>
      </c>
      <c r="AE2314" s="32" t="str">
        <f t="shared" si="2336"/>
        <v/>
      </c>
      <c r="AF2314" s="32" t="str">
        <f t="shared" si="2336"/>
        <v/>
      </c>
      <c r="AG2314" s="32" t="str">
        <f t="shared" si="2336"/>
        <v/>
      </c>
      <c r="AH2314" s="33"/>
    </row>
    <row r="2315" hidden="1" outlineLevel="3">
      <c r="A2315" s="16" t="b">
        <v>0</v>
      </c>
      <c r="B2315" s="17"/>
      <c r="C2315" s="18"/>
      <c r="D2315" s="42"/>
      <c r="E2315" s="20"/>
      <c r="F2315" s="53"/>
      <c r="G2315" s="45"/>
      <c r="H2315" s="45"/>
      <c r="I2315" s="45"/>
      <c r="J2315" s="36"/>
      <c r="K2315" s="23"/>
      <c r="L2315" s="36"/>
      <c r="M2315" s="23"/>
      <c r="N2315" s="23"/>
      <c r="O2315" s="24"/>
      <c r="P2315" s="16" t="b">
        <v>0</v>
      </c>
      <c r="Q2315" s="24"/>
      <c r="R2315" s="48" t="str">
        <f t="shared" si="2103"/>
        <v/>
      </c>
      <c r="S2315" s="26"/>
      <c r="T2315" s="49" t="str">
        <f t="shared" si="2104"/>
        <v/>
      </c>
      <c r="U2315" s="24"/>
      <c r="V2315" s="66">
        <v>13.0</v>
      </c>
      <c r="W2315" s="29" t="str">
        <f t="shared" si="2024"/>
        <v>/</v>
      </c>
      <c r="X2315" s="37" t="s">
        <v>942</v>
      </c>
      <c r="Y2315" s="31"/>
      <c r="Z2315" s="26" t="str">
        <f t="shared" si="5"/>
        <v/>
      </c>
      <c r="AA2315" s="26" t="str">
        <f t="shared" si="6"/>
        <v/>
      </c>
      <c r="AB2315" s="32" t="str">
        <f t="shared" si="7"/>
        <v/>
      </c>
      <c r="AC2315" s="32" t="str">
        <f t="shared" ref="AC2315:AG2315" si="2337">IF(J2315&lt;&gt;"", IF(AND($P2315=FALSE, $A2315=FALSE), -J2315, IF(AND($P2315=FALSE, $A2315=TRUE), 0, IF($P2315=TRUE, (J2315 / $R2315) * 100 * ($S2315 / 100)-J2315, ))), )</f>
        <v/>
      </c>
      <c r="AD2315" s="32" t="str">
        <f t="shared" si="2337"/>
        <v/>
      </c>
      <c r="AE2315" s="32" t="str">
        <f t="shared" si="2337"/>
        <v/>
      </c>
      <c r="AF2315" s="32" t="str">
        <f t="shared" si="2337"/>
        <v/>
      </c>
      <c r="AG2315" s="32" t="str">
        <f t="shared" si="2337"/>
        <v/>
      </c>
      <c r="AH2315" s="33"/>
    </row>
    <row r="2316" hidden="1" outlineLevel="3">
      <c r="A2316" s="16" t="b">
        <v>0</v>
      </c>
      <c r="B2316" s="17"/>
      <c r="C2316" s="18"/>
      <c r="D2316" s="42"/>
      <c r="E2316" s="20"/>
      <c r="F2316" s="53"/>
      <c r="G2316" s="45"/>
      <c r="H2316" s="45"/>
      <c r="I2316" s="45"/>
      <c r="J2316" s="36"/>
      <c r="K2316" s="23"/>
      <c r="L2316" s="36"/>
      <c r="M2316" s="23"/>
      <c r="N2316" s="23"/>
      <c r="O2316" s="24"/>
      <c r="P2316" s="16" t="b">
        <v>0</v>
      </c>
      <c r="Q2316" s="24"/>
      <c r="R2316" s="48" t="str">
        <f t="shared" si="2103"/>
        <v/>
      </c>
      <c r="S2316" s="26"/>
      <c r="T2316" s="49" t="str">
        <f t="shared" si="2104"/>
        <v/>
      </c>
      <c r="U2316" s="24"/>
      <c r="V2316" s="66" t="s">
        <v>29</v>
      </c>
      <c r="W2316" s="29" t="str">
        <f t="shared" si="2024"/>
        <v>/</v>
      </c>
      <c r="X2316" s="37" t="s">
        <v>940</v>
      </c>
      <c r="Y2316" s="31"/>
      <c r="Z2316" s="26" t="str">
        <f t="shared" si="5"/>
        <v/>
      </c>
      <c r="AA2316" s="26" t="str">
        <f t="shared" si="6"/>
        <v/>
      </c>
      <c r="AB2316" s="32" t="str">
        <f t="shared" si="7"/>
        <v/>
      </c>
      <c r="AC2316" s="32" t="str">
        <f t="shared" ref="AC2316:AG2316" si="2338">IF(J2316&lt;&gt;"", IF(AND($P2316=FALSE, $A2316=FALSE), -J2316, IF(AND($P2316=FALSE, $A2316=TRUE), 0, IF($P2316=TRUE, (J2316 / $R2316) * 100 * ($S2316 / 100)-J2316, ))), )</f>
        <v/>
      </c>
      <c r="AD2316" s="32" t="str">
        <f t="shared" si="2338"/>
        <v/>
      </c>
      <c r="AE2316" s="32" t="str">
        <f t="shared" si="2338"/>
        <v/>
      </c>
      <c r="AF2316" s="32" t="str">
        <f t="shared" si="2338"/>
        <v/>
      </c>
      <c r="AG2316" s="32" t="str">
        <f t="shared" si="2338"/>
        <v/>
      </c>
      <c r="AH2316" s="33"/>
    </row>
    <row r="2317" hidden="1" outlineLevel="3">
      <c r="A2317" s="16" t="b">
        <v>0</v>
      </c>
      <c r="B2317" s="17"/>
      <c r="C2317" s="18"/>
      <c r="D2317" s="42"/>
      <c r="E2317" s="20"/>
      <c r="F2317" s="53"/>
      <c r="G2317" s="45"/>
      <c r="H2317" s="45"/>
      <c r="I2317" s="45"/>
      <c r="J2317" s="36"/>
      <c r="K2317" s="23"/>
      <c r="L2317" s="36"/>
      <c r="M2317" s="23"/>
      <c r="N2317" s="23"/>
      <c r="O2317" s="24"/>
      <c r="P2317" s="16" t="b">
        <v>0</v>
      </c>
      <c r="Q2317" s="24"/>
      <c r="R2317" s="48" t="str">
        <f t="shared" si="2103"/>
        <v/>
      </c>
      <c r="S2317" s="26"/>
      <c r="T2317" s="49" t="str">
        <f t="shared" si="2104"/>
        <v/>
      </c>
      <c r="U2317" s="24"/>
      <c r="V2317" s="66" t="s">
        <v>29</v>
      </c>
      <c r="W2317" s="29" t="str">
        <f t="shared" si="2024"/>
        <v>/</v>
      </c>
      <c r="X2317" s="37" t="s">
        <v>1458</v>
      </c>
      <c r="Y2317" s="31"/>
      <c r="Z2317" s="26" t="str">
        <f t="shared" si="5"/>
        <v/>
      </c>
      <c r="AA2317" s="26" t="str">
        <f t="shared" si="6"/>
        <v/>
      </c>
      <c r="AB2317" s="32" t="str">
        <f t="shared" si="7"/>
        <v/>
      </c>
      <c r="AC2317" s="32" t="str">
        <f t="shared" ref="AC2317:AG2317" si="2339">IF(J2317&lt;&gt;"", IF(AND($P2317=FALSE, $A2317=FALSE), -J2317, IF(AND($P2317=FALSE, $A2317=TRUE), 0, IF($P2317=TRUE, (J2317 / $R2317) * 100 * ($S2317 / 100)-J2317, ))), )</f>
        <v/>
      </c>
      <c r="AD2317" s="32" t="str">
        <f t="shared" si="2339"/>
        <v/>
      </c>
      <c r="AE2317" s="32" t="str">
        <f t="shared" si="2339"/>
        <v/>
      </c>
      <c r="AF2317" s="32" t="str">
        <f t="shared" si="2339"/>
        <v/>
      </c>
      <c r="AG2317" s="32" t="str">
        <f t="shared" si="2339"/>
        <v/>
      </c>
      <c r="AH2317" s="33"/>
    </row>
    <row r="2318" hidden="1" outlineLevel="2">
      <c r="A2318" s="81" t="b">
        <v>0</v>
      </c>
      <c r="B2318" s="87"/>
      <c r="C2318" s="88"/>
      <c r="D2318" s="42">
        <v>45401.0</v>
      </c>
      <c r="E2318" s="43" t="s">
        <v>60</v>
      </c>
      <c r="F2318" s="53" t="s">
        <v>1433</v>
      </c>
      <c r="G2318" s="45">
        <v>1.5</v>
      </c>
      <c r="H2318" s="79"/>
      <c r="I2318" s="45">
        <v>2.0</v>
      </c>
      <c r="J2318" s="79"/>
      <c r="K2318" s="79"/>
      <c r="L2318" s="79"/>
      <c r="M2318" s="79"/>
      <c r="N2318" s="79"/>
      <c r="O2318" s="47"/>
      <c r="P2318" s="20" t="b">
        <v>0</v>
      </c>
      <c r="Q2318" s="47"/>
      <c r="R2318" s="48">
        <f t="shared" si="2103"/>
        <v>3.5</v>
      </c>
      <c r="S2318" s="45">
        <v>59.21</v>
      </c>
      <c r="T2318" s="49" t="str">
        <f t="shared" si="2104"/>
        <v>+1592</v>
      </c>
      <c r="U2318" s="47"/>
      <c r="V2318" s="89" t="str">
        <f>IF(ISBLANK($D2318), "0",)</f>
        <v/>
      </c>
      <c r="W2318" s="90" t="str">
        <f t="shared" si="2024"/>
        <v/>
      </c>
      <c r="X2318" s="90"/>
      <c r="Y2318" s="84"/>
      <c r="Z2318" s="26">
        <f t="shared" si="5"/>
        <v>-1.5</v>
      </c>
      <c r="AA2318" s="26">
        <f t="shared" si="6"/>
        <v>-2</v>
      </c>
      <c r="AB2318" s="32" t="str">
        <f t="shared" si="7"/>
        <v/>
      </c>
      <c r="AC2318" s="32" t="str">
        <f t="shared" ref="AC2318:AG2318" si="2340">IF(J2318&lt;&gt;"", IF(AND($P2318=FALSE, $A2318=FALSE), -J2318, IF(AND($P2318=FALSE, $A2318=TRUE), 0, IF($P2318=TRUE, (J2318 / $R2318) * 100 * ($S2318 / 100)-J2318, ))), )</f>
        <v/>
      </c>
      <c r="AD2318" s="32" t="str">
        <f t="shared" si="2340"/>
        <v/>
      </c>
      <c r="AE2318" s="32" t="str">
        <f t="shared" si="2340"/>
        <v/>
      </c>
      <c r="AF2318" s="32" t="str">
        <f t="shared" si="2340"/>
        <v/>
      </c>
      <c r="AG2318" s="32" t="str">
        <f t="shared" si="2340"/>
        <v/>
      </c>
      <c r="AH2318" s="91"/>
    </row>
    <row r="2319" hidden="1" outlineLevel="3">
      <c r="A2319" s="16" t="b">
        <v>0</v>
      </c>
      <c r="B2319" s="17"/>
      <c r="C2319" s="18"/>
      <c r="D2319" s="42"/>
      <c r="E2319" s="20"/>
      <c r="F2319" s="53"/>
      <c r="G2319" s="45"/>
      <c r="H2319" s="45"/>
      <c r="I2319" s="45"/>
      <c r="J2319" s="36"/>
      <c r="K2319" s="23"/>
      <c r="L2319" s="36"/>
      <c r="M2319" s="23"/>
      <c r="N2319" s="23"/>
      <c r="O2319" s="24"/>
      <c r="P2319" s="16" t="b">
        <v>0</v>
      </c>
      <c r="Q2319" s="24"/>
      <c r="R2319" s="48" t="str">
        <f t="shared" si="2103"/>
        <v/>
      </c>
      <c r="S2319" s="26"/>
      <c r="T2319" s="49" t="str">
        <f t="shared" si="2104"/>
        <v/>
      </c>
      <c r="U2319" s="24"/>
      <c r="V2319" s="66" t="s">
        <v>29</v>
      </c>
      <c r="W2319" s="29" t="str">
        <f t="shared" si="2024"/>
        <v>/</v>
      </c>
      <c r="X2319" s="37" t="s">
        <v>1459</v>
      </c>
      <c r="Y2319" s="31"/>
      <c r="Z2319" s="26" t="str">
        <f t="shared" si="5"/>
        <v/>
      </c>
      <c r="AA2319" s="26" t="str">
        <f t="shared" si="6"/>
        <v/>
      </c>
      <c r="AB2319" s="32" t="str">
        <f t="shared" si="7"/>
        <v/>
      </c>
      <c r="AC2319" s="32" t="str">
        <f t="shared" ref="AC2319:AG2319" si="2341">IF(J2319&lt;&gt;"", IF(AND($P2319=FALSE, $A2319=FALSE), -J2319, IF(AND($P2319=FALSE, $A2319=TRUE), 0, IF($P2319=TRUE, (J2319 / $R2319) * 100 * ($S2319 / 100)-J2319, ))), )</f>
        <v/>
      </c>
      <c r="AD2319" s="32" t="str">
        <f t="shared" si="2341"/>
        <v/>
      </c>
      <c r="AE2319" s="32" t="str">
        <f t="shared" si="2341"/>
        <v/>
      </c>
      <c r="AF2319" s="32" t="str">
        <f t="shared" si="2341"/>
        <v/>
      </c>
      <c r="AG2319" s="32" t="str">
        <f t="shared" si="2341"/>
        <v/>
      </c>
      <c r="AH2319" s="33"/>
    </row>
    <row r="2320" hidden="1" outlineLevel="3">
      <c r="A2320" s="16" t="b">
        <v>0</v>
      </c>
      <c r="B2320" s="17"/>
      <c r="C2320" s="18"/>
      <c r="D2320" s="42"/>
      <c r="E2320" s="20"/>
      <c r="F2320" s="53"/>
      <c r="G2320" s="45"/>
      <c r="H2320" s="45"/>
      <c r="I2320" s="45"/>
      <c r="J2320" s="36"/>
      <c r="K2320" s="23"/>
      <c r="L2320" s="36"/>
      <c r="M2320" s="23"/>
      <c r="N2320" s="23"/>
      <c r="O2320" s="24"/>
      <c r="P2320" s="16" t="b">
        <v>0</v>
      </c>
      <c r="Q2320" s="24"/>
      <c r="R2320" s="48" t="str">
        <f t="shared" si="2103"/>
        <v/>
      </c>
      <c r="S2320" s="26"/>
      <c r="T2320" s="49" t="str">
        <f t="shared" si="2104"/>
        <v/>
      </c>
      <c r="U2320" s="24"/>
      <c r="V2320" s="66" t="s">
        <v>29</v>
      </c>
      <c r="W2320" s="29" t="str">
        <f t="shared" si="2024"/>
        <v>/</v>
      </c>
      <c r="X2320" s="37" t="s">
        <v>1460</v>
      </c>
      <c r="Y2320" s="31"/>
      <c r="Z2320" s="26" t="str">
        <f t="shared" si="5"/>
        <v/>
      </c>
      <c r="AA2320" s="26" t="str">
        <f t="shared" si="6"/>
        <v/>
      </c>
      <c r="AB2320" s="32" t="str">
        <f t="shared" si="7"/>
        <v/>
      </c>
      <c r="AC2320" s="32" t="str">
        <f t="shared" ref="AC2320:AG2320" si="2342">IF(J2320&lt;&gt;"", IF(AND($P2320=FALSE, $A2320=FALSE), -J2320, IF(AND($P2320=FALSE, $A2320=TRUE), 0, IF($P2320=TRUE, (J2320 / $R2320) * 100 * ($S2320 / 100)-J2320, ))), )</f>
        <v/>
      </c>
      <c r="AD2320" s="32" t="str">
        <f t="shared" si="2342"/>
        <v/>
      </c>
      <c r="AE2320" s="32" t="str">
        <f t="shared" si="2342"/>
        <v/>
      </c>
      <c r="AF2320" s="32" t="str">
        <f t="shared" si="2342"/>
        <v/>
      </c>
      <c r="AG2320" s="32" t="str">
        <f t="shared" si="2342"/>
        <v/>
      </c>
      <c r="AH2320" s="33"/>
    </row>
    <row r="2321" hidden="1" outlineLevel="3">
      <c r="A2321" s="16" t="b">
        <v>0</v>
      </c>
      <c r="B2321" s="17"/>
      <c r="C2321" s="18"/>
      <c r="D2321" s="42"/>
      <c r="E2321" s="20"/>
      <c r="F2321" s="53"/>
      <c r="G2321" s="45"/>
      <c r="H2321" s="45"/>
      <c r="I2321" s="45"/>
      <c r="J2321" s="36"/>
      <c r="K2321" s="23"/>
      <c r="L2321" s="36"/>
      <c r="M2321" s="23"/>
      <c r="N2321" s="23"/>
      <c r="O2321" s="24"/>
      <c r="P2321" s="16" t="b">
        <v>0</v>
      </c>
      <c r="Q2321" s="24"/>
      <c r="R2321" s="48" t="str">
        <f t="shared" si="2103"/>
        <v/>
      </c>
      <c r="S2321" s="26"/>
      <c r="T2321" s="49" t="str">
        <f t="shared" si="2104"/>
        <v/>
      </c>
      <c r="U2321" s="24"/>
      <c r="V2321" s="66" t="s">
        <v>29</v>
      </c>
      <c r="W2321" s="29" t="str">
        <f t="shared" si="2024"/>
        <v>/</v>
      </c>
      <c r="X2321" s="37" t="s">
        <v>1461</v>
      </c>
      <c r="Y2321" s="31"/>
      <c r="Z2321" s="26" t="str">
        <f t="shared" si="5"/>
        <v/>
      </c>
      <c r="AA2321" s="26" t="str">
        <f t="shared" si="6"/>
        <v/>
      </c>
      <c r="AB2321" s="32" t="str">
        <f t="shared" si="7"/>
        <v/>
      </c>
      <c r="AC2321" s="32" t="str">
        <f t="shared" ref="AC2321:AG2321" si="2343">IF(J2321&lt;&gt;"", IF(AND($P2321=FALSE, $A2321=FALSE), -J2321, IF(AND($P2321=FALSE, $A2321=TRUE), 0, IF($P2321=TRUE, (J2321 / $R2321) * 100 * ($S2321 / 100)-J2321, ))), )</f>
        <v/>
      </c>
      <c r="AD2321" s="32" t="str">
        <f t="shared" si="2343"/>
        <v/>
      </c>
      <c r="AE2321" s="32" t="str">
        <f t="shared" si="2343"/>
        <v/>
      </c>
      <c r="AF2321" s="32" t="str">
        <f t="shared" si="2343"/>
        <v/>
      </c>
      <c r="AG2321" s="32" t="str">
        <f t="shared" si="2343"/>
        <v/>
      </c>
      <c r="AH2321" s="33"/>
    </row>
    <row r="2322" hidden="1" outlineLevel="3">
      <c r="A2322" s="16" t="b">
        <v>0</v>
      </c>
      <c r="B2322" s="17"/>
      <c r="C2322" s="18"/>
      <c r="D2322" s="42"/>
      <c r="E2322" s="20"/>
      <c r="F2322" s="53"/>
      <c r="G2322" s="45"/>
      <c r="H2322" s="45"/>
      <c r="I2322" s="45"/>
      <c r="J2322" s="36"/>
      <c r="K2322" s="23"/>
      <c r="L2322" s="36"/>
      <c r="M2322" s="23"/>
      <c r="N2322" s="23"/>
      <c r="O2322" s="24"/>
      <c r="P2322" s="16" t="b">
        <v>0</v>
      </c>
      <c r="Q2322" s="24"/>
      <c r="R2322" s="48" t="str">
        <f t="shared" si="2103"/>
        <v/>
      </c>
      <c r="S2322" s="26"/>
      <c r="T2322" s="49" t="str">
        <f t="shared" si="2104"/>
        <v/>
      </c>
      <c r="U2322" s="24"/>
      <c r="V2322" s="66">
        <v>2.0</v>
      </c>
      <c r="W2322" s="29" t="str">
        <f t="shared" si="2024"/>
        <v>/</v>
      </c>
      <c r="X2322" s="37" t="s">
        <v>1462</v>
      </c>
      <c r="Y2322" s="31"/>
      <c r="Z2322" s="26" t="str">
        <f t="shared" si="5"/>
        <v/>
      </c>
      <c r="AA2322" s="26" t="str">
        <f t="shared" si="6"/>
        <v/>
      </c>
      <c r="AB2322" s="32" t="str">
        <f t="shared" si="7"/>
        <v/>
      </c>
      <c r="AC2322" s="32" t="str">
        <f t="shared" ref="AC2322:AG2322" si="2344">IF(J2322&lt;&gt;"", IF(AND($P2322=FALSE, $A2322=FALSE), -J2322, IF(AND($P2322=FALSE, $A2322=TRUE), 0, IF($P2322=TRUE, (J2322 / $R2322) * 100 * ($S2322 / 100)-J2322, ))), )</f>
        <v/>
      </c>
      <c r="AD2322" s="32" t="str">
        <f t="shared" si="2344"/>
        <v/>
      </c>
      <c r="AE2322" s="32" t="str">
        <f t="shared" si="2344"/>
        <v/>
      </c>
      <c r="AF2322" s="32" t="str">
        <f t="shared" si="2344"/>
        <v/>
      </c>
      <c r="AG2322" s="32" t="str">
        <f t="shared" si="2344"/>
        <v/>
      </c>
      <c r="AH2322" s="33"/>
    </row>
    <row r="2323" hidden="1" outlineLevel="3">
      <c r="A2323" s="16" t="b">
        <v>0</v>
      </c>
      <c r="B2323" s="17"/>
      <c r="C2323" s="18"/>
      <c r="D2323" s="42"/>
      <c r="E2323" s="20"/>
      <c r="F2323" s="53"/>
      <c r="G2323" s="45"/>
      <c r="H2323" s="45"/>
      <c r="I2323" s="45"/>
      <c r="J2323" s="36"/>
      <c r="K2323" s="23"/>
      <c r="L2323" s="36"/>
      <c r="M2323" s="23"/>
      <c r="N2323" s="23"/>
      <c r="O2323" s="24"/>
      <c r="P2323" s="16" t="b">
        <v>0</v>
      </c>
      <c r="Q2323" s="24"/>
      <c r="R2323" s="48" t="str">
        <f t="shared" si="2103"/>
        <v/>
      </c>
      <c r="S2323" s="26"/>
      <c r="T2323" s="49" t="str">
        <f t="shared" si="2104"/>
        <v/>
      </c>
      <c r="U2323" s="24"/>
      <c r="V2323" s="66">
        <v>22.0</v>
      </c>
      <c r="W2323" s="29" t="str">
        <f t="shared" si="2024"/>
        <v>/</v>
      </c>
      <c r="X2323" s="37" t="s">
        <v>1463</v>
      </c>
      <c r="Y2323" s="31"/>
      <c r="Z2323" s="26" t="str">
        <f t="shared" si="5"/>
        <v/>
      </c>
      <c r="AA2323" s="26" t="str">
        <f t="shared" si="6"/>
        <v/>
      </c>
      <c r="AB2323" s="32" t="str">
        <f t="shared" si="7"/>
        <v/>
      </c>
      <c r="AC2323" s="32" t="str">
        <f t="shared" ref="AC2323:AG2323" si="2345">IF(J2323&lt;&gt;"", IF(AND($P2323=FALSE, $A2323=FALSE), -J2323, IF(AND($P2323=FALSE, $A2323=TRUE), 0, IF($P2323=TRUE, (J2323 / $R2323) * 100 * ($S2323 / 100)-J2323, ))), )</f>
        <v/>
      </c>
      <c r="AD2323" s="32" t="str">
        <f t="shared" si="2345"/>
        <v/>
      </c>
      <c r="AE2323" s="32" t="str">
        <f t="shared" si="2345"/>
        <v/>
      </c>
      <c r="AF2323" s="32" t="str">
        <f t="shared" si="2345"/>
        <v/>
      </c>
      <c r="AG2323" s="32" t="str">
        <f t="shared" si="2345"/>
        <v/>
      </c>
      <c r="AH2323" s="33"/>
    </row>
    <row r="2324" hidden="1" outlineLevel="3">
      <c r="A2324" s="16" t="b">
        <v>0</v>
      </c>
      <c r="B2324" s="17"/>
      <c r="C2324" s="18"/>
      <c r="D2324" s="42"/>
      <c r="E2324" s="20"/>
      <c r="F2324" s="53"/>
      <c r="G2324" s="45"/>
      <c r="H2324" s="45"/>
      <c r="I2324" s="45"/>
      <c r="J2324" s="36"/>
      <c r="K2324" s="23"/>
      <c r="L2324" s="36"/>
      <c r="M2324" s="23"/>
      <c r="N2324" s="23"/>
      <c r="O2324" s="24"/>
      <c r="P2324" s="16" t="b">
        <v>0</v>
      </c>
      <c r="Q2324" s="24"/>
      <c r="R2324" s="48" t="str">
        <f t="shared" si="2103"/>
        <v/>
      </c>
      <c r="S2324" s="26"/>
      <c r="T2324" s="49" t="str">
        <f t="shared" si="2104"/>
        <v/>
      </c>
      <c r="U2324" s="24"/>
      <c r="V2324" s="66" t="s">
        <v>29</v>
      </c>
      <c r="W2324" s="29" t="str">
        <f t="shared" si="2024"/>
        <v>/</v>
      </c>
      <c r="X2324" s="37" t="s">
        <v>1464</v>
      </c>
      <c r="Y2324" s="31"/>
      <c r="Z2324" s="26" t="str">
        <f t="shared" si="5"/>
        <v/>
      </c>
      <c r="AA2324" s="26" t="str">
        <f t="shared" si="6"/>
        <v/>
      </c>
      <c r="AB2324" s="32" t="str">
        <f t="shared" si="7"/>
        <v/>
      </c>
      <c r="AC2324" s="32" t="str">
        <f t="shared" ref="AC2324:AG2324" si="2346">IF(J2324&lt;&gt;"", IF(AND($P2324=FALSE, $A2324=FALSE), -J2324, IF(AND($P2324=FALSE, $A2324=TRUE), 0, IF($P2324=TRUE, (J2324 / $R2324) * 100 * ($S2324 / 100)-J2324, ))), )</f>
        <v/>
      </c>
      <c r="AD2324" s="32" t="str">
        <f t="shared" si="2346"/>
        <v/>
      </c>
      <c r="AE2324" s="32" t="str">
        <f t="shared" si="2346"/>
        <v/>
      </c>
      <c r="AF2324" s="32" t="str">
        <f t="shared" si="2346"/>
        <v/>
      </c>
      <c r="AG2324" s="32" t="str">
        <f t="shared" si="2346"/>
        <v/>
      </c>
      <c r="AH2324" s="33"/>
    </row>
    <row r="2325" hidden="1" outlineLevel="1" collapsed="1">
      <c r="A2325" s="81" t="b">
        <v>0</v>
      </c>
      <c r="B2325" s="87"/>
      <c r="C2325" s="88"/>
      <c r="D2325" s="42">
        <v>45402.0</v>
      </c>
      <c r="E2325" s="43" t="s">
        <v>60</v>
      </c>
      <c r="F2325" s="53" t="s">
        <v>1465</v>
      </c>
      <c r="G2325" s="45">
        <v>2.0</v>
      </c>
      <c r="H2325" s="79"/>
      <c r="I2325" s="45">
        <v>2.0</v>
      </c>
      <c r="J2325" s="79"/>
      <c r="K2325" s="79"/>
      <c r="L2325" s="79"/>
      <c r="M2325" s="79"/>
      <c r="N2325" s="79"/>
      <c r="O2325" s="47"/>
      <c r="P2325" s="20" t="b">
        <v>0</v>
      </c>
      <c r="Q2325" s="47"/>
      <c r="R2325" s="48">
        <f t="shared" si="2103"/>
        <v>4</v>
      </c>
      <c r="S2325" s="45">
        <v>7.28</v>
      </c>
      <c r="T2325" s="49">
        <f t="shared" si="2104"/>
        <v>-122</v>
      </c>
      <c r="U2325" s="47"/>
      <c r="V2325" s="89" t="str">
        <f>IF(ISBLANK($D2325), "0",)</f>
        <v/>
      </c>
      <c r="W2325" s="90" t="str">
        <f t="shared" si="2024"/>
        <v/>
      </c>
      <c r="X2325" s="90"/>
      <c r="Y2325" s="84"/>
      <c r="Z2325" s="26">
        <f t="shared" si="5"/>
        <v>-2</v>
      </c>
      <c r="AA2325" s="26">
        <f t="shared" si="6"/>
        <v>-2</v>
      </c>
      <c r="AB2325" s="32" t="str">
        <f t="shared" si="7"/>
        <v/>
      </c>
      <c r="AC2325" s="32" t="str">
        <f t="shared" ref="AC2325:AG2325" si="2347">IF(J2325&lt;&gt;"", IF(AND($P2325=FALSE, $A2325=FALSE), -J2325, IF(AND($P2325=FALSE, $A2325=TRUE), 0, IF($P2325=TRUE, (J2325 / $R2325) * 100 * ($S2325 / 100)-J2325, ))), )</f>
        <v/>
      </c>
      <c r="AD2325" s="32" t="str">
        <f t="shared" si="2347"/>
        <v/>
      </c>
      <c r="AE2325" s="32" t="str">
        <f t="shared" si="2347"/>
        <v/>
      </c>
      <c r="AF2325" s="32" t="str">
        <f t="shared" si="2347"/>
        <v/>
      </c>
      <c r="AG2325" s="32" t="str">
        <f t="shared" si="2347"/>
        <v/>
      </c>
      <c r="AH2325" s="91"/>
    </row>
    <row r="2326" hidden="1" outlineLevel="3">
      <c r="A2326" s="16" t="b">
        <v>0</v>
      </c>
      <c r="B2326" s="17"/>
      <c r="C2326" s="18"/>
      <c r="D2326" s="42"/>
      <c r="E2326" s="20"/>
      <c r="F2326" s="53"/>
      <c r="G2326" s="45"/>
      <c r="H2326" s="45"/>
      <c r="I2326" s="45"/>
      <c r="J2326" s="36"/>
      <c r="K2326" s="23"/>
      <c r="L2326" s="36"/>
      <c r="M2326" s="23"/>
      <c r="N2326" s="23"/>
      <c r="O2326" s="24"/>
      <c r="P2326" s="16" t="b">
        <v>0</v>
      </c>
      <c r="Q2326" s="24"/>
      <c r="R2326" s="48" t="str">
        <f t="shared" si="2103"/>
        <v/>
      </c>
      <c r="S2326" s="26"/>
      <c r="T2326" s="49" t="str">
        <f t="shared" si="2104"/>
        <v/>
      </c>
      <c r="U2326" s="24"/>
      <c r="V2326" s="66">
        <v>10.0</v>
      </c>
      <c r="W2326" s="29" t="str">
        <f t="shared" si="2024"/>
        <v>/</v>
      </c>
      <c r="X2326" s="37" t="s">
        <v>1466</v>
      </c>
      <c r="Y2326" s="31"/>
      <c r="Z2326" s="26" t="str">
        <f t="shared" si="5"/>
        <v/>
      </c>
      <c r="AA2326" s="26" t="str">
        <f t="shared" si="6"/>
        <v/>
      </c>
      <c r="AB2326" s="32" t="str">
        <f t="shared" si="7"/>
        <v/>
      </c>
      <c r="AC2326" s="32" t="str">
        <f t="shared" ref="AC2326:AG2326" si="2348">IF(J2326&lt;&gt;"", IF(AND($P2326=FALSE, $A2326=FALSE), -J2326, IF(AND($P2326=FALSE, $A2326=TRUE), 0, IF($P2326=TRUE, (J2326 / $R2326) * 100 * ($S2326 / 100)-J2326, ))), )</f>
        <v/>
      </c>
      <c r="AD2326" s="32" t="str">
        <f t="shared" si="2348"/>
        <v/>
      </c>
      <c r="AE2326" s="32" t="str">
        <f t="shared" si="2348"/>
        <v/>
      </c>
      <c r="AF2326" s="32" t="str">
        <f t="shared" si="2348"/>
        <v/>
      </c>
      <c r="AG2326" s="32" t="str">
        <f t="shared" si="2348"/>
        <v/>
      </c>
      <c r="AH2326" s="33"/>
    </row>
    <row r="2327" hidden="1" outlineLevel="2">
      <c r="A2327" s="81" t="b">
        <v>0</v>
      </c>
      <c r="B2327" s="87"/>
      <c r="C2327" s="88"/>
      <c r="D2327" s="42">
        <v>45402.0</v>
      </c>
      <c r="E2327" s="43" t="s">
        <v>60</v>
      </c>
      <c r="F2327" s="53" t="s">
        <v>1465</v>
      </c>
      <c r="G2327" s="45">
        <v>2.0</v>
      </c>
      <c r="H2327" s="79"/>
      <c r="I2327" s="45">
        <v>3.0</v>
      </c>
      <c r="J2327" s="79"/>
      <c r="K2327" s="79"/>
      <c r="L2327" s="79"/>
      <c r="M2327" s="79"/>
      <c r="N2327" s="79"/>
      <c r="O2327" s="47"/>
      <c r="P2327" s="20" t="b">
        <v>0</v>
      </c>
      <c r="Q2327" s="47"/>
      <c r="R2327" s="48">
        <f t="shared" si="2103"/>
        <v>5</v>
      </c>
      <c r="S2327" s="45">
        <v>10.84</v>
      </c>
      <c r="T2327" s="49" t="str">
        <f t="shared" si="2104"/>
        <v>+117</v>
      </c>
      <c r="U2327" s="47"/>
      <c r="V2327" s="89" t="str">
        <f>IF(ISBLANK($D2327), "0",)</f>
        <v/>
      </c>
      <c r="W2327" s="90" t="str">
        <f t="shared" si="2024"/>
        <v/>
      </c>
      <c r="X2327" s="90"/>
      <c r="Y2327" s="84"/>
      <c r="Z2327" s="26">
        <f t="shared" si="5"/>
        <v>-2</v>
      </c>
      <c r="AA2327" s="26">
        <f t="shared" si="6"/>
        <v>-3</v>
      </c>
      <c r="AB2327" s="32" t="str">
        <f t="shared" si="7"/>
        <v/>
      </c>
      <c r="AC2327" s="32" t="str">
        <f t="shared" ref="AC2327:AG2327" si="2349">IF(J2327&lt;&gt;"", IF(AND($P2327=FALSE, $A2327=FALSE), -J2327, IF(AND($P2327=FALSE, $A2327=TRUE), 0, IF($P2327=TRUE, (J2327 / $R2327) * 100 * ($S2327 / 100)-J2327, ))), )</f>
        <v/>
      </c>
      <c r="AD2327" s="32" t="str">
        <f t="shared" si="2349"/>
        <v/>
      </c>
      <c r="AE2327" s="32" t="str">
        <f t="shared" si="2349"/>
        <v/>
      </c>
      <c r="AF2327" s="32" t="str">
        <f t="shared" si="2349"/>
        <v/>
      </c>
      <c r="AG2327" s="32" t="str">
        <f t="shared" si="2349"/>
        <v/>
      </c>
      <c r="AH2327" s="91"/>
    </row>
    <row r="2328" hidden="1" outlineLevel="3">
      <c r="A2328" s="16" t="b">
        <v>0</v>
      </c>
      <c r="B2328" s="17"/>
      <c r="C2328" s="18"/>
      <c r="D2328" s="42"/>
      <c r="E2328" s="20"/>
      <c r="F2328" s="53"/>
      <c r="G2328" s="45"/>
      <c r="H2328" s="45"/>
      <c r="I2328" s="45"/>
      <c r="J2328" s="36"/>
      <c r="K2328" s="23"/>
      <c r="L2328" s="36"/>
      <c r="M2328" s="23"/>
      <c r="N2328" s="23"/>
      <c r="O2328" s="24"/>
      <c r="P2328" s="16" t="b">
        <v>0</v>
      </c>
      <c r="Q2328" s="24"/>
      <c r="R2328" s="48" t="str">
        <f t="shared" si="2103"/>
        <v/>
      </c>
      <c r="S2328" s="26"/>
      <c r="T2328" s="49" t="str">
        <f t="shared" si="2104"/>
        <v/>
      </c>
      <c r="U2328" s="24"/>
      <c r="V2328" s="66" t="s">
        <v>29</v>
      </c>
      <c r="W2328" s="29" t="str">
        <f t="shared" si="2024"/>
        <v>/</v>
      </c>
      <c r="X2328" s="37" t="s">
        <v>1448</v>
      </c>
      <c r="Y2328" s="31"/>
      <c r="Z2328" s="26" t="str">
        <f t="shared" si="5"/>
        <v/>
      </c>
      <c r="AA2328" s="26" t="str">
        <f t="shared" si="6"/>
        <v/>
      </c>
      <c r="AB2328" s="32" t="str">
        <f t="shared" si="7"/>
        <v/>
      </c>
      <c r="AC2328" s="32" t="str">
        <f t="shared" ref="AC2328:AG2328" si="2350">IF(J2328&lt;&gt;"", IF(AND($P2328=FALSE, $A2328=FALSE), -J2328, IF(AND($P2328=FALSE, $A2328=TRUE), 0, IF($P2328=TRUE, (J2328 / $R2328) * 100 * ($S2328 / 100)-J2328, ))), )</f>
        <v/>
      </c>
      <c r="AD2328" s="32" t="str">
        <f t="shared" si="2350"/>
        <v/>
      </c>
      <c r="AE2328" s="32" t="str">
        <f t="shared" si="2350"/>
        <v/>
      </c>
      <c r="AF2328" s="32" t="str">
        <f t="shared" si="2350"/>
        <v/>
      </c>
      <c r="AG2328" s="32" t="str">
        <f t="shared" si="2350"/>
        <v/>
      </c>
      <c r="AH2328" s="33"/>
    </row>
    <row r="2329" hidden="1" outlineLevel="3">
      <c r="A2329" s="16" t="b">
        <v>0</v>
      </c>
      <c r="B2329" s="17"/>
      <c r="C2329" s="18"/>
      <c r="D2329" s="42"/>
      <c r="E2329" s="20"/>
      <c r="F2329" s="53"/>
      <c r="G2329" s="45"/>
      <c r="H2329" s="45"/>
      <c r="I2329" s="45"/>
      <c r="J2329" s="36"/>
      <c r="K2329" s="23"/>
      <c r="L2329" s="36"/>
      <c r="M2329" s="23"/>
      <c r="N2329" s="23"/>
      <c r="O2329" s="24"/>
      <c r="P2329" s="16" t="b">
        <v>0</v>
      </c>
      <c r="Q2329" s="24"/>
      <c r="R2329" s="48" t="str">
        <f t="shared" si="2103"/>
        <v/>
      </c>
      <c r="S2329" s="26"/>
      <c r="T2329" s="49" t="str">
        <f t="shared" si="2104"/>
        <v/>
      </c>
      <c r="U2329" s="24"/>
      <c r="V2329" s="66">
        <v>22.0</v>
      </c>
      <c r="W2329" s="29" t="str">
        <f t="shared" si="2024"/>
        <v>/</v>
      </c>
      <c r="X2329" s="37" t="s">
        <v>1467</v>
      </c>
      <c r="Y2329" s="31"/>
      <c r="Z2329" s="26" t="str">
        <f t="shared" si="5"/>
        <v/>
      </c>
      <c r="AA2329" s="26" t="str">
        <f t="shared" si="6"/>
        <v/>
      </c>
      <c r="AB2329" s="32" t="str">
        <f t="shared" si="7"/>
        <v/>
      </c>
      <c r="AC2329" s="32" t="str">
        <f t="shared" ref="AC2329:AG2329" si="2351">IF(J2329&lt;&gt;"", IF(AND($P2329=FALSE, $A2329=FALSE), -J2329, IF(AND($P2329=FALSE, $A2329=TRUE), 0, IF($P2329=TRUE, (J2329 / $R2329) * 100 * ($S2329 / 100)-J2329, ))), )</f>
        <v/>
      </c>
      <c r="AD2329" s="32" t="str">
        <f t="shared" si="2351"/>
        <v/>
      </c>
      <c r="AE2329" s="32" t="str">
        <f t="shared" si="2351"/>
        <v/>
      </c>
      <c r="AF2329" s="32" t="str">
        <f t="shared" si="2351"/>
        <v/>
      </c>
      <c r="AG2329" s="32" t="str">
        <f t="shared" si="2351"/>
        <v/>
      </c>
      <c r="AH2329" s="33"/>
    </row>
    <row r="2330" hidden="1" outlineLevel="3">
      <c r="A2330" s="16" t="b">
        <v>0</v>
      </c>
      <c r="B2330" s="17"/>
      <c r="C2330" s="18"/>
      <c r="D2330" s="42"/>
      <c r="E2330" s="20"/>
      <c r="F2330" s="53"/>
      <c r="G2330" s="45"/>
      <c r="H2330" s="45"/>
      <c r="I2330" s="45"/>
      <c r="J2330" s="36"/>
      <c r="K2330" s="23"/>
      <c r="L2330" s="36"/>
      <c r="M2330" s="23"/>
      <c r="N2330" s="23"/>
      <c r="O2330" s="24"/>
      <c r="P2330" s="16" t="b">
        <v>0</v>
      </c>
      <c r="Q2330" s="24"/>
      <c r="R2330" s="48" t="str">
        <f t="shared" si="2103"/>
        <v/>
      </c>
      <c r="S2330" s="26"/>
      <c r="T2330" s="49" t="str">
        <f t="shared" si="2104"/>
        <v/>
      </c>
      <c r="U2330" s="24"/>
      <c r="V2330" s="66">
        <v>8.0</v>
      </c>
      <c r="W2330" s="29" t="str">
        <f t="shared" si="2024"/>
        <v>/</v>
      </c>
      <c r="X2330" s="37" t="s">
        <v>1468</v>
      </c>
      <c r="Y2330" s="31"/>
      <c r="Z2330" s="26" t="str">
        <f t="shared" si="5"/>
        <v/>
      </c>
      <c r="AA2330" s="26" t="str">
        <f t="shared" si="6"/>
        <v/>
      </c>
      <c r="AB2330" s="32" t="str">
        <f t="shared" si="7"/>
        <v/>
      </c>
      <c r="AC2330" s="32" t="str">
        <f t="shared" ref="AC2330:AG2330" si="2352">IF(J2330&lt;&gt;"", IF(AND($P2330=FALSE, $A2330=FALSE), -J2330, IF(AND($P2330=FALSE, $A2330=TRUE), 0, IF($P2330=TRUE, (J2330 / $R2330) * 100 * ($S2330 / 100)-J2330, ))), )</f>
        <v/>
      </c>
      <c r="AD2330" s="32" t="str">
        <f t="shared" si="2352"/>
        <v/>
      </c>
      <c r="AE2330" s="32" t="str">
        <f t="shared" si="2352"/>
        <v/>
      </c>
      <c r="AF2330" s="32" t="str">
        <f t="shared" si="2352"/>
        <v/>
      </c>
      <c r="AG2330" s="32" t="str">
        <f t="shared" si="2352"/>
        <v/>
      </c>
      <c r="AH2330" s="33"/>
    </row>
    <row r="2331" hidden="1" outlineLevel="1" collapsed="1">
      <c r="A2331" s="81" t="b">
        <v>0</v>
      </c>
      <c r="B2331" s="87"/>
      <c r="C2331" s="88"/>
      <c r="D2331" s="42">
        <v>45405.0</v>
      </c>
      <c r="E2331" s="43" t="s">
        <v>60</v>
      </c>
      <c r="F2331" s="53" t="s">
        <v>1465</v>
      </c>
      <c r="G2331" s="45">
        <v>3.0</v>
      </c>
      <c r="H2331" s="79"/>
      <c r="I2331" s="45">
        <v>3.0</v>
      </c>
      <c r="J2331" s="79"/>
      <c r="K2331" s="79"/>
      <c r="L2331" s="79"/>
      <c r="M2331" s="79"/>
      <c r="N2331" s="79"/>
      <c r="O2331" s="47"/>
      <c r="P2331" s="20" t="b">
        <v>0</v>
      </c>
      <c r="Q2331" s="47"/>
      <c r="R2331" s="48">
        <f t="shared" si="2103"/>
        <v>6</v>
      </c>
      <c r="S2331" s="45">
        <v>12.66</v>
      </c>
      <c r="T2331" s="49" t="str">
        <f t="shared" si="2104"/>
        <v>+111</v>
      </c>
      <c r="U2331" s="47"/>
      <c r="V2331" s="89" t="str">
        <f>IF(ISBLANK($D2331), "0",)</f>
        <v/>
      </c>
      <c r="W2331" s="90" t="str">
        <f t="shared" si="2024"/>
        <v/>
      </c>
      <c r="X2331" s="90"/>
      <c r="Y2331" s="84"/>
      <c r="Z2331" s="26">
        <f t="shared" si="5"/>
        <v>-3</v>
      </c>
      <c r="AA2331" s="26">
        <f t="shared" si="6"/>
        <v>-3</v>
      </c>
      <c r="AB2331" s="32" t="str">
        <f t="shared" si="7"/>
        <v/>
      </c>
      <c r="AC2331" s="32" t="str">
        <f t="shared" ref="AC2331:AG2331" si="2353">IF(J2331&lt;&gt;"", IF(AND($P2331=FALSE, $A2331=FALSE), -J2331, IF(AND($P2331=FALSE, $A2331=TRUE), 0, IF($P2331=TRUE, (J2331 / $R2331) * 100 * ($S2331 / 100)-J2331, ))), )</f>
        <v/>
      </c>
      <c r="AD2331" s="32" t="str">
        <f t="shared" si="2353"/>
        <v/>
      </c>
      <c r="AE2331" s="32" t="str">
        <f t="shared" si="2353"/>
        <v/>
      </c>
      <c r="AF2331" s="32" t="str">
        <f t="shared" si="2353"/>
        <v/>
      </c>
      <c r="AG2331" s="32" t="str">
        <f t="shared" si="2353"/>
        <v/>
      </c>
      <c r="AH2331" s="91"/>
    </row>
    <row r="2332" hidden="1" outlineLevel="3">
      <c r="A2332" s="16" t="b">
        <v>0</v>
      </c>
      <c r="B2332" s="17"/>
      <c r="C2332" s="18"/>
      <c r="D2332" s="42"/>
      <c r="E2332" s="20"/>
      <c r="F2332" s="53"/>
      <c r="G2332" s="45"/>
      <c r="H2332" s="45"/>
      <c r="I2332" s="45"/>
      <c r="J2332" s="36"/>
      <c r="K2332" s="23"/>
      <c r="L2332" s="36"/>
      <c r="M2332" s="23"/>
      <c r="N2332" s="23"/>
      <c r="O2332" s="24"/>
      <c r="P2332" s="16" t="b">
        <v>0</v>
      </c>
      <c r="Q2332" s="24"/>
      <c r="R2332" s="48" t="str">
        <f t="shared" si="2103"/>
        <v/>
      </c>
      <c r="S2332" s="26"/>
      <c r="T2332" s="49" t="str">
        <f t="shared" si="2104"/>
        <v/>
      </c>
      <c r="U2332" s="24"/>
      <c r="V2332" s="66">
        <v>15.0</v>
      </c>
      <c r="W2332" s="29" t="str">
        <f t="shared" si="2024"/>
        <v>/</v>
      </c>
      <c r="X2332" s="37" t="s">
        <v>207</v>
      </c>
      <c r="Y2332" s="31"/>
      <c r="Z2332" s="26" t="str">
        <f t="shared" si="5"/>
        <v/>
      </c>
      <c r="AA2332" s="26" t="str">
        <f t="shared" si="6"/>
        <v/>
      </c>
      <c r="AB2332" s="32" t="str">
        <f t="shared" si="7"/>
        <v/>
      </c>
      <c r="AC2332" s="32" t="str">
        <f t="shared" ref="AC2332:AG2332" si="2354">IF(J2332&lt;&gt;"", IF(AND($P2332=FALSE, $A2332=FALSE), -J2332, IF(AND($P2332=FALSE, $A2332=TRUE), 0, IF($P2332=TRUE, (J2332 / $R2332) * 100 * ($S2332 / 100)-J2332, ))), )</f>
        <v/>
      </c>
      <c r="AD2332" s="32" t="str">
        <f t="shared" si="2354"/>
        <v/>
      </c>
      <c r="AE2332" s="32" t="str">
        <f t="shared" si="2354"/>
        <v/>
      </c>
      <c r="AF2332" s="32" t="str">
        <f t="shared" si="2354"/>
        <v/>
      </c>
      <c r="AG2332" s="32" t="str">
        <f t="shared" si="2354"/>
        <v/>
      </c>
      <c r="AH2332" s="33"/>
    </row>
    <row r="2333" hidden="1" outlineLevel="3">
      <c r="A2333" s="16" t="b">
        <v>0</v>
      </c>
      <c r="B2333" s="17"/>
      <c r="C2333" s="18"/>
      <c r="D2333" s="42"/>
      <c r="E2333" s="20"/>
      <c r="F2333" s="53"/>
      <c r="G2333" s="45"/>
      <c r="H2333" s="45"/>
      <c r="I2333" s="45"/>
      <c r="J2333" s="36"/>
      <c r="K2333" s="23"/>
      <c r="L2333" s="36"/>
      <c r="M2333" s="23"/>
      <c r="N2333" s="23"/>
      <c r="O2333" s="24"/>
      <c r="P2333" s="16" t="b">
        <v>0</v>
      </c>
      <c r="Q2333" s="24"/>
      <c r="R2333" s="48" t="str">
        <f t="shared" si="2103"/>
        <v/>
      </c>
      <c r="S2333" s="26"/>
      <c r="T2333" s="49" t="str">
        <f t="shared" si="2104"/>
        <v/>
      </c>
      <c r="U2333" s="24"/>
      <c r="V2333" s="66" t="s">
        <v>29</v>
      </c>
      <c r="W2333" s="29" t="str">
        <f t="shared" si="2024"/>
        <v>/</v>
      </c>
      <c r="X2333" s="37" t="s">
        <v>1429</v>
      </c>
      <c r="Y2333" s="31"/>
      <c r="Z2333" s="26" t="str">
        <f t="shared" si="5"/>
        <v/>
      </c>
      <c r="AA2333" s="26" t="str">
        <f t="shared" si="6"/>
        <v/>
      </c>
      <c r="AB2333" s="32" t="str">
        <f t="shared" si="7"/>
        <v/>
      </c>
      <c r="AC2333" s="32" t="str">
        <f t="shared" ref="AC2333:AG2333" si="2355">IF(J2333&lt;&gt;"", IF(AND($P2333=FALSE, $A2333=FALSE), -J2333, IF(AND($P2333=FALSE, $A2333=TRUE), 0, IF($P2333=TRUE, (J2333 / $R2333) * 100 * ($S2333 / 100)-J2333, ))), )</f>
        <v/>
      </c>
      <c r="AD2333" s="32" t="str">
        <f t="shared" si="2355"/>
        <v/>
      </c>
      <c r="AE2333" s="32" t="str">
        <f t="shared" si="2355"/>
        <v/>
      </c>
      <c r="AF2333" s="32" t="str">
        <f t="shared" si="2355"/>
        <v/>
      </c>
      <c r="AG2333" s="32" t="str">
        <f t="shared" si="2355"/>
        <v/>
      </c>
      <c r="AH2333" s="33"/>
    </row>
    <row r="2334" hidden="1" outlineLevel="3">
      <c r="A2334" s="16" t="b">
        <v>0</v>
      </c>
      <c r="B2334" s="17"/>
      <c r="C2334" s="18"/>
      <c r="D2334" s="42"/>
      <c r="E2334" s="20"/>
      <c r="F2334" s="53"/>
      <c r="G2334" s="45"/>
      <c r="H2334" s="45"/>
      <c r="I2334" s="45"/>
      <c r="J2334" s="36"/>
      <c r="K2334" s="23"/>
      <c r="L2334" s="36"/>
      <c r="M2334" s="23"/>
      <c r="N2334" s="23"/>
      <c r="O2334" s="24"/>
      <c r="P2334" s="16" t="b">
        <v>0</v>
      </c>
      <c r="Q2334" s="24"/>
      <c r="R2334" s="48" t="str">
        <f t="shared" si="2103"/>
        <v/>
      </c>
      <c r="S2334" s="26"/>
      <c r="T2334" s="49" t="str">
        <f t="shared" si="2104"/>
        <v/>
      </c>
      <c r="U2334" s="24"/>
      <c r="V2334" s="66" t="s">
        <v>29</v>
      </c>
      <c r="W2334" s="29" t="str">
        <f t="shared" si="2024"/>
        <v>/</v>
      </c>
      <c r="X2334" s="37" t="s">
        <v>1334</v>
      </c>
      <c r="Y2334" s="31"/>
      <c r="Z2334" s="26" t="str">
        <f t="shared" si="5"/>
        <v/>
      </c>
      <c r="AA2334" s="26" t="str">
        <f t="shared" si="6"/>
        <v/>
      </c>
      <c r="AB2334" s="32" t="str">
        <f t="shared" si="7"/>
        <v/>
      </c>
      <c r="AC2334" s="32" t="str">
        <f t="shared" ref="AC2334:AG2334" si="2356">IF(J2334&lt;&gt;"", IF(AND($P2334=FALSE, $A2334=FALSE), -J2334, IF(AND($P2334=FALSE, $A2334=TRUE), 0, IF($P2334=TRUE, (J2334 / $R2334) * 100 * ($S2334 / 100)-J2334, ))), )</f>
        <v/>
      </c>
      <c r="AD2334" s="32" t="str">
        <f t="shared" si="2356"/>
        <v/>
      </c>
      <c r="AE2334" s="32" t="str">
        <f t="shared" si="2356"/>
        <v/>
      </c>
      <c r="AF2334" s="32" t="str">
        <f t="shared" si="2356"/>
        <v/>
      </c>
      <c r="AG2334" s="32" t="str">
        <f t="shared" si="2356"/>
        <v/>
      </c>
      <c r="AH2334" s="33"/>
    </row>
    <row r="2335" hidden="1" outlineLevel="2" collapsed="1">
      <c r="A2335" s="81" t="b">
        <v>0</v>
      </c>
      <c r="B2335" s="87"/>
      <c r="C2335" s="88"/>
      <c r="D2335" s="42">
        <v>45405.0</v>
      </c>
      <c r="E2335" s="43" t="s">
        <v>60</v>
      </c>
      <c r="F2335" s="53" t="s">
        <v>1465</v>
      </c>
      <c r="G2335" s="45">
        <v>1.5</v>
      </c>
      <c r="H2335" s="79"/>
      <c r="I2335" s="45">
        <v>1.5</v>
      </c>
      <c r="J2335" s="79"/>
      <c r="K2335" s="79"/>
      <c r="L2335" s="79"/>
      <c r="M2335" s="79"/>
      <c r="N2335" s="79"/>
      <c r="O2335" s="47"/>
      <c r="P2335" s="20" t="b">
        <v>1</v>
      </c>
      <c r="Q2335" s="47"/>
      <c r="R2335" s="48">
        <f t="shared" si="2103"/>
        <v>3</v>
      </c>
      <c r="S2335" s="45">
        <v>5.86</v>
      </c>
      <c r="T2335" s="49">
        <f t="shared" si="2104"/>
        <v>-105</v>
      </c>
      <c r="U2335" s="47"/>
      <c r="V2335" s="89" t="str">
        <f>IF(ISBLANK($D2335), "0",)</f>
        <v/>
      </c>
      <c r="W2335" s="90" t="str">
        <f t="shared" si="2024"/>
        <v/>
      </c>
      <c r="X2335" s="90"/>
      <c r="Y2335" s="84"/>
      <c r="Z2335" s="26">
        <f t="shared" si="5"/>
        <v>1.43</v>
      </c>
      <c r="AA2335" s="26">
        <f t="shared" si="6"/>
        <v>1.43</v>
      </c>
      <c r="AB2335" s="32" t="str">
        <f t="shared" si="7"/>
        <v/>
      </c>
      <c r="AC2335" s="32" t="str">
        <f t="shared" ref="AC2335:AG2335" si="2357">IF(J2335&lt;&gt;"", IF(AND($P2335=FALSE, $A2335=FALSE), -J2335, IF(AND($P2335=FALSE, $A2335=TRUE), 0, IF($P2335=TRUE, (J2335 / $R2335) * 100 * ($S2335 / 100)-J2335, ))), )</f>
        <v/>
      </c>
      <c r="AD2335" s="32" t="str">
        <f t="shared" si="2357"/>
        <v/>
      </c>
      <c r="AE2335" s="32" t="str">
        <f t="shared" si="2357"/>
        <v/>
      </c>
      <c r="AF2335" s="32" t="str">
        <f t="shared" si="2357"/>
        <v/>
      </c>
      <c r="AG2335" s="32" t="str">
        <f t="shared" si="2357"/>
        <v/>
      </c>
      <c r="AH2335" s="91"/>
    </row>
    <row r="2336" hidden="1" outlineLevel="3">
      <c r="A2336" s="16" t="b">
        <v>0</v>
      </c>
      <c r="B2336" s="17"/>
      <c r="C2336" s="18"/>
      <c r="D2336" s="42"/>
      <c r="E2336" s="20"/>
      <c r="F2336" s="53"/>
      <c r="G2336" s="45"/>
      <c r="H2336" s="45"/>
      <c r="I2336" s="45"/>
      <c r="J2336" s="36"/>
      <c r="K2336" s="23"/>
      <c r="L2336" s="36"/>
      <c r="M2336" s="23"/>
      <c r="N2336" s="23"/>
      <c r="O2336" s="24"/>
      <c r="P2336" s="16" t="b">
        <v>0</v>
      </c>
      <c r="Q2336" s="24"/>
      <c r="R2336" s="48" t="str">
        <f t="shared" si="2103"/>
        <v/>
      </c>
      <c r="S2336" s="26"/>
      <c r="T2336" s="49" t="str">
        <f t="shared" si="2104"/>
        <v/>
      </c>
      <c r="U2336" s="24"/>
      <c r="V2336" s="66" t="s">
        <v>29</v>
      </c>
      <c r="W2336" s="29" t="str">
        <f t="shared" si="2024"/>
        <v>/</v>
      </c>
      <c r="X2336" s="37" t="s">
        <v>1469</v>
      </c>
      <c r="Y2336" s="31"/>
      <c r="Z2336" s="26" t="str">
        <f t="shared" si="5"/>
        <v/>
      </c>
      <c r="AA2336" s="26" t="str">
        <f t="shared" si="6"/>
        <v/>
      </c>
      <c r="AB2336" s="32" t="str">
        <f t="shared" si="7"/>
        <v/>
      </c>
      <c r="AC2336" s="32" t="str">
        <f t="shared" ref="AC2336:AG2336" si="2358">IF(J2336&lt;&gt;"", IF(AND($P2336=FALSE, $A2336=FALSE), -J2336, IF(AND($P2336=FALSE, $A2336=TRUE), 0, IF($P2336=TRUE, (J2336 / $R2336) * 100 * ($S2336 / 100)-J2336, ))), )</f>
        <v/>
      </c>
      <c r="AD2336" s="32" t="str">
        <f t="shared" si="2358"/>
        <v/>
      </c>
      <c r="AE2336" s="32" t="str">
        <f t="shared" si="2358"/>
        <v/>
      </c>
      <c r="AF2336" s="32" t="str">
        <f t="shared" si="2358"/>
        <v/>
      </c>
      <c r="AG2336" s="32" t="str">
        <f t="shared" si="2358"/>
        <v/>
      </c>
      <c r="AH2336" s="33"/>
    </row>
    <row r="2337" hidden="1" outlineLevel="2" collapsed="1">
      <c r="A2337" s="81" t="b">
        <v>0</v>
      </c>
      <c r="B2337" s="87"/>
      <c r="C2337" s="88"/>
      <c r="D2337" s="42">
        <v>45405.0</v>
      </c>
      <c r="E2337" s="43" t="s">
        <v>60</v>
      </c>
      <c r="F2337" s="53" t="s">
        <v>1465</v>
      </c>
      <c r="G2337" s="45">
        <v>3.0</v>
      </c>
      <c r="H2337" s="79"/>
      <c r="I2337" s="45">
        <v>3.0</v>
      </c>
      <c r="J2337" s="79"/>
      <c r="K2337" s="79"/>
      <c r="L2337" s="79"/>
      <c r="M2337" s="79"/>
      <c r="N2337" s="79"/>
      <c r="O2337" s="47"/>
      <c r="P2337" s="20" t="b">
        <v>0</v>
      </c>
      <c r="Q2337" s="47"/>
      <c r="R2337" s="48">
        <f t="shared" si="2103"/>
        <v>6</v>
      </c>
      <c r="S2337" s="45">
        <v>13.76</v>
      </c>
      <c r="T2337" s="49" t="str">
        <f t="shared" si="2104"/>
        <v>+129</v>
      </c>
      <c r="U2337" s="47"/>
      <c r="V2337" s="89" t="str">
        <f>IF(ISBLANK($D2337), "0",)</f>
        <v/>
      </c>
      <c r="W2337" s="90" t="str">
        <f t="shared" si="2024"/>
        <v/>
      </c>
      <c r="X2337" s="90"/>
      <c r="Y2337" s="84"/>
      <c r="Z2337" s="26">
        <f t="shared" si="5"/>
        <v>-3</v>
      </c>
      <c r="AA2337" s="26">
        <f t="shared" si="6"/>
        <v>-3</v>
      </c>
      <c r="AB2337" s="32" t="str">
        <f t="shared" si="7"/>
        <v/>
      </c>
      <c r="AC2337" s="32" t="str">
        <f t="shared" ref="AC2337:AG2337" si="2359">IF(J2337&lt;&gt;"", IF(AND($P2337=FALSE, $A2337=FALSE), -J2337, IF(AND($P2337=FALSE, $A2337=TRUE), 0, IF($P2337=TRUE, (J2337 / $R2337) * 100 * ($S2337 / 100)-J2337, ))), )</f>
        <v/>
      </c>
      <c r="AD2337" s="32" t="str">
        <f t="shared" si="2359"/>
        <v/>
      </c>
      <c r="AE2337" s="32" t="str">
        <f t="shared" si="2359"/>
        <v/>
      </c>
      <c r="AF2337" s="32" t="str">
        <f t="shared" si="2359"/>
        <v/>
      </c>
      <c r="AG2337" s="32" t="str">
        <f t="shared" si="2359"/>
        <v/>
      </c>
      <c r="AH2337" s="91"/>
    </row>
    <row r="2338" hidden="1" outlineLevel="3">
      <c r="A2338" s="16" t="b">
        <v>0</v>
      </c>
      <c r="B2338" s="17"/>
      <c r="C2338" s="18"/>
      <c r="D2338" s="42"/>
      <c r="E2338" s="20"/>
      <c r="F2338" s="53"/>
      <c r="G2338" s="45"/>
      <c r="H2338" s="45"/>
      <c r="I2338" s="45"/>
      <c r="J2338" s="36"/>
      <c r="K2338" s="23"/>
      <c r="L2338" s="36"/>
      <c r="M2338" s="23"/>
      <c r="N2338" s="23"/>
      <c r="O2338" s="24"/>
      <c r="P2338" s="16" t="b">
        <v>0</v>
      </c>
      <c r="Q2338" s="24"/>
      <c r="R2338" s="48" t="str">
        <f t="shared" si="2103"/>
        <v/>
      </c>
      <c r="S2338" s="26"/>
      <c r="T2338" s="49" t="str">
        <f t="shared" si="2104"/>
        <v/>
      </c>
      <c r="U2338" s="24"/>
      <c r="V2338" s="66" t="s">
        <v>29</v>
      </c>
      <c r="W2338" s="29" t="str">
        <f t="shared" si="2024"/>
        <v>/</v>
      </c>
      <c r="X2338" s="37" t="s">
        <v>814</v>
      </c>
      <c r="Y2338" s="31"/>
      <c r="Z2338" s="26" t="str">
        <f t="shared" si="5"/>
        <v/>
      </c>
      <c r="AA2338" s="26" t="str">
        <f t="shared" si="6"/>
        <v/>
      </c>
      <c r="AB2338" s="32" t="str">
        <f t="shared" si="7"/>
        <v/>
      </c>
      <c r="AC2338" s="32" t="str">
        <f t="shared" ref="AC2338:AG2338" si="2360">IF(J2338&lt;&gt;"", IF(AND($P2338=FALSE, $A2338=FALSE), -J2338, IF(AND($P2338=FALSE, $A2338=TRUE), 0, IF($P2338=TRUE, (J2338 / $R2338) * 100 * ($S2338 / 100)-J2338, ))), )</f>
        <v/>
      </c>
      <c r="AD2338" s="32" t="str">
        <f t="shared" si="2360"/>
        <v/>
      </c>
      <c r="AE2338" s="32" t="str">
        <f t="shared" si="2360"/>
        <v/>
      </c>
      <c r="AF2338" s="32" t="str">
        <f t="shared" si="2360"/>
        <v/>
      </c>
      <c r="AG2338" s="32" t="str">
        <f t="shared" si="2360"/>
        <v/>
      </c>
      <c r="AH2338" s="33"/>
    </row>
    <row r="2339" hidden="1" outlineLevel="3">
      <c r="A2339" s="16" t="b">
        <v>0</v>
      </c>
      <c r="B2339" s="17"/>
      <c r="C2339" s="18"/>
      <c r="D2339" s="42"/>
      <c r="E2339" s="20"/>
      <c r="F2339" s="53"/>
      <c r="G2339" s="45"/>
      <c r="H2339" s="45"/>
      <c r="I2339" s="45"/>
      <c r="J2339" s="36"/>
      <c r="K2339" s="23"/>
      <c r="L2339" s="36"/>
      <c r="M2339" s="23"/>
      <c r="N2339" s="23"/>
      <c r="O2339" s="24"/>
      <c r="P2339" s="16" t="b">
        <v>0</v>
      </c>
      <c r="Q2339" s="24"/>
      <c r="R2339" s="48" t="str">
        <f t="shared" si="2103"/>
        <v/>
      </c>
      <c r="S2339" s="26"/>
      <c r="T2339" s="49" t="str">
        <f t="shared" si="2104"/>
        <v/>
      </c>
      <c r="U2339" s="24"/>
      <c r="V2339" s="66">
        <v>5.0</v>
      </c>
      <c r="W2339" s="29" t="str">
        <f t="shared" si="2024"/>
        <v>/</v>
      </c>
      <c r="X2339" s="37" t="s">
        <v>65</v>
      </c>
      <c r="Y2339" s="31"/>
      <c r="Z2339" s="26" t="str">
        <f t="shared" si="5"/>
        <v/>
      </c>
      <c r="AA2339" s="26" t="str">
        <f t="shared" si="6"/>
        <v/>
      </c>
      <c r="AB2339" s="32" t="str">
        <f t="shared" si="7"/>
        <v/>
      </c>
      <c r="AC2339" s="32" t="str">
        <f t="shared" ref="AC2339:AG2339" si="2361">IF(J2339&lt;&gt;"", IF(AND($P2339=FALSE, $A2339=FALSE), -J2339, IF(AND($P2339=FALSE, $A2339=TRUE), 0, IF($P2339=TRUE, (J2339 / $R2339) * 100 * ($S2339 / 100)-J2339, ))), )</f>
        <v/>
      </c>
      <c r="AD2339" s="32" t="str">
        <f t="shared" si="2361"/>
        <v/>
      </c>
      <c r="AE2339" s="32" t="str">
        <f t="shared" si="2361"/>
        <v/>
      </c>
      <c r="AF2339" s="32" t="str">
        <f t="shared" si="2361"/>
        <v/>
      </c>
      <c r="AG2339" s="32" t="str">
        <f t="shared" si="2361"/>
        <v/>
      </c>
      <c r="AH2339" s="33"/>
    </row>
    <row r="2340" hidden="1" outlineLevel="3">
      <c r="A2340" s="16" t="b">
        <v>0</v>
      </c>
      <c r="B2340" s="17"/>
      <c r="C2340" s="18"/>
      <c r="D2340" s="42"/>
      <c r="E2340" s="20"/>
      <c r="F2340" s="53"/>
      <c r="G2340" s="45"/>
      <c r="H2340" s="45"/>
      <c r="I2340" s="45"/>
      <c r="J2340" s="36"/>
      <c r="K2340" s="23"/>
      <c r="L2340" s="36"/>
      <c r="M2340" s="23"/>
      <c r="N2340" s="23"/>
      <c r="O2340" s="24"/>
      <c r="P2340" s="16" t="b">
        <v>0</v>
      </c>
      <c r="Q2340" s="24"/>
      <c r="R2340" s="48" t="str">
        <f t="shared" si="2103"/>
        <v/>
      </c>
      <c r="S2340" s="26"/>
      <c r="T2340" s="49" t="str">
        <f t="shared" si="2104"/>
        <v/>
      </c>
      <c r="U2340" s="24"/>
      <c r="V2340" s="66" t="s">
        <v>29</v>
      </c>
      <c r="W2340" s="29" t="str">
        <f t="shared" si="2024"/>
        <v>/</v>
      </c>
      <c r="X2340" s="37" t="s">
        <v>284</v>
      </c>
      <c r="Y2340" s="31"/>
      <c r="Z2340" s="26" t="str">
        <f t="shared" si="5"/>
        <v/>
      </c>
      <c r="AA2340" s="26" t="str">
        <f t="shared" si="6"/>
        <v/>
      </c>
      <c r="AB2340" s="32" t="str">
        <f t="shared" si="7"/>
        <v/>
      </c>
      <c r="AC2340" s="32" t="str">
        <f t="shared" ref="AC2340:AG2340" si="2362">IF(J2340&lt;&gt;"", IF(AND($P2340=FALSE, $A2340=FALSE), -J2340, IF(AND($P2340=FALSE, $A2340=TRUE), 0, IF($P2340=TRUE, (J2340 / $R2340) * 100 * ($S2340 / 100)-J2340, ))), )</f>
        <v/>
      </c>
      <c r="AD2340" s="32" t="str">
        <f t="shared" si="2362"/>
        <v/>
      </c>
      <c r="AE2340" s="32" t="str">
        <f t="shared" si="2362"/>
        <v/>
      </c>
      <c r="AF2340" s="32" t="str">
        <f t="shared" si="2362"/>
        <v/>
      </c>
      <c r="AG2340" s="32" t="str">
        <f t="shared" si="2362"/>
        <v/>
      </c>
      <c r="AH2340" s="33"/>
    </row>
    <row r="2341" hidden="1" outlineLevel="2">
      <c r="A2341" s="81" t="b">
        <v>0</v>
      </c>
      <c r="B2341" s="87"/>
      <c r="C2341" s="88"/>
      <c r="D2341" s="42">
        <v>45405.0</v>
      </c>
      <c r="E2341" s="43" t="s">
        <v>60</v>
      </c>
      <c r="F2341" s="53" t="s">
        <v>1465</v>
      </c>
      <c r="G2341" s="45">
        <v>3.0</v>
      </c>
      <c r="H2341" s="79"/>
      <c r="I2341" s="45">
        <v>3.0</v>
      </c>
      <c r="J2341" s="79"/>
      <c r="K2341" s="79"/>
      <c r="L2341" s="79"/>
      <c r="M2341" s="79"/>
      <c r="N2341" s="79"/>
      <c r="O2341" s="47"/>
      <c r="P2341" s="20" t="b">
        <v>0</v>
      </c>
      <c r="Q2341" s="47"/>
      <c r="R2341" s="48">
        <f t="shared" si="2103"/>
        <v>6</v>
      </c>
      <c r="S2341" s="45">
        <v>18.68</v>
      </c>
      <c r="T2341" s="49" t="str">
        <f t="shared" si="2104"/>
        <v>+211</v>
      </c>
      <c r="U2341" s="47"/>
      <c r="V2341" s="89" t="str">
        <f>IF(ISBLANK($D2341), "0",)</f>
        <v/>
      </c>
      <c r="W2341" s="90" t="str">
        <f t="shared" si="2024"/>
        <v/>
      </c>
      <c r="X2341" s="90"/>
      <c r="Y2341" s="84"/>
      <c r="Z2341" s="26">
        <f t="shared" si="5"/>
        <v>-3</v>
      </c>
      <c r="AA2341" s="26">
        <f t="shared" si="6"/>
        <v>-3</v>
      </c>
      <c r="AB2341" s="32" t="str">
        <f t="shared" si="7"/>
        <v/>
      </c>
      <c r="AC2341" s="32" t="str">
        <f t="shared" ref="AC2341:AG2341" si="2363">IF(J2341&lt;&gt;"", IF(AND($P2341=FALSE, $A2341=FALSE), -J2341, IF(AND($P2341=FALSE, $A2341=TRUE), 0, IF($P2341=TRUE, (J2341 / $R2341) * 100 * ($S2341 / 100)-J2341, ))), )</f>
        <v/>
      </c>
      <c r="AD2341" s="32" t="str">
        <f t="shared" si="2363"/>
        <v/>
      </c>
      <c r="AE2341" s="32" t="str">
        <f t="shared" si="2363"/>
        <v/>
      </c>
      <c r="AF2341" s="32" t="str">
        <f t="shared" si="2363"/>
        <v/>
      </c>
      <c r="AG2341" s="32" t="str">
        <f t="shared" si="2363"/>
        <v/>
      </c>
      <c r="AH2341" s="91"/>
    </row>
    <row r="2342" hidden="1" outlineLevel="3">
      <c r="A2342" s="16" t="b">
        <v>0</v>
      </c>
      <c r="B2342" s="17"/>
      <c r="C2342" s="18"/>
      <c r="D2342" s="42"/>
      <c r="E2342" s="20"/>
      <c r="F2342" s="53"/>
      <c r="G2342" s="45"/>
      <c r="H2342" s="45"/>
      <c r="I2342" s="45"/>
      <c r="J2342" s="36"/>
      <c r="K2342" s="23"/>
      <c r="L2342" s="36"/>
      <c r="M2342" s="23"/>
      <c r="N2342" s="23"/>
      <c r="O2342" s="24"/>
      <c r="P2342" s="16" t="b">
        <v>0</v>
      </c>
      <c r="Q2342" s="24"/>
      <c r="R2342" s="48" t="str">
        <f t="shared" si="2103"/>
        <v/>
      </c>
      <c r="S2342" s="26"/>
      <c r="T2342" s="49" t="str">
        <f t="shared" si="2104"/>
        <v/>
      </c>
      <c r="U2342" s="24"/>
      <c r="V2342" s="66" t="s">
        <v>29</v>
      </c>
      <c r="W2342" s="29" t="str">
        <f t="shared" si="2024"/>
        <v>/</v>
      </c>
      <c r="X2342" s="37" t="s">
        <v>559</v>
      </c>
      <c r="Y2342" s="31"/>
      <c r="Z2342" s="26" t="str">
        <f t="shared" si="5"/>
        <v/>
      </c>
      <c r="AA2342" s="26" t="str">
        <f t="shared" si="6"/>
        <v/>
      </c>
      <c r="AB2342" s="32" t="str">
        <f t="shared" si="7"/>
        <v/>
      </c>
      <c r="AC2342" s="32" t="str">
        <f t="shared" ref="AC2342:AG2342" si="2364">IF(J2342&lt;&gt;"", IF(AND($P2342=FALSE, $A2342=FALSE), -J2342, IF(AND($P2342=FALSE, $A2342=TRUE), 0, IF($P2342=TRUE, (J2342 / $R2342) * 100 * ($S2342 / 100)-J2342, ))), )</f>
        <v/>
      </c>
      <c r="AD2342" s="32" t="str">
        <f t="shared" si="2364"/>
        <v/>
      </c>
      <c r="AE2342" s="32" t="str">
        <f t="shared" si="2364"/>
        <v/>
      </c>
      <c r="AF2342" s="32" t="str">
        <f t="shared" si="2364"/>
        <v/>
      </c>
      <c r="AG2342" s="32" t="str">
        <f t="shared" si="2364"/>
        <v/>
      </c>
      <c r="AH2342" s="33"/>
    </row>
    <row r="2343" hidden="1" outlineLevel="3">
      <c r="A2343" s="16" t="b">
        <v>0</v>
      </c>
      <c r="B2343" s="17"/>
      <c r="C2343" s="18"/>
      <c r="D2343" s="42"/>
      <c r="E2343" s="20"/>
      <c r="F2343" s="53"/>
      <c r="G2343" s="45"/>
      <c r="H2343" s="45"/>
      <c r="I2343" s="45"/>
      <c r="J2343" s="36"/>
      <c r="K2343" s="23"/>
      <c r="L2343" s="36"/>
      <c r="M2343" s="23"/>
      <c r="N2343" s="23"/>
      <c r="O2343" s="24"/>
      <c r="P2343" s="16" t="b">
        <v>0</v>
      </c>
      <c r="Q2343" s="24"/>
      <c r="R2343" s="48" t="str">
        <f t="shared" si="2103"/>
        <v/>
      </c>
      <c r="S2343" s="26"/>
      <c r="T2343" s="49" t="str">
        <f t="shared" si="2104"/>
        <v/>
      </c>
      <c r="U2343" s="24"/>
      <c r="V2343" s="86" t="s">
        <v>1470</v>
      </c>
      <c r="W2343" s="29" t="str">
        <f t="shared" si="2024"/>
        <v>/</v>
      </c>
      <c r="X2343" s="37" t="s">
        <v>974</v>
      </c>
      <c r="Y2343" s="31"/>
      <c r="Z2343" s="26" t="str">
        <f t="shared" si="5"/>
        <v/>
      </c>
      <c r="AA2343" s="26" t="str">
        <f t="shared" si="6"/>
        <v/>
      </c>
      <c r="AB2343" s="32" t="str">
        <f t="shared" si="7"/>
        <v/>
      </c>
      <c r="AC2343" s="32" t="str">
        <f t="shared" ref="AC2343:AG2343" si="2365">IF(J2343&lt;&gt;"", IF(AND($P2343=FALSE, $A2343=FALSE), -J2343, IF(AND($P2343=FALSE, $A2343=TRUE), 0, IF($P2343=TRUE, (J2343 / $R2343) * 100 * ($S2343 / 100)-J2343, ))), )</f>
        <v/>
      </c>
      <c r="AD2343" s="32" t="str">
        <f t="shared" si="2365"/>
        <v/>
      </c>
      <c r="AE2343" s="32" t="str">
        <f t="shared" si="2365"/>
        <v/>
      </c>
      <c r="AF2343" s="32" t="str">
        <f t="shared" si="2365"/>
        <v/>
      </c>
      <c r="AG2343" s="32" t="str">
        <f t="shared" si="2365"/>
        <v/>
      </c>
      <c r="AH2343" s="33"/>
    </row>
    <row r="2344" hidden="1" outlineLevel="1" collapsed="1">
      <c r="A2344" s="81" t="b">
        <v>0</v>
      </c>
      <c r="B2344" s="87"/>
      <c r="C2344" s="88"/>
      <c r="D2344" s="42">
        <v>45406.0</v>
      </c>
      <c r="E2344" s="43" t="s">
        <v>60</v>
      </c>
      <c r="F2344" s="53" t="s">
        <v>1465</v>
      </c>
      <c r="G2344" s="45">
        <v>3.0</v>
      </c>
      <c r="H2344" s="79"/>
      <c r="I2344" s="45">
        <v>3.0</v>
      </c>
      <c r="J2344" s="79"/>
      <c r="K2344" s="79"/>
      <c r="L2344" s="79"/>
      <c r="M2344" s="79"/>
      <c r="N2344" s="79"/>
      <c r="O2344" s="47"/>
      <c r="P2344" s="20" t="b">
        <v>1</v>
      </c>
      <c r="Q2344" s="47"/>
      <c r="R2344" s="48">
        <f t="shared" si="2103"/>
        <v>6</v>
      </c>
      <c r="S2344" s="45">
        <v>13.58</v>
      </c>
      <c r="T2344" s="49" t="str">
        <f t="shared" si="2104"/>
        <v>+126</v>
      </c>
      <c r="U2344" s="47"/>
      <c r="V2344" s="89" t="str">
        <f>IF(ISBLANK($D2344), "0",)</f>
        <v/>
      </c>
      <c r="W2344" s="90" t="str">
        <f t="shared" si="2024"/>
        <v/>
      </c>
      <c r="X2344" s="90"/>
      <c r="Y2344" s="84"/>
      <c r="Z2344" s="26">
        <f t="shared" si="5"/>
        <v>3.79</v>
      </c>
      <c r="AA2344" s="26">
        <f t="shared" si="6"/>
        <v>3.79</v>
      </c>
      <c r="AB2344" s="32" t="str">
        <f t="shared" si="7"/>
        <v/>
      </c>
      <c r="AC2344" s="32" t="str">
        <f t="shared" ref="AC2344:AG2344" si="2366">IF(J2344&lt;&gt;"", IF(AND($P2344=FALSE, $A2344=FALSE), -J2344, IF(AND($P2344=FALSE, $A2344=TRUE), 0, IF($P2344=TRUE, (J2344 / $R2344) * 100 * ($S2344 / 100)-J2344, ))), )</f>
        <v/>
      </c>
      <c r="AD2344" s="32" t="str">
        <f t="shared" si="2366"/>
        <v/>
      </c>
      <c r="AE2344" s="32" t="str">
        <f t="shared" si="2366"/>
        <v/>
      </c>
      <c r="AF2344" s="32" t="str">
        <f t="shared" si="2366"/>
        <v/>
      </c>
      <c r="AG2344" s="32" t="str">
        <f t="shared" si="2366"/>
        <v/>
      </c>
      <c r="AH2344" s="91"/>
    </row>
    <row r="2345" hidden="1" outlineLevel="3">
      <c r="A2345" s="16" t="b">
        <v>0</v>
      </c>
      <c r="B2345" s="17"/>
      <c r="C2345" s="18"/>
      <c r="D2345" s="42"/>
      <c r="E2345" s="20"/>
      <c r="F2345" s="53"/>
      <c r="G2345" s="45"/>
      <c r="H2345" s="45"/>
      <c r="I2345" s="45"/>
      <c r="J2345" s="36"/>
      <c r="K2345" s="23"/>
      <c r="L2345" s="36"/>
      <c r="M2345" s="23"/>
      <c r="N2345" s="23"/>
      <c r="O2345" s="24"/>
      <c r="P2345" s="16" t="b">
        <v>0</v>
      </c>
      <c r="Q2345" s="24"/>
      <c r="R2345" s="48" t="str">
        <f t="shared" si="2103"/>
        <v/>
      </c>
      <c r="S2345" s="26"/>
      <c r="T2345" s="49" t="str">
        <f t="shared" si="2104"/>
        <v/>
      </c>
      <c r="U2345" s="24"/>
      <c r="V2345" s="66" t="s">
        <v>29</v>
      </c>
      <c r="W2345" s="29" t="str">
        <f t="shared" si="2024"/>
        <v>/</v>
      </c>
      <c r="X2345" s="37" t="s">
        <v>289</v>
      </c>
      <c r="Y2345" s="31"/>
      <c r="Z2345" s="26" t="str">
        <f t="shared" si="5"/>
        <v/>
      </c>
      <c r="AA2345" s="26" t="str">
        <f t="shared" si="6"/>
        <v/>
      </c>
      <c r="AB2345" s="32" t="str">
        <f t="shared" si="7"/>
        <v/>
      </c>
      <c r="AC2345" s="32" t="str">
        <f t="shared" ref="AC2345:AG2345" si="2367">IF(J2345&lt;&gt;"", IF(AND($P2345=FALSE, $A2345=FALSE), -J2345, IF(AND($P2345=FALSE, $A2345=TRUE), 0, IF($P2345=TRUE, (J2345 / $R2345) * 100 * ($S2345 / 100)-J2345, ))), )</f>
        <v/>
      </c>
      <c r="AD2345" s="32" t="str">
        <f t="shared" si="2367"/>
        <v/>
      </c>
      <c r="AE2345" s="32" t="str">
        <f t="shared" si="2367"/>
        <v/>
      </c>
      <c r="AF2345" s="32" t="str">
        <f t="shared" si="2367"/>
        <v/>
      </c>
      <c r="AG2345" s="32" t="str">
        <f t="shared" si="2367"/>
        <v/>
      </c>
      <c r="AH2345" s="33"/>
    </row>
    <row r="2346" hidden="1" outlineLevel="3">
      <c r="A2346" s="16" t="b">
        <v>0</v>
      </c>
      <c r="B2346" s="17"/>
      <c r="C2346" s="18"/>
      <c r="D2346" s="42"/>
      <c r="E2346" s="20"/>
      <c r="F2346" s="53"/>
      <c r="G2346" s="45"/>
      <c r="H2346" s="45"/>
      <c r="I2346" s="45"/>
      <c r="J2346" s="36"/>
      <c r="K2346" s="23"/>
      <c r="L2346" s="36"/>
      <c r="M2346" s="23"/>
      <c r="N2346" s="23"/>
      <c r="O2346" s="24"/>
      <c r="P2346" s="16" t="b">
        <v>0</v>
      </c>
      <c r="Q2346" s="24"/>
      <c r="R2346" s="48" t="str">
        <f t="shared" si="2103"/>
        <v/>
      </c>
      <c r="S2346" s="26"/>
      <c r="T2346" s="49" t="str">
        <f t="shared" si="2104"/>
        <v/>
      </c>
      <c r="U2346" s="24"/>
      <c r="V2346" s="66" t="s">
        <v>29</v>
      </c>
      <c r="W2346" s="29" t="str">
        <f t="shared" si="2024"/>
        <v>/</v>
      </c>
      <c r="X2346" s="37" t="s">
        <v>1385</v>
      </c>
      <c r="Y2346" s="31"/>
      <c r="Z2346" s="26" t="str">
        <f t="shared" si="5"/>
        <v/>
      </c>
      <c r="AA2346" s="26" t="str">
        <f t="shared" si="6"/>
        <v/>
      </c>
      <c r="AB2346" s="32" t="str">
        <f t="shared" si="7"/>
        <v/>
      </c>
      <c r="AC2346" s="32" t="str">
        <f t="shared" ref="AC2346:AG2346" si="2368">IF(J2346&lt;&gt;"", IF(AND($P2346=FALSE, $A2346=FALSE), -J2346, IF(AND($P2346=FALSE, $A2346=TRUE), 0, IF($P2346=TRUE, (J2346 / $R2346) * 100 * ($S2346 / 100)-J2346, ))), )</f>
        <v/>
      </c>
      <c r="AD2346" s="32" t="str">
        <f t="shared" si="2368"/>
        <v/>
      </c>
      <c r="AE2346" s="32" t="str">
        <f t="shared" si="2368"/>
        <v/>
      </c>
      <c r="AF2346" s="32" t="str">
        <f t="shared" si="2368"/>
        <v/>
      </c>
      <c r="AG2346" s="32" t="str">
        <f t="shared" si="2368"/>
        <v/>
      </c>
      <c r="AH2346" s="33"/>
    </row>
    <row r="2347" hidden="1" outlineLevel="3">
      <c r="A2347" s="16" t="b">
        <v>0</v>
      </c>
      <c r="B2347" s="17"/>
      <c r="C2347" s="18"/>
      <c r="D2347" s="42"/>
      <c r="E2347" s="20"/>
      <c r="F2347" s="53"/>
      <c r="G2347" s="45"/>
      <c r="H2347" s="45"/>
      <c r="I2347" s="45"/>
      <c r="J2347" s="36"/>
      <c r="K2347" s="23"/>
      <c r="L2347" s="36"/>
      <c r="M2347" s="23"/>
      <c r="N2347" s="23"/>
      <c r="O2347" s="24"/>
      <c r="P2347" s="16" t="b">
        <v>0</v>
      </c>
      <c r="Q2347" s="24"/>
      <c r="R2347" s="48" t="str">
        <f t="shared" si="2103"/>
        <v/>
      </c>
      <c r="S2347" s="26"/>
      <c r="T2347" s="49" t="str">
        <f t="shared" si="2104"/>
        <v/>
      </c>
      <c r="U2347" s="24"/>
      <c r="V2347" s="66" t="s">
        <v>29</v>
      </c>
      <c r="W2347" s="29" t="str">
        <f t="shared" si="2024"/>
        <v>/</v>
      </c>
      <c r="X2347" s="37" t="s">
        <v>1471</v>
      </c>
      <c r="Y2347" s="31"/>
      <c r="Z2347" s="26" t="str">
        <f t="shared" si="5"/>
        <v/>
      </c>
      <c r="AA2347" s="26" t="str">
        <f t="shared" si="6"/>
        <v/>
      </c>
      <c r="AB2347" s="32" t="str">
        <f t="shared" si="7"/>
        <v/>
      </c>
      <c r="AC2347" s="32" t="str">
        <f t="shared" ref="AC2347:AG2347" si="2369">IF(J2347&lt;&gt;"", IF(AND($P2347=FALSE, $A2347=FALSE), -J2347, IF(AND($P2347=FALSE, $A2347=TRUE), 0, IF($P2347=TRUE, (J2347 / $R2347) * 100 * ($S2347 / 100)-J2347, ))), )</f>
        <v/>
      </c>
      <c r="AD2347" s="32" t="str">
        <f t="shared" si="2369"/>
        <v/>
      </c>
      <c r="AE2347" s="32" t="str">
        <f t="shared" si="2369"/>
        <v/>
      </c>
      <c r="AF2347" s="32" t="str">
        <f t="shared" si="2369"/>
        <v/>
      </c>
      <c r="AG2347" s="32" t="str">
        <f t="shared" si="2369"/>
        <v/>
      </c>
      <c r="AH2347" s="33"/>
    </row>
    <row r="2348" hidden="1" outlineLevel="1" collapsed="1">
      <c r="A2348" s="81" t="b">
        <v>0</v>
      </c>
      <c r="B2348" s="87"/>
      <c r="C2348" s="88"/>
      <c r="D2348" s="42">
        <v>45406.0</v>
      </c>
      <c r="E2348" s="43" t="s">
        <v>60</v>
      </c>
      <c r="F2348" s="53" t="s">
        <v>1465</v>
      </c>
      <c r="G2348" s="45">
        <v>3.0</v>
      </c>
      <c r="H2348" s="79"/>
      <c r="I2348" s="45"/>
      <c r="J2348" s="79"/>
      <c r="K2348" s="79"/>
      <c r="L2348" s="79"/>
      <c r="M2348" s="79"/>
      <c r="N2348" s="79"/>
      <c r="O2348" s="47"/>
      <c r="P2348" s="20" t="b">
        <v>0</v>
      </c>
      <c r="Q2348" s="47"/>
      <c r="R2348" s="48">
        <f t="shared" si="2103"/>
        <v>3</v>
      </c>
      <c r="S2348" s="45">
        <v>6.77</v>
      </c>
      <c r="T2348" s="49" t="str">
        <f t="shared" si="2104"/>
        <v>+126</v>
      </c>
      <c r="U2348" s="47"/>
      <c r="V2348" s="89" t="str">
        <f>IF(ISBLANK($D2348), "0",)</f>
        <v/>
      </c>
      <c r="W2348" s="90" t="str">
        <f t="shared" si="2024"/>
        <v/>
      </c>
      <c r="X2348" s="90"/>
      <c r="Y2348" s="84"/>
      <c r="Z2348" s="26">
        <f t="shared" si="5"/>
        <v>-3</v>
      </c>
      <c r="AA2348" s="26" t="str">
        <f t="shared" si="6"/>
        <v/>
      </c>
      <c r="AB2348" s="32" t="str">
        <f t="shared" si="7"/>
        <v/>
      </c>
      <c r="AC2348" s="32" t="str">
        <f t="shared" ref="AC2348:AG2348" si="2370">IF(J2348&lt;&gt;"", IF(AND($P2348=FALSE, $A2348=FALSE), -J2348, IF(AND($P2348=FALSE, $A2348=TRUE), 0, IF($P2348=TRUE, (J2348 / $R2348) * 100 * ($S2348 / 100)-J2348, ))), )</f>
        <v/>
      </c>
      <c r="AD2348" s="32" t="str">
        <f t="shared" si="2370"/>
        <v/>
      </c>
      <c r="AE2348" s="32" t="str">
        <f t="shared" si="2370"/>
        <v/>
      </c>
      <c r="AF2348" s="32" t="str">
        <f t="shared" si="2370"/>
        <v/>
      </c>
      <c r="AG2348" s="32" t="str">
        <f t="shared" si="2370"/>
        <v/>
      </c>
      <c r="AH2348" s="91"/>
    </row>
    <row r="2349" hidden="1" outlineLevel="3">
      <c r="A2349" s="16" t="b">
        <v>0</v>
      </c>
      <c r="B2349" s="17"/>
      <c r="C2349" s="18"/>
      <c r="D2349" s="42"/>
      <c r="E2349" s="20"/>
      <c r="F2349" s="53"/>
      <c r="G2349" s="45"/>
      <c r="H2349" s="45"/>
      <c r="I2349" s="45"/>
      <c r="J2349" s="36"/>
      <c r="K2349" s="23"/>
      <c r="L2349" s="36"/>
      <c r="M2349" s="23"/>
      <c r="N2349" s="23"/>
      <c r="O2349" s="24"/>
      <c r="P2349" s="16" t="b">
        <v>0</v>
      </c>
      <c r="Q2349" s="24"/>
      <c r="R2349" s="48" t="str">
        <f t="shared" si="2103"/>
        <v/>
      </c>
      <c r="S2349" s="26"/>
      <c r="T2349" s="49" t="str">
        <f t="shared" si="2104"/>
        <v/>
      </c>
      <c r="U2349" s="24"/>
      <c r="V2349" s="66">
        <v>28.0</v>
      </c>
      <c r="W2349" s="29" t="str">
        <f t="shared" si="2024"/>
        <v>/</v>
      </c>
      <c r="X2349" s="37" t="s">
        <v>1472</v>
      </c>
      <c r="Y2349" s="31"/>
      <c r="Z2349" s="26" t="str">
        <f t="shared" si="5"/>
        <v/>
      </c>
      <c r="AA2349" s="26" t="str">
        <f t="shared" si="6"/>
        <v/>
      </c>
      <c r="AB2349" s="32" t="str">
        <f t="shared" si="7"/>
        <v/>
      </c>
      <c r="AC2349" s="32" t="str">
        <f t="shared" ref="AC2349:AG2349" si="2371">IF(J2349&lt;&gt;"", IF(AND($P2349=FALSE, $A2349=FALSE), -J2349, IF(AND($P2349=FALSE, $A2349=TRUE), 0, IF($P2349=TRUE, (J2349 / $R2349) * 100 * ($S2349 / 100)-J2349, ))), )</f>
        <v/>
      </c>
      <c r="AD2349" s="32" t="str">
        <f t="shared" si="2371"/>
        <v/>
      </c>
      <c r="AE2349" s="32" t="str">
        <f t="shared" si="2371"/>
        <v/>
      </c>
      <c r="AF2349" s="32" t="str">
        <f t="shared" si="2371"/>
        <v/>
      </c>
      <c r="AG2349" s="32" t="str">
        <f t="shared" si="2371"/>
        <v/>
      </c>
      <c r="AH2349" s="33"/>
    </row>
    <row r="2350" hidden="1" outlineLevel="3">
      <c r="A2350" s="16" t="b">
        <v>0</v>
      </c>
      <c r="B2350" s="17"/>
      <c r="C2350" s="18"/>
      <c r="D2350" s="42"/>
      <c r="E2350" s="20"/>
      <c r="F2350" s="53"/>
      <c r="G2350" s="45"/>
      <c r="H2350" s="45"/>
      <c r="I2350" s="45"/>
      <c r="J2350" s="36"/>
      <c r="K2350" s="23"/>
      <c r="L2350" s="36"/>
      <c r="M2350" s="23"/>
      <c r="N2350" s="23"/>
      <c r="O2350" s="24"/>
      <c r="P2350" s="16" t="b">
        <v>0</v>
      </c>
      <c r="Q2350" s="24"/>
      <c r="R2350" s="48" t="str">
        <f t="shared" si="2103"/>
        <v/>
      </c>
      <c r="S2350" s="26"/>
      <c r="T2350" s="49" t="str">
        <f t="shared" si="2104"/>
        <v/>
      </c>
      <c r="U2350" s="24"/>
      <c r="V2350" s="28" t="str">
        <f>IF(ISBLANK($D2350), "0",)</f>
        <v>0</v>
      </c>
      <c r="W2350" s="29" t="str">
        <f t="shared" si="2024"/>
        <v>/</v>
      </c>
      <c r="X2350" s="37" t="s">
        <v>1382</v>
      </c>
      <c r="Y2350" s="31"/>
      <c r="Z2350" s="26" t="str">
        <f t="shared" si="5"/>
        <v/>
      </c>
      <c r="AA2350" s="26" t="str">
        <f t="shared" si="6"/>
        <v/>
      </c>
      <c r="AB2350" s="32" t="str">
        <f t="shared" si="7"/>
        <v/>
      </c>
      <c r="AC2350" s="32" t="str">
        <f t="shared" ref="AC2350:AG2350" si="2372">IF(J2350&lt;&gt;"", IF(AND($P2350=FALSE, $A2350=FALSE), -J2350, IF(AND($P2350=FALSE, $A2350=TRUE), 0, IF($P2350=TRUE, (J2350 / $R2350) * 100 * ($S2350 / 100)-J2350, ))), )</f>
        <v/>
      </c>
      <c r="AD2350" s="32" t="str">
        <f t="shared" si="2372"/>
        <v/>
      </c>
      <c r="AE2350" s="32" t="str">
        <f t="shared" si="2372"/>
        <v/>
      </c>
      <c r="AF2350" s="32" t="str">
        <f t="shared" si="2372"/>
        <v/>
      </c>
      <c r="AG2350" s="32" t="str">
        <f t="shared" si="2372"/>
        <v/>
      </c>
      <c r="AH2350" s="33"/>
    </row>
    <row r="2351" hidden="1" outlineLevel="3">
      <c r="A2351" s="16" t="b">
        <v>0</v>
      </c>
      <c r="B2351" s="17"/>
      <c r="C2351" s="18"/>
      <c r="D2351" s="42"/>
      <c r="E2351" s="20"/>
      <c r="F2351" s="53"/>
      <c r="G2351" s="45"/>
      <c r="H2351" s="45"/>
      <c r="I2351" s="45"/>
      <c r="J2351" s="36"/>
      <c r="K2351" s="23"/>
      <c r="L2351" s="36"/>
      <c r="M2351" s="23"/>
      <c r="N2351" s="23"/>
      <c r="O2351" s="24"/>
      <c r="P2351" s="16" t="b">
        <v>0</v>
      </c>
      <c r="Q2351" s="24"/>
      <c r="R2351" s="48" t="str">
        <f t="shared" si="2103"/>
        <v/>
      </c>
      <c r="S2351" s="26"/>
      <c r="T2351" s="49" t="str">
        <f t="shared" si="2104"/>
        <v/>
      </c>
      <c r="U2351" s="24"/>
      <c r="V2351" s="66" t="s">
        <v>29</v>
      </c>
      <c r="W2351" s="29" t="str">
        <f t="shared" si="2024"/>
        <v>/</v>
      </c>
      <c r="X2351" s="37" t="s">
        <v>1473</v>
      </c>
      <c r="Y2351" s="31"/>
      <c r="Z2351" s="26" t="str">
        <f t="shared" si="5"/>
        <v/>
      </c>
      <c r="AA2351" s="26" t="str">
        <f t="shared" si="6"/>
        <v/>
      </c>
      <c r="AB2351" s="32" t="str">
        <f t="shared" si="7"/>
        <v/>
      </c>
      <c r="AC2351" s="32" t="str">
        <f t="shared" ref="AC2351:AG2351" si="2373">IF(J2351&lt;&gt;"", IF(AND($P2351=FALSE, $A2351=FALSE), -J2351, IF(AND($P2351=FALSE, $A2351=TRUE), 0, IF($P2351=TRUE, (J2351 / $R2351) * 100 * ($S2351 / 100)-J2351, ))), )</f>
        <v/>
      </c>
      <c r="AD2351" s="32" t="str">
        <f t="shared" si="2373"/>
        <v/>
      </c>
      <c r="AE2351" s="32" t="str">
        <f t="shared" si="2373"/>
        <v/>
      </c>
      <c r="AF2351" s="32" t="str">
        <f t="shared" si="2373"/>
        <v/>
      </c>
      <c r="AG2351" s="32" t="str">
        <f t="shared" si="2373"/>
        <v/>
      </c>
      <c r="AH2351" s="33"/>
    </row>
    <row r="2352" hidden="1" outlineLevel="2">
      <c r="A2352" s="81" t="b">
        <v>0</v>
      </c>
      <c r="B2352" s="87"/>
      <c r="C2352" s="88"/>
      <c r="D2352" s="42">
        <v>45406.0</v>
      </c>
      <c r="E2352" s="43" t="s">
        <v>60</v>
      </c>
      <c r="F2352" s="53" t="s">
        <v>1465</v>
      </c>
      <c r="G2352" s="45">
        <v>3.0</v>
      </c>
      <c r="H2352" s="79"/>
      <c r="I2352" s="45"/>
      <c r="J2352" s="79"/>
      <c r="K2352" s="79"/>
      <c r="L2352" s="79"/>
      <c r="M2352" s="79"/>
      <c r="N2352" s="79"/>
      <c r="O2352" s="47"/>
      <c r="P2352" s="20" t="b">
        <v>0</v>
      </c>
      <c r="Q2352" s="47"/>
      <c r="R2352" s="45">
        <v>7.0</v>
      </c>
      <c r="S2352" s="45">
        <v>12.83</v>
      </c>
      <c r="T2352" s="49">
        <f t="shared" si="2104"/>
        <v>-120</v>
      </c>
      <c r="U2352" s="47"/>
      <c r="V2352" s="89" t="str">
        <f>IF(ISBLANK($D2352), "0",)</f>
        <v/>
      </c>
      <c r="W2352" s="90" t="str">
        <f t="shared" si="2024"/>
        <v/>
      </c>
      <c r="X2352" s="90"/>
      <c r="Y2352" s="84"/>
      <c r="Z2352" s="26">
        <f t="shared" si="5"/>
        <v>-3</v>
      </c>
      <c r="AA2352" s="26" t="str">
        <f t="shared" si="6"/>
        <v/>
      </c>
      <c r="AB2352" s="32" t="str">
        <f t="shared" si="7"/>
        <v/>
      </c>
      <c r="AC2352" s="32" t="str">
        <f t="shared" ref="AC2352:AG2352" si="2374">IF(J2352&lt;&gt;"", IF(AND($P2352=FALSE, $A2352=FALSE), -J2352, IF(AND($P2352=FALSE, $A2352=TRUE), 0, IF($P2352=TRUE, (J2352 / $R2352) * 100 * ($S2352 / 100)-J2352, ))), )</f>
        <v/>
      </c>
      <c r="AD2352" s="32" t="str">
        <f t="shared" si="2374"/>
        <v/>
      </c>
      <c r="AE2352" s="32" t="str">
        <f t="shared" si="2374"/>
        <v/>
      </c>
      <c r="AF2352" s="32" t="str">
        <f t="shared" si="2374"/>
        <v/>
      </c>
      <c r="AG2352" s="32" t="str">
        <f t="shared" si="2374"/>
        <v/>
      </c>
      <c r="AH2352" s="91"/>
    </row>
    <row r="2353" hidden="1" outlineLevel="3">
      <c r="A2353" s="16" t="b">
        <v>0</v>
      </c>
      <c r="B2353" s="17"/>
      <c r="C2353" s="18"/>
      <c r="D2353" s="42"/>
      <c r="E2353" s="20"/>
      <c r="F2353" s="53"/>
      <c r="G2353" s="45"/>
      <c r="H2353" s="45"/>
      <c r="I2353" s="45"/>
      <c r="J2353" s="36"/>
      <c r="K2353" s="23"/>
      <c r="L2353" s="36"/>
      <c r="M2353" s="23"/>
      <c r="N2353" s="23"/>
      <c r="O2353" s="24"/>
      <c r="P2353" s="16" t="b">
        <v>0</v>
      </c>
      <c r="Q2353" s="24"/>
      <c r="R2353" s="48" t="str">
        <f t="shared" ref="R2353:R2691" si="2376">IF(G2353 &lt;&gt; "",SUM(G2353:O2353),)</f>
        <v/>
      </c>
      <c r="S2353" s="26"/>
      <c r="T2353" s="49" t="str">
        <f t="shared" si="2104"/>
        <v/>
      </c>
      <c r="U2353" s="24"/>
      <c r="V2353" s="66">
        <v>2.0</v>
      </c>
      <c r="W2353" s="29" t="str">
        <f t="shared" si="2024"/>
        <v>/</v>
      </c>
      <c r="X2353" s="37" t="s">
        <v>1474</v>
      </c>
      <c r="Y2353" s="31"/>
      <c r="Z2353" s="26" t="str">
        <f t="shared" si="5"/>
        <v/>
      </c>
      <c r="AA2353" s="26" t="str">
        <f t="shared" si="6"/>
        <v/>
      </c>
      <c r="AB2353" s="32" t="str">
        <f t="shared" si="7"/>
        <v/>
      </c>
      <c r="AC2353" s="32" t="str">
        <f t="shared" ref="AC2353:AG2353" si="2375">IF(J2353&lt;&gt;"", IF(AND($P2353=FALSE, $A2353=FALSE), -J2353, IF(AND($P2353=FALSE, $A2353=TRUE), 0, IF($P2353=TRUE, (J2353 / $R2353) * 100 * ($S2353 / 100)-J2353, ))), )</f>
        <v/>
      </c>
      <c r="AD2353" s="32" t="str">
        <f t="shared" si="2375"/>
        <v/>
      </c>
      <c r="AE2353" s="32" t="str">
        <f t="shared" si="2375"/>
        <v/>
      </c>
      <c r="AF2353" s="32" t="str">
        <f t="shared" si="2375"/>
        <v/>
      </c>
      <c r="AG2353" s="32" t="str">
        <f t="shared" si="2375"/>
        <v/>
      </c>
      <c r="AH2353" s="33"/>
    </row>
    <row r="2354" hidden="1" outlineLevel="1">
      <c r="A2354" s="81" t="b">
        <v>0</v>
      </c>
      <c r="B2354" s="87"/>
      <c r="C2354" s="88"/>
      <c r="D2354" s="42">
        <v>45406.0</v>
      </c>
      <c r="E2354" s="80" t="s">
        <v>1475</v>
      </c>
      <c r="F2354" s="19" t="s">
        <v>1476</v>
      </c>
      <c r="G2354" s="45">
        <v>2.0</v>
      </c>
      <c r="H2354" s="79"/>
      <c r="I2354" s="45"/>
      <c r="J2354" s="79"/>
      <c r="K2354" s="79"/>
      <c r="L2354" s="79"/>
      <c r="M2354" s="79"/>
      <c r="N2354" s="79"/>
      <c r="O2354" s="47"/>
      <c r="P2354" s="20" t="b">
        <v>1</v>
      </c>
      <c r="Q2354" s="47"/>
      <c r="R2354" s="48">
        <f t="shared" si="2376"/>
        <v>2</v>
      </c>
      <c r="S2354" s="45">
        <v>7.4</v>
      </c>
      <c r="T2354" s="49" t="str">
        <f t="shared" si="2104"/>
        <v>+270</v>
      </c>
      <c r="U2354" s="47"/>
      <c r="V2354" s="89" t="str">
        <f t="shared" ref="V2354:V2357" si="2378">IF(ISBLANK($D2354), "0",)</f>
        <v/>
      </c>
      <c r="W2354" s="90" t="str">
        <f t="shared" si="2024"/>
        <v/>
      </c>
      <c r="X2354" s="90"/>
      <c r="Y2354" s="84"/>
      <c r="Z2354" s="26">
        <f t="shared" si="5"/>
        <v>5.4</v>
      </c>
      <c r="AA2354" s="26" t="str">
        <f t="shared" si="6"/>
        <v/>
      </c>
      <c r="AB2354" s="32" t="str">
        <f t="shared" si="7"/>
        <v/>
      </c>
      <c r="AC2354" s="32" t="str">
        <f t="shared" ref="AC2354:AG2354" si="2377">IF(J2354&lt;&gt;"", IF(AND($P2354=FALSE, $A2354=FALSE), -J2354, IF(AND($P2354=FALSE, $A2354=TRUE), 0, IF($P2354=TRUE, (J2354 / $R2354) * 100 * ($S2354 / 100)-J2354, ))), )</f>
        <v/>
      </c>
      <c r="AD2354" s="32" t="str">
        <f t="shared" si="2377"/>
        <v/>
      </c>
      <c r="AE2354" s="32" t="str">
        <f t="shared" si="2377"/>
        <v/>
      </c>
      <c r="AF2354" s="32" t="str">
        <f t="shared" si="2377"/>
        <v/>
      </c>
      <c r="AG2354" s="32" t="str">
        <f t="shared" si="2377"/>
        <v/>
      </c>
      <c r="AH2354" s="91"/>
    </row>
    <row r="2355" hidden="1" outlineLevel="3">
      <c r="A2355" s="16" t="b">
        <v>0</v>
      </c>
      <c r="B2355" s="17"/>
      <c r="C2355" s="18"/>
      <c r="D2355" s="42"/>
      <c r="E2355" s="20"/>
      <c r="F2355" s="53"/>
      <c r="G2355" s="45"/>
      <c r="H2355" s="45"/>
      <c r="I2355" s="45"/>
      <c r="J2355" s="36"/>
      <c r="K2355" s="23"/>
      <c r="L2355" s="36"/>
      <c r="M2355" s="23"/>
      <c r="N2355" s="23"/>
      <c r="O2355" s="24"/>
      <c r="P2355" s="16" t="b">
        <v>0</v>
      </c>
      <c r="Q2355" s="24"/>
      <c r="R2355" s="48" t="str">
        <f t="shared" si="2376"/>
        <v/>
      </c>
      <c r="S2355" s="26"/>
      <c r="T2355" s="49" t="str">
        <f t="shared" si="2104"/>
        <v/>
      </c>
      <c r="U2355" s="24"/>
      <c r="V2355" s="28" t="str">
        <f t="shared" si="2378"/>
        <v>0</v>
      </c>
      <c r="W2355" s="29" t="str">
        <f t="shared" si="2024"/>
        <v>/</v>
      </c>
      <c r="X2355" s="37" t="s">
        <v>1477</v>
      </c>
      <c r="Y2355" s="31"/>
      <c r="Z2355" s="26" t="str">
        <f t="shared" si="5"/>
        <v/>
      </c>
      <c r="AA2355" s="26" t="str">
        <f t="shared" si="6"/>
        <v/>
      </c>
      <c r="AB2355" s="32" t="str">
        <f t="shared" si="7"/>
        <v/>
      </c>
      <c r="AC2355" s="32" t="str">
        <f t="shared" ref="AC2355:AG2355" si="2379">IF(J2355&lt;&gt;"", IF(AND($P2355=FALSE, $A2355=FALSE), -J2355, IF(AND($P2355=FALSE, $A2355=TRUE), 0, IF($P2355=TRUE, (J2355 / $R2355) * 100 * ($S2355 / 100)-J2355, ))), )</f>
        <v/>
      </c>
      <c r="AD2355" s="32" t="str">
        <f t="shared" si="2379"/>
        <v/>
      </c>
      <c r="AE2355" s="32" t="str">
        <f t="shared" si="2379"/>
        <v/>
      </c>
      <c r="AF2355" s="32" t="str">
        <f t="shared" si="2379"/>
        <v/>
      </c>
      <c r="AG2355" s="32" t="str">
        <f t="shared" si="2379"/>
        <v/>
      </c>
      <c r="AH2355" s="33"/>
    </row>
    <row r="2356" hidden="1" outlineLevel="1" collapsed="1">
      <c r="A2356" s="16" t="b">
        <v>0</v>
      </c>
      <c r="B2356" s="17"/>
      <c r="C2356" s="18"/>
      <c r="D2356" s="42">
        <v>45500.0</v>
      </c>
      <c r="E2356" s="20"/>
      <c r="F2356" s="53"/>
      <c r="G2356" s="45">
        <v>1.0</v>
      </c>
      <c r="H2356" s="45"/>
      <c r="I2356" s="45">
        <v>4.0</v>
      </c>
      <c r="J2356" s="36"/>
      <c r="K2356" s="23"/>
      <c r="L2356" s="36"/>
      <c r="M2356" s="23"/>
      <c r="N2356" s="23"/>
      <c r="O2356" s="24"/>
      <c r="P2356" s="16" t="b">
        <v>0</v>
      </c>
      <c r="Q2356" s="24"/>
      <c r="R2356" s="48">
        <f t="shared" si="2376"/>
        <v>5</v>
      </c>
      <c r="S2356" s="26">
        <v>9.9</v>
      </c>
      <c r="T2356" s="49">
        <f t="shared" si="2104"/>
        <v>-102</v>
      </c>
      <c r="U2356" s="24"/>
      <c r="V2356" s="28" t="str">
        <f t="shared" si="2378"/>
        <v/>
      </c>
      <c r="W2356" s="29" t="str">
        <f t="shared" si="2024"/>
        <v/>
      </c>
      <c r="X2356" s="30"/>
      <c r="Y2356" s="31"/>
      <c r="Z2356" s="26">
        <f t="shared" si="5"/>
        <v>-1</v>
      </c>
      <c r="AA2356" s="26">
        <f t="shared" si="6"/>
        <v>-4</v>
      </c>
      <c r="AB2356" s="32" t="str">
        <f t="shared" si="7"/>
        <v/>
      </c>
      <c r="AC2356" s="32" t="str">
        <f t="shared" ref="AC2356:AG2356" si="2380">IF(J2356&lt;&gt;"", IF(AND($P2356=FALSE, $A2356=FALSE), -J2356, IF(AND($P2356=FALSE, $A2356=TRUE), 0, IF($P2356=TRUE, (J2356 / $R2356) * 100 * ($S2356 / 100)-J2356, ))), )</f>
        <v/>
      </c>
      <c r="AD2356" s="32" t="str">
        <f t="shared" si="2380"/>
        <v/>
      </c>
      <c r="AE2356" s="32" t="str">
        <f t="shared" si="2380"/>
        <v/>
      </c>
      <c r="AF2356" s="32" t="str">
        <f t="shared" si="2380"/>
        <v/>
      </c>
      <c r="AG2356" s="32" t="str">
        <f t="shared" si="2380"/>
        <v/>
      </c>
      <c r="AH2356" s="33"/>
    </row>
    <row r="2357" hidden="1" outlineLevel="2">
      <c r="A2357" s="16" t="b">
        <v>0</v>
      </c>
      <c r="B2357" s="17"/>
      <c r="C2357" s="18"/>
      <c r="D2357" s="42"/>
      <c r="E2357" s="20"/>
      <c r="F2357" s="53"/>
      <c r="G2357" s="45"/>
      <c r="H2357" s="45"/>
      <c r="I2357" s="45"/>
      <c r="J2357" s="36"/>
      <c r="K2357" s="23"/>
      <c r="L2357" s="36"/>
      <c r="M2357" s="23"/>
      <c r="N2357" s="23"/>
      <c r="O2357" s="24"/>
      <c r="P2357" s="16" t="b">
        <v>0</v>
      </c>
      <c r="Q2357" s="24"/>
      <c r="R2357" s="48" t="str">
        <f t="shared" si="2376"/>
        <v/>
      </c>
      <c r="S2357" s="26"/>
      <c r="T2357" s="49" t="str">
        <f t="shared" si="2104"/>
        <v/>
      </c>
      <c r="U2357" s="24"/>
      <c r="V2357" s="28" t="str">
        <f t="shared" si="2378"/>
        <v>0</v>
      </c>
      <c r="W2357" s="29" t="str">
        <f t="shared" si="2024"/>
        <v>/</v>
      </c>
      <c r="X2357" s="37" t="s">
        <v>1478</v>
      </c>
      <c r="Y2357" s="31"/>
      <c r="Z2357" s="26" t="str">
        <f t="shared" si="5"/>
        <v/>
      </c>
      <c r="AA2357" s="26" t="str">
        <f t="shared" si="6"/>
        <v/>
      </c>
      <c r="AB2357" s="32" t="str">
        <f t="shared" si="7"/>
        <v/>
      </c>
      <c r="AC2357" s="32" t="str">
        <f t="shared" ref="AC2357:AG2357" si="2381">IF(J2357&lt;&gt;"", IF(AND($P2357=FALSE, $A2357=FALSE), -J2357, IF(AND($P2357=FALSE, $A2357=TRUE), 0, IF($P2357=TRUE, (J2357 / $R2357) * 100 * ($S2357 / 100)-J2357, ))), )</f>
        <v/>
      </c>
      <c r="AD2357" s="32" t="str">
        <f t="shared" si="2381"/>
        <v/>
      </c>
      <c r="AE2357" s="32" t="str">
        <f t="shared" si="2381"/>
        <v/>
      </c>
      <c r="AF2357" s="32" t="str">
        <f t="shared" si="2381"/>
        <v/>
      </c>
      <c r="AG2357" s="32" t="str">
        <f t="shared" si="2381"/>
        <v/>
      </c>
      <c r="AH2357" s="33"/>
    </row>
    <row r="2358" hidden="1" outlineLevel="2">
      <c r="A2358" s="16" t="b">
        <v>0</v>
      </c>
      <c r="B2358" s="17"/>
      <c r="C2358" s="18"/>
      <c r="D2358" s="42"/>
      <c r="E2358" s="20"/>
      <c r="F2358" s="53"/>
      <c r="G2358" s="45"/>
      <c r="H2358" s="45"/>
      <c r="I2358" s="45"/>
      <c r="J2358" s="36"/>
      <c r="K2358" s="23"/>
      <c r="L2358" s="36"/>
      <c r="M2358" s="23"/>
      <c r="N2358" s="23"/>
      <c r="O2358" s="24"/>
      <c r="P2358" s="16" t="b">
        <v>0</v>
      </c>
      <c r="Q2358" s="24"/>
      <c r="R2358" s="48" t="str">
        <f t="shared" si="2376"/>
        <v/>
      </c>
      <c r="S2358" s="26"/>
      <c r="T2358" s="49" t="str">
        <f t="shared" si="2104"/>
        <v/>
      </c>
      <c r="U2358" s="24"/>
      <c r="V2358" s="66" t="s">
        <v>29</v>
      </c>
      <c r="W2358" s="29" t="str">
        <f t="shared" si="2024"/>
        <v>/</v>
      </c>
      <c r="X2358" s="37" t="s">
        <v>1479</v>
      </c>
      <c r="Y2358" s="31"/>
      <c r="Z2358" s="26" t="str">
        <f t="shared" si="5"/>
        <v/>
      </c>
      <c r="AA2358" s="26" t="str">
        <f t="shared" si="6"/>
        <v/>
      </c>
      <c r="AB2358" s="32" t="str">
        <f t="shared" si="7"/>
        <v/>
      </c>
      <c r="AC2358" s="32" t="str">
        <f t="shared" ref="AC2358:AG2358" si="2382">IF(J2358&lt;&gt;"", IF(AND($P2358=FALSE, $A2358=FALSE), -J2358, IF(AND($P2358=FALSE, $A2358=TRUE), 0, IF($P2358=TRUE, (J2358 / $R2358) * 100 * ($S2358 / 100)-J2358, ))), )</f>
        <v/>
      </c>
      <c r="AD2358" s="32" t="str">
        <f t="shared" si="2382"/>
        <v/>
      </c>
      <c r="AE2358" s="32" t="str">
        <f t="shared" si="2382"/>
        <v/>
      </c>
      <c r="AF2358" s="32" t="str">
        <f t="shared" si="2382"/>
        <v/>
      </c>
      <c r="AG2358" s="32" t="str">
        <f t="shared" si="2382"/>
        <v/>
      </c>
      <c r="AH2358" s="33"/>
    </row>
    <row r="2359" hidden="1" outlineLevel="1" collapsed="1">
      <c r="A2359" s="16" t="b">
        <v>0</v>
      </c>
      <c r="B2359" s="17"/>
      <c r="C2359" s="18"/>
      <c r="D2359" s="42">
        <v>45540.0</v>
      </c>
      <c r="E2359" s="20" t="s">
        <v>24</v>
      </c>
      <c r="F2359" s="53" t="s">
        <v>1480</v>
      </c>
      <c r="G2359" s="45">
        <v>3.0</v>
      </c>
      <c r="H2359" s="45"/>
      <c r="I2359" s="45">
        <v>44.0</v>
      </c>
      <c r="J2359" s="36">
        <v>3.0</v>
      </c>
      <c r="K2359" s="23"/>
      <c r="L2359" s="36"/>
      <c r="M2359" s="23"/>
      <c r="N2359" s="23"/>
      <c r="O2359" s="24"/>
      <c r="P2359" s="16" t="b">
        <v>1</v>
      </c>
      <c r="Q2359" s="24"/>
      <c r="R2359" s="48">
        <f t="shared" si="2376"/>
        <v>50</v>
      </c>
      <c r="S2359" s="26">
        <v>110.0</v>
      </c>
      <c r="T2359" s="49" t="str">
        <f t="shared" si="2104"/>
        <v>+120</v>
      </c>
      <c r="U2359" s="24"/>
      <c r="V2359" s="28" t="str">
        <f>IF(ISBLANK($D2359), "0",)</f>
        <v/>
      </c>
      <c r="W2359" s="29" t="str">
        <f t="shared" si="2024"/>
        <v/>
      </c>
      <c r="X2359" s="30"/>
      <c r="Y2359" s="31"/>
      <c r="Z2359" s="26">
        <f t="shared" si="5"/>
        <v>3.6</v>
      </c>
      <c r="AA2359" s="26">
        <f t="shared" si="6"/>
        <v>52.8</v>
      </c>
      <c r="AB2359" s="32" t="str">
        <f t="shared" si="7"/>
        <v/>
      </c>
      <c r="AC2359" s="32">
        <f t="shared" ref="AC2359:AG2359" si="2383">IF(J2359&lt;&gt;"", IF(AND($P2359=FALSE, $A2359=FALSE), -J2359, IF(AND($P2359=FALSE, $A2359=TRUE), 0, IF($P2359=TRUE, (J2359 / $R2359) * 100 * ($S2359 / 100)-J2359, ))), )</f>
        <v>3.6</v>
      </c>
      <c r="AD2359" s="32" t="str">
        <f t="shared" si="2383"/>
        <v/>
      </c>
      <c r="AE2359" s="32" t="str">
        <f t="shared" si="2383"/>
        <v/>
      </c>
      <c r="AF2359" s="32" t="str">
        <f t="shared" si="2383"/>
        <v/>
      </c>
      <c r="AG2359" s="32" t="str">
        <f t="shared" si="2383"/>
        <v/>
      </c>
      <c r="AH2359" s="33"/>
    </row>
    <row r="2360" hidden="1" outlineLevel="3">
      <c r="A2360" s="16" t="b">
        <v>0</v>
      </c>
      <c r="B2360" s="17"/>
      <c r="C2360" s="18"/>
      <c r="D2360" s="42"/>
      <c r="E2360" s="20"/>
      <c r="F2360" s="53"/>
      <c r="G2360" s="45"/>
      <c r="H2360" s="45"/>
      <c r="I2360" s="45"/>
      <c r="J2360" s="36"/>
      <c r="K2360" s="23"/>
      <c r="L2360" s="36"/>
      <c r="M2360" s="23"/>
      <c r="N2360" s="23"/>
      <c r="O2360" s="24"/>
      <c r="P2360" s="16" t="b">
        <v>0</v>
      </c>
      <c r="Q2360" s="24"/>
      <c r="R2360" s="48" t="str">
        <f t="shared" si="2376"/>
        <v/>
      </c>
      <c r="S2360" s="26"/>
      <c r="T2360" s="49" t="str">
        <f t="shared" si="2104"/>
        <v/>
      </c>
      <c r="U2360" s="24"/>
      <c r="V2360" s="75" t="s">
        <v>29</v>
      </c>
      <c r="W2360" s="29" t="str">
        <f t="shared" si="2024"/>
        <v>/</v>
      </c>
      <c r="X2360" s="93" t="s">
        <v>1481</v>
      </c>
      <c r="Y2360" s="31"/>
      <c r="Z2360" s="26" t="str">
        <f t="shared" si="5"/>
        <v/>
      </c>
      <c r="AA2360" s="26" t="str">
        <f t="shared" si="6"/>
        <v/>
      </c>
      <c r="AB2360" s="32" t="str">
        <f t="shared" si="7"/>
        <v/>
      </c>
      <c r="AC2360" s="32" t="str">
        <f t="shared" ref="AC2360:AG2360" si="2384">IF(J2360&lt;&gt;"", IF(AND($P2360=FALSE, $A2360=FALSE), -J2360, IF(AND($P2360=FALSE, $A2360=TRUE), 0, IF($P2360=TRUE, (J2360 / $R2360) * 100 * ($S2360 / 100)-J2360, ))), )</f>
        <v/>
      </c>
      <c r="AD2360" s="32" t="str">
        <f t="shared" si="2384"/>
        <v/>
      </c>
      <c r="AE2360" s="32" t="str">
        <f t="shared" si="2384"/>
        <v/>
      </c>
      <c r="AF2360" s="32" t="str">
        <f t="shared" si="2384"/>
        <v/>
      </c>
      <c r="AG2360" s="32" t="str">
        <f t="shared" si="2384"/>
        <v/>
      </c>
      <c r="AH2360" s="33"/>
    </row>
    <row r="2361" hidden="1" outlineLevel="2" collapsed="1">
      <c r="A2361" s="16" t="b">
        <v>0</v>
      </c>
      <c r="B2361" s="17"/>
      <c r="C2361" s="18"/>
      <c r="D2361" s="42">
        <v>45540.0</v>
      </c>
      <c r="E2361" s="20" t="s">
        <v>24</v>
      </c>
      <c r="F2361" s="53" t="s">
        <v>1480</v>
      </c>
      <c r="G2361" s="45">
        <v>3.33</v>
      </c>
      <c r="H2361" s="45"/>
      <c r="I2361" s="45">
        <v>3.34</v>
      </c>
      <c r="J2361" s="36">
        <v>3.33</v>
      </c>
      <c r="K2361" s="23"/>
      <c r="L2361" s="36"/>
      <c r="M2361" s="23"/>
      <c r="N2361" s="23"/>
      <c r="O2361" s="24"/>
      <c r="P2361" s="16" t="b">
        <v>0</v>
      </c>
      <c r="Q2361" s="24"/>
      <c r="R2361" s="48">
        <f t="shared" si="2376"/>
        <v>10</v>
      </c>
      <c r="S2361" s="26">
        <v>109.38</v>
      </c>
      <c r="T2361" s="49" t="str">
        <f t="shared" si="2104"/>
        <v>+994</v>
      </c>
      <c r="U2361" s="24"/>
      <c r="V2361" s="28" t="str">
        <f>IF(ISBLANK($D2361), "0",)</f>
        <v/>
      </c>
      <c r="W2361" s="29" t="str">
        <f t="shared" si="2024"/>
        <v/>
      </c>
      <c r="X2361" s="30"/>
      <c r="Y2361" s="31"/>
      <c r="Z2361" s="26">
        <f t="shared" si="5"/>
        <v>-3.33</v>
      </c>
      <c r="AA2361" s="26">
        <f t="shared" si="6"/>
        <v>-3.34</v>
      </c>
      <c r="AB2361" s="32" t="str">
        <f t="shared" si="7"/>
        <v/>
      </c>
      <c r="AC2361" s="32">
        <f t="shared" ref="AC2361:AG2361" si="2385">IF(J2361&lt;&gt;"", IF(AND($P2361=FALSE, $A2361=FALSE), -J2361, IF(AND($P2361=FALSE, $A2361=TRUE), 0, IF($P2361=TRUE, (J2361 / $R2361) * 100 * ($S2361 / 100)-J2361, ))), )</f>
        <v>-3.33</v>
      </c>
      <c r="AD2361" s="32" t="str">
        <f t="shared" si="2385"/>
        <v/>
      </c>
      <c r="AE2361" s="32" t="str">
        <f t="shared" si="2385"/>
        <v/>
      </c>
      <c r="AF2361" s="32" t="str">
        <f t="shared" si="2385"/>
        <v/>
      </c>
      <c r="AG2361" s="32" t="str">
        <f t="shared" si="2385"/>
        <v/>
      </c>
      <c r="AH2361" s="33"/>
    </row>
    <row r="2362" hidden="1" outlineLevel="3">
      <c r="A2362" s="16" t="b">
        <v>0</v>
      </c>
      <c r="B2362" s="17"/>
      <c r="C2362" s="18"/>
      <c r="D2362" s="42"/>
      <c r="E2362" s="20"/>
      <c r="F2362" s="53"/>
      <c r="G2362" s="45"/>
      <c r="H2362" s="45"/>
      <c r="I2362" s="45"/>
      <c r="J2362" s="36"/>
      <c r="K2362" s="23"/>
      <c r="L2362" s="36"/>
      <c r="M2362" s="23"/>
      <c r="N2362" s="23"/>
      <c r="O2362" s="24"/>
      <c r="P2362" s="16" t="b">
        <v>0</v>
      </c>
      <c r="Q2362" s="24"/>
      <c r="R2362" s="48" t="str">
        <f t="shared" si="2376"/>
        <v/>
      </c>
      <c r="S2362" s="26"/>
      <c r="T2362" s="49" t="str">
        <f t="shared" si="2104"/>
        <v/>
      </c>
      <c r="U2362" s="24"/>
      <c r="V2362" s="75" t="s">
        <v>29</v>
      </c>
      <c r="W2362" s="29" t="str">
        <f t="shared" si="2024"/>
        <v>/</v>
      </c>
      <c r="X2362" s="37" t="s">
        <v>1482</v>
      </c>
      <c r="Y2362" s="31"/>
      <c r="Z2362" s="26" t="str">
        <f t="shared" si="5"/>
        <v/>
      </c>
      <c r="AA2362" s="26" t="str">
        <f t="shared" si="6"/>
        <v/>
      </c>
      <c r="AB2362" s="32" t="str">
        <f t="shared" si="7"/>
        <v/>
      </c>
      <c r="AC2362" s="32" t="str">
        <f t="shared" ref="AC2362:AG2362" si="2386">IF(J2362&lt;&gt;"", IF(AND($P2362=FALSE, $A2362=FALSE), -J2362, IF(AND($P2362=FALSE, $A2362=TRUE), 0, IF($P2362=TRUE, (J2362 / $R2362) * 100 * ($S2362 / 100)-J2362, ))), )</f>
        <v/>
      </c>
      <c r="AD2362" s="32" t="str">
        <f t="shared" si="2386"/>
        <v/>
      </c>
      <c r="AE2362" s="32" t="str">
        <f t="shared" si="2386"/>
        <v/>
      </c>
      <c r="AF2362" s="32" t="str">
        <f t="shared" si="2386"/>
        <v/>
      </c>
      <c r="AG2362" s="32" t="str">
        <f t="shared" si="2386"/>
        <v/>
      </c>
      <c r="AH2362" s="33"/>
    </row>
    <row r="2363" hidden="1" outlineLevel="3">
      <c r="A2363" s="16" t="b">
        <v>0</v>
      </c>
      <c r="B2363" s="17"/>
      <c r="C2363" s="18"/>
      <c r="D2363" s="42"/>
      <c r="E2363" s="20"/>
      <c r="F2363" s="53"/>
      <c r="G2363" s="45"/>
      <c r="H2363" s="45"/>
      <c r="I2363" s="45"/>
      <c r="J2363" s="36"/>
      <c r="K2363" s="23"/>
      <c r="L2363" s="36"/>
      <c r="M2363" s="23"/>
      <c r="N2363" s="23"/>
      <c r="O2363" s="24"/>
      <c r="P2363" s="16" t="b">
        <v>0</v>
      </c>
      <c r="Q2363" s="24"/>
      <c r="R2363" s="48" t="str">
        <f t="shared" si="2376"/>
        <v/>
      </c>
      <c r="S2363" s="26"/>
      <c r="T2363" s="49" t="str">
        <f t="shared" si="2104"/>
        <v/>
      </c>
      <c r="U2363" s="24"/>
      <c r="V2363" s="66">
        <v>34.0</v>
      </c>
      <c r="W2363" s="29" t="str">
        <f t="shared" si="2024"/>
        <v>/</v>
      </c>
      <c r="X2363" s="37" t="s">
        <v>80</v>
      </c>
      <c r="Y2363" s="31"/>
      <c r="Z2363" s="26" t="str">
        <f t="shared" si="5"/>
        <v/>
      </c>
      <c r="AA2363" s="26" t="str">
        <f t="shared" si="6"/>
        <v/>
      </c>
      <c r="AB2363" s="32" t="str">
        <f t="shared" si="7"/>
        <v/>
      </c>
      <c r="AC2363" s="32" t="str">
        <f t="shared" ref="AC2363:AG2363" si="2387">IF(J2363&lt;&gt;"", IF(AND($P2363=FALSE, $A2363=FALSE), -J2363, IF(AND($P2363=FALSE, $A2363=TRUE), 0, IF($P2363=TRUE, (J2363 / $R2363) * 100 * ($S2363 / 100)-J2363, ))), )</f>
        <v/>
      </c>
      <c r="AD2363" s="32" t="str">
        <f t="shared" si="2387"/>
        <v/>
      </c>
      <c r="AE2363" s="32" t="str">
        <f t="shared" si="2387"/>
        <v/>
      </c>
      <c r="AF2363" s="32" t="str">
        <f t="shared" si="2387"/>
        <v/>
      </c>
      <c r="AG2363" s="32" t="str">
        <f t="shared" si="2387"/>
        <v/>
      </c>
      <c r="AH2363" s="33"/>
    </row>
    <row r="2364" hidden="1" outlineLevel="3">
      <c r="A2364" s="16" t="b">
        <v>0</v>
      </c>
      <c r="B2364" s="17"/>
      <c r="C2364" s="18"/>
      <c r="D2364" s="42"/>
      <c r="E2364" s="20"/>
      <c r="F2364" s="53"/>
      <c r="G2364" s="45"/>
      <c r="H2364" s="45"/>
      <c r="I2364" s="45"/>
      <c r="J2364" s="36"/>
      <c r="K2364" s="23"/>
      <c r="L2364" s="36"/>
      <c r="M2364" s="23"/>
      <c r="N2364" s="23"/>
      <c r="O2364" s="24"/>
      <c r="P2364" s="16" t="b">
        <v>0</v>
      </c>
      <c r="Q2364" s="24"/>
      <c r="R2364" s="48" t="str">
        <f t="shared" si="2376"/>
        <v/>
      </c>
      <c r="S2364" s="26"/>
      <c r="T2364" s="49" t="str">
        <f t="shared" si="2104"/>
        <v/>
      </c>
      <c r="U2364" s="24"/>
      <c r="V2364" s="75" t="s">
        <v>29</v>
      </c>
      <c r="W2364" s="29" t="str">
        <f t="shared" si="2024"/>
        <v>/</v>
      </c>
      <c r="X2364" s="37" t="s">
        <v>1483</v>
      </c>
      <c r="Y2364" s="31"/>
      <c r="Z2364" s="26" t="str">
        <f t="shared" si="5"/>
        <v/>
      </c>
      <c r="AA2364" s="26" t="str">
        <f t="shared" si="6"/>
        <v/>
      </c>
      <c r="AB2364" s="32" t="str">
        <f t="shared" si="7"/>
        <v/>
      </c>
      <c r="AC2364" s="32" t="str">
        <f t="shared" ref="AC2364:AG2364" si="2388">IF(J2364&lt;&gt;"", IF(AND($P2364=FALSE, $A2364=FALSE), -J2364, IF(AND($P2364=FALSE, $A2364=TRUE), 0, IF($P2364=TRUE, (J2364 / $R2364) * 100 * ($S2364 / 100)-J2364, ))), )</f>
        <v/>
      </c>
      <c r="AD2364" s="32" t="str">
        <f t="shared" si="2388"/>
        <v/>
      </c>
      <c r="AE2364" s="32" t="str">
        <f t="shared" si="2388"/>
        <v/>
      </c>
      <c r="AF2364" s="32" t="str">
        <f t="shared" si="2388"/>
        <v/>
      </c>
      <c r="AG2364" s="32" t="str">
        <f t="shared" si="2388"/>
        <v/>
      </c>
      <c r="AH2364" s="33"/>
    </row>
    <row r="2365" hidden="1" outlineLevel="3">
      <c r="A2365" s="16" t="b">
        <v>0</v>
      </c>
      <c r="B2365" s="17"/>
      <c r="C2365" s="18"/>
      <c r="D2365" s="42"/>
      <c r="E2365" s="20"/>
      <c r="F2365" s="53"/>
      <c r="G2365" s="45"/>
      <c r="H2365" s="45"/>
      <c r="I2365" s="45"/>
      <c r="J2365" s="36"/>
      <c r="K2365" s="23"/>
      <c r="L2365" s="36"/>
      <c r="M2365" s="23"/>
      <c r="N2365" s="23"/>
      <c r="O2365" s="24"/>
      <c r="P2365" s="16" t="b">
        <v>0</v>
      </c>
      <c r="Q2365" s="24"/>
      <c r="R2365" s="48" t="str">
        <f t="shared" si="2376"/>
        <v/>
      </c>
      <c r="S2365" s="26"/>
      <c r="T2365" s="49" t="str">
        <f t="shared" si="2104"/>
        <v/>
      </c>
      <c r="U2365" s="24"/>
      <c r="V2365" s="66">
        <v>45.0</v>
      </c>
      <c r="W2365" s="29" t="str">
        <f t="shared" si="2024"/>
        <v>/</v>
      </c>
      <c r="X2365" s="37" t="s">
        <v>543</v>
      </c>
      <c r="Y2365" s="31"/>
      <c r="Z2365" s="26" t="str">
        <f t="shared" si="5"/>
        <v/>
      </c>
      <c r="AA2365" s="26" t="str">
        <f t="shared" si="6"/>
        <v/>
      </c>
      <c r="AB2365" s="32" t="str">
        <f t="shared" si="7"/>
        <v/>
      </c>
      <c r="AC2365" s="32" t="str">
        <f t="shared" ref="AC2365:AG2365" si="2389">IF(J2365&lt;&gt;"", IF(AND($P2365=FALSE, $A2365=FALSE), -J2365, IF(AND($P2365=FALSE, $A2365=TRUE), 0, IF($P2365=TRUE, (J2365 / $R2365) * 100 * ($S2365 / 100)-J2365, ))), )</f>
        <v/>
      </c>
      <c r="AD2365" s="32" t="str">
        <f t="shared" si="2389"/>
        <v/>
      </c>
      <c r="AE2365" s="32" t="str">
        <f t="shared" si="2389"/>
        <v/>
      </c>
      <c r="AF2365" s="32" t="str">
        <f t="shared" si="2389"/>
        <v/>
      </c>
      <c r="AG2365" s="32" t="str">
        <f t="shared" si="2389"/>
        <v/>
      </c>
      <c r="AH2365" s="33"/>
    </row>
    <row r="2366" hidden="1" outlineLevel="3">
      <c r="A2366" s="16" t="b">
        <v>0</v>
      </c>
      <c r="B2366" s="17"/>
      <c r="C2366" s="18"/>
      <c r="D2366" s="42"/>
      <c r="E2366" s="20"/>
      <c r="F2366" s="53"/>
      <c r="G2366" s="45"/>
      <c r="H2366" s="45"/>
      <c r="I2366" s="45"/>
      <c r="J2366" s="36"/>
      <c r="K2366" s="23"/>
      <c r="L2366" s="36"/>
      <c r="M2366" s="23"/>
      <c r="N2366" s="23"/>
      <c r="O2366" s="24"/>
      <c r="P2366" s="16" t="b">
        <v>0</v>
      </c>
      <c r="Q2366" s="24"/>
      <c r="R2366" s="48" t="str">
        <f t="shared" si="2376"/>
        <v/>
      </c>
      <c r="S2366" s="26"/>
      <c r="T2366" s="49" t="str">
        <f t="shared" si="2104"/>
        <v/>
      </c>
      <c r="U2366" s="24"/>
      <c r="V2366" s="66">
        <v>46.0</v>
      </c>
      <c r="W2366" s="29" t="str">
        <f t="shared" si="2024"/>
        <v>/</v>
      </c>
      <c r="X2366" s="37" t="s">
        <v>1484</v>
      </c>
      <c r="Y2366" s="31"/>
      <c r="Z2366" s="26" t="str">
        <f t="shared" si="5"/>
        <v/>
      </c>
      <c r="AA2366" s="26" t="str">
        <f t="shared" si="6"/>
        <v/>
      </c>
      <c r="AB2366" s="32" t="str">
        <f t="shared" si="7"/>
        <v/>
      </c>
      <c r="AC2366" s="32" t="str">
        <f t="shared" ref="AC2366:AG2366" si="2390">IF(J2366&lt;&gt;"", IF(AND($P2366=FALSE, $A2366=FALSE), -J2366, IF(AND($P2366=FALSE, $A2366=TRUE), 0, IF($P2366=TRUE, (J2366 / $R2366) * 100 * ($S2366 / 100)-J2366, ))), )</f>
        <v/>
      </c>
      <c r="AD2366" s="32" t="str">
        <f t="shared" si="2390"/>
        <v/>
      </c>
      <c r="AE2366" s="32" t="str">
        <f t="shared" si="2390"/>
        <v/>
      </c>
      <c r="AF2366" s="32" t="str">
        <f t="shared" si="2390"/>
        <v/>
      </c>
      <c r="AG2366" s="32" t="str">
        <f t="shared" si="2390"/>
        <v/>
      </c>
      <c r="AH2366" s="33"/>
    </row>
    <row r="2367" hidden="1" outlineLevel="3">
      <c r="A2367" s="16" t="b">
        <v>0</v>
      </c>
      <c r="B2367" s="17"/>
      <c r="C2367" s="18"/>
      <c r="D2367" s="42"/>
      <c r="E2367" s="20"/>
      <c r="F2367" s="53"/>
      <c r="G2367" s="45"/>
      <c r="H2367" s="45"/>
      <c r="I2367" s="45"/>
      <c r="J2367" s="36"/>
      <c r="K2367" s="23"/>
      <c r="L2367" s="36"/>
      <c r="M2367" s="23"/>
      <c r="N2367" s="23"/>
      <c r="O2367" s="24"/>
      <c r="P2367" s="16" t="b">
        <v>0</v>
      </c>
      <c r="Q2367" s="24"/>
      <c r="R2367" s="48" t="str">
        <f t="shared" si="2376"/>
        <v/>
      </c>
      <c r="S2367" s="26"/>
      <c r="T2367" s="49" t="str">
        <f t="shared" si="2104"/>
        <v/>
      </c>
      <c r="U2367" s="24"/>
      <c r="V2367" s="66">
        <v>1.0</v>
      </c>
      <c r="W2367" s="29" t="str">
        <f t="shared" si="2024"/>
        <v>/</v>
      </c>
      <c r="X2367" s="37" t="s">
        <v>83</v>
      </c>
      <c r="Y2367" s="31"/>
      <c r="Z2367" s="26" t="str">
        <f t="shared" si="5"/>
        <v/>
      </c>
      <c r="AA2367" s="26" t="str">
        <f t="shared" si="6"/>
        <v/>
      </c>
      <c r="AB2367" s="32" t="str">
        <f t="shared" si="7"/>
        <v/>
      </c>
      <c r="AC2367" s="32" t="str">
        <f t="shared" ref="AC2367:AG2367" si="2391">IF(J2367&lt;&gt;"", IF(AND($P2367=FALSE, $A2367=FALSE), -J2367, IF(AND($P2367=FALSE, $A2367=TRUE), 0, IF($P2367=TRUE, (J2367 / $R2367) * 100 * ($S2367 / 100)-J2367, ))), )</f>
        <v/>
      </c>
      <c r="AD2367" s="32" t="str">
        <f t="shared" si="2391"/>
        <v/>
      </c>
      <c r="AE2367" s="32" t="str">
        <f t="shared" si="2391"/>
        <v/>
      </c>
      <c r="AF2367" s="32" t="str">
        <f t="shared" si="2391"/>
        <v/>
      </c>
      <c r="AG2367" s="32" t="str">
        <f t="shared" si="2391"/>
        <v/>
      </c>
      <c r="AH2367" s="33"/>
    </row>
    <row r="2368" hidden="1" outlineLevel="2" collapsed="1">
      <c r="A2368" s="16" t="b">
        <v>0</v>
      </c>
      <c r="B2368" s="17"/>
      <c r="C2368" s="18"/>
      <c r="D2368" s="42">
        <v>45540.0</v>
      </c>
      <c r="E2368" s="20" t="s">
        <v>24</v>
      </c>
      <c r="F2368" s="53" t="s">
        <v>1480</v>
      </c>
      <c r="G2368" s="45">
        <v>2.0</v>
      </c>
      <c r="H2368" s="45"/>
      <c r="I2368" s="45">
        <v>6.0</v>
      </c>
      <c r="J2368" s="36">
        <v>2.0</v>
      </c>
      <c r="K2368" s="23"/>
      <c r="L2368" s="36"/>
      <c r="M2368" s="23"/>
      <c r="N2368" s="23"/>
      <c r="O2368" s="24"/>
      <c r="P2368" s="16" t="b">
        <v>0</v>
      </c>
      <c r="Q2368" s="24"/>
      <c r="R2368" s="48">
        <f t="shared" si="2376"/>
        <v>10</v>
      </c>
      <c r="S2368" s="26">
        <v>25.33</v>
      </c>
      <c r="T2368" s="49" t="str">
        <f t="shared" si="2104"/>
        <v>+153</v>
      </c>
      <c r="U2368" s="24"/>
      <c r="V2368" s="28" t="str">
        <f>IF(ISBLANK($D2368), "0",)</f>
        <v/>
      </c>
      <c r="W2368" s="29" t="str">
        <f t="shared" si="2024"/>
        <v/>
      </c>
      <c r="X2368" s="30"/>
      <c r="Y2368" s="31"/>
      <c r="Z2368" s="26">
        <f t="shared" si="5"/>
        <v>-2</v>
      </c>
      <c r="AA2368" s="26">
        <f t="shared" si="6"/>
        <v>-6</v>
      </c>
      <c r="AB2368" s="32" t="str">
        <f t="shared" si="7"/>
        <v/>
      </c>
      <c r="AC2368" s="32">
        <f t="shared" ref="AC2368:AG2368" si="2392">IF(J2368&lt;&gt;"", IF(AND($P2368=FALSE, $A2368=FALSE), -J2368, IF(AND($P2368=FALSE, $A2368=TRUE), 0, IF($P2368=TRUE, (J2368 / $R2368) * 100 * ($S2368 / 100)-J2368, ))), )</f>
        <v>-2</v>
      </c>
      <c r="AD2368" s="32" t="str">
        <f t="shared" si="2392"/>
        <v/>
      </c>
      <c r="AE2368" s="32" t="str">
        <f t="shared" si="2392"/>
        <v/>
      </c>
      <c r="AF2368" s="32" t="str">
        <f t="shared" si="2392"/>
        <v/>
      </c>
      <c r="AG2368" s="32" t="str">
        <f t="shared" si="2392"/>
        <v/>
      </c>
      <c r="AH2368" s="33"/>
    </row>
    <row r="2369" hidden="1" outlineLevel="3">
      <c r="A2369" s="16" t="b">
        <v>0</v>
      </c>
      <c r="B2369" s="17"/>
      <c r="C2369" s="18"/>
      <c r="D2369" s="42"/>
      <c r="E2369" s="20"/>
      <c r="F2369" s="53"/>
      <c r="G2369" s="45"/>
      <c r="H2369" s="45"/>
      <c r="I2369" s="45"/>
      <c r="J2369" s="36"/>
      <c r="K2369" s="23"/>
      <c r="L2369" s="36"/>
      <c r="M2369" s="23"/>
      <c r="N2369" s="23"/>
      <c r="O2369" s="24"/>
      <c r="P2369" s="16" t="b">
        <v>0</v>
      </c>
      <c r="Q2369" s="24"/>
      <c r="R2369" s="48" t="str">
        <f t="shared" si="2376"/>
        <v/>
      </c>
      <c r="S2369" s="26"/>
      <c r="T2369" s="49" t="str">
        <f t="shared" si="2104"/>
        <v/>
      </c>
      <c r="U2369" s="24"/>
      <c r="V2369" s="75" t="s">
        <v>29</v>
      </c>
      <c r="W2369" s="29" t="str">
        <f t="shared" si="2024"/>
        <v>/</v>
      </c>
      <c r="X2369" s="37" t="s">
        <v>1485</v>
      </c>
      <c r="Y2369" s="31"/>
      <c r="Z2369" s="26" t="str">
        <f t="shared" si="5"/>
        <v/>
      </c>
      <c r="AA2369" s="26" t="str">
        <f t="shared" si="6"/>
        <v/>
      </c>
      <c r="AB2369" s="32" t="str">
        <f t="shared" si="7"/>
        <v/>
      </c>
      <c r="AC2369" s="32" t="str">
        <f t="shared" ref="AC2369:AG2369" si="2393">IF(J2369&lt;&gt;"", IF(AND($P2369=FALSE, $A2369=FALSE), -J2369, IF(AND($P2369=FALSE, $A2369=TRUE), 0, IF($P2369=TRUE, (J2369 / $R2369) * 100 * ($S2369 / 100)-J2369, ))), )</f>
        <v/>
      </c>
      <c r="AD2369" s="32" t="str">
        <f t="shared" si="2393"/>
        <v/>
      </c>
      <c r="AE2369" s="32" t="str">
        <f t="shared" si="2393"/>
        <v/>
      </c>
      <c r="AF2369" s="32" t="str">
        <f t="shared" si="2393"/>
        <v/>
      </c>
      <c r="AG2369" s="32" t="str">
        <f t="shared" si="2393"/>
        <v/>
      </c>
      <c r="AH2369" s="33"/>
    </row>
    <row r="2370" hidden="1" outlineLevel="3">
      <c r="A2370" s="16" t="b">
        <v>0</v>
      </c>
      <c r="B2370" s="17"/>
      <c r="C2370" s="18"/>
      <c r="D2370" s="42"/>
      <c r="E2370" s="20"/>
      <c r="F2370" s="53"/>
      <c r="G2370" s="45"/>
      <c r="H2370" s="45"/>
      <c r="I2370" s="45"/>
      <c r="J2370" s="36"/>
      <c r="K2370" s="23"/>
      <c r="L2370" s="36"/>
      <c r="M2370" s="23"/>
      <c r="N2370" s="23"/>
      <c r="O2370" s="24"/>
      <c r="P2370" s="16" t="b">
        <v>0</v>
      </c>
      <c r="Q2370" s="24"/>
      <c r="R2370" s="48" t="str">
        <f t="shared" si="2376"/>
        <v/>
      </c>
      <c r="S2370" s="26"/>
      <c r="T2370" s="49" t="str">
        <f t="shared" si="2104"/>
        <v/>
      </c>
      <c r="U2370" s="24"/>
      <c r="V2370" s="75" t="s">
        <v>29</v>
      </c>
      <c r="W2370" s="29" t="str">
        <f t="shared" si="2024"/>
        <v>/</v>
      </c>
      <c r="X2370" s="37" t="s">
        <v>1261</v>
      </c>
      <c r="Y2370" s="31"/>
      <c r="Z2370" s="26" t="str">
        <f t="shared" si="5"/>
        <v/>
      </c>
      <c r="AA2370" s="26" t="str">
        <f t="shared" si="6"/>
        <v/>
      </c>
      <c r="AB2370" s="32" t="str">
        <f t="shared" si="7"/>
        <v/>
      </c>
      <c r="AC2370" s="32" t="str">
        <f t="shared" ref="AC2370:AG2370" si="2394">IF(J2370&lt;&gt;"", IF(AND($P2370=FALSE, $A2370=FALSE), -J2370, IF(AND($P2370=FALSE, $A2370=TRUE), 0, IF($P2370=TRUE, (J2370 / $R2370) * 100 * ($S2370 / 100)-J2370, ))), )</f>
        <v/>
      </c>
      <c r="AD2370" s="32" t="str">
        <f t="shared" si="2394"/>
        <v/>
      </c>
      <c r="AE2370" s="32" t="str">
        <f t="shared" si="2394"/>
        <v/>
      </c>
      <c r="AF2370" s="32" t="str">
        <f t="shared" si="2394"/>
        <v/>
      </c>
      <c r="AG2370" s="32" t="str">
        <f t="shared" si="2394"/>
        <v/>
      </c>
      <c r="AH2370" s="33"/>
    </row>
    <row r="2371" hidden="1" outlineLevel="3">
      <c r="A2371" s="16" t="b">
        <v>0</v>
      </c>
      <c r="B2371" s="17"/>
      <c r="C2371" s="18"/>
      <c r="D2371" s="42"/>
      <c r="E2371" s="20"/>
      <c r="F2371" s="53"/>
      <c r="G2371" s="45"/>
      <c r="H2371" s="45"/>
      <c r="I2371" s="45"/>
      <c r="J2371" s="36"/>
      <c r="K2371" s="23"/>
      <c r="L2371" s="36"/>
      <c r="M2371" s="23"/>
      <c r="N2371" s="23"/>
      <c r="O2371" s="24"/>
      <c r="P2371" s="16" t="b">
        <v>0</v>
      </c>
      <c r="Q2371" s="24"/>
      <c r="R2371" s="48" t="str">
        <f t="shared" si="2376"/>
        <v/>
      </c>
      <c r="S2371" s="26"/>
      <c r="T2371" s="49" t="str">
        <f t="shared" si="2104"/>
        <v/>
      </c>
      <c r="U2371" s="24"/>
      <c r="V2371" s="66">
        <v>2.0</v>
      </c>
      <c r="W2371" s="29" t="str">
        <f t="shared" si="2024"/>
        <v>/</v>
      </c>
      <c r="X2371" s="37" t="s">
        <v>325</v>
      </c>
      <c r="Y2371" s="31"/>
      <c r="Z2371" s="26" t="str">
        <f t="shared" si="5"/>
        <v/>
      </c>
      <c r="AA2371" s="26" t="str">
        <f t="shared" si="6"/>
        <v/>
      </c>
      <c r="AB2371" s="32" t="str">
        <f t="shared" si="7"/>
        <v/>
      </c>
      <c r="AC2371" s="32" t="str">
        <f t="shared" ref="AC2371:AG2371" si="2395">IF(J2371&lt;&gt;"", IF(AND($P2371=FALSE, $A2371=FALSE), -J2371, IF(AND($P2371=FALSE, $A2371=TRUE), 0, IF($P2371=TRUE, (J2371 / $R2371) * 100 * ($S2371 / 100)-J2371, ))), )</f>
        <v/>
      </c>
      <c r="AD2371" s="32" t="str">
        <f t="shared" si="2395"/>
        <v/>
      </c>
      <c r="AE2371" s="32" t="str">
        <f t="shared" si="2395"/>
        <v/>
      </c>
      <c r="AF2371" s="32" t="str">
        <f t="shared" si="2395"/>
        <v/>
      </c>
      <c r="AG2371" s="32" t="str">
        <f t="shared" si="2395"/>
        <v/>
      </c>
      <c r="AH2371" s="33"/>
    </row>
    <row r="2372" hidden="1" outlineLevel="3">
      <c r="A2372" s="16" t="b">
        <v>0</v>
      </c>
      <c r="B2372" s="17"/>
      <c r="C2372" s="18"/>
      <c r="D2372" s="42"/>
      <c r="E2372" s="20"/>
      <c r="F2372" s="53"/>
      <c r="G2372" s="45"/>
      <c r="H2372" s="45"/>
      <c r="I2372" s="45"/>
      <c r="J2372" s="36"/>
      <c r="K2372" s="23"/>
      <c r="L2372" s="36"/>
      <c r="M2372" s="23"/>
      <c r="N2372" s="23"/>
      <c r="O2372" s="24"/>
      <c r="P2372" s="16" t="b">
        <v>0</v>
      </c>
      <c r="Q2372" s="24"/>
      <c r="R2372" s="48" t="str">
        <f t="shared" si="2376"/>
        <v/>
      </c>
      <c r="S2372" s="26"/>
      <c r="T2372" s="49" t="str">
        <f t="shared" si="2104"/>
        <v/>
      </c>
      <c r="U2372" s="24"/>
      <c r="V2372" s="75" t="s">
        <v>29</v>
      </c>
      <c r="W2372" s="29" t="str">
        <f t="shared" si="2024"/>
        <v>/</v>
      </c>
      <c r="X2372" s="37" t="s">
        <v>1486</v>
      </c>
      <c r="Y2372" s="31"/>
      <c r="Z2372" s="26" t="str">
        <f t="shared" si="5"/>
        <v/>
      </c>
      <c r="AA2372" s="26" t="str">
        <f t="shared" si="6"/>
        <v/>
      </c>
      <c r="AB2372" s="32" t="str">
        <f t="shared" si="7"/>
        <v/>
      </c>
      <c r="AC2372" s="32" t="str">
        <f t="shared" ref="AC2372:AG2372" si="2396">IF(J2372&lt;&gt;"", IF(AND($P2372=FALSE, $A2372=FALSE), -J2372, IF(AND($P2372=FALSE, $A2372=TRUE), 0, IF($P2372=TRUE, (J2372 / $R2372) * 100 * ($S2372 / 100)-J2372, ))), )</f>
        <v/>
      </c>
      <c r="AD2372" s="32" t="str">
        <f t="shared" si="2396"/>
        <v/>
      </c>
      <c r="AE2372" s="32" t="str">
        <f t="shared" si="2396"/>
        <v/>
      </c>
      <c r="AF2372" s="32" t="str">
        <f t="shared" si="2396"/>
        <v/>
      </c>
      <c r="AG2372" s="32" t="str">
        <f t="shared" si="2396"/>
        <v/>
      </c>
      <c r="AH2372" s="33"/>
    </row>
    <row r="2373" hidden="1" outlineLevel="2" collapsed="1">
      <c r="A2373" s="16" t="b">
        <v>0</v>
      </c>
      <c r="B2373" s="17"/>
      <c r="C2373" s="18"/>
      <c r="D2373" s="42">
        <v>45540.0</v>
      </c>
      <c r="E2373" s="20" t="s">
        <v>24</v>
      </c>
      <c r="F2373" s="53" t="s">
        <v>1480</v>
      </c>
      <c r="G2373" s="45">
        <v>2.0</v>
      </c>
      <c r="H2373" s="45"/>
      <c r="I2373" s="45">
        <v>2.0</v>
      </c>
      <c r="J2373" s="36">
        <v>2.0</v>
      </c>
      <c r="K2373" s="23"/>
      <c r="L2373" s="36"/>
      <c r="M2373" s="23"/>
      <c r="N2373" s="23"/>
      <c r="O2373" s="24"/>
      <c r="P2373" s="16" t="b">
        <v>1</v>
      </c>
      <c r="Q2373" s="24"/>
      <c r="R2373" s="48">
        <f t="shared" si="2376"/>
        <v>6</v>
      </c>
      <c r="S2373" s="26">
        <v>10.35</v>
      </c>
      <c r="T2373" s="49">
        <f t="shared" si="2104"/>
        <v>-138</v>
      </c>
      <c r="U2373" s="24"/>
      <c r="V2373" s="28" t="str">
        <f>IF(ISBLANK($D2373), "0",)</f>
        <v/>
      </c>
      <c r="W2373" s="29" t="str">
        <f t="shared" si="2024"/>
        <v/>
      </c>
      <c r="X2373" s="30"/>
      <c r="Y2373" s="31"/>
      <c r="Z2373" s="26">
        <f t="shared" si="5"/>
        <v>1.45</v>
      </c>
      <c r="AA2373" s="26">
        <f t="shared" si="6"/>
        <v>1.45</v>
      </c>
      <c r="AB2373" s="32" t="str">
        <f t="shared" si="7"/>
        <v/>
      </c>
      <c r="AC2373" s="32">
        <f t="shared" ref="AC2373:AG2373" si="2397">IF(J2373&lt;&gt;"", IF(AND($P2373=FALSE, $A2373=FALSE), -J2373, IF(AND($P2373=FALSE, $A2373=TRUE), 0, IF($P2373=TRUE, (J2373 / $R2373) * 100 * ($S2373 / 100)-J2373, ))), )</f>
        <v>1.45</v>
      </c>
      <c r="AD2373" s="32" t="str">
        <f t="shared" si="2397"/>
        <v/>
      </c>
      <c r="AE2373" s="32" t="str">
        <f t="shared" si="2397"/>
        <v/>
      </c>
      <c r="AF2373" s="32" t="str">
        <f t="shared" si="2397"/>
        <v/>
      </c>
      <c r="AG2373" s="32" t="str">
        <f t="shared" si="2397"/>
        <v/>
      </c>
      <c r="AH2373" s="33"/>
    </row>
    <row r="2374" hidden="1" outlineLevel="3">
      <c r="A2374" s="16" t="b">
        <v>0</v>
      </c>
      <c r="B2374" s="17"/>
      <c r="C2374" s="18"/>
      <c r="D2374" s="42"/>
      <c r="E2374" s="20"/>
      <c r="F2374" s="53"/>
      <c r="G2374" s="45"/>
      <c r="H2374" s="45"/>
      <c r="I2374" s="45"/>
      <c r="J2374" s="36"/>
      <c r="K2374" s="23"/>
      <c r="L2374" s="36"/>
      <c r="M2374" s="23"/>
      <c r="N2374" s="23"/>
      <c r="O2374" s="24"/>
      <c r="P2374" s="16" t="b">
        <v>0</v>
      </c>
      <c r="Q2374" s="24"/>
      <c r="R2374" s="48" t="str">
        <f t="shared" si="2376"/>
        <v/>
      </c>
      <c r="S2374" s="26"/>
      <c r="T2374" s="49" t="str">
        <f t="shared" si="2104"/>
        <v/>
      </c>
      <c r="U2374" s="24"/>
      <c r="V2374" s="75" t="s">
        <v>29</v>
      </c>
      <c r="W2374" s="29" t="str">
        <f t="shared" si="2024"/>
        <v>/</v>
      </c>
      <c r="X2374" s="37" t="s">
        <v>1487</v>
      </c>
      <c r="Y2374" s="31"/>
      <c r="Z2374" s="26" t="str">
        <f t="shared" si="5"/>
        <v/>
      </c>
      <c r="AA2374" s="26" t="str">
        <f t="shared" si="6"/>
        <v/>
      </c>
      <c r="AB2374" s="32" t="str">
        <f t="shared" si="7"/>
        <v/>
      </c>
      <c r="AC2374" s="32" t="str">
        <f t="shared" ref="AC2374:AG2374" si="2398">IF(J2374&lt;&gt;"", IF(AND($P2374=FALSE, $A2374=FALSE), -J2374, IF(AND($P2374=FALSE, $A2374=TRUE), 0, IF($P2374=TRUE, (J2374 / $R2374) * 100 * ($S2374 / 100)-J2374, ))), )</f>
        <v/>
      </c>
      <c r="AD2374" s="32" t="str">
        <f t="shared" si="2398"/>
        <v/>
      </c>
      <c r="AE2374" s="32" t="str">
        <f t="shared" si="2398"/>
        <v/>
      </c>
      <c r="AF2374" s="32" t="str">
        <f t="shared" si="2398"/>
        <v/>
      </c>
      <c r="AG2374" s="32" t="str">
        <f t="shared" si="2398"/>
        <v/>
      </c>
      <c r="AH2374" s="33"/>
    </row>
    <row r="2375" hidden="1" outlineLevel="2">
      <c r="A2375" s="16" t="b">
        <v>0</v>
      </c>
      <c r="B2375" s="17"/>
      <c r="C2375" s="18"/>
      <c r="D2375" s="42">
        <v>45540.0</v>
      </c>
      <c r="E2375" s="20" t="s">
        <v>24</v>
      </c>
      <c r="F2375" s="53" t="s">
        <v>1480</v>
      </c>
      <c r="G2375" s="45">
        <v>2.0</v>
      </c>
      <c r="H2375" s="45"/>
      <c r="I2375" s="45">
        <v>2.0</v>
      </c>
      <c r="J2375" s="36">
        <v>2.0</v>
      </c>
      <c r="K2375" s="23"/>
      <c r="L2375" s="36"/>
      <c r="M2375" s="23"/>
      <c r="N2375" s="23"/>
      <c r="O2375" s="24"/>
      <c r="P2375" s="16" t="b">
        <v>0</v>
      </c>
      <c r="Q2375" s="24"/>
      <c r="R2375" s="48">
        <f t="shared" si="2376"/>
        <v>6</v>
      </c>
      <c r="S2375" s="26">
        <v>11.22</v>
      </c>
      <c r="T2375" s="49">
        <f t="shared" si="2104"/>
        <v>-115</v>
      </c>
      <c r="U2375" s="24"/>
      <c r="V2375" s="28" t="str">
        <f>IF(ISBLANK($D2375), "0",)</f>
        <v/>
      </c>
      <c r="W2375" s="29" t="str">
        <f t="shared" si="2024"/>
        <v/>
      </c>
      <c r="X2375" s="30"/>
      <c r="Y2375" s="31"/>
      <c r="Z2375" s="26">
        <f t="shared" si="5"/>
        <v>-2</v>
      </c>
      <c r="AA2375" s="26">
        <f t="shared" si="6"/>
        <v>-2</v>
      </c>
      <c r="AB2375" s="32" t="str">
        <f t="shared" si="7"/>
        <v/>
      </c>
      <c r="AC2375" s="32">
        <f t="shared" ref="AC2375:AG2375" si="2399">IF(J2375&lt;&gt;"", IF(AND($P2375=FALSE, $A2375=FALSE), -J2375, IF(AND($P2375=FALSE, $A2375=TRUE), 0, IF($P2375=TRUE, (J2375 / $R2375) * 100 * ($S2375 / 100)-J2375, ))), )</f>
        <v>-2</v>
      </c>
      <c r="AD2375" s="32" t="str">
        <f t="shared" si="2399"/>
        <v/>
      </c>
      <c r="AE2375" s="32" t="str">
        <f t="shared" si="2399"/>
        <v/>
      </c>
      <c r="AF2375" s="32" t="str">
        <f t="shared" si="2399"/>
        <v/>
      </c>
      <c r="AG2375" s="32" t="str">
        <f t="shared" si="2399"/>
        <v/>
      </c>
      <c r="AH2375" s="33"/>
    </row>
    <row r="2376" hidden="1" outlineLevel="3">
      <c r="A2376" s="16" t="b">
        <v>0</v>
      </c>
      <c r="B2376" s="17"/>
      <c r="C2376" s="18"/>
      <c r="D2376" s="42"/>
      <c r="E2376" s="20"/>
      <c r="F2376" s="53"/>
      <c r="G2376" s="45"/>
      <c r="H2376" s="45"/>
      <c r="I2376" s="45"/>
      <c r="J2376" s="36"/>
      <c r="K2376" s="23"/>
      <c r="L2376" s="36"/>
      <c r="M2376" s="23"/>
      <c r="N2376" s="23"/>
      <c r="O2376" s="24"/>
      <c r="P2376" s="16" t="b">
        <v>0</v>
      </c>
      <c r="Q2376" s="24"/>
      <c r="R2376" s="48" t="str">
        <f t="shared" si="2376"/>
        <v/>
      </c>
      <c r="S2376" s="26"/>
      <c r="T2376" s="49" t="str">
        <f t="shared" si="2104"/>
        <v/>
      </c>
      <c r="U2376" s="24"/>
      <c r="V2376" s="86" t="s">
        <v>1456</v>
      </c>
      <c r="W2376" s="29" t="str">
        <f t="shared" si="2024"/>
        <v>/</v>
      </c>
      <c r="X2376" s="37" t="s">
        <v>1488</v>
      </c>
      <c r="Y2376" s="31"/>
      <c r="Z2376" s="26" t="str">
        <f t="shared" si="5"/>
        <v/>
      </c>
      <c r="AA2376" s="26" t="str">
        <f t="shared" si="6"/>
        <v/>
      </c>
      <c r="AB2376" s="32" t="str">
        <f t="shared" si="7"/>
        <v/>
      </c>
      <c r="AC2376" s="32" t="str">
        <f t="shared" ref="AC2376:AG2376" si="2400">IF(J2376&lt;&gt;"", IF(AND($P2376=FALSE, $A2376=FALSE), -J2376, IF(AND($P2376=FALSE, $A2376=TRUE), 0, IF($P2376=TRUE, (J2376 / $R2376) * 100 * ($S2376 / 100)-J2376, ))), )</f>
        <v/>
      </c>
      <c r="AD2376" s="32" t="str">
        <f t="shared" si="2400"/>
        <v/>
      </c>
      <c r="AE2376" s="32" t="str">
        <f t="shared" si="2400"/>
        <v/>
      </c>
      <c r="AF2376" s="32" t="str">
        <f t="shared" si="2400"/>
        <v/>
      </c>
      <c r="AG2376" s="32" t="str">
        <f t="shared" si="2400"/>
        <v/>
      </c>
      <c r="AH2376" s="33"/>
    </row>
    <row r="2377" hidden="1" outlineLevel="1" collapsed="1">
      <c r="A2377" s="16" t="b">
        <v>0</v>
      </c>
      <c r="B2377" s="17"/>
      <c r="C2377" s="18"/>
      <c r="D2377" s="42">
        <v>45541.0</v>
      </c>
      <c r="E2377" s="20" t="s">
        <v>24</v>
      </c>
      <c r="F2377" s="53" t="s">
        <v>1480</v>
      </c>
      <c r="G2377" s="45">
        <v>5.0</v>
      </c>
      <c r="H2377" s="45"/>
      <c r="I2377" s="45">
        <v>30.0</v>
      </c>
      <c r="J2377" s="36"/>
      <c r="K2377" s="23"/>
      <c r="L2377" s="36"/>
      <c r="M2377" s="23"/>
      <c r="N2377" s="23"/>
      <c r="O2377" s="24"/>
      <c r="P2377" s="16" t="b">
        <v>1</v>
      </c>
      <c r="Q2377" s="24"/>
      <c r="R2377" s="48">
        <f t="shared" si="2376"/>
        <v>35</v>
      </c>
      <c r="S2377" s="26">
        <v>75.25</v>
      </c>
      <c r="T2377" s="49" t="str">
        <f t="shared" si="2104"/>
        <v>+115</v>
      </c>
      <c r="U2377" s="24"/>
      <c r="V2377" s="28" t="str">
        <f>IF(ISBLANK($D2377), "0",)</f>
        <v/>
      </c>
      <c r="W2377" s="29" t="str">
        <f t="shared" si="2024"/>
        <v/>
      </c>
      <c r="X2377" s="30"/>
      <c r="Y2377" s="31"/>
      <c r="Z2377" s="26">
        <f t="shared" si="5"/>
        <v>5.75</v>
      </c>
      <c r="AA2377" s="26">
        <f t="shared" si="6"/>
        <v>34.5</v>
      </c>
      <c r="AB2377" s="32" t="str">
        <f t="shared" si="7"/>
        <v/>
      </c>
      <c r="AC2377" s="32" t="str">
        <f t="shared" ref="AC2377:AG2377" si="2401">IF(J2377&lt;&gt;"", IF(AND($P2377=FALSE, $A2377=FALSE), -J2377, IF(AND($P2377=FALSE, $A2377=TRUE), 0, IF($P2377=TRUE, (J2377 / $R2377) * 100 * ($S2377 / 100)-J2377, ))), )</f>
        <v/>
      </c>
      <c r="AD2377" s="32" t="str">
        <f t="shared" si="2401"/>
        <v/>
      </c>
      <c r="AE2377" s="32" t="str">
        <f t="shared" si="2401"/>
        <v/>
      </c>
      <c r="AF2377" s="32" t="str">
        <f t="shared" si="2401"/>
        <v/>
      </c>
      <c r="AG2377" s="32" t="str">
        <f t="shared" si="2401"/>
        <v/>
      </c>
      <c r="AH2377" s="33"/>
    </row>
    <row r="2378" hidden="1" outlineLevel="3">
      <c r="A2378" s="16" t="b">
        <v>0</v>
      </c>
      <c r="B2378" s="17"/>
      <c r="C2378" s="18"/>
      <c r="D2378" s="42"/>
      <c r="E2378" s="20"/>
      <c r="F2378" s="53"/>
      <c r="G2378" s="45"/>
      <c r="H2378" s="45"/>
      <c r="I2378" s="45"/>
      <c r="J2378" s="36"/>
      <c r="K2378" s="23"/>
      <c r="L2378" s="36"/>
      <c r="M2378" s="23"/>
      <c r="N2378" s="23"/>
      <c r="O2378" s="24"/>
      <c r="P2378" s="16" t="b">
        <v>0</v>
      </c>
      <c r="Q2378" s="24"/>
      <c r="R2378" s="48" t="str">
        <f t="shared" si="2376"/>
        <v/>
      </c>
      <c r="S2378" s="26"/>
      <c r="T2378" s="49" t="str">
        <f t="shared" si="2104"/>
        <v/>
      </c>
      <c r="U2378" s="24"/>
      <c r="V2378" s="75" t="s">
        <v>29</v>
      </c>
      <c r="W2378" s="29" t="str">
        <f t="shared" si="2024"/>
        <v>/</v>
      </c>
      <c r="X2378" s="37" t="s">
        <v>1489</v>
      </c>
      <c r="Y2378" s="31"/>
      <c r="Z2378" s="26" t="str">
        <f t="shared" si="5"/>
        <v/>
      </c>
      <c r="AA2378" s="26" t="str">
        <f t="shared" si="6"/>
        <v/>
      </c>
      <c r="AB2378" s="32" t="str">
        <f t="shared" si="7"/>
        <v/>
      </c>
      <c r="AC2378" s="32" t="str">
        <f t="shared" ref="AC2378:AG2378" si="2402">IF(J2378&lt;&gt;"", IF(AND($P2378=FALSE, $A2378=FALSE), -J2378, IF(AND($P2378=FALSE, $A2378=TRUE), 0, IF($P2378=TRUE, (J2378 / $R2378) * 100 * ($S2378 / 100)-J2378, ))), )</f>
        <v/>
      </c>
      <c r="AD2378" s="32" t="str">
        <f t="shared" si="2402"/>
        <v/>
      </c>
      <c r="AE2378" s="32" t="str">
        <f t="shared" si="2402"/>
        <v/>
      </c>
      <c r="AF2378" s="32" t="str">
        <f t="shared" si="2402"/>
        <v/>
      </c>
      <c r="AG2378" s="32" t="str">
        <f t="shared" si="2402"/>
        <v/>
      </c>
      <c r="AH2378" s="33"/>
    </row>
    <row r="2379" hidden="1" outlineLevel="2" collapsed="1">
      <c r="A2379" s="16" t="b">
        <v>0</v>
      </c>
      <c r="B2379" s="17"/>
      <c r="C2379" s="18"/>
      <c r="D2379" s="42">
        <v>45541.0</v>
      </c>
      <c r="E2379" s="20" t="s">
        <v>24</v>
      </c>
      <c r="F2379" s="53" t="s">
        <v>1480</v>
      </c>
      <c r="G2379" s="45">
        <v>2.0</v>
      </c>
      <c r="H2379" s="45"/>
      <c r="I2379" s="45">
        <v>8.0</v>
      </c>
      <c r="J2379" s="36"/>
      <c r="K2379" s="23"/>
      <c r="L2379" s="36"/>
      <c r="M2379" s="23"/>
      <c r="N2379" s="23"/>
      <c r="O2379" s="24"/>
      <c r="P2379" s="16" t="b">
        <v>1</v>
      </c>
      <c r="Q2379" s="24"/>
      <c r="R2379" s="48">
        <f t="shared" si="2376"/>
        <v>10</v>
      </c>
      <c r="S2379" s="26">
        <v>26.5</v>
      </c>
      <c r="T2379" s="49" t="str">
        <f t="shared" si="2104"/>
        <v>+165</v>
      </c>
      <c r="U2379" s="24"/>
      <c r="V2379" s="28" t="str">
        <f>IF(ISBLANK($D2379), "0",)</f>
        <v/>
      </c>
      <c r="W2379" s="29" t="str">
        <f t="shared" si="2024"/>
        <v/>
      </c>
      <c r="X2379" s="30"/>
      <c r="Y2379" s="31"/>
      <c r="Z2379" s="26">
        <f t="shared" si="5"/>
        <v>3.3</v>
      </c>
      <c r="AA2379" s="26">
        <f t="shared" si="6"/>
        <v>13.2</v>
      </c>
      <c r="AB2379" s="32" t="str">
        <f t="shared" si="7"/>
        <v/>
      </c>
      <c r="AC2379" s="32" t="str">
        <f t="shared" ref="AC2379:AG2379" si="2403">IF(J2379&lt;&gt;"", IF(AND($P2379=FALSE, $A2379=FALSE), -J2379, IF(AND($P2379=FALSE, $A2379=TRUE), 0, IF($P2379=TRUE, (J2379 / $R2379) * 100 * ($S2379 / 100)-J2379, ))), )</f>
        <v/>
      </c>
      <c r="AD2379" s="32" t="str">
        <f t="shared" si="2403"/>
        <v/>
      </c>
      <c r="AE2379" s="32" t="str">
        <f t="shared" si="2403"/>
        <v/>
      </c>
      <c r="AF2379" s="32" t="str">
        <f t="shared" si="2403"/>
        <v/>
      </c>
      <c r="AG2379" s="32" t="str">
        <f t="shared" si="2403"/>
        <v/>
      </c>
      <c r="AH2379" s="33"/>
    </row>
    <row r="2380" hidden="1" outlineLevel="3">
      <c r="A2380" s="16" t="b">
        <v>0</v>
      </c>
      <c r="B2380" s="17"/>
      <c r="C2380" s="18"/>
      <c r="D2380" s="42"/>
      <c r="E2380" s="20"/>
      <c r="F2380" s="53"/>
      <c r="G2380" s="45"/>
      <c r="H2380" s="45"/>
      <c r="I2380" s="45"/>
      <c r="J2380" s="36"/>
      <c r="K2380" s="23"/>
      <c r="L2380" s="36"/>
      <c r="M2380" s="23"/>
      <c r="N2380" s="23"/>
      <c r="O2380" s="24"/>
      <c r="P2380" s="16" t="b">
        <v>0</v>
      </c>
      <c r="Q2380" s="24"/>
      <c r="R2380" s="48" t="str">
        <f t="shared" si="2376"/>
        <v/>
      </c>
      <c r="S2380" s="26"/>
      <c r="T2380" s="49" t="str">
        <f t="shared" si="2104"/>
        <v/>
      </c>
      <c r="U2380" s="24"/>
      <c r="V2380" s="75" t="s">
        <v>29</v>
      </c>
      <c r="W2380" s="29" t="str">
        <f t="shared" si="2024"/>
        <v>/</v>
      </c>
      <c r="X2380" s="37" t="s">
        <v>1490</v>
      </c>
      <c r="Y2380" s="31"/>
      <c r="Z2380" s="26" t="str">
        <f t="shared" si="5"/>
        <v/>
      </c>
      <c r="AA2380" s="26" t="str">
        <f t="shared" si="6"/>
        <v/>
      </c>
      <c r="AB2380" s="32" t="str">
        <f t="shared" si="7"/>
        <v/>
      </c>
      <c r="AC2380" s="32" t="str">
        <f t="shared" ref="AC2380:AG2380" si="2404">IF(J2380&lt;&gt;"", IF(AND($P2380=FALSE, $A2380=FALSE), -J2380, IF(AND($P2380=FALSE, $A2380=TRUE), 0, IF($P2380=TRUE, (J2380 / $R2380) * 100 * ($S2380 / 100)-J2380, ))), )</f>
        <v/>
      </c>
      <c r="AD2380" s="32" t="str">
        <f t="shared" si="2404"/>
        <v/>
      </c>
      <c r="AE2380" s="32" t="str">
        <f t="shared" si="2404"/>
        <v/>
      </c>
      <c r="AF2380" s="32" t="str">
        <f t="shared" si="2404"/>
        <v/>
      </c>
      <c r="AG2380" s="32" t="str">
        <f t="shared" si="2404"/>
        <v/>
      </c>
      <c r="AH2380" s="33"/>
    </row>
    <row r="2381" hidden="1" outlineLevel="2" collapsed="1">
      <c r="A2381" s="16" t="b">
        <v>0</v>
      </c>
      <c r="B2381" s="17"/>
      <c r="C2381" s="18"/>
      <c r="D2381" s="42">
        <v>45541.0</v>
      </c>
      <c r="E2381" s="20" t="s">
        <v>24</v>
      </c>
      <c r="F2381" s="53" t="s">
        <v>1480</v>
      </c>
      <c r="G2381" s="45">
        <v>1.0</v>
      </c>
      <c r="H2381" s="45"/>
      <c r="I2381" s="45">
        <v>2.0</v>
      </c>
      <c r="J2381" s="36"/>
      <c r="K2381" s="23"/>
      <c r="L2381" s="36"/>
      <c r="M2381" s="23"/>
      <c r="N2381" s="23"/>
      <c r="O2381" s="24"/>
      <c r="P2381" s="16" t="b">
        <v>0</v>
      </c>
      <c r="Q2381" s="24"/>
      <c r="R2381" s="48">
        <f t="shared" si="2376"/>
        <v>3</v>
      </c>
      <c r="S2381" s="26">
        <v>42.0</v>
      </c>
      <c r="T2381" s="49" t="str">
        <f t="shared" si="2104"/>
        <v>+1300</v>
      </c>
      <c r="U2381" s="24"/>
      <c r="V2381" s="28" t="str">
        <f>IF(ISBLANK($D2381), "0",)</f>
        <v/>
      </c>
      <c r="W2381" s="29" t="str">
        <f t="shared" si="2024"/>
        <v/>
      </c>
      <c r="X2381" s="30"/>
      <c r="Y2381" s="31"/>
      <c r="Z2381" s="26">
        <f t="shared" si="5"/>
        <v>-1</v>
      </c>
      <c r="AA2381" s="26">
        <f t="shared" si="6"/>
        <v>-2</v>
      </c>
      <c r="AB2381" s="32" t="str">
        <f t="shared" si="7"/>
        <v/>
      </c>
      <c r="AC2381" s="32" t="str">
        <f t="shared" ref="AC2381:AG2381" si="2405">IF(J2381&lt;&gt;"", IF(AND($P2381=FALSE, $A2381=FALSE), -J2381, IF(AND($P2381=FALSE, $A2381=TRUE), 0, IF($P2381=TRUE, (J2381 / $R2381) * 100 * ($S2381 / 100)-J2381, ))), )</f>
        <v/>
      </c>
      <c r="AD2381" s="32" t="str">
        <f t="shared" si="2405"/>
        <v/>
      </c>
      <c r="AE2381" s="32" t="str">
        <f t="shared" si="2405"/>
        <v/>
      </c>
      <c r="AF2381" s="32" t="str">
        <f t="shared" si="2405"/>
        <v/>
      </c>
      <c r="AG2381" s="32" t="str">
        <f t="shared" si="2405"/>
        <v/>
      </c>
      <c r="AH2381" s="33"/>
    </row>
    <row r="2382" hidden="1" outlineLevel="3">
      <c r="A2382" s="16" t="b">
        <v>0</v>
      </c>
      <c r="B2382" s="17"/>
      <c r="C2382" s="18"/>
      <c r="D2382" s="42"/>
      <c r="E2382" s="20"/>
      <c r="F2382" s="53"/>
      <c r="G2382" s="45"/>
      <c r="H2382" s="45"/>
      <c r="I2382" s="45"/>
      <c r="J2382" s="36"/>
      <c r="K2382" s="23"/>
      <c r="L2382" s="36"/>
      <c r="M2382" s="23"/>
      <c r="N2382" s="23"/>
      <c r="O2382" s="24"/>
      <c r="P2382" s="16" t="b">
        <v>0</v>
      </c>
      <c r="Q2382" s="24"/>
      <c r="R2382" s="48" t="str">
        <f t="shared" si="2376"/>
        <v/>
      </c>
      <c r="S2382" s="26"/>
      <c r="T2382" s="49" t="str">
        <f t="shared" si="2104"/>
        <v/>
      </c>
      <c r="U2382" s="24"/>
      <c r="V2382" s="86" t="s">
        <v>1121</v>
      </c>
      <c r="W2382" s="29" t="str">
        <f t="shared" si="2024"/>
        <v>/</v>
      </c>
      <c r="X2382" s="37" t="s">
        <v>1491</v>
      </c>
      <c r="Y2382" s="31"/>
      <c r="Z2382" s="26" t="str">
        <f t="shared" si="5"/>
        <v/>
      </c>
      <c r="AA2382" s="26" t="str">
        <f t="shared" si="6"/>
        <v/>
      </c>
      <c r="AB2382" s="32" t="str">
        <f t="shared" si="7"/>
        <v/>
      </c>
      <c r="AC2382" s="32" t="str">
        <f t="shared" ref="AC2382:AG2382" si="2406">IF(J2382&lt;&gt;"", IF(AND($P2382=FALSE, $A2382=FALSE), -J2382, IF(AND($P2382=FALSE, $A2382=TRUE), 0, IF($P2382=TRUE, (J2382 / $R2382) * 100 * ($S2382 / 100)-J2382, ))), )</f>
        <v/>
      </c>
      <c r="AD2382" s="32" t="str">
        <f t="shared" si="2406"/>
        <v/>
      </c>
      <c r="AE2382" s="32" t="str">
        <f t="shared" si="2406"/>
        <v/>
      </c>
      <c r="AF2382" s="32" t="str">
        <f t="shared" si="2406"/>
        <v/>
      </c>
      <c r="AG2382" s="32" t="str">
        <f t="shared" si="2406"/>
        <v/>
      </c>
      <c r="AH2382" s="33"/>
    </row>
    <row r="2383" hidden="1" outlineLevel="3">
      <c r="A2383" s="16" t="b">
        <v>0</v>
      </c>
      <c r="B2383" s="17"/>
      <c r="C2383" s="18"/>
      <c r="D2383" s="42"/>
      <c r="E2383" s="20"/>
      <c r="F2383" s="53"/>
      <c r="G2383" s="45"/>
      <c r="H2383" s="45"/>
      <c r="I2383" s="45"/>
      <c r="J2383" s="36"/>
      <c r="K2383" s="23"/>
      <c r="L2383" s="36"/>
      <c r="M2383" s="23"/>
      <c r="N2383" s="23"/>
      <c r="O2383" s="24"/>
      <c r="P2383" s="16" t="b">
        <v>0</v>
      </c>
      <c r="Q2383" s="24"/>
      <c r="R2383" s="48" t="str">
        <f t="shared" si="2376"/>
        <v/>
      </c>
      <c r="S2383" s="26"/>
      <c r="T2383" s="49" t="str">
        <f t="shared" si="2104"/>
        <v/>
      </c>
      <c r="U2383" s="24"/>
      <c r="V2383" s="75" t="s">
        <v>29</v>
      </c>
      <c r="W2383" s="29" t="str">
        <f t="shared" si="2024"/>
        <v>/</v>
      </c>
      <c r="X2383" s="37" t="s">
        <v>1492</v>
      </c>
      <c r="Y2383" s="31"/>
      <c r="Z2383" s="26" t="str">
        <f t="shared" si="5"/>
        <v/>
      </c>
      <c r="AA2383" s="26" t="str">
        <f t="shared" si="6"/>
        <v/>
      </c>
      <c r="AB2383" s="32" t="str">
        <f t="shared" si="7"/>
        <v/>
      </c>
      <c r="AC2383" s="32" t="str">
        <f t="shared" ref="AC2383:AG2383" si="2407">IF(J2383&lt;&gt;"", IF(AND($P2383=FALSE, $A2383=FALSE), -J2383, IF(AND($P2383=FALSE, $A2383=TRUE), 0, IF($P2383=TRUE, (J2383 / $R2383) * 100 * ($S2383 / 100)-J2383, ))), )</f>
        <v/>
      </c>
      <c r="AD2383" s="32" t="str">
        <f t="shared" si="2407"/>
        <v/>
      </c>
      <c r="AE2383" s="32" t="str">
        <f t="shared" si="2407"/>
        <v/>
      </c>
      <c r="AF2383" s="32" t="str">
        <f t="shared" si="2407"/>
        <v/>
      </c>
      <c r="AG2383" s="32" t="str">
        <f t="shared" si="2407"/>
        <v/>
      </c>
      <c r="AH2383" s="33"/>
    </row>
    <row r="2384" hidden="1" outlineLevel="3">
      <c r="A2384" s="16" t="b">
        <v>0</v>
      </c>
      <c r="B2384" s="17"/>
      <c r="C2384" s="18"/>
      <c r="D2384" s="42"/>
      <c r="E2384" s="20"/>
      <c r="F2384" s="53"/>
      <c r="G2384" s="45"/>
      <c r="H2384" s="45"/>
      <c r="I2384" s="45"/>
      <c r="J2384" s="36"/>
      <c r="K2384" s="23"/>
      <c r="L2384" s="36"/>
      <c r="M2384" s="23"/>
      <c r="N2384" s="23"/>
      <c r="O2384" s="24"/>
      <c r="P2384" s="16" t="b">
        <v>0</v>
      </c>
      <c r="Q2384" s="24"/>
      <c r="R2384" s="48" t="str">
        <f t="shared" si="2376"/>
        <v/>
      </c>
      <c r="S2384" s="26"/>
      <c r="T2384" s="49" t="str">
        <f t="shared" si="2104"/>
        <v/>
      </c>
      <c r="U2384" s="24"/>
      <c r="V2384" s="75" t="s">
        <v>29</v>
      </c>
      <c r="W2384" s="29" t="str">
        <f t="shared" si="2024"/>
        <v>/</v>
      </c>
      <c r="X2384" s="37" t="s">
        <v>1493</v>
      </c>
      <c r="Y2384" s="31"/>
      <c r="Z2384" s="26" t="str">
        <f t="shared" si="5"/>
        <v/>
      </c>
      <c r="AA2384" s="26" t="str">
        <f t="shared" si="6"/>
        <v/>
      </c>
      <c r="AB2384" s="32" t="str">
        <f t="shared" si="7"/>
        <v/>
      </c>
      <c r="AC2384" s="32" t="str">
        <f t="shared" ref="AC2384:AG2384" si="2408">IF(J2384&lt;&gt;"", IF(AND($P2384=FALSE, $A2384=FALSE), -J2384, IF(AND($P2384=FALSE, $A2384=TRUE), 0, IF($P2384=TRUE, (J2384 / $R2384) * 100 * ($S2384 / 100)-J2384, ))), )</f>
        <v/>
      </c>
      <c r="AD2384" s="32" t="str">
        <f t="shared" si="2408"/>
        <v/>
      </c>
      <c r="AE2384" s="32" t="str">
        <f t="shared" si="2408"/>
        <v/>
      </c>
      <c r="AF2384" s="32" t="str">
        <f t="shared" si="2408"/>
        <v/>
      </c>
      <c r="AG2384" s="32" t="str">
        <f t="shared" si="2408"/>
        <v/>
      </c>
      <c r="AH2384" s="33"/>
    </row>
    <row r="2385" hidden="1" outlineLevel="2" collapsed="1">
      <c r="A2385" s="16" t="b">
        <v>0</v>
      </c>
      <c r="B2385" s="17"/>
      <c r="C2385" s="18"/>
      <c r="D2385" s="42">
        <v>45541.0</v>
      </c>
      <c r="E2385" s="20" t="s">
        <v>24</v>
      </c>
      <c r="F2385" s="53" t="s">
        <v>1480</v>
      </c>
      <c r="G2385" s="45">
        <v>5.0</v>
      </c>
      <c r="H2385" s="45"/>
      <c r="I2385" s="45">
        <v>5.0</v>
      </c>
      <c r="J2385" s="36"/>
      <c r="K2385" s="23"/>
      <c r="L2385" s="36"/>
      <c r="M2385" s="23"/>
      <c r="N2385" s="23"/>
      <c r="O2385" s="24"/>
      <c r="P2385" s="16" t="b">
        <v>1</v>
      </c>
      <c r="Q2385" s="24"/>
      <c r="R2385" s="48">
        <f t="shared" si="2376"/>
        <v>10</v>
      </c>
      <c r="S2385" s="26">
        <v>159.42</v>
      </c>
      <c r="T2385" s="49" t="str">
        <f t="shared" si="2104"/>
        <v>+1494</v>
      </c>
      <c r="U2385" s="24"/>
      <c r="V2385" s="28" t="str">
        <f>IF(ISBLANK($D2385), "0",)</f>
        <v/>
      </c>
      <c r="W2385" s="29" t="str">
        <f t="shared" si="2024"/>
        <v/>
      </c>
      <c r="X2385" s="30"/>
      <c r="Y2385" s="31"/>
      <c r="Z2385" s="26">
        <f t="shared" si="5"/>
        <v>74.71</v>
      </c>
      <c r="AA2385" s="26">
        <f t="shared" si="6"/>
        <v>74.71</v>
      </c>
      <c r="AB2385" s="32" t="str">
        <f t="shared" si="7"/>
        <v/>
      </c>
      <c r="AC2385" s="32" t="str">
        <f t="shared" ref="AC2385:AG2385" si="2409">IF(J2385&lt;&gt;"", IF(AND($P2385=FALSE, $A2385=FALSE), -J2385, IF(AND($P2385=FALSE, $A2385=TRUE), 0, IF($P2385=TRUE, (J2385 / $R2385) * 100 * ($S2385 / 100)-J2385, ))), )</f>
        <v/>
      </c>
      <c r="AD2385" s="32" t="str">
        <f t="shared" si="2409"/>
        <v/>
      </c>
      <c r="AE2385" s="32" t="str">
        <f t="shared" si="2409"/>
        <v/>
      </c>
      <c r="AF2385" s="32" t="str">
        <f t="shared" si="2409"/>
        <v/>
      </c>
      <c r="AG2385" s="32" t="str">
        <f t="shared" si="2409"/>
        <v/>
      </c>
      <c r="AH2385" s="33"/>
    </row>
    <row r="2386" hidden="1" outlineLevel="3">
      <c r="A2386" s="16" t="b">
        <v>0</v>
      </c>
      <c r="B2386" s="17"/>
      <c r="C2386" s="18"/>
      <c r="D2386" s="42"/>
      <c r="E2386" s="20"/>
      <c r="F2386" s="53"/>
      <c r="G2386" s="45"/>
      <c r="H2386" s="45"/>
      <c r="I2386" s="45"/>
      <c r="J2386" s="36"/>
      <c r="K2386" s="23"/>
      <c r="L2386" s="36"/>
      <c r="M2386" s="23"/>
      <c r="N2386" s="23"/>
      <c r="O2386" s="24"/>
      <c r="P2386" s="16" t="b">
        <v>0</v>
      </c>
      <c r="Q2386" s="24"/>
      <c r="R2386" s="48" t="str">
        <f t="shared" si="2376"/>
        <v/>
      </c>
      <c r="S2386" s="26"/>
      <c r="T2386" s="49" t="str">
        <f t="shared" si="2104"/>
        <v/>
      </c>
      <c r="U2386" s="24"/>
      <c r="V2386" s="75" t="s">
        <v>29</v>
      </c>
      <c r="W2386" s="29" t="str">
        <f t="shared" si="2024"/>
        <v>/</v>
      </c>
      <c r="X2386" s="37" t="s">
        <v>545</v>
      </c>
      <c r="Y2386" s="31"/>
      <c r="Z2386" s="26" t="str">
        <f t="shared" si="5"/>
        <v/>
      </c>
      <c r="AA2386" s="26" t="str">
        <f t="shared" si="6"/>
        <v/>
      </c>
      <c r="AB2386" s="32" t="str">
        <f t="shared" si="7"/>
        <v/>
      </c>
      <c r="AC2386" s="32" t="str">
        <f t="shared" ref="AC2386:AG2386" si="2410">IF(J2386&lt;&gt;"", IF(AND($P2386=FALSE, $A2386=FALSE), -J2386, IF(AND($P2386=FALSE, $A2386=TRUE), 0, IF($P2386=TRUE, (J2386 / $R2386) * 100 * ($S2386 / 100)-J2386, ))), )</f>
        <v/>
      </c>
      <c r="AD2386" s="32" t="str">
        <f t="shared" si="2410"/>
        <v/>
      </c>
      <c r="AE2386" s="32" t="str">
        <f t="shared" si="2410"/>
        <v/>
      </c>
      <c r="AF2386" s="32" t="str">
        <f t="shared" si="2410"/>
        <v/>
      </c>
      <c r="AG2386" s="32" t="str">
        <f t="shared" si="2410"/>
        <v/>
      </c>
      <c r="AH2386" s="33"/>
    </row>
    <row r="2387" hidden="1" outlineLevel="3">
      <c r="A2387" s="16" t="b">
        <v>0</v>
      </c>
      <c r="B2387" s="17"/>
      <c r="C2387" s="18"/>
      <c r="D2387" s="42"/>
      <c r="E2387" s="20"/>
      <c r="F2387" s="53"/>
      <c r="G2387" s="45"/>
      <c r="H2387" s="45"/>
      <c r="I2387" s="45"/>
      <c r="J2387" s="36"/>
      <c r="K2387" s="23"/>
      <c r="L2387" s="36"/>
      <c r="M2387" s="23"/>
      <c r="N2387" s="23"/>
      <c r="O2387" s="24"/>
      <c r="P2387" s="16" t="b">
        <v>0</v>
      </c>
      <c r="Q2387" s="24"/>
      <c r="R2387" s="48" t="str">
        <f t="shared" si="2376"/>
        <v/>
      </c>
      <c r="S2387" s="26"/>
      <c r="T2387" s="49" t="str">
        <f t="shared" si="2104"/>
        <v/>
      </c>
      <c r="U2387" s="24"/>
      <c r="V2387" s="75" t="s">
        <v>29</v>
      </c>
      <c r="W2387" s="29" t="str">
        <f t="shared" si="2024"/>
        <v>/</v>
      </c>
      <c r="X2387" s="37" t="s">
        <v>1494</v>
      </c>
      <c r="Y2387" s="31"/>
      <c r="Z2387" s="26" t="str">
        <f t="shared" si="5"/>
        <v/>
      </c>
      <c r="AA2387" s="26" t="str">
        <f t="shared" si="6"/>
        <v/>
      </c>
      <c r="AB2387" s="32" t="str">
        <f t="shared" si="7"/>
        <v/>
      </c>
      <c r="AC2387" s="32" t="str">
        <f t="shared" ref="AC2387:AG2387" si="2411">IF(J2387&lt;&gt;"", IF(AND($P2387=FALSE, $A2387=FALSE), -J2387, IF(AND($P2387=FALSE, $A2387=TRUE), 0, IF($P2387=TRUE, (J2387 / $R2387) * 100 * ($S2387 / 100)-J2387, ))), )</f>
        <v/>
      </c>
      <c r="AD2387" s="32" t="str">
        <f t="shared" si="2411"/>
        <v/>
      </c>
      <c r="AE2387" s="32" t="str">
        <f t="shared" si="2411"/>
        <v/>
      </c>
      <c r="AF2387" s="32" t="str">
        <f t="shared" si="2411"/>
        <v/>
      </c>
      <c r="AG2387" s="32" t="str">
        <f t="shared" si="2411"/>
        <v/>
      </c>
      <c r="AH2387" s="33"/>
    </row>
    <row r="2388" hidden="1" outlineLevel="3">
      <c r="A2388" s="16" t="b">
        <v>0</v>
      </c>
      <c r="B2388" s="17"/>
      <c r="C2388" s="18"/>
      <c r="D2388" s="42"/>
      <c r="E2388" s="20"/>
      <c r="F2388" s="53"/>
      <c r="G2388" s="45"/>
      <c r="H2388" s="45"/>
      <c r="I2388" s="45"/>
      <c r="J2388" s="36"/>
      <c r="K2388" s="23"/>
      <c r="L2388" s="36"/>
      <c r="M2388" s="23"/>
      <c r="N2388" s="23"/>
      <c r="O2388" s="24"/>
      <c r="P2388" s="16" t="b">
        <v>0</v>
      </c>
      <c r="Q2388" s="24"/>
      <c r="R2388" s="48" t="str">
        <f t="shared" si="2376"/>
        <v/>
      </c>
      <c r="S2388" s="26"/>
      <c r="T2388" s="49" t="str">
        <f t="shared" si="2104"/>
        <v/>
      </c>
      <c r="U2388" s="24"/>
      <c r="V2388" s="75" t="s">
        <v>29</v>
      </c>
      <c r="W2388" s="29" t="str">
        <f t="shared" si="2024"/>
        <v>/</v>
      </c>
      <c r="X2388" s="37" t="s">
        <v>1495</v>
      </c>
      <c r="Y2388" s="31"/>
      <c r="Z2388" s="26" t="str">
        <f t="shared" si="5"/>
        <v/>
      </c>
      <c r="AA2388" s="26" t="str">
        <f t="shared" si="6"/>
        <v/>
      </c>
      <c r="AB2388" s="32" t="str">
        <f t="shared" si="7"/>
        <v/>
      </c>
      <c r="AC2388" s="32" t="str">
        <f t="shared" ref="AC2388:AG2388" si="2412">IF(J2388&lt;&gt;"", IF(AND($P2388=FALSE, $A2388=FALSE), -J2388, IF(AND($P2388=FALSE, $A2388=TRUE), 0, IF($P2388=TRUE, (J2388 / $R2388) * 100 * ($S2388 / 100)-J2388, ))), )</f>
        <v/>
      </c>
      <c r="AD2388" s="32" t="str">
        <f t="shared" si="2412"/>
        <v/>
      </c>
      <c r="AE2388" s="32" t="str">
        <f t="shared" si="2412"/>
        <v/>
      </c>
      <c r="AF2388" s="32" t="str">
        <f t="shared" si="2412"/>
        <v/>
      </c>
      <c r="AG2388" s="32" t="str">
        <f t="shared" si="2412"/>
        <v/>
      </c>
      <c r="AH2388" s="33"/>
    </row>
    <row r="2389" hidden="1" outlineLevel="3">
      <c r="A2389" s="16" t="b">
        <v>0</v>
      </c>
      <c r="B2389" s="17"/>
      <c r="C2389" s="18"/>
      <c r="D2389" s="42"/>
      <c r="E2389" s="20"/>
      <c r="F2389" s="53"/>
      <c r="G2389" s="45"/>
      <c r="H2389" s="45"/>
      <c r="I2389" s="45"/>
      <c r="J2389" s="36"/>
      <c r="K2389" s="23"/>
      <c r="L2389" s="36"/>
      <c r="M2389" s="23"/>
      <c r="N2389" s="23"/>
      <c r="O2389" s="24"/>
      <c r="P2389" s="16" t="b">
        <v>0</v>
      </c>
      <c r="Q2389" s="24"/>
      <c r="R2389" s="48" t="str">
        <f t="shared" si="2376"/>
        <v/>
      </c>
      <c r="S2389" s="26"/>
      <c r="T2389" s="49" t="str">
        <f t="shared" si="2104"/>
        <v/>
      </c>
      <c r="U2389" s="24"/>
      <c r="V2389" s="75" t="s">
        <v>29</v>
      </c>
      <c r="W2389" s="29" t="str">
        <f t="shared" si="2024"/>
        <v>/</v>
      </c>
      <c r="X2389" s="37" t="s">
        <v>1496</v>
      </c>
      <c r="Y2389" s="31"/>
      <c r="Z2389" s="26" t="str">
        <f t="shared" si="5"/>
        <v/>
      </c>
      <c r="AA2389" s="26" t="str">
        <f t="shared" si="6"/>
        <v/>
      </c>
      <c r="AB2389" s="32" t="str">
        <f t="shared" si="7"/>
        <v/>
      </c>
      <c r="AC2389" s="32" t="str">
        <f t="shared" ref="AC2389:AG2389" si="2413">IF(J2389&lt;&gt;"", IF(AND($P2389=FALSE, $A2389=FALSE), -J2389, IF(AND($P2389=FALSE, $A2389=TRUE), 0, IF($P2389=TRUE, (J2389 / $R2389) * 100 * ($S2389 / 100)-J2389, ))), )</f>
        <v/>
      </c>
      <c r="AD2389" s="32" t="str">
        <f t="shared" si="2413"/>
        <v/>
      </c>
      <c r="AE2389" s="32" t="str">
        <f t="shared" si="2413"/>
        <v/>
      </c>
      <c r="AF2389" s="32" t="str">
        <f t="shared" si="2413"/>
        <v/>
      </c>
      <c r="AG2389" s="32" t="str">
        <f t="shared" si="2413"/>
        <v/>
      </c>
      <c r="AH2389" s="33"/>
    </row>
    <row r="2390" hidden="1" outlineLevel="3">
      <c r="A2390" s="16" t="b">
        <v>0</v>
      </c>
      <c r="B2390" s="17"/>
      <c r="C2390" s="18"/>
      <c r="D2390" s="42"/>
      <c r="E2390" s="20"/>
      <c r="F2390" s="53"/>
      <c r="G2390" s="45"/>
      <c r="H2390" s="45"/>
      <c r="I2390" s="45"/>
      <c r="J2390" s="36"/>
      <c r="K2390" s="23"/>
      <c r="L2390" s="36"/>
      <c r="M2390" s="23"/>
      <c r="N2390" s="23"/>
      <c r="O2390" s="24"/>
      <c r="P2390" s="16" t="b">
        <v>0</v>
      </c>
      <c r="Q2390" s="24"/>
      <c r="R2390" s="48" t="str">
        <f t="shared" si="2376"/>
        <v/>
      </c>
      <c r="S2390" s="26"/>
      <c r="T2390" s="49" t="str">
        <f t="shared" si="2104"/>
        <v/>
      </c>
      <c r="U2390" s="24"/>
      <c r="V2390" s="75" t="s">
        <v>29</v>
      </c>
      <c r="W2390" s="29" t="str">
        <f t="shared" si="2024"/>
        <v>/</v>
      </c>
      <c r="X2390" s="37" t="s">
        <v>1497</v>
      </c>
      <c r="Y2390" s="31"/>
      <c r="Z2390" s="26" t="str">
        <f t="shared" si="5"/>
        <v/>
      </c>
      <c r="AA2390" s="26" t="str">
        <f t="shared" si="6"/>
        <v/>
      </c>
      <c r="AB2390" s="32" t="str">
        <f t="shared" si="7"/>
        <v/>
      </c>
      <c r="AC2390" s="32" t="str">
        <f t="shared" ref="AC2390:AG2390" si="2414">IF(J2390&lt;&gt;"", IF(AND($P2390=FALSE, $A2390=FALSE), -J2390, IF(AND($P2390=FALSE, $A2390=TRUE), 0, IF($P2390=TRUE, (J2390 / $R2390) * 100 * ($S2390 / 100)-J2390, ))), )</f>
        <v/>
      </c>
      <c r="AD2390" s="32" t="str">
        <f t="shared" si="2414"/>
        <v/>
      </c>
      <c r="AE2390" s="32" t="str">
        <f t="shared" si="2414"/>
        <v/>
      </c>
      <c r="AF2390" s="32" t="str">
        <f t="shared" si="2414"/>
        <v/>
      </c>
      <c r="AG2390" s="32" t="str">
        <f t="shared" si="2414"/>
        <v/>
      </c>
      <c r="AH2390" s="33"/>
    </row>
    <row r="2391" hidden="1" outlineLevel="3">
      <c r="A2391" s="16" t="b">
        <v>0</v>
      </c>
      <c r="B2391" s="17"/>
      <c r="C2391" s="18"/>
      <c r="D2391" s="42"/>
      <c r="E2391" s="20"/>
      <c r="F2391" s="53"/>
      <c r="G2391" s="45"/>
      <c r="H2391" s="45"/>
      <c r="I2391" s="45"/>
      <c r="J2391" s="36"/>
      <c r="K2391" s="23"/>
      <c r="L2391" s="36"/>
      <c r="M2391" s="23"/>
      <c r="N2391" s="23"/>
      <c r="O2391" s="24"/>
      <c r="P2391" s="16" t="b">
        <v>0</v>
      </c>
      <c r="Q2391" s="24"/>
      <c r="R2391" s="48" t="str">
        <f t="shared" si="2376"/>
        <v/>
      </c>
      <c r="S2391" s="26"/>
      <c r="T2391" s="49" t="str">
        <f t="shared" si="2104"/>
        <v/>
      </c>
      <c r="U2391" s="24"/>
      <c r="V2391" s="75" t="s">
        <v>29</v>
      </c>
      <c r="W2391" s="29" t="str">
        <f t="shared" si="2024"/>
        <v>/</v>
      </c>
      <c r="X2391" s="37" t="s">
        <v>1498</v>
      </c>
      <c r="Y2391" s="31"/>
      <c r="Z2391" s="26" t="str">
        <f t="shared" si="5"/>
        <v/>
      </c>
      <c r="AA2391" s="26" t="str">
        <f t="shared" si="6"/>
        <v/>
      </c>
      <c r="AB2391" s="32" t="str">
        <f t="shared" si="7"/>
        <v/>
      </c>
      <c r="AC2391" s="32" t="str">
        <f t="shared" ref="AC2391:AG2391" si="2415">IF(J2391&lt;&gt;"", IF(AND($P2391=FALSE, $A2391=FALSE), -J2391, IF(AND($P2391=FALSE, $A2391=TRUE), 0, IF($P2391=TRUE, (J2391 / $R2391) * 100 * ($S2391 / 100)-J2391, ))), )</f>
        <v/>
      </c>
      <c r="AD2391" s="32" t="str">
        <f t="shared" si="2415"/>
        <v/>
      </c>
      <c r="AE2391" s="32" t="str">
        <f t="shared" si="2415"/>
        <v/>
      </c>
      <c r="AF2391" s="32" t="str">
        <f t="shared" si="2415"/>
        <v/>
      </c>
      <c r="AG2391" s="32" t="str">
        <f t="shared" si="2415"/>
        <v/>
      </c>
      <c r="AH2391" s="33"/>
    </row>
    <row r="2392" hidden="1" outlineLevel="3">
      <c r="A2392" s="16" t="b">
        <v>0</v>
      </c>
      <c r="B2392" s="17"/>
      <c r="C2392" s="18"/>
      <c r="D2392" s="42"/>
      <c r="E2392" s="20"/>
      <c r="F2392" s="53"/>
      <c r="G2392" s="45"/>
      <c r="H2392" s="45"/>
      <c r="I2392" s="45"/>
      <c r="J2392" s="36"/>
      <c r="K2392" s="23"/>
      <c r="L2392" s="36"/>
      <c r="M2392" s="23"/>
      <c r="N2392" s="23"/>
      <c r="O2392" s="24"/>
      <c r="P2392" s="16" t="b">
        <v>0</v>
      </c>
      <c r="Q2392" s="24"/>
      <c r="R2392" s="48" t="str">
        <f t="shared" si="2376"/>
        <v/>
      </c>
      <c r="S2392" s="26"/>
      <c r="T2392" s="49" t="str">
        <f t="shared" si="2104"/>
        <v/>
      </c>
      <c r="U2392" s="24"/>
      <c r="V2392" s="75" t="s">
        <v>29</v>
      </c>
      <c r="W2392" s="29" t="str">
        <f t="shared" si="2024"/>
        <v>/</v>
      </c>
      <c r="X2392" s="37" t="s">
        <v>442</v>
      </c>
      <c r="Y2392" s="31"/>
      <c r="Z2392" s="26" t="str">
        <f t="shared" si="5"/>
        <v/>
      </c>
      <c r="AA2392" s="26" t="str">
        <f t="shared" si="6"/>
        <v/>
      </c>
      <c r="AB2392" s="32" t="str">
        <f t="shared" si="7"/>
        <v/>
      </c>
      <c r="AC2392" s="32" t="str">
        <f t="shared" ref="AC2392:AG2392" si="2416">IF(J2392&lt;&gt;"", IF(AND($P2392=FALSE, $A2392=FALSE), -J2392, IF(AND($P2392=FALSE, $A2392=TRUE), 0, IF($P2392=TRUE, (J2392 / $R2392) * 100 * ($S2392 / 100)-J2392, ))), )</f>
        <v/>
      </c>
      <c r="AD2392" s="32" t="str">
        <f t="shared" si="2416"/>
        <v/>
      </c>
      <c r="AE2392" s="32" t="str">
        <f t="shared" si="2416"/>
        <v/>
      </c>
      <c r="AF2392" s="32" t="str">
        <f t="shared" si="2416"/>
        <v/>
      </c>
      <c r="AG2392" s="32" t="str">
        <f t="shared" si="2416"/>
        <v/>
      </c>
      <c r="AH2392" s="33"/>
    </row>
    <row r="2393" hidden="1" outlineLevel="2">
      <c r="A2393" s="16" t="b">
        <v>0</v>
      </c>
      <c r="B2393" s="17"/>
      <c r="C2393" s="18"/>
      <c r="D2393" s="42">
        <v>45541.0</v>
      </c>
      <c r="E2393" s="20" t="s">
        <v>24</v>
      </c>
      <c r="F2393" s="53" t="s">
        <v>1480</v>
      </c>
      <c r="G2393" s="45">
        <v>0.01</v>
      </c>
      <c r="H2393" s="45"/>
      <c r="I2393" s="45">
        <v>0.01</v>
      </c>
      <c r="J2393" s="45">
        <v>0.01</v>
      </c>
      <c r="K2393" s="23"/>
      <c r="L2393" s="36"/>
      <c r="M2393" s="23"/>
      <c r="N2393" s="23"/>
      <c r="O2393" s="24"/>
      <c r="P2393" s="16" t="b">
        <v>1</v>
      </c>
      <c r="Q2393" s="24"/>
      <c r="R2393" s="48">
        <f t="shared" si="2376"/>
        <v>0.03</v>
      </c>
      <c r="S2393" s="26">
        <v>12.49</v>
      </c>
      <c r="T2393" s="49" t="str">
        <f t="shared" si="2104"/>
        <v>+41533</v>
      </c>
      <c r="U2393" s="24"/>
      <c r="V2393" s="28" t="str">
        <f>IF(ISBLANK($D2393), "0",)</f>
        <v/>
      </c>
      <c r="W2393" s="29" t="str">
        <f t="shared" si="2024"/>
        <v/>
      </c>
      <c r="X2393" s="30"/>
      <c r="Y2393" s="31"/>
      <c r="Z2393" s="26">
        <f t="shared" si="5"/>
        <v>4.153333333</v>
      </c>
      <c r="AA2393" s="26">
        <f t="shared" si="6"/>
        <v>4.153333333</v>
      </c>
      <c r="AB2393" s="32" t="str">
        <f t="shared" si="7"/>
        <v/>
      </c>
      <c r="AC2393" s="32">
        <f t="shared" ref="AC2393:AG2393" si="2417">IF(J2393&lt;&gt;"", IF(AND($P2393=FALSE, $A2393=FALSE), -J2393, IF(AND($P2393=FALSE, $A2393=TRUE), 0, IF($P2393=TRUE, (J2393 / $R2393) * 100 * ($S2393 / 100)-J2393, ))), )</f>
        <v>4.153333333</v>
      </c>
      <c r="AD2393" s="32" t="str">
        <f t="shared" si="2417"/>
        <v/>
      </c>
      <c r="AE2393" s="32" t="str">
        <f t="shared" si="2417"/>
        <v/>
      </c>
      <c r="AF2393" s="32" t="str">
        <f t="shared" si="2417"/>
        <v/>
      </c>
      <c r="AG2393" s="32" t="str">
        <f t="shared" si="2417"/>
        <v/>
      </c>
      <c r="AH2393" s="33"/>
    </row>
    <row r="2394" hidden="1" outlineLevel="3">
      <c r="A2394" s="16" t="b">
        <v>0</v>
      </c>
      <c r="B2394" s="17"/>
      <c r="C2394" s="18"/>
      <c r="D2394" s="42"/>
      <c r="E2394" s="20"/>
      <c r="F2394" s="53"/>
      <c r="G2394" s="45"/>
      <c r="H2394" s="45"/>
      <c r="I2394" s="45"/>
      <c r="J2394" s="36"/>
      <c r="K2394" s="23"/>
      <c r="L2394" s="36"/>
      <c r="M2394" s="23"/>
      <c r="N2394" s="23"/>
      <c r="O2394" s="24"/>
      <c r="P2394" s="16" t="b">
        <v>0</v>
      </c>
      <c r="Q2394" s="24"/>
      <c r="R2394" s="48" t="str">
        <f t="shared" si="2376"/>
        <v/>
      </c>
      <c r="S2394" s="26"/>
      <c r="T2394" s="49" t="str">
        <f t="shared" si="2104"/>
        <v/>
      </c>
      <c r="U2394" s="24"/>
      <c r="V2394" s="75" t="s">
        <v>29</v>
      </c>
      <c r="W2394" s="29" t="str">
        <f t="shared" si="2024"/>
        <v>/</v>
      </c>
      <c r="X2394" s="37" t="s">
        <v>1499</v>
      </c>
      <c r="Y2394" s="31"/>
      <c r="Z2394" s="26" t="str">
        <f t="shared" si="5"/>
        <v/>
      </c>
      <c r="AA2394" s="26" t="str">
        <f t="shared" si="6"/>
        <v/>
      </c>
      <c r="AB2394" s="32" t="str">
        <f t="shared" si="7"/>
        <v/>
      </c>
      <c r="AC2394" s="32" t="str">
        <f t="shared" ref="AC2394:AG2394" si="2418">IF(J2394&lt;&gt;"", IF(AND($P2394=FALSE, $A2394=FALSE), -J2394, IF(AND($P2394=FALSE, $A2394=TRUE), 0, IF($P2394=TRUE, (J2394 / $R2394) * 100 * ($S2394 / 100)-J2394, ))), )</f>
        <v/>
      </c>
      <c r="AD2394" s="32" t="str">
        <f t="shared" si="2418"/>
        <v/>
      </c>
      <c r="AE2394" s="32" t="str">
        <f t="shared" si="2418"/>
        <v/>
      </c>
      <c r="AF2394" s="32" t="str">
        <f t="shared" si="2418"/>
        <v/>
      </c>
      <c r="AG2394" s="32" t="str">
        <f t="shared" si="2418"/>
        <v/>
      </c>
      <c r="AH2394" s="33"/>
    </row>
    <row r="2395" hidden="1" outlineLevel="3">
      <c r="A2395" s="16" t="b">
        <v>0</v>
      </c>
      <c r="B2395" s="17"/>
      <c r="C2395" s="18"/>
      <c r="D2395" s="42"/>
      <c r="E2395" s="20"/>
      <c r="F2395" s="53"/>
      <c r="G2395" s="45"/>
      <c r="H2395" s="45"/>
      <c r="I2395" s="45"/>
      <c r="J2395" s="36"/>
      <c r="K2395" s="23"/>
      <c r="L2395" s="36"/>
      <c r="M2395" s="23"/>
      <c r="N2395" s="23"/>
      <c r="O2395" s="24"/>
      <c r="P2395" s="16" t="b">
        <v>0</v>
      </c>
      <c r="Q2395" s="24"/>
      <c r="R2395" s="48" t="str">
        <f t="shared" si="2376"/>
        <v/>
      </c>
      <c r="S2395" s="26"/>
      <c r="T2395" s="49" t="str">
        <f t="shared" si="2104"/>
        <v/>
      </c>
      <c r="U2395" s="24"/>
      <c r="V2395" s="75" t="s">
        <v>29</v>
      </c>
      <c r="W2395" s="29" t="str">
        <f t="shared" si="2024"/>
        <v>/</v>
      </c>
      <c r="X2395" s="37" t="s">
        <v>436</v>
      </c>
      <c r="Y2395" s="31"/>
      <c r="Z2395" s="26" t="str">
        <f t="shared" si="5"/>
        <v/>
      </c>
      <c r="AA2395" s="26" t="str">
        <f t="shared" si="6"/>
        <v/>
      </c>
      <c r="AB2395" s="32" t="str">
        <f t="shared" si="7"/>
        <v/>
      </c>
      <c r="AC2395" s="32" t="str">
        <f t="shared" ref="AC2395:AG2395" si="2419">IF(J2395&lt;&gt;"", IF(AND($P2395=FALSE, $A2395=FALSE), -J2395, IF(AND($P2395=FALSE, $A2395=TRUE), 0, IF($P2395=TRUE, (J2395 / $R2395) * 100 * ($S2395 / 100)-J2395, ))), )</f>
        <v/>
      </c>
      <c r="AD2395" s="32" t="str">
        <f t="shared" si="2419"/>
        <v/>
      </c>
      <c r="AE2395" s="32" t="str">
        <f t="shared" si="2419"/>
        <v/>
      </c>
      <c r="AF2395" s="32" t="str">
        <f t="shared" si="2419"/>
        <v/>
      </c>
      <c r="AG2395" s="32" t="str">
        <f t="shared" si="2419"/>
        <v/>
      </c>
      <c r="AH2395" s="33"/>
    </row>
    <row r="2396" hidden="1" outlineLevel="3">
      <c r="A2396" s="16" t="b">
        <v>0</v>
      </c>
      <c r="B2396" s="17"/>
      <c r="C2396" s="18"/>
      <c r="D2396" s="42"/>
      <c r="E2396" s="20"/>
      <c r="F2396" s="53"/>
      <c r="G2396" s="45"/>
      <c r="H2396" s="45"/>
      <c r="I2396" s="45"/>
      <c r="J2396" s="36"/>
      <c r="K2396" s="23"/>
      <c r="L2396" s="36"/>
      <c r="M2396" s="23"/>
      <c r="N2396" s="23"/>
      <c r="O2396" s="24"/>
      <c r="P2396" s="16" t="b">
        <v>0</v>
      </c>
      <c r="Q2396" s="24"/>
      <c r="R2396" s="48" t="str">
        <f t="shared" si="2376"/>
        <v/>
      </c>
      <c r="S2396" s="26"/>
      <c r="T2396" s="49" t="str">
        <f t="shared" si="2104"/>
        <v/>
      </c>
      <c r="U2396" s="24"/>
      <c r="V2396" s="75" t="s">
        <v>29</v>
      </c>
      <c r="W2396" s="29" t="str">
        <f t="shared" si="2024"/>
        <v>/</v>
      </c>
      <c r="X2396" s="37" t="s">
        <v>1500</v>
      </c>
      <c r="Y2396" s="31"/>
      <c r="Z2396" s="26" t="str">
        <f t="shared" si="5"/>
        <v/>
      </c>
      <c r="AA2396" s="26" t="str">
        <f t="shared" si="6"/>
        <v/>
      </c>
      <c r="AB2396" s="32" t="str">
        <f t="shared" si="7"/>
        <v/>
      </c>
      <c r="AC2396" s="32" t="str">
        <f t="shared" ref="AC2396:AG2396" si="2420">IF(J2396&lt;&gt;"", IF(AND($P2396=FALSE, $A2396=FALSE), -J2396, IF(AND($P2396=FALSE, $A2396=TRUE), 0, IF($P2396=TRUE, (J2396 / $R2396) * 100 * ($S2396 / 100)-J2396, ))), )</f>
        <v/>
      </c>
      <c r="AD2396" s="32" t="str">
        <f t="shared" si="2420"/>
        <v/>
      </c>
      <c r="AE2396" s="32" t="str">
        <f t="shared" si="2420"/>
        <v/>
      </c>
      <c r="AF2396" s="32" t="str">
        <f t="shared" si="2420"/>
        <v/>
      </c>
      <c r="AG2396" s="32" t="str">
        <f t="shared" si="2420"/>
        <v/>
      </c>
      <c r="AH2396" s="33"/>
    </row>
    <row r="2397" hidden="1" outlineLevel="1" collapsed="1">
      <c r="A2397" s="16" t="b">
        <v>0</v>
      </c>
      <c r="B2397" s="17"/>
      <c r="C2397" s="18"/>
      <c r="D2397" s="42">
        <v>45543.0</v>
      </c>
      <c r="E2397" s="20" t="s">
        <v>24</v>
      </c>
      <c r="F2397" s="53" t="s">
        <v>1480</v>
      </c>
      <c r="G2397" s="45">
        <v>1.0</v>
      </c>
      <c r="H2397" s="45"/>
      <c r="I2397" s="45">
        <v>1.5</v>
      </c>
      <c r="J2397" s="36"/>
      <c r="K2397" s="23"/>
      <c r="L2397" s="36"/>
      <c r="M2397" s="23"/>
      <c r="N2397" s="23"/>
      <c r="O2397" s="24"/>
      <c r="P2397" s="16" t="b">
        <v>0</v>
      </c>
      <c r="Q2397" s="24"/>
      <c r="R2397" s="48">
        <f t="shared" si="2376"/>
        <v>2.5</v>
      </c>
      <c r="S2397" s="26">
        <v>40.0</v>
      </c>
      <c r="T2397" s="49" t="str">
        <f t="shared" si="2104"/>
        <v>+1500</v>
      </c>
      <c r="U2397" s="24"/>
      <c r="V2397" s="28" t="str">
        <f>IF(ISBLANK($D2397), "0",)</f>
        <v/>
      </c>
      <c r="W2397" s="29" t="str">
        <f t="shared" si="2024"/>
        <v/>
      </c>
      <c r="X2397" s="30"/>
      <c r="Y2397" s="31"/>
      <c r="Z2397" s="26">
        <f t="shared" si="5"/>
        <v>-1</v>
      </c>
      <c r="AA2397" s="26">
        <f t="shared" si="6"/>
        <v>-1.5</v>
      </c>
      <c r="AB2397" s="32" t="str">
        <f t="shared" si="7"/>
        <v/>
      </c>
      <c r="AC2397" s="32" t="str">
        <f t="shared" ref="AC2397:AG2397" si="2421">IF(J2397&lt;&gt;"", IF(AND($P2397=FALSE, $A2397=FALSE), -J2397, IF(AND($P2397=FALSE, $A2397=TRUE), 0, IF($P2397=TRUE, (J2397 / $R2397) * 100 * ($S2397 / 100)-J2397, ))), )</f>
        <v/>
      </c>
      <c r="AD2397" s="32" t="str">
        <f t="shared" si="2421"/>
        <v/>
      </c>
      <c r="AE2397" s="32" t="str">
        <f t="shared" si="2421"/>
        <v/>
      </c>
      <c r="AF2397" s="32" t="str">
        <f t="shared" si="2421"/>
        <v/>
      </c>
      <c r="AG2397" s="32" t="str">
        <f t="shared" si="2421"/>
        <v/>
      </c>
      <c r="AH2397" s="33"/>
    </row>
    <row r="2398" hidden="1" outlineLevel="3">
      <c r="A2398" s="16" t="b">
        <v>0</v>
      </c>
      <c r="B2398" s="17"/>
      <c r="C2398" s="18"/>
      <c r="D2398" s="42"/>
      <c r="E2398" s="20"/>
      <c r="F2398" s="53"/>
      <c r="G2398" s="45"/>
      <c r="H2398" s="45"/>
      <c r="I2398" s="45"/>
      <c r="J2398" s="36"/>
      <c r="K2398" s="23"/>
      <c r="L2398" s="36"/>
      <c r="M2398" s="23"/>
      <c r="N2398" s="23"/>
      <c r="O2398" s="24"/>
      <c r="P2398" s="16" t="b">
        <v>0</v>
      </c>
      <c r="Q2398" s="24"/>
      <c r="R2398" s="48" t="str">
        <f t="shared" si="2376"/>
        <v/>
      </c>
      <c r="S2398" s="26"/>
      <c r="T2398" s="49" t="str">
        <f t="shared" si="2104"/>
        <v/>
      </c>
      <c r="U2398" s="24"/>
      <c r="V2398" s="66">
        <v>2.0</v>
      </c>
      <c r="W2398" s="29" t="str">
        <f t="shared" si="2024"/>
        <v>/</v>
      </c>
      <c r="X2398" s="37" t="s">
        <v>1501</v>
      </c>
      <c r="Y2398" s="31"/>
      <c r="Z2398" s="26" t="str">
        <f t="shared" si="5"/>
        <v/>
      </c>
      <c r="AA2398" s="26" t="str">
        <f t="shared" si="6"/>
        <v/>
      </c>
      <c r="AB2398" s="32" t="str">
        <f t="shared" si="7"/>
        <v/>
      </c>
      <c r="AC2398" s="32" t="str">
        <f t="shared" ref="AC2398:AG2398" si="2422">IF(J2398&lt;&gt;"", IF(AND($P2398=FALSE, $A2398=FALSE), -J2398, IF(AND($P2398=FALSE, $A2398=TRUE), 0, IF($P2398=TRUE, (J2398 / $R2398) * 100 * ($S2398 / 100)-J2398, ))), )</f>
        <v/>
      </c>
      <c r="AD2398" s="32" t="str">
        <f t="shared" si="2422"/>
        <v/>
      </c>
      <c r="AE2398" s="32" t="str">
        <f t="shared" si="2422"/>
        <v/>
      </c>
      <c r="AF2398" s="32" t="str">
        <f t="shared" si="2422"/>
        <v/>
      </c>
      <c r="AG2398" s="32" t="str">
        <f t="shared" si="2422"/>
        <v/>
      </c>
      <c r="AH2398" s="33"/>
    </row>
    <row r="2399" hidden="1" outlineLevel="2" collapsed="1">
      <c r="A2399" s="16" t="b">
        <v>0</v>
      </c>
      <c r="B2399" s="17"/>
      <c r="C2399" s="18"/>
      <c r="D2399" s="42">
        <v>45543.0</v>
      </c>
      <c r="E2399" s="20" t="s">
        <v>24</v>
      </c>
      <c r="F2399" s="53" t="s">
        <v>1480</v>
      </c>
      <c r="G2399" s="45">
        <v>2.0</v>
      </c>
      <c r="H2399" s="45"/>
      <c r="I2399" s="45">
        <v>2.0</v>
      </c>
      <c r="J2399" s="36"/>
      <c r="K2399" s="23"/>
      <c r="L2399" s="36"/>
      <c r="M2399" s="23"/>
      <c r="N2399" s="23"/>
      <c r="O2399" s="24"/>
      <c r="P2399" s="16" t="b">
        <v>0</v>
      </c>
      <c r="Q2399" s="24"/>
      <c r="R2399" s="48">
        <f t="shared" si="2376"/>
        <v>4</v>
      </c>
      <c r="S2399" s="26">
        <v>13.04</v>
      </c>
      <c r="T2399" s="49" t="str">
        <f t="shared" si="2104"/>
        <v>+226</v>
      </c>
      <c r="U2399" s="24"/>
      <c r="V2399" s="28" t="str">
        <f t="shared" ref="V2399:V2401" si="2424">IF(ISBLANK($D2399), "0",)</f>
        <v/>
      </c>
      <c r="W2399" s="29" t="str">
        <f t="shared" si="2024"/>
        <v/>
      </c>
      <c r="X2399" s="30"/>
      <c r="Y2399" s="31"/>
      <c r="Z2399" s="26">
        <f t="shared" si="5"/>
        <v>-2</v>
      </c>
      <c r="AA2399" s="26">
        <f t="shared" si="6"/>
        <v>-2</v>
      </c>
      <c r="AB2399" s="32" t="str">
        <f t="shared" si="7"/>
        <v/>
      </c>
      <c r="AC2399" s="32" t="str">
        <f t="shared" ref="AC2399:AG2399" si="2423">IF(J2399&lt;&gt;"", IF(AND($P2399=FALSE, $A2399=FALSE), -J2399, IF(AND($P2399=FALSE, $A2399=TRUE), 0, IF($P2399=TRUE, (J2399 / $R2399) * 100 * ($S2399 / 100)-J2399, ))), )</f>
        <v/>
      </c>
      <c r="AD2399" s="32" t="str">
        <f t="shared" si="2423"/>
        <v/>
      </c>
      <c r="AE2399" s="32" t="str">
        <f t="shared" si="2423"/>
        <v/>
      </c>
      <c r="AF2399" s="32" t="str">
        <f t="shared" si="2423"/>
        <v/>
      </c>
      <c r="AG2399" s="32" t="str">
        <f t="shared" si="2423"/>
        <v/>
      </c>
      <c r="AH2399" s="33"/>
    </row>
    <row r="2400" hidden="1" outlineLevel="3">
      <c r="A2400" s="16" t="b">
        <v>0</v>
      </c>
      <c r="B2400" s="17"/>
      <c r="C2400" s="18"/>
      <c r="D2400" s="42"/>
      <c r="E2400" s="20"/>
      <c r="F2400" s="53"/>
      <c r="G2400" s="45"/>
      <c r="H2400" s="45"/>
      <c r="I2400" s="45"/>
      <c r="J2400" s="36"/>
      <c r="K2400" s="23"/>
      <c r="L2400" s="36"/>
      <c r="M2400" s="23"/>
      <c r="N2400" s="23"/>
      <c r="O2400" s="24"/>
      <c r="P2400" s="16" t="b">
        <v>0</v>
      </c>
      <c r="Q2400" s="24"/>
      <c r="R2400" s="48" t="str">
        <f t="shared" si="2376"/>
        <v/>
      </c>
      <c r="S2400" s="26"/>
      <c r="T2400" s="49" t="str">
        <f t="shared" si="2104"/>
        <v/>
      </c>
      <c r="U2400" s="24"/>
      <c r="V2400" s="28" t="str">
        <f t="shared" si="2424"/>
        <v>0</v>
      </c>
      <c r="W2400" s="29" t="str">
        <f t="shared" si="2024"/>
        <v>/</v>
      </c>
      <c r="X2400" s="37" t="s">
        <v>1502</v>
      </c>
      <c r="Y2400" s="31"/>
      <c r="Z2400" s="26" t="str">
        <f t="shared" si="5"/>
        <v/>
      </c>
      <c r="AA2400" s="26" t="str">
        <f t="shared" si="6"/>
        <v/>
      </c>
      <c r="AB2400" s="32" t="str">
        <f t="shared" si="7"/>
        <v/>
      </c>
      <c r="AC2400" s="32" t="str">
        <f t="shared" ref="AC2400:AG2400" si="2425">IF(J2400&lt;&gt;"", IF(AND($P2400=FALSE, $A2400=FALSE), -J2400, IF(AND($P2400=FALSE, $A2400=TRUE), 0, IF($P2400=TRUE, (J2400 / $R2400) * 100 * ($S2400 / 100)-J2400, ))), )</f>
        <v/>
      </c>
      <c r="AD2400" s="32" t="str">
        <f t="shared" si="2425"/>
        <v/>
      </c>
      <c r="AE2400" s="32" t="str">
        <f t="shared" si="2425"/>
        <v/>
      </c>
      <c r="AF2400" s="32" t="str">
        <f t="shared" si="2425"/>
        <v/>
      </c>
      <c r="AG2400" s="32" t="str">
        <f t="shared" si="2425"/>
        <v/>
      </c>
      <c r="AH2400" s="33"/>
    </row>
    <row r="2401" hidden="1" outlineLevel="2" collapsed="1">
      <c r="A2401" s="16" t="b">
        <v>0</v>
      </c>
      <c r="B2401" s="17"/>
      <c r="C2401" s="18"/>
      <c r="D2401" s="42">
        <v>45543.0</v>
      </c>
      <c r="E2401" s="20" t="s">
        <v>24</v>
      </c>
      <c r="F2401" s="53" t="s">
        <v>1480</v>
      </c>
      <c r="G2401" s="45">
        <v>2.0</v>
      </c>
      <c r="H2401" s="45"/>
      <c r="I2401" s="45">
        <v>3.0</v>
      </c>
      <c r="J2401" s="36"/>
      <c r="K2401" s="23"/>
      <c r="L2401" s="36"/>
      <c r="M2401" s="23"/>
      <c r="N2401" s="23"/>
      <c r="O2401" s="24"/>
      <c r="P2401" s="16" t="b">
        <v>0</v>
      </c>
      <c r="Q2401" s="24"/>
      <c r="R2401" s="48">
        <f t="shared" si="2376"/>
        <v>5</v>
      </c>
      <c r="S2401" s="26">
        <v>17.61</v>
      </c>
      <c r="T2401" s="49" t="str">
        <f t="shared" si="2104"/>
        <v>+252</v>
      </c>
      <c r="U2401" s="24"/>
      <c r="V2401" s="28" t="str">
        <f t="shared" si="2424"/>
        <v/>
      </c>
      <c r="W2401" s="29" t="str">
        <f t="shared" si="2024"/>
        <v/>
      </c>
      <c r="X2401" s="30"/>
      <c r="Y2401" s="31"/>
      <c r="Z2401" s="26">
        <f t="shared" si="5"/>
        <v>-2</v>
      </c>
      <c r="AA2401" s="26">
        <f t="shared" si="6"/>
        <v>-3</v>
      </c>
      <c r="AB2401" s="32" t="str">
        <f t="shared" si="7"/>
        <v/>
      </c>
      <c r="AC2401" s="32" t="str">
        <f t="shared" ref="AC2401:AG2401" si="2426">IF(J2401&lt;&gt;"", IF(AND($P2401=FALSE, $A2401=FALSE), -J2401, IF(AND($P2401=FALSE, $A2401=TRUE), 0, IF($P2401=TRUE, (J2401 / $R2401) * 100 * ($S2401 / 100)-J2401, ))), )</f>
        <v/>
      </c>
      <c r="AD2401" s="32" t="str">
        <f t="shared" si="2426"/>
        <v/>
      </c>
      <c r="AE2401" s="32" t="str">
        <f t="shared" si="2426"/>
        <v/>
      </c>
      <c r="AF2401" s="32" t="str">
        <f t="shared" si="2426"/>
        <v/>
      </c>
      <c r="AG2401" s="32" t="str">
        <f t="shared" si="2426"/>
        <v/>
      </c>
      <c r="AH2401" s="33"/>
    </row>
    <row r="2402" hidden="1" outlineLevel="3">
      <c r="A2402" s="16" t="b">
        <v>0</v>
      </c>
      <c r="B2402" s="17"/>
      <c r="C2402" s="18"/>
      <c r="D2402" s="42"/>
      <c r="E2402" s="20"/>
      <c r="F2402" s="53"/>
      <c r="G2402" s="45"/>
      <c r="H2402" s="45"/>
      <c r="I2402" s="45"/>
      <c r="J2402" s="36"/>
      <c r="K2402" s="23"/>
      <c r="L2402" s="36"/>
      <c r="M2402" s="23"/>
      <c r="N2402" s="23"/>
      <c r="O2402" s="24"/>
      <c r="P2402" s="16" t="b">
        <v>0</v>
      </c>
      <c r="Q2402" s="24"/>
      <c r="R2402" s="48" t="str">
        <f t="shared" si="2376"/>
        <v/>
      </c>
      <c r="S2402" s="26"/>
      <c r="T2402" s="49" t="str">
        <f t="shared" si="2104"/>
        <v/>
      </c>
      <c r="U2402" s="24"/>
      <c r="V2402" s="75" t="s">
        <v>29</v>
      </c>
      <c r="W2402" s="29" t="str">
        <f t="shared" si="2024"/>
        <v>/</v>
      </c>
      <c r="X2402" s="37" t="s">
        <v>1503</v>
      </c>
      <c r="Y2402" s="31"/>
      <c r="Z2402" s="26" t="str">
        <f t="shared" si="5"/>
        <v/>
      </c>
      <c r="AA2402" s="26" t="str">
        <f t="shared" si="6"/>
        <v/>
      </c>
      <c r="AB2402" s="32" t="str">
        <f t="shared" si="7"/>
        <v/>
      </c>
      <c r="AC2402" s="32" t="str">
        <f t="shared" ref="AC2402:AG2402" si="2427">IF(J2402&lt;&gt;"", IF(AND($P2402=FALSE, $A2402=FALSE), -J2402, IF(AND($P2402=FALSE, $A2402=TRUE), 0, IF($P2402=TRUE, (J2402 / $R2402) * 100 * ($S2402 / 100)-J2402, ))), )</f>
        <v/>
      </c>
      <c r="AD2402" s="32" t="str">
        <f t="shared" si="2427"/>
        <v/>
      </c>
      <c r="AE2402" s="32" t="str">
        <f t="shared" si="2427"/>
        <v/>
      </c>
      <c r="AF2402" s="32" t="str">
        <f t="shared" si="2427"/>
        <v/>
      </c>
      <c r="AG2402" s="32" t="str">
        <f t="shared" si="2427"/>
        <v/>
      </c>
      <c r="AH2402" s="33"/>
    </row>
    <row r="2403" hidden="1" outlineLevel="3">
      <c r="A2403" s="16" t="b">
        <v>0</v>
      </c>
      <c r="B2403" s="17"/>
      <c r="C2403" s="18"/>
      <c r="D2403" s="42"/>
      <c r="E2403" s="20"/>
      <c r="F2403" s="53"/>
      <c r="G2403" s="45"/>
      <c r="H2403" s="45"/>
      <c r="I2403" s="45"/>
      <c r="J2403" s="36"/>
      <c r="K2403" s="23"/>
      <c r="L2403" s="36"/>
      <c r="M2403" s="23"/>
      <c r="N2403" s="23"/>
      <c r="O2403" s="24"/>
      <c r="P2403" s="16" t="b">
        <v>0</v>
      </c>
      <c r="Q2403" s="24"/>
      <c r="R2403" s="48" t="str">
        <f t="shared" si="2376"/>
        <v/>
      </c>
      <c r="S2403" s="26"/>
      <c r="T2403" s="49" t="str">
        <f t="shared" si="2104"/>
        <v/>
      </c>
      <c r="U2403" s="24"/>
      <c r="V2403" s="66">
        <v>50.0</v>
      </c>
      <c r="W2403" s="29" t="str">
        <f t="shared" si="2024"/>
        <v>/</v>
      </c>
      <c r="X2403" s="37" t="s">
        <v>1504</v>
      </c>
      <c r="Y2403" s="31"/>
      <c r="Z2403" s="26" t="str">
        <f t="shared" si="5"/>
        <v/>
      </c>
      <c r="AA2403" s="26" t="str">
        <f t="shared" si="6"/>
        <v/>
      </c>
      <c r="AB2403" s="32" t="str">
        <f t="shared" si="7"/>
        <v/>
      </c>
      <c r="AC2403" s="32" t="str">
        <f t="shared" ref="AC2403:AG2403" si="2428">IF(J2403&lt;&gt;"", IF(AND($P2403=FALSE, $A2403=FALSE), -J2403, IF(AND($P2403=FALSE, $A2403=TRUE), 0, IF($P2403=TRUE, (J2403 / $R2403) * 100 * ($S2403 / 100)-J2403, ))), )</f>
        <v/>
      </c>
      <c r="AD2403" s="32" t="str">
        <f t="shared" si="2428"/>
        <v/>
      </c>
      <c r="AE2403" s="32" t="str">
        <f t="shared" si="2428"/>
        <v/>
      </c>
      <c r="AF2403" s="32" t="str">
        <f t="shared" si="2428"/>
        <v/>
      </c>
      <c r="AG2403" s="32" t="str">
        <f t="shared" si="2428"/>
        <v/>
      </c>
      <c r="AH2403" s="33"/>
    </row>
    <row r="2404" hidden="1" outlineLevel="2" collapsed="1">
      <c r="A2404" s="16" t="b">
        <v>0</v>
      </c>
      <c r="B2404" s="17"/>
      <c r="C2404" s="18"/>
      <c r="D2404" s="42">
        <v>45543.0</v>
      </c>
      <c r="E2404" s="20" t="s">
        <v>24</v>
      </c>
      <c r="F2404" s="53" t="s">
        <v>1480</v>
      </c>
      <c r="G2404" s="45">
        <v>3.0</v>
      </c>
      <c r="H2404" s="45"/>
      <c r="I2404" s="45">
        <v>3.0</v>
      </c>
      <c r="J2404" s="36"/>
      <c r="K2404" s="23"/>
      <c r="L2404" s="36"/>
      <c r="M2404" s="23"/>
      <c r="N2404" s="23"/>
      <c r="O2404" s="24"/>
      <c r="P2404" s="16" t="b">
        <v>0</v>
      </c>
      <c r="Q2404" s="24"/>
      <c r="R2404" s="48">
        <f t="shared" si="2376"/>
        <v>6</v>
      </c>
      <c r="S2404" s="26">
        <v>72.87</v>
      </c>
      <c r="T2404" s="49" t="str">
        <f t="shared" si="2104"/>
        <v>+1115</v>
      </c>
      <c r="U2404" s="24"/>
      <c r="V2404" s="28" t="str">
        <f>IF(ISBLANK($D2404), "0",)</f>
        <v/>
      </c>
      <c r="W2404" s="29" t="str">
        <f t="shared" si="2024"/>
        <v/>
      </c>
      <c r="X2404" s="30"/>
      <c r="Y2404" s="31"/>
      <c r="Z2404" s="26">
        <f t="shared" si="5"/>
        <v>-3</v>
      </c>
      <c r="AA2404" s="26">
        <f t="shared" si="6"/>
        <v>-3</v>
      </c>
      <c r="AB2404" s="32" t="str">
        <f t="shared" si="7"/>
        <v/>
      </c>
      <c r="AC2404" s="32" t="str">
        <f t="shared" ref="AC2404:AG2404" si="2429">IF(J2404&lt;&gt;"", IF(AND($P2404=FALSE, $A2404=FALSE), -J2404, IF(AND($P2404=FALSE, $A2404=TRUE), 0, IF($P2404=TRUE, (J2404 / $R2404) * 100 * ($S2404 / 100)-J2404, ))), )</f>
        <v/>
      </c>
      <c r="AD2404" s="32" t="str">
        <f t="shared" si="2429"/>
        <v/>
      </c>
      <c r="AE2404" s="32" t="str">
        <f t="shared" si="2429"/>
        <v/>
      </c>
      <c r="AF2404" s="32" t="str">
        <f t="shared" si="2429"/>
        <v/>
      </c>
      <c r="AG2404" s="32" t="str">
        <f t="shared" si="2429"/>
        <v/>
      </c>
      <c r="AH2404" s="33"/>
    </row>
    <row r="2405" hidden="1" outlineLevel="3">
      <c r="A2405" s="16" t="b">
        <v>0</v>
      </c>
      <c r="B2405" s="17"/>
      <c r="C2405" s="18"/>
      <c r="D2405" s="42"/>
      <c r="E2405" s="20"/>
      <c r="F2405" s="53"/>
      <c r="G2405" s="45"/>
      <c r="H2405" s="45"/>
      <c r="I2405" s="45"/>
      <c r="J2405" s="36"/>
      <c r="K2405" s="23"/>
      <c r="L2405" s="36"/>
      <c r="M2405" s="23"/>
      <c r="N2405" s="23"/>
      <c r="O2405" s="24"/>
      <c r="P2405" s="16" t="b">
        <v>0</v>
      </c>
      <c r="Q2405" s="24"/>
      <c r="R2405" s="48" t="str">
        <f t="shared" si="2376"/>
        <v/>
      </c>
      <c r="S2405" s="26"/>
      <c r="T2405" s="49" t="str">
        <f t="shared" si="2104"/>
        <v/>
      </c>
      <c r="U2405" s="24"/>
      <c r="V2405" s="66">
        <v>217.0</v>
      </c>
      <c r="W2405" s="29" t="str">
        <f t="shared" si="2024"/>
        <v>/</v>
      </c>
      <c r="X2405" s="37" t="s">
        <v>1505</v>
      </c>
      <c r="Y2405" s="31"/>
      <c r="Z2405" s="26" t="str">
        <f t="shared" si="5"/>
        <v/>
      </c>
      <c r="AA2405" s="26" t="str">
        <f t="shared" si="6"/>
        <v/>
      </c>
      <c r="AB2405" s="32" t="str">
        <f t="shared" si="7"/>
        <v/>
      </c>
      <c r="AC2405" s="32" t="str">
        <f t="shared" ref="AC2405:AG2405" si="2430">IF(J2405&lt;&gt;"", IF(AND($P2405=FALSE, $A2405=FALSE), -J2405, IF(AND($P2405=FALSE, $A2405=TRUE), 0, IF($P2405=TRUE, (J2405 / $R2405) * 100 * ($S2405 / 100)-J2405, ))), )</f>
        <v/>
      </c>
      <c r="AD2405" s="32" t="str">
        <f t="shared" si="2430"/>
        <v/>
      </c>
      <c r="AE2405" s="32" t="str">
        <f t="shared" si="2430"/>
        <v/>
      </c>
      <c r="AF2405" s="32" t="str">
        <f t="shared" si="2430"/>
        <v/>
      </c>
      <c r="AG2405" s="32" t="str">
        <f t="shared" si="2430"/>
        <v/>
      </c>
      <c r="AH2405" s="33"/>
    </row>
    <row r="2406" hidden="1" outlineLevel="3">
      <c r="A2406" s="16" t="b">
        <v>0</v>
      </c>
      <c r="B2406" s="17"/>
      <c r="C2406" s="18"/>
      <c r="D2406" s="42"/>
      <c r="E2406" s="20"/>
      <c r="F2406" s="53"/>
      <c r="G2406" s="45"/>
      <c r="H2406" s="45"/>
      <c r="I2406" s="45"/>
      <c r="J2406" s="36"/>
      <c r="K2406" s="23"/>
      <c r="L2406" s="36"/>
      <c r="M2406" s="23"/>
      <c r="N2406" s="23"/>
      <c r="O2406" s="24"/>
      <c r="P2406" s="16" t="b">
        <v>0</v>
      </c>
      <c r="Q2406" s="24"/>
      <c r="R2406" s="48" t="str">
        <f t="shared" si="2376"/>
        <v/>
      </c>
      <c r="S2406" s="26"/>
      <c r="T2406" s="49" t="str">
        <f t="shared" si="2104"/>
        <v/>
      </c>
      <c r="U2406" s="24"/>
      <c r="V2406" s="75" t="s">
        <v>29</v>
      </c>
      <c r="W2406" s="29" t="str">
        <f t="shared" si="2024"/>
        <v>/</v>
      </c>
      <c r="X2406" s="37" t="s">
        <v>1506</v>
      </c>
      <c r="Y2406" s="31"/>
      <c r="Z2406" s="26" t="str">
        <f t="shared" si="5"/>
        <v/>
      </c>
      <c r="AA2406" s="26" t="str">
        <f t="shared" si="6"/>
        <v/>
      </c>
      <c r="AB2406" s="32" t="str">
        <f t="shared" si="7"/>
        <v/>
      </c>
      <c r="AC2406" s="32" t="str">
        <f t="shared" ref="AC2406:AG2406" si="2431">IF(J2406&lt;&gt;"", IF(AND($P2406=FALSE, $A2406=FALSE), -J2406, IF(AND($P2406=FALSE, $A2406=TRUE), 0, IF($P2406=TRUE, (J2406 / $R2406) * 100 * ($S2406 / 100)-J2406, ))), )</f>
        <v/>
      </c>
      <c r="AD2406" s="32" t="str">
        <f t="shared" si="2431"/>
        <v/>
      </c>
      <c r="AE2406" s="32" t="str">
        <f t="shared" si="2431"/>
        <v/>
      </c>
      <c r="AF2406" s="32" t="str">
        <f t="shared" si="2431"/>
        <v/>
      </c>
      <c r="AG2406" s="32" t="str">
        <f t="shared" si="2431"/>
        <v/>
      </c>
      <c r="AH2406" s="33"/>
    </row>
    <row r="2407" hidden="1" outlineLevel="3">
      <c r="A2407" s="16" t="b">
        <v>0</v>
      </c>
      <c r="B2407" s="17"/>
      <c r="C2407" s="18"/>
      <c r="D2407" s="42"/>
      <c r="E2407" s="20"/>
      <c r="F2407" s="53"/>
      <c r="G2407" s="45"/>
      <c r="H2407" s="45"/>
      <c r="I2407" s="45"/>
      <c r="J2407" s="36"/>
      <c r="K2407" s="23"/>
      <c r="L2407" s="36"/>
      <c r="M2407" s="23"/>
      <c r="N2407" s="23"/>
      <c r="O2407" s="24"/>
      <c r="P2407" s="16" t="b">
        <v>0</v>
      </c>
      <c r="Q2407" s="24"/>
      <c r="R2407" s="48" t="str">
        <f t="shared" si="2376"/>
        <v/>
      </c>
      <c r="S2407" s="26"/>
      <c r="T2407" s="49" t="str">
        <f t="shared" si="2104"/>
        <v/>
      </c>
      <c r="U2407" s="24"/>
      <c r="V2407" s="66">
        <v>155.0</v>
      </c>
      <c r="W2407" s="29" t="str">
        <f t="shared" si="2024"/>
        <v>/</v>
      </c>
      <c r="X2407" s="37" t="s">
        <v>1507</v>
      </c>
      <c r="Y2407" s="31"/>
      <c r="Z2407" s="26" t="str">
        <f t="shared" si="5"/>
        <v/>
      </c>
      <c r="AA2407" s="26" t="str">
        <f t="shared" si="6"/>
        <v/>
      </c>
      <c r="AB2407" s="32" t="str">
        <f t="shared" si="7"/>
        <v/>
      </c>
      <c r="AC2407" s="32" t="str">
        <f t="shared" ref="AC2407:AG2407" si="2432">IF(J2407&lt;&gt;"", IF(AND($P2407=FALSE, $A2407=FALSE), -J2407, IF(AND($P2407=FALSE, $A2407=TRUE), 0, IF($P2407=TRUE, (J2407 / $R2407) * 100 * ($S2407 / 100)-J2407, ))), )</f>
        <v/>
      </c>
      <c r="AD2407" s="32" t="str">
        <f t="shared" si="2432"/>
        <v/>
      </c>
      <c r="AE2407" s="32" t="str">
        <f t="shared" si="2432"/>
        <v/>
      </c>
      <c r="AF2407" s="32" t="str">
        <f t="shared" si="2432"/>
        <v/>
      </c>
      <c r="AG2407" s="32" t="str">
        <f t="shared" si="2432"/>
        <v/>
      </c>
      <c r="AH2407" s="33"/>
    </row>
    <row r="2408" hidden="1" outlineLevel="3">
      <c r="A2408" s="16" t="b">
        <v>0</v>
      </c>
      <c r="B2408" s="17"/>
      <c r="C2408" s="18"/>
      <c r="D2408" s="42"/>
      <c r="E2408" s="20"/>
      <c r="F2408" s="53"/>
      <c r="G2408" s="45"/>
      <c r="H2408" s="45"/>
      <c r="I2408" s="45"/>
      <c r="J2408" s="36"/>
      <c r="K2408" s="23"/>
      <c r="L2408" s="36"/>
      <c r="M2408" s="23"/>
      <c r="N2408" s="23"/>
      <c r="O2408" s="24"/>
      <c r="P2408" s="16" t="b">
        <v>0</v>
      </c>
      <c r="Q2408" s="24"/>
      <c r="R2408" s="48" t="str">
        <f t="shared" si="2376"/>
        <v/>
      </c>
      <c r="S2408" s="26"/>
      <c r="T2408" s="49" t="str">
        <f t="shared" si="2104"/>
        <v/>
      </c>
      <c r="U2408" s="24"/>
      <c r="V2408" s="66">
        <v>93.0</v>
      </c>
      <c r="W2408" s="29" t="str">
        <f t="shared" si="2024"/>
        <v>/</v>
      </c>
      <c r="X2408" s="37" t="s">
        <v>1508</v>
      </c>
      <c r="Y2408" s="31"/>
      <c r="Z2408" s="26" t="str">
        <f t="shared" si="5"/>
        <v/>
      </c>
      <c r="AA2408" s="26" t="str">
        <f t="shared" si="6"/>
        <v/>
      </c>
      <c r="AB2408" s="32" t="str">
        <f t="shared" si="7"/>
        <v/>
      </c>
      <c r="AC2408" s="32" t="str">
        <f t="shared" ref="AC2408:AG2408" si="2433">IF(J2408&lt;&gt;"", IF(AND($P2408=FALSE, $A2408=FALSE), -J2408, IF(AND($P2408=FALSE, $A2408=TRUE), 0, IF($P2408=TRUE, (J2408 / $R2408) * 100 * ($S2408 / 100)-J2408, ))), )</f>
        <v/>
      </c>
      <c r="AD2408" s="32" t="str">
        <f t="shared" si="2433"/>
        <v/>
      </c>
      <c r="AE2408" s="32" t="str">
        <f t="shared" si="2433"/>
        <v/>
      </c>
      <c r="AF2408" s="32" t="str">
        <f t="shared" si="2433"/>
        <v/>
      </c>
      <c r="AG2408" s="32" t="str">
        <f t="shared" si="2433"/>
        <v/>
      </c>
      <c r="AH2408" s="33"/>
    </row>
    <row r="2409" hidden="1" outlineLevel="3">
      <c r="A2409" s="16" t="b">
        <v>0</v>
      </c>
      <c r="B2409" s="17"/>
      <c r="C2409" s="18"/>
      <c r="D2409" s="42"/>
      <c r="E2409" s="20"/>
      <c r="F2409" s="53"/>
      <c r="G2409" s="45"/>
      <c r="H2409" s="45"/>
      <c r="I2409" s="45"/>
      <c r="J2409" s="36"/>
      <c r="K2409" s="23"/>
      <c r="L2409" s="36"/>
      <c r="M2409" s="23"/>
      <c r="N2409" s="23"/>
      <c r="O2409" s="24"/>
      <c r="P2409" s="16" t="b">
        <v>0</v>
      </c>
      <c r="Q2409" s="24"/>
      <c r="R2409" s="48" t="str">
        <f t="shared" si="2376"/>
        <v/>
      </c>
      <c r="S2409" s="26"/>
      <c r="T2409" s="49" t="str">
        <f t="shared" si="2104"/>
        <v/>
      </c>
      <c r="U2409" s="24"/>
      <c r="V2409" s="66">
        <v>234.0</v>
      </c>
      <c r="W2409" s="29" t="str">
        <f t="shared" si="2024"/>
        <v>/</v>
      </c>
      <c r="X2409" s="37" t="s">
        <v>1509</v>
      </c>
      <c r="Y2409" s="31"/>
      <c r="Z2409" s="26" t="str">
        <f t="shared" si="5"/>
        <v/>
      </c>
      <c r="AA2409" s="26" t="str">
        <f t="shared" si="6"/>
        <v/>
      </c>
      <c r="AB2409" s="32" t="str">
        <f t="shared" si="7"/>
        <v/>
      </c>
      <c r="AC2409" s="32" t="str">
        <f t="shared" ref="AC2409:AG2409" si="2434">IF(J2409&lt;&gt;"", IF(AND($P2409=FALSE, $A2409=FALSE), -J2409, IF(AND($P2409=FALSE, $A2409=TRUE), 0, IF($P2409=TRUE, (J2409 / $R2409) * 100 * ($S2409 / 100)-J2409, ))), )</f>
        <v/>
      </c>
      <c r="AD2409" s="32" t="str">
        <f t="shared" si="2434"/>
        <v/>
      </c>
      <c r="AE2409" s="32" t="str">
        <f t="shared" si="2434"/>
        <v/>
      </c>
      <c r="AF2409" s="32" t="str">
        <f t="shared" si="2434"/>
        <v/>
      </c>
      <c r="AG2409" s="32" t="str">
        <f t="shared" si="2434"/>
        <v/>
      </c>
      <c r="AH2409" s="33"/>
    </row>
    <row r="2410" hidden="1" outlineLevel="3">
      <c r="A2410" s="16" t="b">
        <v>0</v>
      </c>
      <c r="B2410" s="17"/>
      <c r="C2410" s="18"/>
      <c r="D2410" s="42"/>
      <c r="E2410" s="20"/>
      <c r="F2410" s="53"/>
      <c r="G2410" s="45"/>
      <c r="H2410" s="45"/>
      <c r="I2410" s="45"/>
      <c r="J2410" s="36"/>
      <c r="K2410" s="23"/>
      <c r="L2410" s="36"/>
      <c r="M2410" s="23"/>
      <c r="N2410" s="23"/>
      <c r="O2410" s="24"/>
      <c r="P2410" s="16" t="b">
        <v>0</v>
      </c>
      <c r="Q2410" s="24"/>
      <c r="R2410" s="48" t="str">
        <f t="shared" si="2376"/>
        <v/>
      </c>
      <c r="S2410" s="26"/>
      <c r="T2410" s="49" t="str">
        <f t="shared" si="2104"/>
        <v/>
      </c>
      <c r="U2410" s="24"/>
      <c r="V2410" s="66">
        <v>179.0</v>
      </c>
      <c r="W2410" s="29" t="str">
        <f t="shared" si="2024"/>
        <v>/</v>
      </c>
      <c r="X2410" s="37" t="s">
        <v>375</v>
      </c>
      <c r="Y2410" s="31"/>
      <c r="Z2410" s="26" t="str">
        <f t="shared" si="5"/>
        <v/>
      </c>
      <c r="AA2410" s="26" t="str">
        <f t="shared" si="6"/>
        <v/>
      </c>
      <c r="AB2410" s="32" t="str">
        <f t="shared" si="7"/>
        <v/>
      </c>
      <c r="AC2410" s="32" t="str">
        <f t="shared" ref="AC2410:AG2410" si="2435">IF(J2410&lt;&gt;"", IF(AND($P2410=FALSE, $A2410=FALSE), -J2410, IF(AND($P2410=FALSE, $A2410=TRUE), 0, IF($P2410=TRUE, (J2410 / $R2410) * 100 * ($S2410 / 100)-J2410, ))), )</f>
        <v/>
      </c>
      <c r="AD2410" s="32" t="str">
        <f t="shared" si="2435"/>
        <v/>
      </c>
      <c r="AE2410" s="32" t="str">
        <f t="shared" si="2435"/>
        <v/>
      </c>
      <c r="AF2410" s="32" t="str">
        <f t="shared" si="2435"/>
        <v/>
      </c>
      <c r="AG2410" s="32" t="str">
        <f t="shared" si="2435"/>
        <v/>
      </c>
      <c r="AH2410" s="33"/>
    </row>
    <row r="2411" hidden="1" outlineLevel="2" collapsed="1">
      <c r="A2411" s="16" t="b">
        <v>0</v>
      </c>
      <c r="B2411" s="17"/>
      <c r="C2411" s="18"/>
      <c r="D2411" s="42">
        <v>45543.0</v>
      </c>
      <c r="E2411" s="20" t="s">
        <v>24</v>
      </c>
      <c r="F2411" s="53" t="s">
        <v>1480</v>
      </c>
      <c r="G2411" s="45">
        <v>2.0</v>
      </c>
      <c r="H2411" s="45"/>
      <c r="I2411" s="45"/>
      <c r="J2411" s="36"/>
      <c r="K2411" s="23"/>
      <c r="L2411" s="36"/>
      <c r="M2411" s="23"/>
      <c r="N2411" s="23"/>
      <c r="O2411" s="24"/>
      <c r="P2411" s="16" t="b">
        <v>0</v>
      </c>
      <c r="Q2411" s="24"/>
      <c r="R2411" s="48">
        <f t="shared" si="2376"/>
        <v>2</v>
      </c>
      <c r="S2411" s="26">
        <v>10.74</v>
      </c>
      <c r="T2411" s="49" t="str">
        <f t="shared" si="2104"/>
        <v>+437</v>
      </c>
      <c r="U2411" s="24"/>
      <c r="V2411" s="28" t="str">
        <f t="shared" ref="V2411:V2416" si="2437">IF(ISBLANK($D2411), "0",)</f>
        <v/>
      </c>
      <c r="W2411" s="29" t="str">
        <f t="shared" si="2024"/>
        <v/>
      </c>
      <c r="X2411" s="30"/>
      <c r="Y2411" s="31"/>
      <c r="Z2411" s="26">
        <f t="shared" si="5"/>
        <v>-2</v>
      </c>
      <c r="AA2411" s="26" t="str">
        <f t="shared" si="6"/>
        <v/>
      </c>
      <c r="AB2411" s="32" t="str">
        <f t="shared" si="7"/>
        <v/>
      </c>
      <c r="AC2411" s="32" t="str">
        <f t="shared" ref="AC2411:AG2411" si="2436">IF(J2411&lt;&gt;"", IF(AND($P2411=FALSE, $A2411=FALSE), -J2411, IF(AND($P2411=FALSE, $A2411=TRUE), 0, IF($P2411=TRUE, (J2411 / $R2411) * 100 * ($S2411 / 100)-J2411, ))), )</f>
        <v/>
      </c>
      <c r="AD2411" s="32" t="str">
        <f t="shared" si="2436"/>
        <v/>
      </c>
      <c r="AE2411" s="32" t="str">
        <f t="shared" si="2436"/>
        <v/>
      </c>
      <c r="AF2411" s="32" t="str">
        <f t="shared" si="2436"/>
        <v/>
      </c>
      <c r="AG2411" s="32" t="str">
        <f t="shared" si="2436"/>
        <v/>
      </c>
      <c r="AH2411" s="33"/>
    </row>
    <row r="2412" hidden="1" outlineLevel="3">
      <c r="A2412" s="16" t="b">
        <v>0</v>
      </c>
      <c r="B2412" s="17"/>
      <c r="C2412" s="18"/>
      <c r="D2412" s="42"/>
      <c r="E2412" s="20"/>
      <c r="F2412" s="53"/>
      <c r="G2412" s="45"/>
      <c r="H2412" s="45"/>
      <c r="I2412" s="45"/>
      <c r="J2412" s="36"/>
      <c r="K2412" s="23"/>
      <c r="L2412" s="36"/>
      <c r="M2412" s="23"/>
      <c r="N2412" s="23"/>
      <c r="O2412" s="24"/>
      <c r="P2412" s="16" t="b">
        <v>0</v>
      </c>
      <c r="Q2412" s="24"/>
      <c r="R2412" s="48" t="str">
        <f t="shared" si="2376"/>
        <v/>
      </c>
      <c r="S2412" s="26"/>
      <c r="T2412" s="49" t="str">
        <f t="shared" si="2104"/>
        <v/>
      </c>
      <c r="U2412" s="24"/>
      <c r="V2412" s="28" t="str">
        <f t="shared" si="2437"/>
        <v>0</v>
      </c>
      <c r="W2412" s="29" t="str">
        <f t="shared" si="2024"/>
        <v>/</v>
      </c>
      <c r="X2412" s="37" t="s">
        <v>1510</v>
      </c>
      <c r="Y2412" s="31"/>
      <c r="Z2412" s="26" t="str">
        <f t="shared" si="5"/>
        <v/>
      </c>
      <c r="AA2412" s="26" t="str">
        <f t="shared" si="6"/>
        <v/>
      </c>
      <c r="AB2412" s="32" t="str">
        <f t="shared" si="7"/>
        <v/>
      </c>
      <c r="AC2412" s="32" t="str">
        <f t="shared" ref="AC2412:AG2412" si="2438">IF(J2412&lt;&gt;"", IF(AND($P2412=FALSE, $A2412=FALSE), -J2412, IF(AND($P2412=FALSE, $A2412=TRUE), 0, IF($P2412=TRUE, (J2412 / $R2412) * 100 * ($S2412 / 100)-J2412, ))), )</f>
        <v/>
      </c>
      <c r="AD2412" s="32" t="str">
        <f t="shared" si="2438"/>
        <v/>
      </c>
      <c r="AE2412" s="32" t="str">
        <f t="shared" si="2438"/>
        <v/>
      </c>
      <c r="AF2412" s="32" t="str">
        <f t="shared" si="2438"/>
        <v/>
      </c>
      <c r="AG2412" s="32" t="str">
        <f t="shared" si="2438"/>
        <v/>
      </c>
      <c r="AH2412" s="33"/>
    </row>
    <row r="2413" hidden="1" outlineLevel="3">
      <c r="A2413" s="16" t="b">
        <v>0</v>
      </c>
      <c r="B2413" s="17"/>
      <c r="C2413" s="18"/>
      <c r="D2413" s="42"/>
      <c r="E2413" s="20"/>
      <c r="F2413" s="53"/>
      <c r="G2413" s="45"/>
      <c r="H2413" s="45"/>
      <c r="I2413" s="45"/>
      <c r="J2413" s="36"/>
      <c r="K2413" s="23"/>
      <c r="L2413" s="36"/>
      <c r="M2413" s="23"/>
      <c r="N2413" s="23"/>
      <c r="O2413" s="24"/>
      <c r="P2413" s="16" t="b">
        <v>0</v>
      </c>
      <c r="Q2413" s="24"/>
      <c r="R2413" s="48" t="str">
        <f t="shared" si="2376"/>
        <v/>
      </c>
      <c r="S2413" s="26"/>
      <c r="T2413" s="49" t="str">
        <f t="shared" si="2104"/>
        <v/>
      </c>
      <c r="U2413" s="24"/>
      <c r="V2413" s="28" t="str">
        <f t="shared" si="2437"/>
        <v>0</v>
      </c>
      <c r="W2413" s="29" t="str">
        <f t="shared" si="2024"/>
        <v>/</v>
      </c>
      <c r="X2413" s="37" t="s">
        <v>1511</v>
      </c>
      <c r="Y2413" s="31"/>
      <c r="Z2413" s="26" t="str">
        <f t="shared" si="5"/>
        <v/>
      </c>
      <c r="AA2413" s="26" t="str">
        <f t="shared" si="6"/>
        <v/>
      </c>
      <c r="AB2413" s="32" t="str">
        <f t="shared" si="7"/>
        <v/>
      </c>
      <c r="AC2413" s="32" t="str">
        <f t="shared" ref="AC2413:AG2413" si="2439">IF(J2413&lt;&gt;"", IF(AND($P2413=FALSE, $A2413=FALSE), -J2413, IF(AND($P2413=FALSE, $A2413=TRUE), 0, IF($P2413=TRUE, (J2413 / $R2413) * 100 * ($S2413 / 100)-J2413, ))), )</f>
        <v/>
      </c>
      <c r="AD2413" s="32" t="str">
        <f t="shared" si="2439"/>
        <v/>
      </c>
      <c r="AE2413" s="32" t="str">
        <f t="shared" si="2439"/>
        <v/>
      </c>
      <c r="AF2413" s="32" t="str">
        <f t="shared" si="2439"/>
        <v/>
      </c>
      <c r="AG2413" s="32" t="str">
        <f t="shared" si="2439"/>
        <v/>
      </c>
      <c r="AH2413" s="33"/>
    </row>
    <row r="2414" hidden="1" outlineLevel="2" collapsed="1">
      <c r="A2414" s="16" t="b">
        <v>0</v>
      </c>
      <c r="B2414" s="17"/>
      <c r="C2414" s="18"/>
      <c r="D2414" s="42">
        <v>45543.0</v>
      </c>
      <c r="E2414" s="20" t="s">
        <v>24</v>
      </c>
      <c r="F2414" s="53" t="s">
        <v>1480</v>
      </c>
      <c r="G2414" s="45">
        <v>1.0</v>
      </c>
      <c r="H2414" s="45"/>
      <c r="I2414" s="45">
        <v>1.0</v>
      </c>
      <c r="J2414" s="36"/>
      <c r="K2414" s="23"/>
      <c r="L2414" s="36"/>
      <c r="M2414" s="23"/>
      <c r="N2414" s="23"/>
      <c r="O2414" s="24"/>
      <c r="P2414" s="16" t="b">
        <v>0</v>
      </c>
      <c r="Q2414" s="24"/>
      <c r="R2414" s="48">
        <f t="shared" si="2376"/>
        <v>2</v>
      </c>
      <c r="S2414" s="26">
        <v>40.0</v>
      </c>
      <c r="T2414" s="49" t="str">
        <f t="shared" si="2104"/>
        <v>+1900</v>
      </c>
      <c r="U2414" s="24"/>
      <c r="V2414" s="28" t="str">
        <f t="shared" si="2437"/>
        <v/>
      </c>
      <c r="W2414" s="29" t="str">
        <f t="shared" si="2024"/>
        <v/>
      </c>
      <c r="X2414" s="30"/>
      <c r="Y2414" s="31"/>
      <c r="Z2414" s="26">
        <f t="shared" si="5"/>
        <v>-1</v>
      </c>
      <c r="AA2414" s="26">
        <f t="shared" si="6"/>
        <v>-1</v>
      </c>
      <c r="AB2414" s="32" t="str">
        <f t="shared" si="7"/>
        <v/>
      </c>
      <c r="AC2414" s="32" t="str">
        <f t="shared" ref="AC2414:AG2414" si="2440">IF(J2414&lt;&gt;"", IF(AND($P2414=FALSE, $A2414=FALSE), -J2414, IF(AND($P2414=FALSE, $A2414=TRUE), 0, IF($P2414=TRUE, (J2414 / $R2414) * 100 * ($S2414 / 100)-J2414, ))), )</f>
        <v/>
      </c>
      <c r="AD2414" s="32" t="str">
        <f t="shared" si="2440"/>
        <v/>
      </c>
      <c r="AE2414" s="32" t="str">
        <f t="shared" si="2440"/>
        <v/>
      </c>
      <c r="AF2414" s="32" t="str">
        <f t="shared" si="2440"/>
        <v/>
      </c>
      <c r="AG2414" s="32" t="str">
        <f t="shared" si="2440"/>
        <v/>
      </c>
      <c r="AH2414" s="33"/>
    </row>
    <row r="2415" hidden="1" outlineLevel="3">
      <c r="A2415" s="16" t="b">
        <v>0</v>
      </c>
      <c r="B2415" s="17"/>
      <c r="C2415" s="18"/>
      <c r="D2415" s="42"/>
      <c r="E2415" s="20"/>
      <c r="F2415" s="53"/>
      <c r="G2415" s="45"/>
      <c r="H2415" s="45"/>
      <c r="I2415" s="45"/>
      <c r="J2415" s="36"/>
      <c r="K2415" s="23"/>
      <c r="L2415" s="36"/>
      <c r="M2415" s="23"/>
      <c r="N2415" s="23"/>
      <c r="O2415" s="24"/>
      <c r="P2415" s="16" t="b">
        <v>0</v>
      </c>
      <c r="Q2415" s="24"/>
      <c r="R2415" s="48" t="str">
        <f t="shared" si="2376"/>
        <v/>
      </c>
      <c r="S2415" s="26"/>
      <c r="T2415" s="49" t="str">
        <f t="shared" si="2104"/>
        <v/>
      </c>
      <c r="U2415" s="24"/>
      <c r="V2415" s="28" t="str">
        <f t="shared" si="2437"/>
        <v>0</v>
      </c>
      <c r="W2415" s="29" t="str">
        <f t="shared" si="2024"/>
        <v>/</v>
      </c>
      <c r="X2415" s="37" t="s">
        <v>1512</v>
      </c>
      <c r="Y2415" s="31"/>
      <c r="Z2415" s="26" t="str">
        <f t="shared" si="5"/>
        <v/>
      </c>
      <c r="AA2415" s="26" t="str">
        <f t="shared" si="6"/>
        <v/>
      </c>
      <c r="AB2415" s="32" t="str">
        <f t="shared" si="7"/>
        <v/>
      </c>
      <c r="AC2415" s="32" t="str">
        <f t="shared" ref="AC2415:AG2415" si="2441">IF(J2415&lt;&gt;"", IF(AND($P2415=FALSE, $A2415=FALSE), -J2415, IF(AND($P2415=FALSE, $A2415=TRUE), 0, IF($P2415=TRUE, (J2415 / $R2415) * 100 * ($S2415 / 100)-J2415, ))), )</f>
        <v/>
      </c>
      <c r="AD2415" s="32" t="str">
        <f t="shared" si="2441"/>
        <v/>
      </c>
      <c r="AE2415" s="32" t="str">
        <f t="shared" si="2441"/>
        <v/>
      </c>
      <c r="AF2415" s="32" t="str">
        <f t="shared" si="2441"/>
        <v/>
      </c>
      <c r="AG2415" s="32" t="str">
        <f t="shared" si="2441"/>
        <v/>
      </c>
      <c r="AH2415" s="33"/>
    </row>
    <row r="2416" hidden="1" outlineLevel="2" collapsed="1">
      <c r="A2416" s="16" t="b">
        <v>0</v>
      </c>
      <c r="B2416" s="17"/>
      <c r="C2416" s="18"/>
      <c r="D2416" s="42">
        <v>45543.0</v>
      </c>
      <c r="E2416" s="20" t="s">
        <v>24</v>
      </c>
      <c r="F2416" s="53" t="s">
        <v>1480</v>
      </c>
      <c r="G2416" s="45">
        <v>2.0</v>
      </c>
      <c r="H2416" s="45"/>
      <c r="I2416" s="45">
        <v>5.0</v>
      </c>
      <c r="J2416" s="36"/>
      <c r="K2416" s="23"/>
      <c r="L2416" s="36"/>
      <c r="M2416" s="23"/>
      <c r="N2416" s="23"/>
      <c r="O2416" s="24"/>
      <c r="P2416" s="16" t="b">
        <v>0</v>
      </c>
      <c r="Q2416" s="24"/>
      <c r="R2416" s="48">
        <f t="shared" si="2376"/>
        <v>7</v>
      </c>
      <c r="S2416" s="26">
        <f>22.15+8.86</f>
        <v>31.01</v>
      </c>
      <c r="T2416" s="49" t="str">
        <f t="shared" si="2104"/>
        <v>+343</v>
      </c>
      <c r="U2416" s="24"/>
      <c r="V2416" s="28" t="str">
        <f t="shared" si="2437"/>
        <v/>
      </c>
      <c r="W2416" s="29" t="str">
        <f t="shared" si="2024"/>
        <v/>
      </c>
      <c r="X2416" s="30"/>
      <c r="Y2416" s="31"/>
      <c r="Z2416" s="26">
        <f t="shared" si="5"/>
        <v>-2</v>
      </c>
      <c r="AA2416" s="26">
        <f t="shared" si="6"/>
        <v>-5</v>
      </c>
      <c r="AB2416" s="32" t="str">
        <f t="shared" si="7"/>
        <v/>
      </c>
      <c r="AC2416" s="32" t="str">
        <f t="shared" ref="AC2416:AG2416" si="2442">IF(J2416&lt;&gt;"", IF(AND($P2416=FALSE, $A2416=FALSE), -J2416, IF(AND($P2416=FALSE, $A2416=TRUE), 0, IF($P2416=TRUE, (J2416 / $R2416) * 100 * ($S2416 / 100)-J2416, ))), )</f>
        <v/>
      </c>
      <c r="AD2416" s="32" t="str">
        <f t="shared" si="2442"/>
        <v/>
      </c>
      <c r="AE2416" s="32" t="str">
        <f t="shared" si="2442"/>
        <v/>
      </c>
      <c r="AF2416" s="32" t="str">
        <f t="shared" si="2442"/>
        <v/>
      </c>
      <c r="AG2416" s="32" t="str">
        <f t="shared" si="2442"/>
        <v/>
      </c>
      <c r="AH2416" s="33"/>
    </row>
    <row r="2417" hidden="1" outlineLevel="3">
      <c r="A2417" s="16" t="b">
        <v>0</v>
      </c>
      <c r="B2417" s="17"/>
      <c r="C2417" s="18"/>
      <c r="D2417" s="42"/>
      <c r="E2417" s="20"/>
      <c r="F2417" s="53"/>
      <c r="G2417" s="45"/>
      <c r="H2417" s="45"/>
      <c r="I2417" s="45"/>
      <c r="J2417" s="36"/>
      <c r="K2417" s="23"/>
      <c r="L2417" s="36"/>
      <c r="M2417" s="23"/>
      <c r="N2417" s="23"/>
      <c r="O2417" s="24"/>
      <c r="P2417" s="16" t="b">
        <v>0</v>
      </c>
      <c r="Q2417" s="24"/>
      <c r="R2417" s="48" t="str">
        <f t="shared" si="2376"/>
        <v/>
      </c>
      <c r="S2417" s="26"/>
      <c r="T2417" s="49" t="str">
        <f t="shared" si="2104"/>
        <v/>
      </c>
      <c r="U2417" s="24"/>
      <c r="V2417" s="75" t="s">
        <v>29</v>
      </c>
      <c r="W2417" s="29" t="str">
        <f t="shared" si="2024"/>
        <v>/</v>
      </c>
      <c r="X2417" s="37" t="s">
        <v>1513</v>
      </c>
      <c r="Y2417" s="31"/>
      <c r="Z2417" s="26" t="str">
        <f t="shared" si="5"/>
        <v/>
      </c>
      <c r="AA2417" s="26" t="str">
        <f t="shared" si="6"/>
        <v/>
      </c>
      <c r="AB2417" s="32" t="str">
        <f t="shared" si="7"/>
        <v/>
      </c>
      <c r="AC2417" s="32" t="str">
        <f t="shared" ref="AC2417:AG2417" si="2443">IF(J2417&lt;&gt;"", IF(AND($P2417=FALSE, $A2417=FALSE), -J2417, IF(AND($P2417=FALSE, $A2417=TRUE), 0, IF($P2417=TRUE, (J2417 / $R2417) * 100 * ($S2417 / 100)-J2417, ))), )</f>
        <v/>
      </c>
      <c r="AD2417" s="32" t="str">
        <f t="shared" si="2443"/>
        <v/>
      </c>
      <c r="AE2417" s="32" t="str">
        <f t="shared" si="2443"/>
        <v/>
      </c>
      <c r="AF2417" s="32" t="str">
        <f t="shared" si="2443"/>
        <v/>
      </c>
      <c r="AG2417" s="32" t="str">
        <f t="shared" si="2443"/>
        <v/>
      </c>
      <c r="AH2417" s="33"/>
    </row>
    <row r="2418" hidden="1" outlineLevel="3">
      <c r="A2418" s="16" t="b">
        <v>0</v>
      </c>
      <c r="B2418" s="17"/>
      <c r="C2418" s="18"/>
      <c r="D2418" s="42"/>
      <c r="E2418" s="20"/>
      <c r="F2418" s="53"/>
      <c r="G2418" s="45"/>
      <c r="H2418" s="45"/>
      <c r="I2418" s="45"/>
      <c r="J2418" s="36"/>
      <c r="K2418" s="23"/>
      <c r="L2418" s="36"/>
      <c r="M2418" s="23"/>
      <c r="N2418" s="23"/>
      <c r="O2418" s="24"/>
      <c r="P2418" s="16" t="b">
        <v>0</v>
      </c>
      <c r="Q2418" s="24"/>
      <c r="R2418" s="48" t="str">
        <f t="shared" si="2376"/>
        <v/>
      </c>
      <c r="S2418" s="26"/>
      <c r="T2418" s="49" t="str">
        <f t="shared" si="2104"/>
        <v/>
      </c>
      <c r="U2418" s="24"/>
      <c r="V2418" s="75" t="s">
        <v>29</v>
      </c>
      <c r="W2418" s="29" t="str">
        <f t="shared" si="2024"/>
        <v>/</v>
      </c>
      <c r="X2418" s="37" t="s">
        <v>1514</v>
      </c>
      <c r="Y2418" s="31"/>
      <c r="Z2418" s="26" t="str">
        <f t="shared" si="5"/>
        <v/>
      </c>
      <c r="AA2418" s="26" t="str">
        <f t="shared" si="6"/>
        <v/>
      </c>
      <c r="AB2418" s="32" t="str">
        <f t="shared" si="7"/>
        <v/>
      </c>
      <c r="AC2418" s="32" t="str">
        <f t="shared" ref="AC2418:AG2418" si="2444">IF(J2418&lt;&gt;"", IF(AND($P2418=FALSE, $A2418=FALSE), -J2418, IF(AND($P2418=FALSE, $A2418=TRUE), 0, IF($P2418=TRUE, (J2418 / $R2418) * 100 * ($S2418 / 100)-J2418, ))), )</f>
        <v/>
      </c>
      <c r="AD2418" s="32" t="str">
        <f t="shared" si="2444"/>
        <v/>
      </c>
      <c r="AE2418" s="32" t="str">
        <f t="shared" si="2444"/>
        <v/>
      </c>
      <c r="AF2418" s="32" t="str">
        <f t="shared" si="2444"/>
        <v/>
      </c>
      <c r="AG2418" s="32" t="str">
        <f t="shared" si="2444"/>
        <v/>
      </c>
      <c r="AH2418" s="33"/>
    </row>
    <row r="2419" hidden="1" outlineLevel="3">
      <c r="A2419" s="16" t="b">
        <v>0</v>
      </c>
      <c r="B2419" s="17"/>
      <c r="C2419" s="18"/>
      <c r="D2419" s="42"/>
      <c r="E2419" s="20"/>
      <c r="F2419" s="53"/>
      <c r="G2419" s="45"/>
      <c r="H2419" s="45"/>
      <c r="I2419" s="45"/>
      <c r="J2419" s="36"/>
      <c r="K2419" s="23"/>
      <c r="L2419" s="36"/>
      <c r="M2419" s="23"/>
      <c r="N2419" s="23"/>
      <c r="O2419" s="24"/>
      <c r="P2419" s="16" t="b">
        <v>0</v>
      </c>
      <c r="Q2419" s="24"/>
      <c r="R2419" s="48" t="str">
        <f t="shared" si="2376"/>
        <v/>
      </c>
      <c r="S2419" s="26"/>
      <c r="T2419" s="49" t="str">
        <f t="shared" si="2104"/>
        <v/>
      </c>
      <c r="U2419" s="24"/>
      <c r="V2419" s="75" t="s">
        <v>29</v>
      </c>
      <c r="W2419" s="29" t="str">
        <f t="shared" si="2024"/>
        <v>/</v>
      </c>
      <c r="X2419" s="37" t="s">
        <v>1515</v>
      </c>
      <c r="Y2419" s="31"/>
      <c r="Z2419" s="26" t="str">
        <f t="shared" si="5"/>
        <v/>
      </c>
      <c r="AA2419" s="26" t="str">
        <f t="shared" si="6"/>
        <v/>
      </c>
      <c r="AB2419" s="32" t="str">
        <f t="shared" si="7"/>
        <v/>
      </c>
      <c r="AC2419" s="32" t="str">
        <f t="shared" ref="AC2419:AG2419" si="2445">IF(J2419&lt;&gt;"", IF(AND($P2419=FALSE, $A2419=FALSE), -J2419, IF(AND($P2419=FALSE, $A2419=TRUE), 0, IF($P2419=TRUE, (J2419 / $R2419) * 100 * ($S2419 / 100)-J2419, ))), )</f>
        <v/>
      </c>
      <c r="AD2419" s="32" t="str">
        <f t="shared" si="2445"/>
        <v/>
      </c>
      <c r="AE2419" s="32" t="str">
        <f t="shared" si="2445"/>
        <v/>
      </c>
      <c r="AF2419" s="32" t="str">
        <f t="shared" si="2445"/>
        <v/>
      </c>
      <c r="AG2419" s="32" t="str">
        <f t="shared" si="2445"/>
        <v/>
      </c>
      <c r="AH2419" s="33"/>
    </row>
    <row r="2420" hidden="1" outlineLevel="3">
      <c r="A2420" s="16" t="b">
        <v>0</v>
      </c>
      <c r="B2420" s="17"/>
      <c r="C2420" s="18"/>
      <c r="D2420" s="42"/>
      <c r="E2420" s="20"/>
      <c r="F2420" s="53"/>
      <c r="G2420" s="45"/>
      <c r="H2420" s="45"/>
      <c r="I2420" s="45"/>
      <c r="J2420" s="36"/>
      <c r="K2420" s="23"/>
      <c r="L2420" s="36"/>
      <c r="M2420" s="23"/>
      <c r="N2420" s="23"/>
      <c r="O2420" s="24"/>
      <c r="P2420" s="16" t="b">
        <v>0</v>
      </c>
      <c r="Q2420" s="24"/>
      <c r="R2420" s="48" t="str">
        <f t="shared" si="2376"/>
        <v/>
      </c>
      <c r="S2420" s="26"/>
      <c r="T2420" s="49" t="str">
        <f t="shared" si="2104"/>
        <v/>
      </c>
      <c r="U2420" s="24"/>
      <c r="V2420" s="66">
        <v>37.0</v>
      </c>
      <c r="W2420" s="29" t="str">
        <f t="shared" si="2024"/>
        <v>/</v>
      </c>
      <c r="X2420" s="37" t="s">
        <v>1516</v>
      </c>
      <c r="Y2420" s="31"/>
      <c r="Z2420" s="26" t="str">
        <f t="shared" si="5"/>
        <v/>
      </c>
      <c r="AA2420" s="26" t="str">
        <f t="shared" si="6"/>
        <v/>
      </c>
      <c r="AB2420" s="32" t="str">
        <f t="shared" si="7"/>
        <v/>
      </c>
      <c r="AC2420" s="32" t="str">
        <f t="shared" ref="AC2420:AG2420" si="2446">IF(J2420&lt;&gt;"", IF(AND($P2420=FALSE, $A2420=FALSE), -J2420, IF(AND($P2420=FALSE, $A2420=TRUE), 0, IF($P2420=TRUE, (J2420 / $R2420) * 100 * ($S2420 / 100)-J2420, ))), )</f>
        <v/>
      </c>
      <c r="AD2420" s="32" t="str">
        <f t="shared" si="2446"/>
        <v/>
      </c>
      <c r="AE2420" s="32" t="str">
        <f t="shared" si="2446"/>
        <v/>
      </c>
      <c r="AF2420" s="32" t="str">
        <f t="shared" si="2446"/>
        <v/>
      </c>
      <c r="AG2420" s="32" t="str">
        <f t="shared" si="2446"/>
        <v/>
      </c>
      <c r="AH2420" s="33"/>
    </row>
    <row r="2421" hidden="1" outlineLevel="2" collapsed="1">
      <c r="A2421" s="16" t="b">
        <v>0</v>
      </c>
      <c r="B2421" s="17"/>
      <c r="C2421" s="18"/>
      <c r="D2421" s="42">
        <v>45543.0</v>
      </c>
      <c r="E2421" s="20" t="s">
        <v>24</v>
      </c>
      <c r="F2421" s="53" t="s">
        <v>1480</v>
      </c>
      <c r="G2421" s="45">
        <v>1.0</v>
      </c>
      <c r="H2421" s="45"/>
      <c r="I2421" s="45">
        <v>1.5</v>
      </c>
      <c r="J2421" s="36"/>
      <c r="K2421" s="23"/>
      <c r="L2421" s="36"/>
      <c r="M2421" s="23"/>
      <c r="N2421" s="23"/>
      <c r="O2421" s="24"/>
      <c r="P2421" s="16" t="b">
        <v>0</v>
      </c>
      <c r="Q2421" s="24"/>
      <c r="R2421" s="48">
        <f t="shared" si="2376"/>
        <v>2.5</v>
      </c>
      <c r="S2421" s="26">
        <f>42+28</f>
        <v>70</v>
      </c>
      <c r="T2421" s="49" t="str">
        <f t="shared" si="2104"/>
        <v>+2700</v>
      </c>
      <c r="U2421" s="24"/>
      <c r="V2421" s="28" t="str">
        <f>IF(ISBLANK($D2421), "0",)</f>
        <v/>
      </c>
      <c r="W2421" s="29" t="str">
        <f t="shared" si="2024"/>
        <v/>
      </c>
      <c r="X2421" s="30"/>
      <c r="Y2421" s="31"/>
      <c r="Z2421" s="26">
        <f t="shared" si="5"/>
        <v>-1</v>
      </c>
      <c r="AA2421" s="26">
        <f t="shared" si="6"/>
        <v>-1.5</v>
      </c>
      <c r="AB2421" s="32" t="str">
        <f t="shared" si="7"/>
        <v/>
      </c>
      <c r="AC2421" s="32" t="str">
        <f t="shared" ref="AC2421:AG2421" si="2447">IF(J2421&lt;&gt;"", IF(AND($P2421=FALSE, $A2421=FALSE), -J2421, IF(AND($P2421=FALSE, $A2421=TRUE), 0, IF($P2421=TRUE, (J2421 / $R2421) * 100 * ($S2421 / 100)-J2421, ))), )</f>
        <v/>
      </c>
      <c r="AD2421" s="32" t="str">
        <f t="shared" si="2447"/>
        <v/>
      </c>
      <c r="AE2421" s="32" t="str">
        <f t="shared" si="2447"/>
        <v/>
      </c>
      <c r="AF2421" s="32" t="str">
        <f t="shared" si="2447"/>
        <v/>
      </c>
      <c r="AG2421" s="32" t="str">
        <f t="shared" si="2447"/>
        <v/>
      </c>
      <c r="AH2421" s="33"/>
    </row>
    <row r="2422" hidden="1" outlineLevel="3">
      <c r="A2422" s="16" t="b">
        <v>0</v>
      </c>
      <c r="B2422" s="17"/>
      <c r="C2422" s="18"/>
      <c r="D2422" s="42"/>
      <c r="E2422" s="20"/>
      <c r="F2422" s="53"/>
      <c r="G2422" s="45"/>
      <c r="H2422" s="45"/>
      <c r="I2422" s="45"/>
      <c r="J2422" s="36"/>
      <c r="K2422" s="23"/>
      <c r="L2422" s="36"/>
      <c r="M2422" s="23"/>
      <c r="N2422" s="23"/>
      <c r="O2422" s="24"/>
      <c r="P2422" s="16" t="b">
        <v>0</v>
      </c>
      <c r="Q2422" s="24"/>
      <c r="R2422" s="48" t="str">
        <f t="shared" si="2376"/>
        <v/>
      </c>
      <c r="S2422" s="26"/>
      <c r="T2422" s="49" t="str">
        <f t="shared" si="2104"/>
        <v/>
      </c>
      <c r="U2422" s="24"/>
      <c r="V2422" s="66">
        <v>1.0</v>
      </c>
      <c r="W2422" s="29" t="str">
        <f t="shared" si="2024"/>
        <v>/</v>
      </c>
      <c r="X2422" s="37" t="s">
        <v>1517</v>
      </c>
      <c r="Y2422" s="31"/>
      <c r="Z2422" s="26" t="str">
        <f t="shared" si="5"/>
        <v/>
      </c>
      <c r="AA2422" s="26" t="str">
        <f t="shared" si="6"/>
        <v/>
      </c>
      <c r="AB2422" s="32" t="str">
        <f t="shared" si="7"/>
        <v/>
      </c>
      <c r="AC2422" s="32" t="str">
        <f t="shared" ref="AC2422:AG2422" si="2448">IF(J2422&lt;&gt;"", IF(AND($P2422=FALSE, $A2422=FALSE), -J2422, IF(AND($P2422=FALSE, $A2422=TRUE), 0, IF($P2422=TRUE, (J2422 / $R2422) * 100 * ($S2422 / 100)-J2422, ))), )</f>
        <v/>
      </c>
      <c r="AD2422" s="32" t="str">
        <f t="shared" si="2448"/>
        <v/>
      </c>
      <c r="AE2422" s="32" t="str">
        <f t="shared" si="2448"/>
        <v/>
      </c>
      <c r="AF2422" s="32" t="str">
        <f t="shared" si="2448"/>
        <v/>
      </c>
      <c r="AG2422" s="32" t="str">
        <f t="shared" si="2448"/>
        <v/>
      </c>
      <c r="AH2422" s="33"/>
    </row>
    <row r="2423" hidden="1" outlineLevel="2" collapsed="1">
      <c r="A2423" s="16" t="b">
        <v>0</v>
      </c>
      <c r="B2423" s="17"/>
      <c r="C2423" s="18"/>
      <c r="D2423" s="42">
        <v>45543.0</v>
      </c>
      <c r="E2423" s="20" t="s">
        <v>24</v>
      </c>
      <c r="F2423" s="53" t="s">
        <v>1480</v>
      </c>
      <c r="G2423" s="45">
        <v>2.0</v>
      </c>
      <c r="H2423" s="45"/>
      <c r="I2423" s="45">
        <v>2.0</v>
      </c>
      <c r="J2423" s="36"/>
      <c r="K2423" s="23"/>
      <c r="L2423" s="36"/>
      <c r="M2423" s="23"/>
      <c r="N2423" s="23"/>
      <c r="O2423" s="24"/>
      <c r="P2423" s="16" t="b">
        <v>0</v>
      </c>
      <c r="Q2423" s="24"/>
      <c r="R2423" s="48">
        <f t="shared" si="2376"/>
        <v>4</v>
      </c>
      <c r="S2423" s="26">
        <v>62.1</v>
      </c>
      <c r="T2423" s="49" t="str">
        <f t="shared" si="2104"/>
        <v>+1453</v>
      </c>
      <c r="U2423" s="24"/>
      <c r="V2423" s="28" t="str">
        <f>IF(ISBLANK($D2423), "0",)</f>
        <v/>
      </c>
      <c r="W2423" s="29" t="str">
        <f t="shared" si="2024"/>
        <v/>
      </c>
      <c r="X2423" s="30"/>
      <c r="Y2423" s="31"/>
      <c r="Z2423" s="26">
        <f t="shared" si="5"/>
        <v>-2</v>
      </c>
      <c r="AA2423" s="26">
        <f t="shared" si="6"/>
        <v>-2</v>
      </c>
      <c r="AB2423" s="32" t="str">
        <f t="shared" si="7"/>
        <v/>
      </c>
      <c r="AC2423" s="32" t="str">
        <f t="shared" ref="AC2423:AG2423" si="2449">IF(J2423&lt;&gt;"", IF(AND($P2423=FALSE, $A2423=FALSE), -J2423, IF(AND($P2423=FALSE, $A2423=TRUE), 0, IF($P2423=TRUE, (J2423 / $R2423) * 100 * ($S2423 / 100)-J2423, ))), )</f>
        <v/>
      </c>
      <c r="AD2423" s="32" t="str">
        <f t="shared" si="2449"/>
        <v/>
      </c>
      <c r="AE2423" s="32" t="str">
        <f t="shared" si="2449"/>
        <v/>
      </c>
      <c r="AF2423" s="32" t="str">
        <f t="shared" si="2449"/>
        <v/>
      </c>
      <c r="AG2423" s="32" t="str">
        <f t="shared" si="2449"/>
        <v/>
      </c>
      <c r="AH2423" s="33"/>
    </row>
    <row r="2424" hidden="1" outlineLevel="3">
      <c r="A2424" s="16" t="b">
        <v>0</v>
      </c>
      <c r="B2424" s="17"/>
      <c r="C2424" s="18"/>
      <c r="D2424" s="42"/>
      <c r="E2424" s="20"/>
      <c r="F2424" s="53"/>
      <c r="G2424" s="45"/>
      <c r="H2424" s="45"/>
      <c r="I2424" s="45"/>
      <c r="J2424" s="36"/>
      <c r="K2424" s="23"/>
      <c r="L2424" s="36"/>
      <c r="M2424" s="23"/>
      <c r="N2424" s="23"/>
      <c r="O2424" s="24"/>
      <c r="P2424" s="16" t="b">
        <v>0</v>
      </c>
      <c r="Q2424" s="24"/>
      <c r="R2424" s="48" t="str">
        <f t="shared" si="2376"/>
        <v/>
      </c>
      <c r="S2424" s="26"/>
      <c r="T2424" s="49" t="str">
        <f t="shared" si="2104"/>
        <v/>
      </c>
      <c r="U2424" s="24"/>
      <c r="V2424" s="66">
        <v>19.0</v>
      </c>
      <c r="W2424" s="29" t="str">
        <f t="shared" si="2024"/>
        <v>/</v>
      </c>
      <c r="X2424" s="37" t="s">
        <v>1518</v>
      </c>
      <c r="Y2424" s="31"/>
      <c r="Z2424" s="26" t="str">
        <f t="shared" si="5"/>
        <v/>
      </c>
      <c r="AA2424" s="26" t="str">
        <f t="shared" si="6"/>
        <v/>
      </c>
      <c r="AB2424" s="32" t="str">
        <f t="shared" si="7"/>
        <v/>
      </c>
      <c r="AC2424" s="32" t="str">
        <f t="shared" ref="AC2424:AG2424" si="2450">IF(J2424&lt;&gt;"", IF(AND($P2424=FALSE, $A2424=FALSE), -J2424, IF(AND($P2424=FALSE, $A2424=TRUE), 0, IF($P2424=TRUE, (J2424 / $R2424) * 100 * ($S2424 / 100)-J2424, ))), )</f>
        <v/>
      </c>
      <c r="AD2424" s="32" t="str">
        <f t="shared" si="2450"/>
        <v/>
      </c>
      <c r="AE2424" s="32" t="str">
        <f t="shared" si="2450"/>
        <v/>
      </c>
      <c r="AF2424" s="32" t="str">
        <f t="shared" si="2450"/>
        <v/>
      </c>
      <c r="AG2424" s="32" t="str">
        <f t="shared" si="2450"/>
        <v/>
      </c>
      <c r="AH2424" s="33"/>
    </row>
    <row r="2425" hidden="1" outlineLevel="3">
      <c r="A2425" s="16" t="b">
        <v>0</v>
      </c>
      <c r="B2425" s="17"/>
      <c r="C2425" s="18"/>
      <c r="D2425" s="42"/>
      <c r="E2425" s="20"/>
      <c r="F2425" s="53"/>
      <c r="G2425" s="45"/>
      <c r="H2425" s="45"/>
      <c r="I2425" s="45"/>
      <c r="J2425" s="36"/>
      <c r="K2425" s="23"/>
      <c r="L2425" s="36"/>
      <c r="M2425" s="23"/>
      <c r="N2425" s="23"/>
      <c r="O2425" s="24"/>
      <c r="P2425" s="16" t="b">
        <v>0</v>
      </c>
      <c r="Q2425" s="24"/>
      <c r="R2425" s="48" t="str">
        <f t="shared" si="2376"/>
        <v/>
      </c>
      <c r="S2425" s="26"/>
      <c r="T2425" s="49" t="str">
        <f t="shared" si="2104"/>
        <v/>
      </c>
      <c r="U2425" s="24"/>
      <c r="V2425" s="75" t="s">
        <v>29</v>
      </c>
      <c r="W2425" s="29" t="str">
        <f t="shared" si="2024"/>
        <v>/</v>
      </c>
      <c r="X2425" s="37" t="s">
        <v>1519</v>
      </c>
      <c r="Y2425" s="31"/>
      <c r="Z2425" s="26" t="str">
        <f t="shared" si="5"/>
        <v/>
      </c>
      <c r="AA2425" s="26" t="str">
        <f t="shared" si="6"/>
        <v/>
      </c>
      <c r="AB2425" s="32" t="str">
        <f t="shared" si="7"/>
        <v/>
      </c>
      <c r="AC2425" s="32" t="str">
        <f t="shared" ref="AC2425:AG2425" si="2451">IF(J2425&lt;&gt;"", IF(AND($P2425=FALSE, $A2425=FALSE), -J2425, IF(AND($P2425=FALSE, $A2425=TRUE), 0, IF($P2425=TRUE, (J2425 / $R2425) * 100 * ($S2425 / 100)-J2425, ))), )</f>
        <v/>
      </c>
      <c r="AD2425" s="32" t="str">
        <f t="shared" si="2451"/>
        <v/>
      </c>
      <c r="AE2425" s="32" t="str">
        <f t="shared" si="2451"/>
        <v/>
      </c>
      <c r="AF2425" s="32" t="str">
        <f t="shared" si="2451"/>
        <v/>
      </c>
      <c r="AG2425" s="32" t="str">
        <f t="shared" si="2451"/>
        <v/>
      </c>
      <c r="AH2425" s="33"/>
    </row>
    <row r="2426" hidden="1" outlineLevel="2" collapsed="1">
      <c r="A2426" s="16" t="b">
        <v>0</v>
      </c>
      <c r="B2426" s="17"/>
      <c r="C2426" s="18"/>
      <c r="D2426" s="42">
        <v>45543.0</v>
      </c>
      <c r="E2426" s="20" t="s">
        <v>24</v>
      </c>
      <c r="F2426" s="53" t="s">
        <v>1480</v>
      </c>
      <c r="G2426" s="45">
        <v>4.0</v>
      </c>
      <c r="H2426" s="45"/>
      <c r="I2426" s="45">
        <v>6.0</v>
      </c>
      <c r="J2426" s="36"/>
      <c r="K2426" s="23"/>
      <c r="L2426" s="36"/>
      <c r="M2426" s="23"/>
      <c r="N2426" s="23"/>
      <c r="O2426" s="24"/>
      <c r="P2426" s="16" t="b">
        <v>0</v>
      </c>
      <c r="Q2426" s="24"/>
      <c r="R2426" s="48">
        <f t="shared" si="2376"/>
        <v>10</v>
      </c>
      <c r="S2426" s="26">
        <v>25.6</v>
      </c>
      <c r="T2426" s="49" t="str">
        <f t="shared" si="2104"/>
        <v>+156</v>
      </c>
      <c r="U2426" s="24"/>
      <c r="V2426" s="28" t="str">
        <f>IF(ISBLANK($D2426), "0",)</f>
        <v/>
      </c>
      <c r="W2426" s="29" t="str">
        <f t="shared" si="2024"/>
        <v/>
      </c>
      <c r="X2426" s="30"/>
      <c r="Y2426" s="31"/>
      <c r="Z2426" s="26">
        <f t="shared" si="5"/>
        <v>-4</v>
      </c>
      <c r="AA2426" s="26">
        <f t="shared" si="6"/>
        <v>-6</v>
      </c>
      <c r="AB2426" s="32" t="str">
        <f t="shared" si="7"/>
        <v/>
      </c>
      <c r="AC2426" s="32" t="str">
        <f t="shared" ref="AC2426:AG2426" si="2452">IF(J2426&lt;&gt;"", IF(AND($P2426=FALSE, $A2426=FALSE), -J2426, IF(AND($P2426=FALSE, $A2426=TRUE), 0, IF($P2426=TRUE, (J2426 / $R2426) * 100 * ($S2426 / 100)-J2426, ))), )</f>
        <v/>
      </c>
      <c r="AD2426" s="32" t="str">
        <f t="shared" si="2452"/>
        <v/>
      </c>
      <c r="AE2426" s="32" t="str">
        <f t="shared" si="2452"/>
        <v/>
      </c>
      <c r="AF2426" s="32" t="str">
        <f t="shared" si="2452"/>
        <v/>
      </c>
      <c r="AG2426" s="32" t="str">
        <f t="shared" si="2452"/>
        <v/>
      </c>
      <c r="AH2426" s="33"/>
    </row>
    <row r="2427" hidden="1" outlineLevel="3">
      <c r="A2427" s="16" t="b">
        <v>0</v>
      </c>
      <c r="B2427" s="17"/>
      <c r="C2427" s="18"/>
      <c r="D2427" s="42"/>
      <c r="E2427" s="20"/>
      <c r="F2427" s="53"/>
      <c r="G2427" s="45"/>
      <c r="H2427" s="45"/>
      <c r="I2427" s="45"/>
      <c r="J2427" s="36"/>
      <c r="K2427" s="23"/>
      <c r="L2427" s="36"/>
      <c r="M2427" s="23"/>
      <c r="N2427" s="23"/>
      <c r="O2427" s="24"/>
      <c r="P2427" s="16" t="b">
        <v>0</v>
      </c>
      <c r="Q2427" s="24"/>
      <c r="R2427" s="48" t="str">
        <f t="shared" si="2376"/>
        <v/>
      </c>
      <c r="S2427" s="26"/>
      <c r="T2427" s="49" t="str">
        <f t="shared" si="2104"/>
        <v/>
      </c>
      <c r="U2427" s="24"/>
      <c r="V2427" s="75" t="s">
        <v>29</v>
      </c>
      <c r="W2427" s="29" t="str">
        <f t="shared" si="2024"/>
        <v>/</v>
      </c>
      <c r="X2427" s="37" t="s">
        <v>890</v>
      </c>
      <c r="Y2427" s="31"/>
      <c r="Z2427" s="26" t="str">
        <f t="shared" si="5"/>
        <v/>
      </c>
      <c r="AA2427" s="26" t="str">
        <f t="shared" si="6"/>
        <v/>
      </c>
      <c r="AB2427" s="32" t="str">
        <f t="shared" si="7"/>
        <v/>
      </c>
      <c r="AC2427" s="32" t="str">
        <f t="shared" ref="AC2427:AG2427" si="2453">IF(J2427&lt;&gt;"", IF(AND($P2427=FALSE, $A2427=FALSE), -J2427, IF(AND($P2427=FALSE, $A2427=TRUE), 0, IF($P2427=TRUE, (J2427 / $R2427) * 100 * ($S2427 / 100)-J2427, ))), )</f>
        <v/>
      </c>
      <c r="AD2427" s="32" t="str">
        <f t="shared" si="2453"/>
        <v/>
      </c>
      <c r="AE2427" s="32" t="str">
        <f t="shared" si="2453"/>
        <v/>
      </c>
      <c r="AF2427" s="32" t="str">
        <f t="shared" si="2453"/>
        <v/>
      </c>
      <c r="AG2427" s="32" t="str">
        <f t="shared" si="2453"/>
        <v/>
      </c>
      <c r="AH2427" s="33"/>
    </row>
    <row r="2428" hidden="1" outlineLevel="3">
      <c r="A2428" s="16" t="b">
        <v>0</v>
      </c>
      <c r="B2428" s="17"/>
      <c r="C2428" s="18"/>
      <c r="D2428" s="42"/>
      <c r="E2428" s="20"/>
      <c r="F2428" s="53"/>
      <c r="G2428" s="45"/>
      <c r="H2428" s="45"/>
      <c r="I2428" s="45"/>
      <c r="J2428" s="36"/>
      <c r="K2428" s="23"/>
      <c r="L2428" s="36"/>
      <c r="M2428" s="23"/>
      <c r="N2428" s="23"/>
      <c r="O2428" s="24"/>
      <c r="P2428" s="16" t="b">
        <v>0</v>
      </c>
      <c r="Q2428" s="24"/>
      <c r="R2428" s="48" t="str">
        <f t="shared" si="2376"/>
        <v/>
      </c>
      <c r="S2428" s="26"/>
      <c r="T2428" s="49" t="str">
        <f t="shared" si="2104"/>
        <v/>
      </c>
      <c r="U2428" s="24"/>
      <c r="V2428" s="66">
        <v>7.0</v>
      </c>
      <c r="W2428" s="29" t="str">
        <f t="shared" si="2024"/>
        <v>/</v>
      </c>
      <c r="X2428" s="37" t="s">
        <v>1520</v>
      </c>
      <c r="Y2428" s="31"/>
      <c r="Z2428" s="26" t="str">
        <f t="shared" si="5"/>
        <v/>
      </c>
      <c r="AA2428" s="26" t="str">
        <f t="shared" si="6"/>
        <v/>
      </c>
      <c r="AB2428" s="32" t="str">
        <f t="shared" si="7"/>
        <v/>
      </c>
      <c r="AC2428" s="32" t="str">
        <f t="shared" ref="AC2428:AG2428" si="2454">IF(J2428&lt;&gt;"", IF(AND($P2428=FALSE, $A2428=FALSE), -J2428, IF(AND($P2428=FALSE, $A2428=TRUE), 0, IF($P2428=TRUE, (J2428 / $R2428) * 100 * ($S2428 / 100)-J2428, ))), )</f>
        <v/>
      </c>
      <c r="AD2428" s="32" t="str">
        <f t="shared" si="2454"/>
        <v/>
      </c>
      <c r="AE2428" s="32" t="str">
        <f t="shared" si="2454"/>
        <v/>
      </c>
      <c r="AF2428" s="32" t="str">
        <f t="shared" si="2454"/>
        <v/>
      </c>
      <c r="AG2428" s="32" t="str">
        <f t="shared" si="2454"/>
        <v/>
      </c>
      <c r="AH2428" s="33"/>
    </row>
    <row r="2429" hidden="1" outlineLevel="3">
      <c r="A2429" s="16" t="b">
        <v>0</v>
      </c>
      <c r="B2429" s="17"/>
      <c r="C2429" s="18"/>
      <c r="D2429" s="42"/>
      <c r="E2429" s="20"/>
      <c r="F2429" s="53"/>
      <c r="G2429" s="45"/>
      <c r="H2429" s="45"/>
      <c r="I2429" s="45"/>
      <c r="J2429" s="36"/>
      <c r="K2429" s="23"/>
      <c r="L2429" s="36"/>
      <c r="M2429" s="23"/>
      <c r="N2429" s="23"/>
      <c r="O2429" s="24"/>
      <c r="P2429" s="16" t="b">
        <v>0</v>
      </c>
      <c r="Q2429" s="24"/>
      <c r="R2429" s="48" t="str">
        <f t="shared" si="2376"/>
        <v/>
      </c>
      <c r="S2429" s="26"/>
      <c r="T2429" s="49" t="str">
        <f t="shared" si="2104"/>
        <v/>
      </c>
      <c r="U2429" s="24"/>
      <c r="V2429" s="66">
        <v>3.0</v>
      </c>
      <c r="W2429" s="29" t="str">
        <f t="shared" si="2024"/>
        <v>/</v>
      </c>
      <c r="X2429" s="37" t="s">
        <v>381</v>
      </c>
      <c r="Y2429" s="31"/>
      <c r="Z2429" s="26" t="str">
        <f t="shared" si="5"/>
        <v/>
      </c>
      <c r="AA2429" s="26" t="str">
        <f t="shared" si="6"/>
        <v/>
      </c>
      <c r="AB2429" s="32" t="str">
        <f t="shared" si="7"/>
        <v/>
      </c>
      <c r="AC2429" s="32" t="str">
        <f t="shared" ref="AC2429:AG2429" si="2455">IF(J2429&lt;&gt;"", IF(AND($P2429=FALSE, $A2429=FALSE), -J2429, IF(AND($P2429=FALSE, $A2429=TRUE), 0, IF($P2429=TRUE, (J2429 / $R2429) * 100 * ($S2429 / 100)-J2429, ))), )</f>
        <v/>
      </c>
      <c r="AD2429" s="32" t="str">
        <f t="shared" si="2455"/>
        <v/>
      </c>
      <c r="AE2429" s="32" t="str">
        <f t="shared" si="2455"/>
        <v/>
      </c>
      <c r="AF2429" s="32" t="str">
        <f t="shared" si="2455"/>
        <v/>
      </c>
      <c r="AG2429" s="32" t="str">
        <f t="shared" si="2455"/>
        <v/>
      </c>
      <c r="AH2429" s="33"/>
    </row>
    <row r="2430" hidden="1" outlineLevel="2">
      <c r="A2430" s="16" t="b">
        <v>0</v>
      </c>
      <c r="B2430" s="17"/>
      <c r="C2430" s="18"/>
      <c r="D2430" s="42">
        <v>45543.0</v>
      </c>
      <c r="E2430" s="20" t="s">
        <v>24</v>
      </c>
      <c r="F2430" s="53" t="s">
        <v>1480</v>
      </c>
      <c r="G2430" s="45">
        <v>2.5</v>
      </c>
      <c r="H2430" s="45"/>
      <c r="I2430" s="45">
        <v>3.5</v>
      </c>
      <c r="J2430" s="36"/>
      <c r="K2430" s="23"/>
      <c r="L2430" s="36"/>
      <c r="M2430" s="23"/>
      <c r="N2430" s="23"/>
      <c r="O2430" s="24"/>
      <c r="P2430" s="16" t="b">
        <v>0</v>
      </c>
      <c r="Q2430" s="24"/>
      <c r="R2430" s="48">
        <f t="shared" si="2376"/>
        <v>6</v>
      </c>
      <c r="S2430" s="26">
        <v>72.87</v>
      </c>
      <c r="T2430" s="49" t="str">
        <f t="shared" si="2104"/>
        <v>+1115</v>
      </c>
      <c r="U2430" s="24"/>
      <c r="V2430" s="28" t="str">
        <f>IF(ISBLANK($D2430), "0",)</f>
        <v/>
      </c>
      <c r="W2430" s="29" t="str">
        <f t="shared" si="2024"/>
        <v/>
      </c>
      <c r="X2430" s="30"/>
      <c r="Y2430" s="31"/>
      <c r="Z2430" s="26">
        <f t="shared" si="5"/>
        <v>-2.5</v>
      </c>
      <c r="AA2430" s="26">
        <f t="shared" si="6"/>
        <v>-3.5</v>
      </c>
      <c r="AB2430" s="32" t="str">
        <f t="shared" si="7"/>
        <v/>
      </c>
      <c r="AC2430" s="32" t="str">
        <f t="shared" ref="AC2430:AG2430" si="2456">IF(J2430&lt;&gt;"", IF(AND($P2430=FALSE, $A2430=FALSE), -J2430, IF(AND($P2430=FALSE, $A2430=TRUE), 0, IF($P2430=TRUE, (J2430 / $R2430) * 100 * ($S2430 / 100)-J2430, ))), )</f>
        <v/>
      </c>
      <c r="AD2430" s="32" t="str">
        <f t="shared" si="2456"/>
        <v/>
      </c>
      <c r="AE2430" s="32" t="str">
        <f t="shared" si="2456"/>
        <v/>
      </c>
      <c r="AF2430" s="32" t="str">
        <f t="shared" si="2456"/>
        <v/>
      </c>
      <c r="AG2430" s="32" t="str">
        <f t="shared" si="2456"/>
        <v/>
      </c>
      <c r="AH2430" s="33"/>
    </row>
    <row r="2431" hidden="1" outlineLevel="3">
      <c r="A2431" s="16" t="b">
        <v>0</v>
      </c>
      <c r="B2431" s="17"/>
      <c r="C2431" s="18"/>
      <c r="D2431" s="42"/>
      <c r="E2431" s="20"/>
      <c r="F2431" s="53"/>
      <c r="G2431" s="45"/>
      <c r="H2431" s="45"/>
      <c r="I2431" s="45"/>
      <c r="J2431" s="36"/>
      <c r="K2431" s="23"/>
      <c r="L2431" s="36"/>
      <c r="M2431" s="23"/>
      <c r="N2431" s="23"/>
      <c r="O2431" s="24"/>
      <c r="P2431" s="16" t="b">
        <v>0</v>
      </c>
      <c r="Q2431" s="24"/>
      <c r="R2431" s="48" t="str">
        <f t="shared" si="2376"/>
        <v/>
      </c>
      <c r="S2431" s="26"/>
      <c r="T2431" s="49" t="str">
        <f t="shared" si="2104"/>
        <v/>
      </c>
      <c r="U2431" s="24"/>
      <c r="V2431" s="66">
        <v>217.0</v>
      </c>
      <c r="W2431" s="29" t="str">
        <f t="shared" si="2024"/>
        <v>/</v>
      </c>
      <c r="X2431" s="37" t="s">
        <v>331</v>
      </c>
      <c r="Y2431" s="31"/>
      <c r="Z2431" s="26" t="str">
        <f t="shared" si="5"/>
        <v/>
      </c>
      <c r="AA2431" s="26" t="str">
        <f t="shared" si="6"/>
        <v/>
      </c>
      <c r="AB2431" s="32" t="str">
        <f t="shared" si="7"/>
        <v/>
      </c>
      <c r="AC2431" s="32" t="str">
        <f t="shared" ref="AC2431:AG2431" si="2457">IF(J2431&lt;&gt;"", IF(AND($P2431=FALSE, $A2431=FALSE), -J2431, IF(AND($P2431=FALSE, $A2431=TRUE), 0, IF($P2431=TRUE, (J2431 / $R2431) * 100 * ($S2431 / 100)-J2431, ))), )</f>
        <v/>
      </c>
      <c r="AD2431" s="32" t="str">
        <f t="shared" si="2457"/>
        <v/>
      </c>
      <c r="AE2431" s="32" t="str">
        <f t="shared" si="2457"/>
        <v/>
      </c>
      <c r="AF2431" s="32" t="str">
        <f t="shared" si="2457"/>
        <v/>
      </c>
      <c r="AG2431" s="32" t="str">
        <f t="shared" si="2457"/>
        <v/>
      </c>
      <c r="AH2431" s="33"/>
    </row>
    <row r="2432" hidden="1" outlineLevel="3">
      <c r="A2432" s="16" t="b">
        <v>0</v>
      </c>
      <c r="B2432" s="17"/>
      <c r="C2432" s="18"/>
      <c r="D2432" s="42"/>
      <c r="E2432" s="20"/>
      <c r="F2432" s="53"/>
      <c r="G2432" s="45"/>
      <c r="H2432" s="45"/>
      <c r="I2432" s="45"/>
      <c r="J2432" s="36"/>
      <c r="K2432" s="23"/>
      <c r="L2432" s="36"/>
      <c r="M2432" s="23"/>
      <c r="N2432" s="23"/>
      <c r="O2432" s="24"/>
      <c r="P2432" s="16" t="b">
        <v>0</v>
      </c>
      <c r="Q2432" s="24"/>
      <c r="R2432" s="48" t="str">
        <f t="shared" si="2376"/>
        <v/>
      </c>
      <c r="S2432" s="26"/>
      <c r="T2432" s="49" t="str">
        <f t="shared" si="2104"/>
        <v/>
      </c>
      <c r="U2432" s="24"/>
      <c r="V2432" s="75" t="s">
        <v>29</v>
      </c>
      <c r="W2432" s="29" t="str">
        <f t="shared" si="2024"/>
        <v>/</v>
      </c>
      <c r="X2432" s="37" t="s">
        <v>1521</v>
      </c>
      <c r="Y2432" s="31"/>
      <c r="Z2432" s="26" t="str">
        <f t="shared" si="5"/>
        <v/>
      </c>
      <c r="AA2432" s="26" t="str">
        <f t="shared" si="6"/>
        <v/>
      </c>
      <c r="AB2432" s="32" t="str">
        <f t="shared" si="7"/>
        <v/>
      </c>
      <c r="AC2432" s="32" t="str">
        <f t="shared" ref="AC2432:AG2432" si="2458">IF(J2432&lt;&gt;"", IF(AND($P2432=FALSE, $A2432=FALSE), -J2432, IF(AND($P2432=FALSE, $A2432=TRUE), 0, IF($P2432=TRUE, (J2432 / $R2432) * 100 * ($S2432 / 100)-J2432, ))), )</f>
        <v/>
      </c>
      <c r="AD2432" s="32" t="str">
        <f t="shared" si="2458"/>
        <v/>
      </c>
      <c r="AE2432" s="32" t="str">
        <f t="shared" si="2458"/>
        <v/>
      </c>
      <c r="AF2432" s="32" t="str">
        <f t="shared" si="2458"/>
        <v/>
      </c>
      <c r="AG2432" s="32" t="str">
        <f t="shared" si="2458"/>
        <v/>
      </c>
      <c r="AH2432" s="33"/>
    </row>
    <row r="2433" hidden="1" outlineLevel="3">
      <c r="A2433" s="16" t="b">
        <v>0</v>
      </c>
      <c r="B2433" s="17"/>
      <c r="C2433" s="18"/>
      <c r="D2433" s="42"/>
      <c r="E2433" s="20"/>
      <c r="F2433" s="53"/>
      <c r="G2433" s="45"/>
      <c r="H2433" s="45"/>
      <c r="I2433" s="45"/>
      <c r="J2433" s="36"/>
      <c r="K2433" s="23"/>
      <c r="L2433" s="36"/>
      <c r="M2433" s="23"/>
      <c r="N2433" s="23"/>
      <c r="O2433" s="24"/>
      <c r="P2433" s="16" t="b">
        <v>0</v>
      </c>
      <c r="Q2433" s="24"/>
      <c r="R2433" s="48" t="str">
        <f t="shared" si="2376"/>
        <v/>
      </c>
      <c r="S2433" s="26"/>
      <c r="T2433" s="49" t="str">
        <f t="shared" si="2104"/>
        <v/>
      </c>
      <c r="U2433" s="24"/>
      <c r="V2433" s="66">
        <v>40.0</v>
      </c>
      <c r="W2433" s="29" t="str">
        <f t="shared" si="2024"/>
        <v>/</v>
      </c>
      <c r="X2433" s="37" t="s">
        <v>1522</v>
      </c>
      <c r="Y2433" s="31"/>
      <c r="Z2433" s="26" t="str">
        <f t="shared" si="5"/>
        <v/>
      </c>
      <c r="AA2433" s="26" t="str">
        <f t="shared" si="6"/>
        <v/>
      </c>
      <c r="AB2433" s="32" t="str">
        <f t="shared" si="7"/>
        <v/>
      </c>
      <c r="AC2433" s="32" t="str">
        <f t="shared" ref="AC2433:AG2433" si="2459">IF(J2433&lt;&gt;"", IF(AND($P2433=FALSE, $A2433=FALSE), -J2433, IF(AND($P2433=FALSE, $A2433=TRUE), 0, IF($P2433=TRUE, (J2433 / $R2433) * 100 * ($S2433 / 100)-J2433, ))), )</f>
        <v/>
      </c>
      <c r="AD2433" s="32" t="str">
        <f t="shared" si="2459"/>
        <v/>
      </c>
      <c r="AE2433" s="32" t="str">
        <f t="shared" si="2459"/>
        <v/>
      </c>
      <c r="AF2433" s="32" t="str">
        <f t="shared" si="2459"/>
        <v/>
      </c>
      <c r="AG2433" s="32" t="str">
        <f t="shared" si="2459"/>
        <v/>
      </c>
      <c r="AH2433" s="33"/>
    </row>
    <row r="2434" hidden="1" outlineLevel="3">
      <c r="A2434" s="16" t="b">
        <v>0</v>
      </c>
      <c r="B2434" s="17"/>
      <c r="C2434" s="18"/>
      <c r="D2434" s="42"/>
      <c r="E2434" s="20"/>
      <c r="F2434" s="53"/>
      <c r="G2434" s="45"/>
      <c r="H2434" s="45"/>
      <c r="I2434" s="45"/>
      <c r="J2434" s="36"/>
      <c r="K2434" s="23"/>
      <c r="L2434" s="36"/>
      <c r="M2434" s="23"/>
      <c r="N2434" s="23"/>
      <c r="O2434" s="24"/>
      <c r="P2434" s="16" t="b">
        <v>0</v>
      </c>
      <c r="Q2434" s="24"/>
      <c r="R2434" s="48" t="str">
        <f t="shared" si="2376"/>
        <v/>
      </c>
      <c r="S2434" s="26"/>
      <c r="T2434" s="49" t="str">
        <f t="shared" si="2104"/>
        <v/>
      </c>
      <c r="U2434" s="24"/>
      <c r="V2434" s="66">
        <v>13.0</v>
      </c>
      <c r="W2434" s="29" t="str">
        <f t="shared" si="2024"/>
        <v>/</v>
      </c>
      <c r="X2434" s="37" t="s">
        <v>1095</v>
      </c>
      <c r="Y2434" s="31"/>
      <c r="Z2434" s="26" t="str">
        <f t="shared" si="5"/>
        <v/>
      </c>
      <c r="AA2434" s="26" t="str">
        <f t="shared" si="6"/>
        <v/>
      </c>
      <c r="AB2434" s="32" t="str">
        <f t="shared" si="7"/>
        <v/>
      </c>
      <c r="AC2434" s="32" t="str">
        <f t="shared" ref="AC2434:AG2434" si="2460">IF(J2434&lt;&gt;"", IF(AND($P2434=FALSE, $A2434=FALSE), -J2434, IF(AND($P2434=FALSE, $A2434=TRUE), 0, IF($P2434=TRUE, (J2434 / $R2434) * 100 * ($S2434 / 100)-J2434, ))), )</f>
        <v/>
      </c>
      <c r="AD2434" s="32" t="str">
        <f t="shared" si="2460"/>
        <v/>
      </c>
      <c r="AE2434" s="32" t="str">
        <f t="shared" si="2460"/>
        <v/>
      </c>
      <c r="AF2434" s="32" t="str">
        <f t="shared" si="2460"/>
        <v/>
      </c>
      <c r="AG2434" s="32" t="str">
        <f t="shared" si="2460"/>
        <v/>
      </c>
      <c r="AH2434" s="33"/>
    </row>
    <row r="2435" hidden="1" outlineLevel="3">
      <c r="A2435" s="16" t="b">
        <v>0</v>
      </c>
      <c r="B2435" s="17"/>
      <c r="C2435" s="18"/>
      <c r="D2435" s="42"/>
      <c r="E2435" s="20"/>
      <c r="F2435" s="53"/>
      <c r="G2435" s="45"/>
      <c r="H2435" s="45"/>
      <c r="I2435" s="45"/>
      <c r="J2435" s="36"/>
      <c r="K2435" s="23"/>
      <c r="L2435" s="36"/>
      <c r="M2435" s="23"/>
      <c r="N2435" s="23"/>
      <c r="O2435" s="24"/>
      <c r="P2435" s="16" t="b">
        <v>0</v>
      </c>
      <c r="Q2435" s="24"/>
      <c r="R2435" s="48" t="str">
        <f t="shared" si="2376"/>
        <v/>
      </c>
      <c r="S2435" s="26"/>
      <c r="T2435" s="49" t="str">
        <f t="shared" si="2104"/>
        <v/>
      </c>
      <c r="U2435" s="24"/>
      <c r="V2435" s="75" t="s">
        <v>29</v>
      </c>
      <c r="W2435" s="29" t="str">
        <f t="shared" si="2024"/>
        <v>/</v>
      </c>
      <c r="X2435" s="37" t="s">
        <v>86</v>
      </c>
      <c r="Y2435" s="31"/>
      <c r="Z2435" s="26" t="str">
        <f t="shared" si="5"/>
        <v/>
      </c>
      <c r="AA2435" s="26" t="str">
        <f t="shared" si="6"/>
        <v/>
      </c>
      <c r="AB2435" s="32" t="str">
        <f t="shared" si="7"/>
        <v/>
      </c>
      <c r="AC2435" s="32" t="str">
        <f t="shared" ref="AC2435:AG2435" si="2461">IF(J2435&lt;&gt;"", IF(AND($P2435=FALSE, $A2435=FALSE), -J2435, IF(AND($P2435=FALSE, $A2435=TRUE), 0, IF($P2435=TRUE, (J2435 / $R2435) * 100 * ($S2435 / 100)-J2435, ))), )</f>
        <v/>
      </c>
      <c r="AD2435" s="32" t="str">
        <f t="shared" si="2461"/>
        <v/>
      </c>
      <c r="AE2435" s="32" t="str">
        <f t="shared" si="2461"/>
        <v/>
      </c>
      <c r="AF2435" s="32" t="str">
        <f t="shared" si="2461"/>
        <v/>
      </c>
      <c r="AG2435" s="32" t="str">
        <f t="shared" si="2461"/>
        <v/>
      </c>
      <c r="AH2435" s="33"/>
    </row>
    <row r="2436" hidden="1" outlineLevel="3">
      <c r="A2436" s="16" t="b">
        <v>0</v>
      </c>
      <c r="B2436" s="17"/>
      <c r="C2436" s="18"/>
      <c r="D2436" s="42"/>
      <c r="E2436" s="20"/>
      <c r="F2436" s="53"/>
      <c r="G2436" s="45"/>
      <c r="H2436" s="45"/>
      <c r="I2436" s="45"/>
      <c r="J2436" s="36"/>
      <c r="K2436" s="23"/>
      <c r="L2436" s="36"/>
      <c r="M2436" s="23"/>
      <c r="N2436" s="23"/>
      <c r="O2436" s="24"/>
      <c r="P2436" s="16" t="b">
        <v>0</v>
      </c>
      <c r="Q2436" s="24"/>
      <c r="R2436" s="48" t="str">
        <f t="shared" si="2376"/>
        <v/>
      </c>
      <c r="S2436" s="26"/>
      <c r="T2436" s="49" t="str">
        <f t="shared" si="2104"/>
        <v/>
      </c>
      <c r="U2436" s="24"/>
      <c r="V2436" s="28" t="str">
        <f>IF(ISBLANK($D2436), "0",)</f>
        <v>0</v>
      </c>
      <c r="W2436" s="29" t="str">
        <f t="shared" si="2024"/>
        <v>/</v>
      </c>
      <c r="X2436" s="37" t="s">
        <v>1523</v>
      </c>
      <c r="Y2436" s="31"/>
      <c r="Z2436" s="26" t="str">
        <f t="shared" si="5"/>
        <v/>
      </c>
      <c r="AA2436" s="26" t="str">
        <f t="shared" si="6"/>
        <v/>
      </c>
      <c r="AB2436" s="32" t="str">
        <f t="shared" si="7"/>
        <v/>
      </c>
      <c r="AC2436" s="32" t="str">
        <f t="shared" ref="AC2436:AG2436" si="2462">IF(J2436&lt;&gt;"", IF(AND($P2436=FALSE, $A2436=FALSE), -J2436, IF(AND($P2436=FALSE, $A2436=TRUE), 0, IF($P2436=TRUE, (J2436 / $R2436) * 100 * ($S2436 / 100)-J2436, ))), )</f>
        <v/>
      </c>
      <c r="AD2436" s="32" t="str">
        <f t="shared" si="2462"/>
        <v/>
      </c>
      <c r="AE2436" s="32" t="str">
        <f t="shared" si="2462"/>
        <v/>
      </c>
      <c r="AF2436" s="32" t="str">
        <f t="shared" si="2462"/>
        <v/>
      </c>
      <c r="AG2436" s="32" t="str">
        <f t="shared" si="2462"/>
        <v/>
      </c>
      <c r="AH2436" s="33"/>
    </row>
    <row r="2437" hidden="1" outlineLevel="3">
      <c r="A2437" s="16" t="b">
        <v>0</v>
      </c>
      <c r="B2437" s="17"/>
      <c r="C2437" s="18"/>
      <c r="D2437" s="42"/>
      <c r="E2437" s="20"/>
      <c r="F2437" s="53"/>
      <c r="G2437" s="45"/>
      <c r="H2437" s="45"/>
      <c r="I2437" s="45"/>
      <c r="J2437" s="36"/>
      <c r="K2437" s="23"/>
      <c r="L2437" s="36"/>
      <c r="M2437" s="23"/>
      <c r="N2437" s="23"/>
      <c r="O2437" s="24"/>
      <c r="P2437" s="16" t="b">
        <v>0</v>
      </c>
      <c r="Q2437" s="24"/>
      <c r="R2437" s="48" t="str">
        <f t="shared" si="2376"/>
        <v/>
      </c>
      <c r="S2437" s="26"/>
      <c r="T2437" s="49" t="str">
        <f t="shared" si="2104"/>
        <v/>
      </c>
      <c r="U2437" s="24"/>
      <c r="V2437" s="66">
        <v>1.0</v>
      </c>
      <c r="W2437" s="29" t="str">
        <f t="shared" si="2024"/>
        <v>/</v>
      </c>
      <c r="X2437" s="37" t="s">
        <v>1524</v>
      </c>
      <c r="Y2437" s="31"/>
      <c r="Z2437" s="26" t="str">
        <f t="shared" si="5"/>
        <v/>
      </c>
      <c r="AA2437" s="26" t="str">
        <f t="shared" si="6"/>
        <v/>
      </c>
      <c r="AB2437" s="32" t="str">
        <f t="shared" si="7"/>
        <v/>
      </c>
      <c r="AC2437" s="32" t="str">
        <f t="shared" ref="AC2437:AG2437" si="2463">IF(J2437&lt;&gt;"", IF(AND($P2437=FALSE, $A2437=FALSE), -J2437, IF(AND($P2437=FALSE, $A2437=TRUE), 0, IF($P2437=TRUE, (J2437 / $R2437) * 100 * ($S2437 / 100)-J2437, ))), )</f>
        <v/>
      </c>
      <c r="AD2437" s="32" t="str">
        <f t="shared" si="2463"/>
        <v/>
      </c>
      <c r="AE2437" s="32" t="str">
        <f t="shared" si="2463"/>
        <v/>
      </c>
      <c r="AF2437" s="32" t="str">
        <f t="shared" si="2463"/>
        <v/>
      </c>
      <c r="AG2437" s="32" t="str">
        <f t="shared" si="2463"/>
        <v/>
      </c>
      <c r="AH2437" s="33"/>
    </row>
    <row r="2438" hidden="1" outlineLevel="1" collapsed="1">
      <c r="A2438" s="16" t="b">
        <v>0</v>
      </c>
      <c r="B2438" s="17"/>
      <c r="C2438" s="18"/>
      <c r="D2438" s="42">
        <v>45544.0</v>
      </c>
      <c r="E2438" s="20" t="s">
        <v>24</v>
      </c>
      <c r="F2438" s="53" t="s">
        <v>1480</v>
      </c>
      <c r="G2438" s="45">
        <v>4.0</v>
      </c>
      <c r="H2438" s="45"/>
      <c r="I2438" s="45">
        <v>10.0</v>
      </c>
      <c r="J2438" s="36"/>
      <c r="K2438" s="23"/>
      <c r="L2438" s="36"/>
      <c r="M2438" s="23"/>
      <c r="N2438" s="23"/>
      <c r="O2438" s="24"/>
      <c r="P2438" s="16" t="b">
        <v>1</v>
      </c>
      <c r="Q2438" s="24"/>
      <c r="R2438" s="48">
        <f t="shared" si="2376"/>
        <v>14</v>
      </c>
      <c r="S2438" s="26">
        <v>32.9</v>
      </c>
      <c r="T2438" s="49" t="str">
        <f t="shared" si="2104"/>
        <v>+135</v>
      </c>
      <c r="U2438" s="24"/>
      <c r="V2438" s="28" t="str">
        <f>IF(ISBLANK($D2438), "0",)</f>
        <v/>
      </c>
      <c r="W2438" s="29" t="str">
        <f t="shared" si="2024"/>
        <v/>
      </c>
      <c r="X2438" s="30"/>
      <c r="Y2438" s="31"/>
      <c r="Z2438" s="26">
        <f t="shared" si="5"/>
        <v>5.4</v>
      </c>
      <c r="AA2438" s="26">
        <f t="shared" si="6"/>
        <v>13.5</v>
      </c>
      <c r="AB2438" s="32" t="str">
        <f t="shared" si="7"/>
        <v/>
      </c>
      <c r="AC2438" s="32" t="str">
        <f t="shared" ref="AC2438:AG2438" si="2464">IF(J2438&lt;&gt;"", IF(AND($P2438=FALSE, $A2438=FALSE), -J2438, IF(AND($P2438=FALSE, $A2438=TRUE), 0, IF($P2438=TRUE, (J2438 / $R2438) * 100 * ($S2438 / 100)-J2438, ))), )</f>
        <v/>
      </c>
      <c r="AD2438" s="32" t="str">
        <f t="shared" si="2464"/>
        <v/>
      </c>
      <c r="AE2438" s="32" t="str">
        <f t="shared" si="2464"/>
        <v/>
      </c>
      <c r="AF2438" s="32" t="str">
        <f t="shared" si="2464"/>
        <v/>
      </c>
      <c r="AG2438" s="32" t="str">
        <f t="shared" si="2464"/>
        <v/>
      </c>
      <c r="AH2438" s="33"/>
    </row>
    <row r="2439" hidden="1" outlineLevel="3">
      <c r="A2439" s="16" t="b">
        <v>0</v>
      </c>
      <c r="B2439" s="17"/>
      <c r="C2439" s="18"/>
      <c r="D2439" s="42"/>
      <c r="E2439" s="20"/>
      <c r="F2439" s="53"/>
      <c r="G2439" s="45"/>
      <c r="H2439" s="45"/>
      <c r="I2439" s="45"/>
      <c r="J2439" s="36"/>
      <c r="K2439" s="23"/>
      <c r="L2439" s="36"/>
      <c r="M2439" s="23"/>
      <c r="N2439" s="23"/>
      <c r="O2439" s="24"/>
      <c r="P2439" s="16" t="b">
        <v>0</v>
      </c>
      <c r="Q2439" s="24"/>
      <c r="R2439" s="48" t="str">
        <f t="shared" si="2376"/>
        <v/>
      </c>
      <c r="S2439" s="26"/>
      <c r="T2439" s="49" t="str">
        <f t="shared" si="2104"/>
        <v/>
      </c>
      <c r="U2439" s="24"/>
      <c r="V2439" s="75" t="s">
        <v>29</v>
      </c>
      <c r="W2439" s="29" t="str">
        <f t="shared" si="2024"/>
        <v>/</v>
      </c>
      <c r="X2439" s="37" t="s">
        <v>1525</v>
      </c>
      <c r="Y2439" s="31"/>
      <c r="Z2439" s="26" t="str">
        <f t="shared" si="5"/>
        <v/>
      </c>
      <c r="AA2439" s="26" t="str">
        <f t="shared" si="6"/>
        <v/>
      </c>
      <c r="AB2439" s="32" t="str">
        <f t="shared" si="7"/>
        <v/>
      </c>
      <c r="AC2439" s="32" t="str">
        <f t="shared" ref="AC2439:AG2439" si="2465">IF(J2439&lt;&gt;"", IF(AND($P2439=FALSE, $A2439=FALSE), -J2439, IF(AND($P2439=FALSE, $A2439=TRUE), 0, IF($P2439=TRUE, (J2439 / $R2439) * 100 * ($S2439 / 100)-J2439, ))), )</f>
        <v/>
      </c>
      <c r="AD2439" s="32" t="str">
        <f t="shared" si="2465"/>
        <v/>
      </c>
      <c r="AE2439" s="32" t="str">
        <f t="shared" si="2465"/>
        <v/>
      </c>
      <c r="AF2439" s="32" t="str">
        <f t="shared" si="2465"/>
        <v/>
      </c>
      <c r="AG2439" s="32" t="str">
        <f t="shared" si="2465"/>
        <v/>
      </c>
      <c r="AH2439" s="33"/>
    </row>
    <row r="2440" hidden="1" outlineLevel="3">
      <c r="A2440" s="16" t="b">
        <v>0</v>
      </c>
      <c r="B2440" s="17"/>
      <c r="C2440" s="18"/>
      <c r="D2440" s="42"/>
      <c r="E2440" s="20"/>
      <c r="F2440" s="53"/>
      <c r="G2440" s="45"/>
      <c r="H2440" s="45"/>
      <c r="I2440" s="45"/>
      <c r="J2440" s="36"/>
      <c r="K2440" s="23"/>
      <c r="L2440" s="36"/>
      <c r="M2440" s="23"/>
      <c r="N2440" s="23"/>
      <c r="O2440" s="24"/>
      <c r="P2440" s="16" t="b">
        <v>0</v>
      </c>
      <c r="Q2440" s="24"/>
      <c r="R2440" s="48" t="str">
        <f t="shared" si="2376"/>
        <v/>
      </c>
      <c r="S2440" s="26"/>
      <c r="T2440" s="49" t="str">
        <f t="shared" si="2104"/>
        <v/>
      </c>
      <c r="U2440" s="24"/>
      <c r="V2440" s="75" t="s">
        <v>29</v>
      </c>
      <c r="W2440" s="29" t="str">
        <f t="shared" si="2024"/>
        <v>/</v>
      </c>
      <c r="X2440" s="37" t="s">
        <v>1526</v>
      </c>
      <c r="Y2440" s="31"/>
      <c r="Z2440" s="26" t="str">
        <f t="shared" si="5"/>
        <v/>
      </c>
      <c r="AA2440" s="26" t="str">
        <f t="shared" si="6"/>
        <v/>
      </c>
      <c r="AB2440" s="32" t="str">
        <f t="shared" si="7"/>
        <v/>
      </c>
      <c r="AC2440" s="32" t="str">
        <f t="shared" ref="AC2440:AG2440" si="2466">IF(J2440&lt;&gt;"", IF(AND($P2440=FALSE, $A2440=FALSE), -J2440, IF(AND($P2440=FALSE, $A2440=TRUE), 0, IF($P2440=TRUE, (J2440 / $R2440) * 100 * ($S2440 / 100)-J2440, ))), )</f>
        <v/>
      </c>
      <c r="AD2440" s="32" t="str">
        <f t="shared" si="2466"/>
        <v/>
      </c>
      <c r="AE2440" s="32" t="str">
        <f t="shared" si="2466"/>
        <v/>
      </c>
      <c r="AF2440" s="32" t="str">
        <f t="shared" si="2466"/>
        <v/>
      </c>
      <c r="AG2440" s="32" t="str">
        <f t="shared" si="2466"/>
        <v/>
      </c>
      <c r="AH2440" s="33"/>
    </row>
    <row r="2441" hidden="1" outlineLevel="2" collapsed="1">
      <c r="A2441" s="16" t="b">
        <v>0</v>
      </c>
      <c r="B2441" s="17"/>
      <c r="C2441" s="18"/>
      <c r="D2441" s="42">
        <v>45544.0</v>
      </c>
      <c r="E2441" s="20" t="s">
        <v>24</v>
      </c>
      <c r="F2441" s="53" t="s">
        <v>1480</v>
      </c>
      <c r="G2441" s="45">
        <v>2.0</v>
      </c>
      <c r="H2441" s="45"/>
      <c r="I2441" s="45">
        <v>2.0</v>
      </c>
      <c r="J2441" s="36"/>
      <c r="K2441" s="23"/>
      <c r="L2441" s="36"/>
      <c r="M2441" s="23"/>
      <c r="N2441" s="23"/>
      <c r="O2441" s="24"/>
      <c r="P2441" s="16" t="b">
        <v>1</v>
      </c>
      <c r="Q2441" s="24"/>
      <c r="R2441" s="48">
        <f t="shared" si="2376"/>
        <v>4</v>
      </c>
      <c r="S2441" s="26">
        <v>8.6</v>
      </c>
      <c r="T2441" s="49" t="str">
        <f t="shared" si="2104"/>
        <v>+115</v>
      </c>
      <c r="U2441" s="24"/>
      <c r="V2441" s="28" t="str">
        <f>IF(ISBLANK($D2441), "0",)</f>
        <v/>
      </c>
      <c r="W2441" s="29" t="str">
        <f t="shared" si="2024"/>
        <v/>
      </c>
      <c r="X2441" s="30"/>
      <c r="Y2441" s="31"/>
      <c r="Z2441" s="26">
        <f t="shared" si="5"/>
        <v>2.3</v>
      </c>
      <c r="AA2441" s="26">
        <f t="shared" si="6"/>
        <v>2.3</v>
      </c>
      <c r="AB2441" s="32" t="str">
        <f t="shared" si="7"/>
        <v/>
      </c>
      <c r="AC2441" s="32" t="str">
        <f t="shared" ref="AC2441:AG2441" si="2467">IF(J2441&lt;&gt;"", IF(AND($P2441=FALSE, $A2441=FALSE), -J2441, IF(AND($P2441=FALSE, $A2441=TRUE), 0, IF($P2441=TRUE, (J2441 / $R2441) * 100 * ($S2441 / 100)-J2441, ))), )</f>
        <v/>
      </c>
      <c r="AD2441" s="32" t="str">
        <f t="shared" si="2467"/>
        <v/>
      </c>
      <c r="AE2441" s="32" t="str">
        <f t="shared" si="2467"/>
        <v/>
      </c>
      <c r="AF2441" s="32" t="str">
        <f t="shared" si="2467"/>
        <v/>
      </c>
      <c r="AG2441" s="32" t="str">
        <f t="shared" si="2467"/>
        <v/>
      </c>
      <c r="AH2441" s="33"/>
    </row>
    <row r="2442" hidden="1" outlineLevel="3">
      <c r="A2442" s="16" t="b">
        <v>0</v>
      </c>
      <c r="B2442" s="17"/>
      <c r="C2442" s="18"/>
      <c r="D2442" s="42"/>
      <c r="E2442" s="20"/>
      <c r="F2442" s="53"/>
      <c r="G2442" s="45"/>
      <c r="H2442" s="45"/>
      <c r="I2442" s="45"/>
      <c r="J2442" s="36"/>
      <c r="K2442" s="23"/>
      <c r="L2442" s="36"/>
      <c r="M2442" s="23"/>
      <c r="N2442" s="23"/>
      <c r="O2442" s="24"/>
      <c r="P2442" s="16" t="b">
        <v>0</v>
      </c>
      <c r="Q2442" s="24"/>
      <c r="R2442" s="48" t="str">
        <f t="shared" si="2376"/>
        <v/>
      </c>
      <c r="S2442" s="26"/>
      <c r="T2442" s="49" t="str">
        <f t="shared" si="2104"/>
        <v/>
      </c>
      <c r="U2442" s="24"/>
      <c r="V2442" s="75" t="s">
        <v>29</v>
      </c>
      <c r="W2442" s="29" t="str">
        <f t="shared" si="2024"/>
        <v>/</v>
      </c>
      <c r="X2442" s="37" t="s">
        <v>1527</v>
      </c>
      <c r="Y2442" s="31"/>
      <c r="Z2442" s="26" t="str">
        <f t="shared" si="5"/>
        <v/>
      </c>
      <c r="AA2442" s="26" t="str">
        <f t="shared" si="6"/>
        <v/>
      </c>
      <c r="AB2442" s="32" t="str">
        <f t="shared" si="7"/>
        <v/>
      </c>
      <c r="AC2442" s="32" t="str">
        <f t="shared" ref="AC2442:AG2442" si="2468">IF(J2442&lt;&gt;"", IF(AND($P2442=FALSE, $A2442=FALSE), -J2442, IF(AND($P2442=FALSE, $A2442=TRUE), 0, IF($P2442=TRUE, (J2442 / $R2442) * 100 * ($S2442 / 100)-J2442, ))), )</f>
        <v/>
      </c>
      <c r="AD2442" s="32" t="str">
        <f t="shared" si="2468"/>
        <v/>
      </c>
      <c r="AE2442" s="32" t="str">
        <f t="shared" si="2468"/>
        <v/>
      </c>
      <c r="AF2442" s="32" t="str">
        <f t="shared" si="2468"/>
        <v/>
      </c>
      <c r="AG2442" s="32" t="str">
        <f t="shared" si="2468"/>
        <v/>
      </c>
      <c r="AH2442" s="33"/>
    </row>
    <row r="2443" hidden="1" outlineLevel="2" collapsed="1">
      <c r="A2443" s="16" t="b">
        <v>0</v>
      </c>
      <c r="B2443" s="17"/>
      <c r="C2443" s="18"/>
      <c r="D2443" s="42">
        <v>45544.0</v>
      </c>
      <c r="E2443" s="20" t="s">
        <v>24</v>
      </c>
      <c r="F2443" s="53" t="s">
        <v>1480</v>
      </c>
      <c r="G2443" s="45">
        <v>3.0</v>
      </c>
      <c r="H2443" s="45"/>
      <c r="I2443" s="45">
        <v>10.0</v>
      </c>
      <c r="J2443" s="36"/>
      <c r="K2443" s="23"/>
      <c r="L2443" s="36"/>
      <c r="M2443" s="23"/>
      <c r="N2443" s="23"/>
      <c r="O2443" s="24"/>
      <c r="P2443" s="16" t="b">
        <v>1</v>
      </c>
      <c r="Q2443" s="24"/>
      <c r="R2443" s="48">
        <f t="shared" si="2376"/>
        <v>13</v>
      </c>
      <c r="S2443" s="26">
        <v>20.24</v>
      </c>
      <c r="T2443" s="49">
        <f t="shared" si="2104"/>
        <v>-180</v>
      </c>
      <c r="U2443" s="24"/>
      <c r="V2443" s="28" t="str">
        <f>IF(ISBLANK($D2443), "0",)</f>
        <v/>
      </c>
      <c r="W2443" s="29" t="str">
        <f t="shared" si="2024"/>
        <v/>
      </c>
      <c r="X2443" s="30"/>
      <c r="Y2443" s="31"/>
      <c r="Z2443" s="26">
        <f t="shared" si="5"/>
        <v>1.670769231</v>
      </c>
      <c r="AA2443" s="26">
        <f t="shared" si="6"/>
        <v>5.569230769</v>
      </c>
      <c r="AB2443" s="32" t="str">
        <f t="shared" si="7"/>
        <v/>
      </c>
      <c r="AC2443" s="32" t="str">
        <f t="shared" ref="AC2443:AG2443" si="2469">IF(J2443&lt;&gt;"", IF(AND($P2443=FALSE, $A2443=FALSE), -J2443, IF(AND($P2443=FALSE, $A2443=TRUE), 0, IF($P2443=TRUE, (J2443 / $R2443) * 100 * ($S2443 / 100)-J2443, ))), )</f>
        <v/>
      </c>
      <c r="AD2443" s="32" t="str">
        <f t="shared" si="2469"/>
        <v/>
      </c>
      <c r="AE2443" s="32" t="str">
        <f t="shared" si="2469"/>
        <v/>
      </c>
      <c r="AF2443" s="32" t="str">
        <f t="shared" si="2469"/>
        <v/>
      </c>
      <c r="AG2443" s="32" t="str">
        <f t="shared" si="2469"/>
        <v/>
      </c>
      <c r="AH2443" s="33"/>
    </row>
    <row r="2444" hidden="1" outlineLevel="3">
      <c r="A2444" s="16" t="b">
        <v>0</v>
      </c>
      <c r="B2444" s="17"/>
      <c r="C2444" s="18"/>
      <c r="D2444" s="42"/>
      <c r="E2444" s="20"/>
      <c r="F2444" s="53"/>
      <c r="G2444" s="45"/>
      <c r="H2444" s="45"/>
      <c r="I2444" s="45"/>
      <c r="J2444" s="36"/>
      <c r="K2444" s="23"/>
      <c r="L2444" s="36"/>
      <c r="M2444" s="23"/>
      <c r="N2444" s="23"/>
      <c r="O2444" s="24"/>
      <c r="P2444" s="16" t="b">
        <v>0</v>
      </c>
      <c r="Q2444" s="24"/>
      <c r="R2444" s="48" t="str">
        <f t="shared" si="2376"/>
        <v/>
      </c>
      <c r="S2444" s="26"/>
      <c r="T2444" s="49" t="str">
        <f t="shared" si="2104"/>
        <v/>
      </c>
      <c r="U2444" s="24"/>
      <c r="V2444" s="66" t="s">
        <v>176</v>
      </c>
      <c r="W2444" s="29" t="str">
        <f t="shared" si="2024"/>
        <v>/</v>
      </c>
      <c r="X2444" s="37" t="s">
        <v>1528</v>
      </c>
      <c r="Y2444" s="31"/>
      <c r="Z2444" s="26" t="str">
        <f t="shared" si="5"/>
        <v/>
      </c>
      <c r="AA2444" s="26" t="str">
        <f t="shared" si="6"/>
        <v/>
      </c>
      <c r="AB2444" s="32" t="str">
        <f t="shared" si="7"/>
        <v/>
      </c>
      <c r="AC2444" s="32" t="str">
        <f t="shared" ref="AC2444:AG2444" si="2470">IF(J2444&lt;&gt;"", IF(AND($P2444=FALSE, $A2444=FALSE), -J2444, IF(AND($P2444=FALSE, $A2444=TRUE), 0, IF($P2444=TRUE, (J2444 / $R2444) * 100 * ($S2444 / 100)-J2444, ))), )</f>
        <v/>
      </c>
      <c r="AD2444" s="32" t="str">
        <f t="shared" si="2470"/>
        <v/>
      </c>
      <c r="AE2444" s="32" t="str">
        <f t="shared" si="2470"/>
        <v/>
      </c>
      <c r="AF2444" s="32" t="str">
        <f t="shared" si="2470"/>
        <v/>
      </c>
      <c r="AG2444" s="32" t="str">
        <f t="shared" si="2470"/>
        <v/>
      </c>
      <c r="AH2444" s="33"/>
    </row>
    <row r="2445" hidden="1" outlineLevel="3">
      <c r="A2445" s="16" t="b">
        <v>0</v>
      </c>
      <c r="B2445" s="17"/>
      <c r="C2445" s="18"/>
      <c r="D2445" s="42"/>
      <c r="E2445" s="20"/>
      <c r="F2445" s="53"/>
      <c r="G2445" s="45"/>
      <c r="H2445" s="45"/>
      <c r="I2445" s="45"/>
      <c r="J2445" s="36"/>
      <c r="K2445" s="23"/>
      <c r="L2445" s="36"/>
      <c r="M2445" s="23"/>
      <c r="N2445" s="23"/>
      <c r="O2445" s="24"/>
      <c r="P2445" s="16" t="b">
        <v>0</v>
      </c>
      <c r="Q2445" s="24"/>
      <c r="R2445" s="48" t="str">
        <f t="shared" si="2376"/>
        <v/>
      </c>
      <c r="S2445" s="26"/>
      <c r="T2445" s="49" t="str">
        <f t="shared" si="2104"/>
        <v/>
      </c>
      <c r="U2445" s="24"/>
      <c r="V2445" s="75" t="s">
        <v>29</v>
      </c>
      <c r="W2445" s="29" t="str">
        <f t="shared" si="2024"/>
        <v>/</v>
      </c>
      <c r="X2445" s="37" t="s">
        <v>1529</v>
      </c>
      <c r="Y2445" s="31"/>
      <c r="Z2445" s="26" t="str">
        <f t="shared" si="5"/>
        <v/>
      </c>
      <c r="AA2445" s="26" t="str">
        <f t="shared" si="6"/>
        <v/>
      </c>
      <c r="AB2445" s="32" t="str">
        <f t="shared" si="7"/>
        <v/>
      </c>
      <c r="AC2445" s="32" t="str">
        <f t="shared" ref="AC2445:AG2445" si="2471">IF(J2445&lt;&gt;"", IF(AND($P2445=FALSE, $A2445=FALSE), -J2445, IF(AND($P2445=FALSE, $A2445=TRUE), 0, IF($P2445=TRUE, (J2445 / $R2445) * 100 * ($S2445 / 100)-J2445, ))), )</f>
        <v/>
      </c>
      <c r="AD2445" s="32" t="str">
        <f t="shared" si="2471"/>
        <v/>
      </c>
      <c r="AE2445" s="32" t="str">
        <f t="shared" si="2471"/>
        <v/>
      </c>
      <c r="AF2445" s="32" t="str">
        <f t="shared" si="2471"/>
        <v/>
      </c>
      <c r="AG2445" s="32" t="str">
        <f t="shared" si="2471"/>
        <v/>
      </c>
      <c r="AH2445" s="33"/>
    </row>
    <row r="2446" hidden="1" outlineLevel="3">
      <c r="A2446" s="16" t="b">
        <v>0</v>
      </c>
      <c r="B2446" s="17"/>
      <c r="C2446" s="18"/>
      <c r="D2446" s="42"/>
      <c r="E2446" s="20"/>
      <c r="F2446" s="53"/>
      <c r="G2446" s="45"/>
      <c r="H2446" s="45"/>
      <c r="I2446" s="45"/>
      <c r="J2446" s="36"/>
      <c r="K2446" s="23"/>
      <c r="L2446" s="36"/>
      <c r="M2446" s="23"/>
      <c r="N2446" s="23"/>
      <c r="O2446" s="24"/>
      <c r="P2446" s="16" t="b">
        <v>0</v>
      </c>
      <c r="Q2446" s="24"/>
      <c r="R2446" s="48" t="str">
        <f t="shared" si="2376"/>
        <v/>
      </c>
      <c r="S2446" s="26"/>
      <c r="T2446" s="49" t="str">
        <f t="shared" si="2104"/>
        <v/>
      </c>
      <c r="U2446" s="24"/>
      <c r="V2446" s="75" t="s">
        <v>29</v>
      </c>
      <c r="W2446" s="29" t="str">
        <f t="shared" si="2024"/>
        <v>/</v>
      </c>
      <c r="X2446" s="37" t="s">
        <v>683</v>
      </c>
      <c r="Y2446" s="31"/>
      <c r="Z2446" s="26" t="str">
        <f t="shared" si="5"/>
        <v/>
      </c>
      <c r="AA2446" s="26" t="str">
        <f t="shared" si="6"/>
        <v/>
      </c>
      <c r="AB2446" s="32" t="str">
        <f t="shared" si="7"/>
        <v/>
      </c>
      <c r="AC2446" s="32" t="str">
        <f t="shared" ref="AC2446:AG2446" si="2472">IF(J2446&lt;&gt;"", IF(AND($P2446=FALSE, $A2446=FALSE), -J2446, IF(AND($P2446=FALSE, $A2446=TRUE), 0, IF($P2446=TRUE, (J2446 / $R2446) * 100 * ($S2446 / 100)-J2446, ))), )</f>
        <v/>
      </c>
      <c r="AD2446" s="32" t="str">
        <f t="shared" si="2472"/>
        <v/>
      </c>
      <c r="AE2446" s="32" t="str">
        <f t="shared" si="2472"/>
        <v/>
      </c>
      <c r="AF2446" s="32" t="str">
        <f t="shared" si="2472"/>
        <v/>
      </c>
      <c r="AG2446" s="32" t="str">
        <f t="shared" si="2472"/>
        <v/>
      </c>
      <c r="AH2446" s="33"/>
    </row>
    <row r="2447" hidden="1" outlineLevel="2">
      <c r="A2447" s="16" t="b">
        <v>0</v>
      </c>
      <c r="B2447" s="17"/>
      <c r="C2447" s="18"/>
      <c r="D2447" s="42">
        <v>45544.0</v>
      </c>
      <c r="E2447" s="20" t="s">
        <v>24</v>
      </c>
      <c r="F2447" s="53" t="s">
        <v>1480</v>
      </c>
      <c r="G2447" s="45">
        <v>5.0</v>
      </c>
      <c r="H2447" s="45"/>
      <c r="I2447" s="45">
        <v>5.0</v>
      </c>
      <c r="J2447" s="36"/>
      <c r="K2447" s="23"/>
      <c r="L2447" s="36"/>
      <c r="M2447" s="23"/>
      <c r="N2447" s="23"/>
      <c r="O2447" s="24"/>
      <c r="P2447" s="16" t="b">
        <v>0</v>
      </c>
      <c r="Q2447" s="24"/>
      <c r="R2447" s="48">
        <f t="shared" si="2376"/>
        <v>10</v>
      </c>
      <c r="S2447" s="26">
        <v>154.94</v>
      </c>
      <c r="T2447" s="49" t="str">
        <f t="shared" si="2104"/>
        <v>+1449</v>
      </c>
      <c r="U2447" s="24"/>
      <c r="V2447" s="28" t="str">
        <f>IF(ISBLANK($D2447), "0",)</f>
        <v/>
      </c>
      <c r="W2447" s="29" t="str">
        <f t="shared" si="2024"/>
        <v/>
      </c>
      <c r="X2447" s="30"/>
      <c r="Y2447" s="31"/>
      <c r="Z2447" s="26">
        <f t="shared" si="5"/>
        <v>-5</v>
      </c>
      <c r="AA2447" s="26">
        <f t="shared" si="6"/>
        <v>-5</v>
      </c>
      <c r="AB2447" s="32" t="str">
        <f t="shared" si="7"/>
        <v/>
      </c>
      <c r="AC2447" s="32" t="str">
        <f t="shared" ref="AC2447:AG2447" si="2473">IF(J2447&lt;&gt;"", IF(AND($P2447=FALSE, $A2447=FALSE), -J2447, IF(AND($P2447=FALSE, $A2447=TRUE), 0, IF($P2447=TRUE, (J2447 / $R2447) * 100 * ($S2447 / 100)-J2447, ))), )</f>
        <v/>
      </c>
      <c r="AD2447" s="32" t="str">
        <f t="shared" si="2473"/>
        <v/>
      </c>
      <c r="AE2447" s="32" t="str">
        <f t="shared" si="2473"/>
        <v/>
      </c>
      <c r="AF2447" s="32" t="str">
        <f t="shared" si="2473"/>
        <v/>
      </c>
      <c r="AG2447" s="32" t="str">
        <f t="shared" si="2473"/>
        <v/>
      </c>
      <c r="AH2447" s="33"/>
    </row>
    <row r="2448" hidden="1" outlineLevel="3">
      <c r="A2448" s="16" t="b">
        <v>0</v>
      </c>
      <c r="B2448" s="17"/>
      <c r="C2448" s="18"/>
      <c r="D2448" s="42"/>
      <c r="E2448" s="20"/>
      <c r="F2448" s="53"/>
      <c r="G2448" s="45"/>
      <c r="H2448" s="45"/>
      <c r="I2448" s="45"/>
      <c r="J2448" s="36"/>
      <c r="K2448" s="23"/>
      <c r="L2448" s="36"/>
      <c r="M2448" s="23"/>
      <c r="N2448" s="23"/>
      <c r="O2448" s="24"/>
      <c r="P2448" s="16" t="b">
        <v>0</v>
      </c>
      <c r="Q2448" s="24"/>
      <c r="R2448" s="48" t="str">
        <f t="shared" si="2376"/>
        <v/>
      </c>
      <c r="S2448" s="26"/>
      <c r="T2448" s="49" t="str">
        <f t="shared" si="2104"/>
        <v/>
      </c>
      <c r="U2448" s="24"/>
      <c r="V2448" s="75" t="s">
        <v>29</v>
      </c>
      <c r="W2448" s="29" t="str">
        <f t="shared" si="2024"/>
        <v>/</v>
      </c>
      <c r="X2448" s="37" t="s">
        <v>312</v>
      </c>
      <c r="Y2448" s="31"/>
      <c r="Z2448" s="26" t="str">
        <f t="shared" si="5"/>
        <v/>
      </c>
      <c r="AA2448" s="26" t="str">
        <f t="shared" si="6"/>
        <v/>
      </c>
      <c r="AB2448" s="32" t="str">
        <f t="shared" si="7"/>
        <v/>
      </c>
      <c r="AC2448" s="32" t="str">
        <f t="shared" ref="AC2448:AG2448" si="2474">IF(J2448&lt;&gt;"", IF(AND($P2448=FALSE, $A2448=FALSE), -J2448, IF(AND($P2448=FALSE, $A2448=TRUE), 0, IF($P2448=TRUE, (J2448 / $R2448) * 100 * ($S2448 / 100)-J2448, ))), )</f>
        <v/>
      </c>
      <c r="AD2448" s="32" t="str">
        <f t="shared" si="2474"/>
        <v/>
      </c>
      <c r="AE2448" s="32" t="str">
        <f t="shared" si="2474"/>
        <v/>
      </c>
      <c r="AF2448" s="32" t="str">
        <f t="shared" si="2474"/>
        <v/>
      </c>
      <c r="AG2448" s="32" t="str">
        <f t="shared" si="2474"/>
        <v/>
      </c>
      <c r="AH2448" s="33"/>
    </row>
    <row r="2449" hidden="1" outlineLevel="3">
      <c r="A2449" s="16" t="b">
        <v>0</v>
      </c>
      <c r="B2449" s="17"/>
      <c r="C2449" s="18"/>
      <c r="D2449" s="42"/>
      <c r="E2449" s="20"/>
      <c r="F2449" s="53"/>
      <c r="G2449" s="45"/>
      <c r="H2449" s="45"/>
      <c r="I2449" s="45"/>
      <c r="J2449" s="36"/>
      <c r="K2449" s="23"/>
      <c r="L2449" s="36"/>
      <c r="M2449" s="23"/>
      <c r="N2449" s="23"/>
      <c r="O2449" s="24"/>
      <c r="P2449" s="16" t="b">
        <v>0</v>
      </c>
      <c r="Q2449" s="24"/>
      <c r="R2449" s="48" t="str">
        <f t="shared" si="2376"/>
        <v/>
      </c>
      <c r="S2449" s="26"/>
      <c r="T2449" s="49" t="str">
        <f t="shared" si="2104"/>
        <v/>
      </c>
      <c r="U2449" s="24"/>
      <c r="V2449" s="66">
        <v>167.0</v>
      </c>
      <c r="W2449" s="29" t="str">
        <f t="shared" si="2024"/>
        <v>/</v>
      </c>
      <c r="X2449" s="37" t="s">
        <v>1530</v>
      </c>
      <c r="Y2449" s="31"/>
      <c r="Z2449" s="26" t="str">
        <f t="shared" si="5"/>
        <v/>
      </c>
      <c r="AA2449" s="26" t="str">
        <f t="shared" si="6"/>
        <v/>
      </c>
      <c r="AB2449" s="32" t="str">
        <f t="shared" si="7"/>
        <v/>
      </c>
      <c r="AC2449" s="32" t="str">
        <f t="shared" ref="AC2449:AG2449" si="2475">IF(J2449&lt;&gt;"", IF(AND($P2449=FALSE, $A2449=FALSE), -J2449, IF(AND($P2449=FALSE, $A2449=TRUE), 0, IF($P2449=TRUE, (J2449 / $R2449) * 100 * ($S2449 / 100)-J2449, ))), )</f>
        <v/>
      </c>
      <c r="AD2449" s="32" t="str">
        <f t="shared" si="2475"/>
        <v/>
      </c>
      <c r="AE2449" s="32" t="str">
        <f t="shared" si="2475"/>
        <v/>
      </c>
      <c r="AF2449" s="32" t="str">
        <f t="shared" si="2475"/>
        <v/>
      </c>
      <c r="AG2449" s="32" t="str">
        <f t="shared" si="2475"/>
        <v/>
      </c>
      <c r="AH2449" s="33"/>
    </row>
    <row r="2450" hidden="1" outlineLevel="3">
      <c r="A2450" s="16" t="b">
        <v>0</v>
      </c>
      <c r="B2450" s="17"/>
      <c r="C2450" s="18"/>
      <c r="D2450" s="42"/>
      <c r="E2450" s="20"/>
      <c r="F2450" s="53"/>
      <c r="G2450" s="45"/>
      <c r="H2450" s="45"/>
      <c r="I2450" s="45"/>
      <c r="J2450" s="36"/>
      <c r="K2450" s="23"/>
      <c r="L2450" s="36"/>
      <c r="M2450" s="23"/>
      <c r="N2450" s="23"/>
      <c r="O2450" s="24"/>
      <c r="P2450" s="16" t="b">
        <v>0</v>
      </c>
      <c r="Q2450" s="24"/>
      <c r="R2450" s="48" t="str">
        <f t="shared" si="2376"/>
        <v/>
      </c>
      <c r="S2450" s="26"/>
      <c r="T2450" s="49" t="str">
        <f t="shared" si="2104"/>
        <v/>
      </c>
      <c r="U2450" s="24"/>
      <c r="V2450" s="28" t="str">
        <f>IF(ISBLANK($D2450), "0",)</f>
        <v>0</v>
      </c>
      <c r="W2450" s="29" t="str">
        <f t="shared" si="2024"/>
        <v>/</v>
      </c>
      <c r="X2450" s="37" t="s">
        <v>1239</v>
      </c>
      <c r="Y2450" s="31"/>
      <c r="Z2450" s="26" t="str">
        <f t="shared" si="5"/>
        <v/>
      </c>
      <c r="AA2450" s="26" t="str">
        <f t="shared" si="6"/>
        <v/>
      </c>
      <c r="AB2450" s="32" t="str">
        <f t="shared" si="7"/>
        <v/>
      </c>
      <c r="AC2450" s="32" t="str">
        <f t="shared" ref="AC2450:AG2450" si="2476">IF(J2450&lt;&gt;"", IF(AND($P2450=FALSE, $A2450=FALSE), -J2450, IF(AND($P2450=FALSE, $A2450=TRUE), 0, IF($P2450=TRUE, (J2450 / $R2450) * 100 * ($S2450 / 100)-J2450, ))), )</f>
        <v/>
      </c>
      <c r="AD2450" s="32" t="str">
        <f t="shared" si="2476"/>
        <v/>
      </c>
      <c r="AE2450" s="32" t="str">
        <f t="shared" si="2476"/>
        <v/>
      </c>
      <c r="AF2450" s="32" t="str">
        <f t="shared" si="2476"/>
        <v/>
      </c>
      <c r="AG2450" s="32" t="str">
        <f t="shared" si="2476"/>
        <v/>
      </c>
      <c r="AH2450" s="33"/>
    </row>
    <row r="2451" hidden="1" outlineLevel="3">
      <c r="A2451" s="16" t="b">
        <v>0</v>
      </c>
      <c r="B2451" s="17"/>
      <c r="C2451" s="18"/>
      <c r="D2451" s="42"/>
      <c r="E2451" s="20"/>
      <c r="F2451" s="53"/>
      <c r="G2451" s="45"/>
      <c r="H2451" s="45"/>
      <c r="I2451" s="45"/>
      <c r="J2451" s="36"/>
      <c r="K2451" s="23"/>
      <c r="L2451" s="36"/>
      <c r="M2451" s="23"/>
      <c r="N2451" s="23"/>
      <c r="O2451" s="24"/>
      <c r="P2451" s="16" t="b">
        <v>0</v>
      </c>
      <c r="Q2451" s="24"/>
      <c r="R2451" s="48" t="str">
        <f t="shared" si="2376"/>
        <v/>
      </c>
      <c r="S2451" s="26"/>
      <c r="T2451" s="49" t="str">
        <f t="shared" si="2104"/>
        <v/>
      </c>
      <c r="U2451" s="24"/>
      <c r="V2451" s="75" t="s">
        <v>29</v>
      </c>
      <c r="W2451" s="29" t="str">
        <f t="shared" si="2024"/>
        <v>/</v>
      </c>
      <c r="X2451" s="37" t="s">
        <v>1531</v>
      </c>
      <c r="Y2451" s="31"/>
      <c r="Z2451" s="26" t="str">
        <f t="shared" si="5"/>
        <v/>
      </c>
      <c r="AA2451" s="26" t="str">
        <f t="shared" si="6"/>
        <v/>
      </c>
      <c r="AB2451" s="32" t="str">
        <f t="shared" si="7"/>
        <v/>
      </c>
      <c r="AC2451" s="32" t="str">
        <f t="shared" ref="AC2451:AG2451" si="2477">IF(J2451&lt;&gt;"", IF(AND($P2451=FALSE, $A2451=FALSE), -J2451, IF(AND($P2451=FALSE, $A2451=TRUE), 0, IF($P2451=TRUE, (J2451 / $R2451) * 100 * ($S2451 / 100)-J2451, ))), )</f>
        <v/>
      </c>
      <c r="AD2451" s="32" t="str">
        <f t="shared" si="2477"/>
        <v/>
      </c>
      <c r="AE2451" s="32" t="str">
        <f t="shared" si="2477"/>
        <v/>
      </c>
      <c r="AF2451" s="32" t="str">
        <f t="shared" si="2477"/>
        <v/>
      </c>
      <c r="AG2451" s="32" t="str">
        <f t="shared" si="2477"/>
        <v/>
      </c>
      <c r="AH2451" s="33"/>
    </row>
    <row r="2452" hidden="1" outlineLevel="3">
      <c r="A2452" s="16" t="b">
        <v>0</v>
      </c>
      <c r="B2452" s="17"/>
      <c r="C2452" s="18"/>
      <c r="D2452" s="42"/>
      <c r="E2452" s="20"/>
      <c r="F2452" s="53"/>
      <c r="G2452" s="45"/>
      <c r="H2452" s="45"/>
      <c r="I2452" s="45"/>
      <c r="J2452" s="36"/>
      <c r="K2452" s="23"/>
      <c r="L2452" s="36"/>
      <c r="M2452" s="23"/>
      <c r="N2452" s="23"/>
      <c r="O2452" s="24"/>
      <c r="P2452" s="16" t="b">
        <v>0</v>
      </c>
      <c r="Q2452" s="24"/>
      <c r="R2452" s="48" t="str">
        <f t="shared" si="2376"/>
        <v/>
      </c>
      <c r="S2452" s="26"/>
      <c r="T2452" s="49" t="str">
        <f t="shared" si="2104"/>
        <v/>
      </c>
      <c r="U2452" s="24"/>
      <c r="V2452" s="66" t="s">
        <v>176</v>
      </c>
      <c r="W2452" s="29" t="str">
        <f t="shared" si="2024"/>
        <v>/</v>
      </c>
      <c r="X2452" s="37" t="s">
        <v>1002</v>
      </c>
      <c r="Y2452" s="31"/>
      <c r="Z2452" s="26" t="str">
        <f t="shared" si="5"/>
        <v/>
      </c>
      <c r="AA2452" s="26" t="str">
        <f t="shared" si="6"/>
        <v/>
      </c>
      <c r="AB2452" s="32" t="str">
        <f t="shared" si="7"/>
        <v/>
      </c>
      <c r="AC2452" s="32" t="str">
        <f t="shared" ref="AC2452:AG2452" si="2478">IF(J2452&lt;&gt;"", IF(AND($P2452=FALSE, $A2452=FALSE), -J2452, IF(AND($P2452=FALSE, $A2452=TRUE), 0, IF($P2452=TRUE, (J2452 / $R2452) * 100 * ($S2452 / 100)-J2452, ))), )</f>
        <v/>
      </c>
      <c r="AD2452" s="32" t="str">
        <f t="shared" si="2478"/>
        <v/>
      </c>
      <c r="AE2452" s="32" t="str">
        <f t="shared" si="2478"/>
        <v/>
      </c>
      <c r="AF2452" s="32" t="str">
        <f t="shared" si="2478"/>
        <v/>
      </c>
      <c r="AG2452" s="32" t="str">
        <f t="shared" si="2478"/>
        <v/>
      </c>
      <c r="AH2452" s="33"/>
    </row>
    <row r="2453" hidden="1" outlineLevel="3">
      <c r="A2453" s="16" t="b">
        <v>0</v>
      </c>
      <c r="B2453" s="17"/>
      <c r="C2453" s="18"/>
      <c r="D2453" s="42"/>
      <c r="E2453" s="20"/>
      <c r="F2453" s="53"/>
      <c r="G2453" s="45"/>
      <c r="H2453" s="45"/>
      <c r="I2453" s="45"/>
      <c r="J2453" s="36"/>
      <c r="K2453" s="23"/>
      <c r="L2453" s="36"/>
      <c r="M2453" s="23"/>
      <c r="N2453" s="23"/>
      <c r="O2453" s="24"/>
      <c r="P2453" s="16" t="b">
        <v>0</v>
      </c>
      <c r="Q2453" s="24"/>
      <c r="R2453" s="48" t="str">
        <f t="shared" si="2376"/>
        <v/>
      </c>
      <c r="S2453" s="26"/>
      <c r="T2453" s="49" t="str">
        <f t="shared" si="2104"/>
        <v/>
      </c>
      <c r="U2453" s="24"/>
      <c r="V2453" s="66">
        <v>38.0</v>
      </c>
      <c r="W2453" s="29" t="str">
        <f t="shared" si="2024"/>
        <v>/</v>
      </c>
      <c r="X2453" s="37" t="s">
        <v>345</v>
      </c>
      <c r="Y2453" s="31"/>
      <c r="Z2453" s="26" t="str">
        <f t="shared" si="5"/>
        <v/>
      </c>
      <c r="AA2453" s="26" t="str">
        <f t="shared" si="6"/>
        <v/>
      </c>
      <c r="AB2453" s="32" t="str">
        <f t="shared" si="7"/>
        <v/>
      </c>
      <c r="AC2453" s="32" t="str">
        <f t="shared" ref="AC2453:AG2453" si="2479">IF(J2453&lt;&gt;"", IF(AND($P2453=FALSE, $A2453=FALSE), -J2453, IF(AND($P2453=FALSE, $A2453=TRUE), 0, IF($P2453=TRUE, (J2453 / $R2453) * 100 * ($S2453 / 100)-J2453, ))), )</f>
        <v/>
      </c>
      <c r="AD2453" s="32" t="str">
        <f t="shared" si="2479"/>
        <v/>
      </c>
      <c r="AE2453" s="32" t="str">
        <f t="shared" si="2479"/>
        <v/>
      </c>
      <c r="AF2453" s="32" t="str">
        <f t="shared" si="2479"/>
        <v/>
      </c>
      <c r="AG2453" s="32" t="str">
        <f t="shared" si="2479"/>
        <v/>
      </c>
      <c r="AH2453" s="33"/>
    </row>
    <row r="2454" hidden="1" outlineLevel="3">
      <c r="A2454" s="16" t="b">
        <v>0</v>
      </c>
      <c r="B2454" s="17"/>
      <c r="C2454" s="18"/>
      <c r="D2454" s="42"/>
      <c r="E2454" s="20"/>
      <c r="F2454" s="53"/>
      <c r="G2454" s="45"/>
      <c r="H2454" s="45"/>
      <c r="I2454" s="45"/>
      <c r="J2454" s="36"/>
      <c r="K2454" s="23"/>
      <c r="L2454" s="36"/>
      <c r="M2454" s="23"/>
      <c r="N2454" s="23"/>
      <c r="O2454" s="24"/>
      <c r="P2454" s="16" t="b">
        <v>0</v>
      </c>
      <c r="Q2454" s="24"/>
      <c r="R2454" s="48" t="str">
        <f t="shared" si="2376"/>
        <v/>
      </c>
      <c r="S2454" s="26"/>
      <c r="T2454" s="49" t="str">
        <f t="shared" si="2104"/>
        <v/>
      </c>
      <c r="U2454" s="24"/>
      <c r="V2454" s="75" t="s">
        <v>29</v>
      </c>
      <c r="W2454" s="29" t="str">
        <f t="shared" si="2024"/>
        <v>/</v>
      </c>
      <c r="X2454" s="37" t="s">
        <v>1532</v>
      </c>
      <c r="Y2454" s="31"/>
      <c r="Z2454" s="26" t="str">
        <f t="shared" si="5"/>
        <v/>
      </c>
      <c r="AA2454" s="26" t="str">
        <f t="shared" si="6"/>
        <v/>
      </c>
      <c r="AB2454" s="32" t="str">
        <f t="shared" si="7"/>
        <v/>
      </c>
      <c r="AC2454" s="32" t="str">
        <f t="shared" ref="AC2454:AG2454" si="2480">IF(J2454&lt;&gt;"", IF(AND($P2454=FALSE, $A2454=FALSE), -J2454, IF(AND($P2454=FALSE, $A2454=TRUE), 0, IF($P2454=TRUE, (J2454 / $R2454) * 100 * ($S2454 / 100)-J2454, ))), )</f>
        <v/>
      </c>
      <c r="AD2454" s="32" t="str">
        <f t="shared" si="2480"/>
        <v/>
      </c>
      <c r="AE2454" s="32" t="str">
        <f t="shared" si="2480"/>
        <v/>
      </c>
      <c r="AF2454" s="32" t="str">
        <f t="shared" si="2480"/>
        <v/>
      </c>
      <c r="AG2454" s="32" t="str">
        <f t="shared" si="2480"/>
        <v/>
      </c>
      <c r="AH2454" s="33"/>
    </row>
    <row r="2455" hidden="1" outlineLevel="3">
      <c r="A2455" s="16" t="b">
        <v>0</v>
      </c>
      <c r="B2455" s="17"/>
      <c r="C2455" s="18"/>
      <c r="D2455" s="42"/>
      <c r="E2455" s="20"/>
      <c r="F2455" s="53"/>
      <c r="G2455" s="45"/>
      <c r="H2455" s="45"/>
      <c r="I2455" s="45"/>
      <c r="J2455" s="36"/>
      <c r="K2455" s="23"/>
      <c r="L2455" s="36"/>
      <c r="M2455" s="23"/>
      <c r="N2455" s="23"/>
      <c r="O2455" s="24"/>
      <c r="P2455" s="16" t="b">
        <v>0</v>
      </c>
      <c r="Q2455" s="24"/>
      <c r="R2455" s="48" t="str">
        <f t="shared" si="2376"/>
        <v/>
      </c>
      <c r="S2455" s="26"/>
      <c r="T2455" s="49" t="str">
        <f t="shared" si="2104"/>
        <v/>
      </c>
      <c r="U2455" s="24"/>
      <c r="V2455" s="75" t="s">
        <v>29</v>
      </c>
      <c r="W2455" s="29" t="str">
        <f t="shared" si="2024"/>
        <v>/</v>
      </c>
      <c r="X2455" s="37" t="s">
        <v>1533</v>
      </c>
      <c r="Y2455" s="31"/>
      <c r="Z2455" s="26" t="str">
        <f t="shared" si="5"/>
        <v/>
      </c>
      <c r="AA2455" s="26" t="str">
        <f t="shared" si="6"/>
        <v/>
      </c>
      <c r="AB2455" s="32" t="str">
        <f t="shared" si="7"/>
        <v/>
      </c>
      <c r="AC2455" s="32" t="str">
        <f t="shared" ref="AC2455:AG2455" si="2481">IF(J2455&lt;&gt;"", IF(AND($P2455=FALSE, $A2455=FALSE), -J2455, IF(AND($P2455=FALSE, $A2455=TRUE), 0, IF($P2455=TRUE, (J2455 / $R2455) * 100 * ($S2455 / 100)-J2455, ))), )</f>
        <v/>
      </c>
      <c r="AD2455" s="32" t="str">
        <f t="shared" si="2481"/>
        <v/>
      </c>
      <c r="AE2455" s="32" t="str">
        <f t="shared" si="2481"/>
        <v/>
      </c>
      <c r="AF2455" s="32" t="str">
        <f t="shared" si="2481"/>
        <v/>
      </c>
      <c r="AG2455" s="32" t="str">
        <f t="shared" si="2481"/>
        <v/>
      </c>
      <c r="AH2455" s="33"/>
    </row>
    <row r="2456" hidden="1" outlineLevel="1" collapsed="1">
      <c r="A2456" s="16" t="b">
        <v>0</v>
      </c>
      <c r="B2456" s="17"/>
      <c r="C2456" s="18"/>
      <c r="D2456" s="42">
        <v>45547.0</v>
      </c>
      <c r="E2456" s="20" t="s">
        <v>24</v>
      </c>
      <c r="F2456" s="53" t="s">
        <v>1534</v>
      </c>
      <c r="G2456" s="45">
        <v>5.0</v>
      </c>
      <c r="H2456" s="45"/>
      <c r="I2456" s="45">
        <v>5.0</v>
      </c>
      <c r="J2456" s="36"/>
      <c r="K2456" s="23"/>
      <c r="L2456" s="36"/>
      <c r="M2456" s="23"/>
      <c r="N2456" s="23"/>
      <c r="O2456" s="24"/>
      <c r="P2456" s="16" t="b">
        <v>0</v>
      </c>
      <c r="Q2456" s="24"/>
      <c r="R2456" s="48">
        <f t="shared" si="2376"/>
        <v>10</v>
      </c>
      <c r="S2456" s="26">
        <v>9.61</v>
      </c>
      <c r="T2456" s="94">
        <v>-103.0</v>
      </c>
      <c r="U2456" s="24"/>
      <c r="V2456" s="28" t="str">
        <f>IF(ISBLANK($D2456), "0",)</f>
        <v/>
      </c>
      <c r="W2456" s="29" t="str">
        <f t="shared" si="2024"/>
        <v/>
      </c>
      <c r="X2456" s="30"/>
      <c r="Y2456" s="31"/>
      <c r="Z2456" s="26">
        <f t="shared" si="5"/>
        <v>-5</v>
      </c>
      <c r="AA2456" s="26">
        <f t="shared" si="6"/>
        <v>-5</v>
      </c>
      <c r="AB2456" s="32" t="str">
        <f t="shared" si="7"/>
        <v/>
      </c>
      <c r="AC2456" s="32" t="str">
        <f t="shared" ref="AC2456:AG2456" si="2482">IF(J2456&lt;&gt;"", IF(AND($P2456=FALSE, $A2456=FALSE), -J2456, IF(AND($P2456=FALSE, $A2456=TRUE), 0, IF($P2456=TRUE, (J2456 / $R2456) * 100 * ($S2456 / 100)-J2456, ))), )</f>
        <v/>
      </c>
      <c r="AD2456" s="32" t="str">
        <f t="shared" si="2482"/>
        <v/>
      </c>
      <c r="AE2456" s="32" t="str">
        <f t="shared" si="2482"/>
        <v/>
      </c>
      <c r="AF2456" s="32" t="str">
        <f t="shared" si="2482"/>
        <v/>
      </c>
      <c r="AG2456" s="32" t="str">
        <f t="shared" si="2482"/>
        <v/>
      </c>
      <c r="AH2456" s="33"/>
    </row>
    <row r="2457" hidden="1" outlineLevel="3">
      <c r="A2457" s="16" t="b">
        <v>0</v>
      </c>
      <c r="B2457" s="17"/>
      <c r="C2457" s="18"/>
      <c r="D2457" s="42"/>
      <c r="E2457" s="20"/>
      <c r="F2457" s="53"/>
      <c r="G2457" s="45"/>
      <c r="H2457" s="45"/>
      <c r="I2457" s="45"/>
      <c r="J2457" s="36"/>
      <c r="K2457" s="23"/>
      <c r="L2457" s="36"/>
      <c r="M2457" s="23"/>
      <c r="N2457" s="23"/>
      <c r="O2457" s="24"/>
      <c r="P2457" s="16" t="b">
        <v>0</v>
      </c>
      <c r="Q2457" s="24"/>
      <c r="R2457" s="48" t="str">
        <f t="shared" si="2376"/>
        <v/>
      </c>
      <c r="S2457" s="26"/>
      <c r="T2457" s="49" t="str">
        <f t="shared" ref="T2457:T2691" si="2484">IFERROR(IF((S2457-R2457)&gt;R2457,"+"&amp;ROUND(((S2457-R2457)/R2457)*100,0),ROUND((S2457/(R2457-S2457))*100+100, 0)),)</f>
        <v/>
      </c>
      <c r="U2457" s="24"/>
      <c r="V2457" s="66">
        <v>139.0</v>
      </c>
      <c r="W2457" s="29" t="str">
        <f t="shared" si="2024"/>
        <v>/</v>
      </c>
      <c r="X2457" s="37" t="s">
        <v>783</v>
      </c>
      <c r="Y2457" s="31"/>
      <c r="Z2457" s="26" t="str">
        <f t="shared" si="5"/>
        <v/>
      </c>
      <c r="AA2457" s="26" t="str">
        <f t="shared" si="6"/>
        <v/>
      </c>
      <c r="AB2457" s="32" t="str">
        <f t="shared" si="7"/>
        <v/>
      </c>
      <c r="AC2457" s="32" t="str">
        <f t="shared" ref="AC2457:AG2457" si="2483">IF(J2457&lt;&gt;"", IF(AND($P2457=FALSE, $A2457=FALSE), -J2457, IF(AND($P2457=FALSE, $A2457=TRUE), 0, IF($P2457=TRUE, (J2457 / $R2457) * 100 * ($S2457 / 100)-J2457, ))), )</f>
        <v/>
      </c>
      <c r="AD2457" s="32" t="str">
        <f t="shared" si="2483"/>
        <v/>
      </c>
      <c r="AE2457" s="32" t="str">
        <f t="shared" si="2483"/>
        <v/>
      </c>
      <c r="AF2457" s="32" t="str">
        <f t="shared" si="2483"/>
        <v/>
      </c>
      <c r="AG2457" s="32" t="str">
        <f t="shared" si="2483"/>
        <v/>
      </c>
      <c r="AH2457" s="33"/>
    </row>
    <row r="2458" hidden="1" outlineLevel="3">
      <c r="A2458" s="16" t="b">
        <v>0</v>
      </c>
      <c r="B2458" s="17"/>
      <c r="C2458" s="18"/>
      <c r="D2458" s="42"/>
      <c r="E2458" s="20"/>
      <c r="F2458" s="53"/>
      <c r="G2458" s="45"/>
      <c r="H2458" s="45"/>
      <c r="I2458" s="45"/>
      <c r="J2458" s="36"/>
      <c r="K2458" s="23"/>
      <c r="L2458" s="36"/>
      <c r="M2458" s="23"/>
      <c r="N2458" s="23"/>
      <c r="O2458" s="24"/>
      <c r="P2458" s="16" t="b">
        <v>0</v>
      </c>
      <c r="Q2458" s="24"/>
      <c r="R2458" s="48" t="str">
        <f t="shared" si="2376"/>
        <v/>
      </c>
      <c r="S2458" s="26"/>
      <c r="T2458" s="49" t="str">
        <f t="shared" si="2484"/>
        <v/>
      </c>
      <c r="U2458" s="24"/>
      <c r="V2458" s="66">
        <v>145.0</v>
      </c>
      <c r="W2458" s="29" t="str">
        <f t="shared" si="2024"/>
        <v>/</v>
      </c>
      <c r="X2458" s="37" t="s">
        <v>393</v>
      </c>
      <c r="Y2458" s="31"/>
      <c r="Z2458" s="26" t="str">
        <f t="shared" si="5"/>
        <v/>
      </c>
      <c r="AA2458" s="26" t="str">
        <f t="shared" si="6"/>
        <v/>
      </c>
      <c r="AB2458" s="32" t="str">
        <f t="shared" si="7"/>
        <v/>
      </c>
      <c r="AC2458" s="32" t="str">
        <f t="shared" ref="AC2458:AG2458" si="2485">IF(J2458&lt;&gt;"", IF(AND($P2458=FALSE, $A2458=FALSE), -J2458, IF(AND($P2458=FALSE, $A2458=TRUE), 0, IF($P2458=TRUE, (J2458 / $R2458) * 100 * ($S2458 / 100)-J2458, ))), )</f>
        <v/>
      </c>
      <c r="AD2458" s="32" t="str">
        <f t="shared" si="2485"/>
        <v/>
      </c>
      <c r="AE2458" s="32" t="str">
        <f t="shared" si="2485"/>
        <v/>
      </c>
      <c r="AF2458" s="32" t="str">
        <f t="shared" si="2485"/>
        <v/>
      </c>
      <c r="AG2458" s="32" t="str">
        <f t="shared" si="2485"/>
        <v/>
      </c>
      <c r="AH2458" s="33"/>
    </row>
    <row r="2459" hidden="1" outlineLevel="2" collapsed="1">
      <c r="A2459" s="16" t="b">
        <v>0</v>
      </c>
      <c r="B2459" s="17"/>
      <c r="C2459" s="18"/>
      <c r="D2459" s="42">
        <v>45547.0</v>
      </c>
      <c r="E2459" s="20" t="s">
        <v>24</v>
      </c>
      <c r="F2459" s="53" t="s">
        <v>1534</v>
      </c>
      <c r="G2459" s="45">
        <v>1.0</v>
      </c>
      <c r="H2459" s="45"/>
      <c r="I2459" s="45">
        <v>3.55</v>
      </c>
      <c r="J2459" s="36"/>
      <c r="K2459" s="23"/>
      <c r="L2459" s="36"/>
      <c r="M2459" s="23"/>
      <c r="N2459" s="23"/>
      <c r="O2459" s="24"/>
      <c r="P2459" s="16" t="b">
        <v>0</v>
      </c>
      <c r="Q2459" s="24"/>
      <c r="R2459" s="48">
        <f t="shared" si="2376"/>
        <v>4.55</v>
      </c>
      <c r="S2459" s="26">
        <v>104.65</v>
      </c>
      <c r="T2459" s="49" t="str">
        <f t="shared" si="2484"/>
        <v>+2200</v>
      </c>
      <c r="U2459" s="24"/>
      <c r="V2459" s="28" t="str">
        <f>IF(ISBLANK($D2459), "0",)</f>
        <v/>
      </c>
      <c r="W2459" s="29" t="str">
        <f t="shared" si="2024"/>
        <v/>
      </c>
      <c r="X2459" s="30"/>
      <c r="Y2459" s="31"/>
      <c r="Z2459" s="26">
        <f t="shared" si="5"/>
        <v>-1</v>
      </c>
      <c r="AA2459" s="26">
        <f t="shared" si="6"/>
        <v>-3.55</v>
      </c>
      <c r="AB2459" s="32" t="str">
        <f t="shared" si="7"/>
        <v/>
      </c>
      <c r="AC2459" s="32" t="str">
        <f t="shared" ref="AC2459:AG2459" si="2486">IF(J2459&lt;&gt;"", IF(AND($P2459=FALSE, $A2459=FALSE), -J2459, IF(AND($P2459=FALSE, $A2459=TRUE), 0, IF($P2459=TRUE, (J2459 / $R2459) * 100 * ($S2459 / 100)-J2459, ))), )</f>
        <v/>
      </c>
      <c r="AD2459" s="32" t="str">
        <f t="shared" si="2486"/>
        <v/>
      </c>
      <c r="AE2459" s="32" t="str">
        <f t="shared" si="2486"/>
        <v/>
      </c>
      <c r="AF2459" s="32" t="str">
        <f t="shared" si="2486"/>
        <v/>
      </c>
      <c r="AG2459" s="32" t="str">
        <f t="shared" si="2486"/>
        <v/>
      </c>
      <c r="AH2459" s="33"/>
    </row>
    <row r="2460" hidden="1" outlineLevel="3">
      <c r="A2460" s="16" t="b">
        <v>0</v>
      </c>
      <c r="B2460" s="17"/>
      <c r="C2460" s="18"/>
      <c r="D2460" s="42"/>
      <c r="E2460" s="20"/>
      <c r="F2460" s="53"/>
      <c r="G2460" s="45"/>
      <c r="H2460" s="45"/>
      <c r="I2460" s="45"/>
      <c r="J2460" s="36"/>
      <c r="K2460" s="23"/>
      <c r="L2460" s="36"/>
      <c r="M2460" s="23"/>
      <c r="N2460" s="23"/>
      <c r="O2460" s="24"/>
      <c r="P2460" s="16" t="b">
        <v>0</v>
      </c>
      <c r="Q2460" s="24"/>
      <c r="R2460" s="48" t="str">
        <f t="shared" si="2376"/>
        <v/>
      </c>
      <c r="S2460" s="26"/>
      <c r="T2460" s="49" t="str">
        <f t="shared" si="2484"/>
        <v/>
      </c>
      <c r="U2460" s="24"/>
      <c r="V2460" s="75" t="s">
        <v>29</v>
      </c>
      <c r="W2460" s="29" t="str">
        <f t="shared" si="2024"/>
        <v>/</v>
      </c>
      <c r="X2460" s="37" t="s">
        <v>1535</v>
      </c>
      <c r="Y2460" s="31"/>
      <c r="Z2460" s="26" t="str">
        <f t="shared" si="5"/>
        <v/>
      </c>
      <c r="AA2460" s="26" t="str">
        <f t="shared" si="6"/>
        <v/>
      </c>
      <c r="AB2460" s="32" t="str">
        <f t="shared" si="7"/>
        <v/>
      </c>
      <c r="AC2460" s="32" t="str">
        <f t="shared" ref="AC2460:AG2460" si="2487">IF(J2460&lt;&gt;"", IF(AND($P2460=FALSE, $A2460=FALSE), -J2460, IF(AND($P2460=FALSE, $A2460=TRUE), 0, IF($P2460=TRUE, (J2460 / $R2460) * 100 * ($S2460 / 100)-J2460, ))), )</f>
        <v/>
      </c>
      <c r="AD2460" s="32" t="str">
        <f t="shared" si="2487"/>
        <v/>
      </c>
      <c r="AE2460" s="32" t="str">
        <f t="shared" si="2487"/>
        <v/>
      </c>
      <c r="AF2460" s="32" t="str">
        <f t="shared" si="2487"/>
        <v/>
      </c>
      <c r="AG2460" s="32" t="str">
        <f t="shared" si="2487"/>
        <v/>
      </c>
      <c r="AH2460" s="33"/>
    </row>
    <row r="2461" hidden="1" outlineLevel="3">
      <c r="A2461" s="16" t="b">
        <v>0</v>
      </c>
      <c r="B2461" s="17"/>
      <c r="C2461" s="18"/>
      <c r="D2461" s="42"/>
      <c r="E2461" s="20"/>
      <c r="F2461" s="53"/>
      <c r="G2461" s="45"/>
      <c r="H2461" s="45"/>
      <c r="I2461" s="45"/>
      <c r="J2461" s="36"/>
      <c r="K2461" s="23"/>
      <c r="L2461" s="36"/>
      <c r="M2461" s="23"/>
      <c r="N2461" s="23"/>
      <c r="O2461" s="24"/>
      <c r="P2461" s="16" t="b">
        <v>0</v>
      </c>
      <c r="Q2461" s="24"/>
      <c r="R2461" s="48" t="str">
        <f t="shared" si="2376"/>
        <v/>
      </c>
      <c r="S2461" s="26"/>
      <c r="T2461" s="49" t="str">
        <f t="shared" si="2484"/>
        <v/>
      </c>
      <c r="U2461" s="24"/>
      <c r="V2461" s="75" t="s">
        <v>29</v>
      </c>
      <c r="W2461" s="29" t="str">
        <f t="shared" si="2024"/>
        <v>/</v>
      </c>
      <c r="X2461" s="37" t="s">
        <v>1536</v>
      </c>
      <c r="Y2461" s="31"/>
      <c r="Z2461" s="26" t="str">
        <f t="shared" si="5"/>
        <v/>
      </c>
      <c r="AA2461" s="26" t="str">
        <f t="shared" si="6"/>
        <v/>
      </c>
      <c r="AB2461" s="32" t="str">
        <f t="shared" si="7"/>
        <v/>
      </c>
      <c r="AC2461" s="32" t="str">
        <f t="shared" ref="AC2461:AG2461" si="2488">IF(J2461&lt;&gt;"", IF(AND($P2461=FALSE, $A2461=FALSE), -J2461, IF(AND($P2461=FALSE, $A2461=TRUE), 0, IF($P2461=TRUE, (J2461 / $R2461) * 100 * ($S2461 / 100)-J2461, ))), )</f>
        <v/>
      </c>
      <c r="AD2461" s="32" t="str">
        <f t="shared" si="2488"/>
        <v/>
      </c>
      <c r="AE2461" s="32" t="str">
        <f t="shared" si="2488"/>
        <v/>
      </c>
      <c r="AF2461" s="32" t="str">
        <f t="shared" si="2488"/>
        <v/>
      </c>
      <c r="AG2461" s="32" t="str">
        <f t="shared" si="2488"/>
        <v/>
      </c>
      <c r="AH2461" s="33"/>
    </row>
    <row r="2462" hidden="1" outlineLevel="3">
      <c r="A2462" s="16" t="b">
        <v>0</v>
      </c>
      <c r="B2462" s="17"/>
      <c r="C2462" s="18"/>
      <c r="D2462" s="42"/>
      <c r="E2462" s="20"/>
      <c r="F2462" s="53"/>
      <c r="G2462" s="45"/>
      <c r="H2462" s="45"/>
      <c r="I2462" s="45"/>
      <c r="J2462" s="36"/>
      <c r="K2462" s="23"/>
      <c r="L2462" s="36"/>
      <c r="M2462" s="23"/>
      <c r="N2462" s="23"/>
      <c r="O2462" s="24"/>
      <c r="P2462" s="16" t="b">
        <v>0</v>
      </c>
      <c r="Q2462" s="24"/>
      <c r="R2462" s="48" t="str">
        <f t="shared" si="2376"/>
        <v/>
      </c>
      <c r="S2462" s="26"/>
      <c r="T2462" s="49" t="str">
        <f t="shared" si="2484"/>
        <v/>
      </c>
      <c r="U2462" s="24"/>
      <c r="V2462" s="28" t="str">
        <f t="shared" ref="V2462:V2463" si="2490">IF(ISBLANK($D2462), "0",)</f>
        <v>0</v>
      </c>
      <c r="W2462" s="29" t="str">
        <f t="shared" si="2024"/>
        <v>/</v>
      </c>
      <c r="X2462" s="37" t="s">
        <v>1537</v>
      </c>
      <c r="Y2462" s="31"/>
      <c r="Z2462" s="26" t="str">
        <f t="shared" si="5"/>
        <v/>
      </c>
      <c r="AA2462" s="26" t="str">
        <f t="shared" si="6"/>
        <v/>
      </c>
      <c r="AB2462" s="32" t="str">
        <f t="shared" si="7"/>
        <v/>
      </c>
      <c r="AC2462" s="32" t="str">
        <f t="shared" ref="AC2462:AG2462" si="2489">IF(J2462&lt;&gt;"", IF(AND($P2462=FALSE, $A2462=FALSE), -J2462, IF(AND($P2462=FALSE, $A2462=TRUE), 0, IF($P2462=TRUE, (J2462 / $R2462) * 100 * ($S2462 / 100)-J2462, ))), )</f>
        <v/>
      </c>
      <c r="AD2462" s="32" t="str">
        <f t="shared" si="2489"/>
        <v/>
      </c>
      <c r="AE2462" s="32" t="str">
        <f t="shared" si="2489"/>
        <v/>
      </c>
      <c r="AF2462" s="32" t="str">
        <f t="shared" si="2489"/>
        <v/>
      </c>
      <c r="AG2462" s="32" t="str">
        <f t="shared" si="2489"/>
        <v/>
      </c>
      <c r="AH2462" s="33"/>
    </row>
    <row r="2463" hidden="1" outlineLevel="3">
      <c r="A2463" s="16" t="b">
        <v>0</v>
      </c>
      <c r="B2463" s="17"/>
      <c r="C2463" s="18"/>
      <c r="D2463" s="42"/>
      <c r="E2463" s="20"/>
      <c r="F2463" s="53"/>
      <c r="G2463" s="45"/>
      <c r="H2463" s="45"/>
      <c r="I2463" s="45"/>
      <c r="J2463" s="36"/>
      <c r="K2463" s="23"/>
      <c r="L2463" s="36"/>
      <c r="M2463" s="23"/>
      <c r="N2463" s="23"/>
      <c r="O2463" s="24"/>
      <c r="P2463" s="16" t="b">
        <v>0</v>
      </c>
      <c r="Q2463" s="24"/>
      <c r="R2463" s="48" t="str">
        <f t="shared" si="2376"/>
        <v/>
      </c>
      <c r="S2463" s="26"/>
      <c r="T2463" s="49" t="str">
        <f t="shared" si="2484"/>
        <v/>
      </c>
      <c r="U2463" s="24"/>
      <c r="V2463" s="28" t="str">
        <f t="shared" si="2490"/>
        <v>0</v>
      </c>
      <c r="W2463" s="29" t="str">
        <f t="shared" si="2024"/>
        <v>/</v>
      </c>
      <c r="X2463" s="37" t="s">
        <v>1538</v>
      </c>
      <c r="Y2463" s="31"/>
      <c r="Z2463" s="26" t="str">
        <f t="shared" si="5"/>
        <v/>
      </c>
      <c r="AA2463" s="26" t="str">
        <f t="shared" si="6"/>
        <v/>
      </c>
      <c r="AB2463" s="32" t="str">
        <f t="shared" si="7"/>
        <v/>
      </c>
      <c r="AC2463" s="32" t="str">
        <f t="shared" ref="AC2463:AG2463" si="2491">IF(J2463&lt;&gt;"", IF(AND($P2463=FALSE, $A2463=FALSE), -J2463, IF(AND($P2463=FALSE, $A2463=TRUE), 0, IF($P2463=TRUE, (J2463 / $R2463) * 100 * ($S2463 / 100)-J2463, ))), )</f>
        <v/>
      </c>
      <c r="AD2463" s="32" t="str">
        <f t="shared" si="2491"/>
        <v/>
      </c>
      <c r="AE2463" s="32" t="str">
        <f t="shared" si="2491"/>
        <v/>
      </c>
      <c r="AF2463" s="32" t="str">
        <f t="shared" si="2491"/>
        <v/>
      </c>
      <c r="AG2463" s="32" t="str">
        <f t="shared" si="2491"/>
        <v/>
      </c>
      <c r="AH2463" s="33"/>
    </row>
    <row r="2464" hidden="1" outlineLevel="3">
      <c r="A2464" s="16" t="b">
        <v>0</v>
      </c>
      <c r="B2464" s="17"/>
      <c r="C2464" s="18"/>
      <c r="D2464" s="42"/>
      <c r="E2464" s="20"/>
      <c r="F2464" s="53"/>
      <c r="G2464" s="45"/>
      <c r="H2464" s="45"/>
      <c r="I2464" s="45"/>
      <c r="J2464" s="36"/>
      <c r="K2464" s="23"/>
      <c r="L2464" s="36"/>
      <c r="M2464" s="23"/>
      <c r="N2464" s="23"/>
      <c r="O2464" s="24"/>
      <c r="P2464" s="16" t="b">
        <v>0</v>
      </c>
      <c r="Q2464" s="24"/>
      <c r="R2464" s="48" t="str">
        <f t="shared" si="2376"/>
        <v/>
      </c>
      <c r="S2464" s="26"/>
      <c r="T2464" s="49" t="str">
        <f t="shared" si="2484"/>
        <v/>
      </c>
      <c r="U2464" s="24"/>
      <c r="V2464" s="75" t="s">
        <v>29</v>
      </c>
      <c r="W2464" s="29" t="str">
        <f t="shared" si="2024"/>
        <v>/</v>
      </c>
      <c r="X2464" s="37" t="s">
        <v>1539</v>
      </c>
      <c r="Y2464" s="31"/>
      <c r="Z2464" s="26" t="str">
        <f t="shared" si="5"/>
        <v/>
      </c>
      <c r="AA2464" s="26" t="str">
        <f t="shared" si="6"/>
        <v/>
      </c>
      <c r="AB2464" s="32" t="str">
        <f t="shared" si="7"/>
        <v/>
      </c>
      <c r="AC2464" s="32" t="str">
        <f t="shared" ref="AC2464:AG2464" si="2492">IF(J2464&lt;&gt;"", IF(AND($P2464=FALSE, $A2464=FALSE), -J2464, IF(AND($P2464=FALSE, $A2464=TRUE), 0, IF($P2464=TRUE, (J2464 / $R2464) * 100 * ($S2464 / 100)-J2464, ))), )</f>
        <v/>
      </c>
      <c r="AD2464" s="32" t="str">
        <f t="shared" si="2492"/>
        <v/>
      </c>
      <c r="AE2464" s="32" t="str">
        <f t="shared" si="2492"/>
        <v/>
      </c>
      <c r="AF2464" s="32" t="str">
        <f t="shared" si="2492"/>
        <v/>
      </c>
      <c r="AG2464" s="32" t="str">
        <f t="shared" si="2492"/>
        <v/>
      </c>
      <c r="AH2464" s="33"/>
    </row>
    <row r="2465" hidden="1" outlineLevel="3">
      <c r="A2465" s="16" t="b">
        <v>0</v>
      </c>
      <c r="B2465" s="17"/>
      <c r="C2465" s="18"/>
      <c r="D2465" s="42"/>
      <c r="E2465" s="20"/>
      <c r="F2465" s="53"/>
      <c r="G2465" s="45"/>
      <c r="H2465" s="45"/>
      <c r="I2465" s="45"/>
      <c r="J2465" s="36"/>
      <c r="K2465" s="23"/>
      <c r="L2465" s="36"/>
      <c r="M2465" s="23"/>
      <c r="N2465" s="23"/>
      <c r="O2465" s="24"/>
      <c r="P2465" s="16" t="b">
        <v>0</v>
      </c>
      <c r="Q2465" s="24"/>
      <c r="R2465" s="48" t="str">
        <f t="shared" si="2376"/>
        <v/>
      </c>
      <c r="S2465" s="26"/>
      <c r="T2465" s="49" t="str">
        <f t="shared" si="2484"/>
        <v/>
      </c>
      <c r="U2465" s="24"/>
      <c r="V2465" s="66" t="s">
        <v>29</v>
      </c>
      <c r="W2465" s="29" t="str">
        <f t="shared" si="2024"/>
        <v>/</v>
      </c>
      <c r="X2465" s="37" t="s">
        <v>1540</v>
      </c>
      <c r="Y2465" s="31"/>
      <c r="Z2465" s="26" t="str">
        <f t="shared" si="5"/>
        <v/>
      </c>
      <c r="AA2465" s="26" t="str">
        <f t="shared" si="6"/>
        <v/>
      </c>
      <c r="AB2465" s="32" t="str">
        <f t="shared" si="7"/>
        <v/>
      </c>
      <c r="AC2465" s="32" t="str">
        <f t="shared" ref="AC2465:AG2465" si="2493">IF(J2465&lt;&gt;"", IF(AND($P2465=FALSE, $A2465=FALSE), -J2465, IF(AND($P2465=FALSE, $A2465=TRUE), 0, IF($P2465=TRUE, (J2465 / $R2465) * 100 * ($S2465 / 100)-J2465, ))), )</f>
        <v/>
      </c>
      <c r="AD2465" s="32" t="str">
        <f t="shared" si="2493"/>
        <v/>
      </c>
      <c r="AE2465" s="32" t="str">
        <f t="shared" si="2493"/>
        <v/>
      </c>
      <c r="AF2465" s="32" t="str">
        <f t="shared" si="2493"/>
        <v/>
      </c>
      <c r="AG2465" s="32" t="str">
        <f t="shared" si="2493"/>
        <v/>
      </c>
      <c r="AH2465" s="33"/>
    </row>
    <row r="2466" hidden="1" outlineLevel="3">
      <c r="A2466" s="16" t="b">
        <v>0</v>
      </c>
      <c r="B2466" s="17"/>
      <c r="C2466" s="18"/>
      <c r="D2466" s="42"/>
      <c r="E2466" s="20"/>
      <c r="F2466" s="53"/>
      <c r="G2466" s="45"/>
      <c r="H2466" s="45"/>
      <c r="I2466" s="45"/>
      <c r="J2466" s="36"/>
      <c r="K2466" s="23"/>
      <c r="L2466" s="36"/>
      <c r="M2466" s="23"/>
      <c r="N2466" s="23"/>
      <c r="O2466" s="24"/>
      <c r="P2466" s="16" t="b">
        <v>0</v>
      </c>
      <c r="Q2466" s="24"/>
      <c r="R2466" s="48" t="str">
        <f t="shared" si="2376"/>
        <v/>
      </c>
      <c r="S2466" s="26"/>
      <c r="T2466" s="49" t="str">
        <f t="shared" si="2484"/>
        <v/>
      </c>
      <c r="U2466" s="24"/>
      <c r="V2466" s="75" t="s">
        <v>29</v>
      </c>
      <c r="W2466" s="29" t="str">
        <f t="shared" si="2024"/>
        <v>/</v>
      </c>
      <c r="X2466" s="37" t="s">
        <v>1541</v>
      </c>
      <c r="Y2466" s="31"/>
      <c r="Z2466" s="26" t="str">
        <f t="shared" si="5"/>
        <v/>
      </c>
      <c r="AA2466" s="26" t="str">
        <f t="shared" si="6"/>
        <v/>
      </c>
      <c r="AB2466" s="32" t="str">
        <f t="shared" si="7"/>
        <v/>
      </c>
      <c r="AC2466" s="32" t="str">
        <f t="shared" ref="AC2466:AG2466" si="2494">IF(J2466&lt;&gt;"", IF(AND($P2466=FALSE, $A2466=FALSE), -J2466, IF(AND($P2466=FALSE, $A2466=TRUE), 0, IF($P2466=TRUE, (J2466 / $R2466) * 100 * ($S2466 / 100)-J2466, ))), )</f>
        <v/>
      </c>
      <c r="AD2466" s="32" t="str">
        <f t="shared" si="2494"/>
        <v/>
      </c>
      <c r="AE2466" s="32" t="str">
        <f t="shared" si="2494"/>
        <v/>
      </c>
      <c r="AF2466" s="32" t="str">
        <f t="shared" si="2494"/>
        <v/>
      </c>
      <c r="AG2466" s="32" t="str">
        <f t="shared" si="2494"/>
        <v/>
      </c>
      <c r="AH2466" s="33"/>
    </row>
    <row r="2467" hidden="1" outlineLevel="3">
      <c r="A2467" s="16" t="b">
        <v>0</v>
      </c>
      <c r="B2467" s="17"/>
      <c r="C2467" s="18"/>
      <c r="D2467" s="42"/>
      <c r="E2467" s="20"/>
      <c r="F2467" s="53"/>
      <c r="G2467" s="45"/>
      <c r="H2467" s="45"/>
      <c r="I2467" s="45"/>
      <c r="J2467" s="36"/>
      <c r="K2467" s="23"/>
      <c r="L2467" s="36"/>
      <c r="M2467" s="23"/>
      <c r="N2467" s="23"/>
      <c r="O2467" s="24"/>
      <c r="P2467" s="16" t="b">
        <v>0</v>
      </c>
      <c r="Q2467" s="24"/>
      <c r="R2467" s="48" t="str">
        <f t="shared" si="2376"/>
        <v/>
      </c>
      <c r="S2467" s="26"/>
      <c r="T2467" s="49" t="str">
        <f t="shared" si="2484"/>
        <v/>
      </c>
      <c r="U2467" s="24"/>
      <c r="V2467" s="28" t="str">
        <f t="shared" ref="V2467:V2468" si="2496">IF(ISBLANK($D2467), "0",)</f>
        <v>0</v>
      </c>
      <c r="W2467" s="29" t="str">
        <f t="shared" si="2024"/>
        <v>/</v>
      </c>
      <c r="X2467" s="37" t="s">
        <v>1542</v>
      </c>
      <c r="Y2467" s="31"/>
      <c r="Z2467" s="26" t="str">
        <f t="shared" si="5"/>
        <v/>
      </c>
      <c r="AA2467" s="26" t="str">
        <f t="shared" si="6"/>
        <v/>
      </c>
      <c r="AB2467" s="32" t="str">
        <f t="shared" si="7"/>
        <v/>
      </c>
      <c r="AC2467" s="32" t="str">
        <f t="shared" ref="AC2467:AG2467" si="2495">IF(J2467&lt;&gt;"", IF(AND($P2467=FALSE, $A2467=FALSE), -J2467, IF(AND($P2467=FALSE, $A2467=TRUE), 0, IF($P2467=TRUE, (J2467 / $R2467) * 100 * ($S2467 / 100)-J2467, ))), )</f>
        <v/>
      </c>
      <c r="AD2467" s="32" t="str">
        <f t="shared" si="2495"/>
        <v/>
      </c>
      <c r="AE2467" s="32" t="str">
        <f t="shared" si="2495"/>
        <v/>
      </c>
      <c r="AF2467" s="32" t="str">
        <f t="shared" si="2495"/>
        <v/>
      </c>
      <c r="AG2467" s="32" t="str">
        <f t="shared" si="2495"/>
        <v/>
      </c>
      <c r="AH2467" s="33"/>
    </row>
    <row r="2468" hidden="1" outlineLevel="2" collapsed="1">
      <c r="A2468" s="16" t="b">
        <v>0</v>
      </c>
      <c r="B2468" s="17"/>
      <c r="C2468" s="18"/>
      <c r="D2468" s="42">
        <v>45547.0</v>
      </c>
      <c r="E2468" s="20" t="s">
        <v>24</v>
      </c>
      <c r="F2468" s="53" t="s">
        <v>1534</v>
      </c>
      <c r="G2468" s="45">
        <v>3.0</v>
      </c>
      <c r="H2468" s="45"/>
      <c r="I2468" s="45">
        <v>12.0</v>
      </c>
      <c r="J2468" s="36"/>
      <c r="K2468" s="23"/>
      <c r="L2468" s="36"/>
      <c r="M2468" s="23"/>
      <c r="N2468" s="23"/>
      <c r="O2468" s="24"/>
      <c r="P2468" s="16" t="b">
        <v>0</v>
      </c>
      <c r="Q2468" s="24"/>
      <c r="R2468" s="48">
        <f t="shared" si="2376"/>
        <v>15</v>
      </c>
      <c r="S2468" s="26">
        <v>37.5</v>
      </c>
      <c r="T2468" s="49" t="str">
        <f t="shared" si="2484"/>
        <v>+150</v>
      </c>
      <c r="U2468" s="24"/>
      <c r="V2468" s="28" t="str">
        <f t="shared" si="2496"/>
        <v/>
      </c>
      <c r="W2468" s="29" t="str">
        <f t="shared" si="2024"/>
        <v/>
      </c>
      <c r="X2468" s="30"/>
      <c r="Y2468" s="31"/>
      <c r="Z2468" s="26">
        <f t="shared" si="5"/>
        <v>-3</v>
      </c>
      <c r="AA2468" s="26">
        <f t="shared" si="6"/>
        <v>-12</v>
      </c>
      <c r="AB2468" s="32" t="str">
        <f t="shared" si="7"/>
        <v/>
      </c>
      <c r="AC2468" s="32" t="str">
        <f t="shared" ref="AC2468:AG2468" si="2497">IF(J2468&lt;&gt;"", IF(AND($P2468=FALSE, $A2468=FALSE), -J2468, IF(AND($P2468=FALSE, $A2468=TRUE), 0, IF($P2468=TRUE, (J2468 / $R2468) * 100 * ($S2468 / 100)-J2468, ))), )</f>
        <v/>
      </c>
      <c r="AD2468" s="32" t="str">
        <f t="shared" si="2497"/>
        <v/>
      </c>
      <c r="AE2468" s="32" t="str">
        <f t="shared" si="2497"/>
        <v/>
      </c>
      <c r="AF2468" s="32" t="str">
        <f t="shared" si="2497"/>
        <v/>
      </c>
      <c r="AG2468" s="32" t="str">
        <f t="shared" si="2497"/>
        <v/>
      </c>
      <c r="AH2468" s="33"/>
    </row>
    <row r="2469" hidden="1" outlineLevel="3">
      <c r="A2469" s="16" t="b">
        <v>0</v>
      </c>
      <c r="B2469" s="17"/>
      <c r="C2469" s="18"/>
      <c r="D2469" s="42"/>
      <c r="E2469" s="20"/>
      <c r="F2469" s="53"/>
      <c r="G2469" s="45"/>
      <c r="H2469" s="45"/>
      <c r="I2469" s="45"/>
      <c r="J2469" s="36"/>
      <c r="K2469" s="23"/>
      <c r="L2469" s="36"/>
      <c r="M2469" s="23"/>
      <c r="N2469" s="23"/>
      <c r="O2469" s="24"/>
      <c r="P2469" s="16" t="b">
        <v>0</v>
      </c>
      <c r="Q2469" s="24"/>
      <c r="R2469" s="48" t="str">
        <f t="shared" si="2376"/>
        <v/>
      </c>
      <c r="S2469" s="26"/>
      <c r="T2469" s="49" t="str">
        <f t="shared" si="2484"/>
        <v/>
      </c>
      <c r="U2469" s="24"/>
      <c r="V2469" s="66" t="s">
        <v>29</v>
      </c>
      <c r="W2469" s="29" t="str">
        <f t="shared" si="2024"/>
        <v>/</v>
      </c>
      <c r="X2469" s="37" t="s">
        <v>1543</v>
      </c>
      <c r="Y2469" s="31"/>
      <c r="Z2469" s="26" t="str">
        <f t="shared" si="5"/>
        <v/>
      </c>
      <c r="AA2469" s="26" t="str">
        <f t="shared" si="6"/>
        <v/>
      </c>
      <c r="AB2469" s="32" t="str">
        <f t="shared" si="7"/>
        <v/>
      </c>
      <c r="AC2469" s="32" t="str">
        <f t="shared" ref="AC2469:AG2469" si="2498">IF(J2469&lt;&gt;"", IF(AND($P2469=FALSE, $A2469=FALSE), -J2469, IF(AND($P2469=FALSE, $A2469=TRUE), 0, IF($P2469=TRUE, (J2469 / $R2469) * 100 * ($S2469 / 100)-J2469, ))), )</f>
        <v/>
      </c>
      <c r="AD2469" s="32" t="str">
        <f t="shared" si="2498"/>
        <v/>
      </c>
      <c r="AE2469" s="32" t="str">
        <f t="shared" si="2498"/>
        <v/>
      </c>
      <c r="AF2469" s="32" t="str">
        <f t="shared" si="2498"/>
        <v/>
      </c>
      <c r="AG2469" s="32" t="str">
        <f t="shared" si="2498"/>
        <v/>
      </c>
      <c r="AH2469" s="33"/>
    </row>
    <row r="2470" hidden="1" outlineLevel="3">
      <c r="A2470" s="16" t="b">
        <v>0</v>
      </c>
      <c r="B2470" s="17"/>
      <c r="C2470" s="18"/>
      <c r="D2470" s="42"/>
      <c r="E2470" s="20"/>
      <c r="F2470" s="53"/>
      <c r="G2470" s="45"/>
      <c r="H2470" s="45"/>
      <c r="I2470" s="45"/>
      <c r="J2470" s="36"/>
      <c r="K2470" s="23"/>
      <c r="L2470" s="36"/>
      <c r="M2470" s="23"/>
      <c r="N2470" s="23"/>
      <c r="O2470" s="24"/>
      <c r="P2470" s="16" t="b">
        <v>0</v>
      </c>
      <c r="Q2470" s="24"/>
      <c r="R2470" s="48" t="str">
        <f t="shared" si="2376"/>
        <v/>
      </c>
      <c r="S2470" s="26"/>
      <c r="T2470" s="49" t="str">
        <f t="shared" si="2484"/>
        <v/>
      </c>
      <c r="U2470" s="24"/>
      <c r="V2470" s="28">
        <f>78-61</f>
        <v>17</v>
      </c>
      <c r="W2470" s="29" t="str">
        <f t="shared" si="2024"/>
        <v>/</v>
      </c>
      <c r="X2470" s="37" t="s">
        <v>1544</v>
      </c>
      <c r="Y2470" s="31"/>
      <c r="Z2470" s="26" t="str">
        <f t="shared" si="5"/>
        <v/>
      </c>
      <c r="AA2470" s="26" t="str">
        <f t="shared" si="6"/>
        <v/>
      </c>
      <c r="AB2470" s="32" t="str">
        <f t="shared" si="7"/>
        <v/>
      </c>
      <c r="AC2470" s="32" t="str">
        <f t="shared" ref="AC2470:AG2470" si="2499">IF(J2470&lt;&gt;"", IF(AND($P2470=FALSE, $A2470=FALSE), -J2470, IF(AND($P2470=FALSE, $A2470=TRUE), 0, IF($P2470=TRUE, (J2470 / $R2470) * 100 * ($S2470 / 100)-J2470, ))), )</f>
        <v/>
      </c>
      <c r="AD2470" s="32" t="str">
        <f t="shared" si="2499"/>
        <v/>
      </c>
      <c r="AE2470" s="32" t="str">
        <f t="shared" si="2499"/>
        <v/>
      </c>
      <c r="AF2470" s="32" t="str">
        <f t="shared" si="2499"/>
        <v/>
      </c>
      <c r="AG2470" s="32" t="str">
        <f t="shared" si="2499"/>
        <v/>
      </c>
      <c r="AH2470" s="33"/>
    </row>
    <row r="2471" hidden="1" outlineLevel="2" collapsed="1">
      <c r="A2471" s="16" t="b">
        <v>0</v>
      </c>
      <c r="B2471" s="17"/>
      <c r="C2471" s="18"/>
      <c r="D2471" s="42">
        <v>45547.0</v>
      </c>
      <c r="E2471" s="20" t="s">
        <v>24</v>
      </c>
      <c r="F2471" s="53" t="s">
        <v>1534</v>
      </c>
      <c r="G2471" s="45">
        <v>3.0</v>
      </c>
      <c r="H2471" s="45"/>
      <c r="I2471" s="45"/>
      <c r="J2471" s="36"/>
      <c r="K2471" s="23"/>
      <c r="L2471" s="36"/>
      <c r="M2471" s="23"/>
      <c r="N2471" s="23"/>
      <c r="O2471" s="24"/>
      <c r="P2471" s="16" t="b">
        <v>1</v>
      </c>
      <c r="Q2471" s="24"/>
      <c r="R2471" s="48">
        <f t="shared" si="2376"/>
        <v>3</v>
      </c>
      <c r="S2471" s="26">
        <v>5.63</v>
      </c>
      <c r="T2471" s="49">
        <f t="shared" si="2484"/>
        <v>-114</v>
      </c>
      <c r="U2471" s="24"/>
      <c r="V2471" s="28" t="str">
        <f>IF(ISBLANK($D2471), "0",)</f>
        <v/>
      </c>
      <c r="W2471" s="29" t="str">
        <f t="shared" si="2024"/>
        <v/>
      </c>
      <c r="X2471" s="30"/>
      <c r="Y2471" s="31"/>
      <c r="Z2471" s="26">
        <f t="shared" si="5"/>
        <v>2.63</v>
      </c>
      <c r="AA2471" s="26" t="str">
        <f t="shared" si="6"/>
        <v/>
      </c>
      <c r="AB2471" s="32" t="str">
        <f t="shared" si="7"/>
        <v/>
      </c>
      <c r="AC2471" s="32" t="str">
        <f t="shared" ref="AC2471:AG2471" si="2500">IF(J2471&lt;&gt;"", IF(AND($P2471=FALSE, $A2471=FALSE), -J2471, IF(AND($P2471=FALSE, $A2471=TRUE), 0, IF($P2471=TRUE, (J2471 / $R2471) * 100 * ($S2471 / 100)-J2471, ))), )</f>
        <v/>
      </c>
      <c r="AD2471" s="32" t="str">
        <f t="shared" si="2500"/>
        <v/>
      </c>
      <c r="AE2471" s="32" t="str">
        <f t="shared" si="2500"/>
        <v/>
      </c>
      <c r="AF2471" s="32" t="str">
        <f t="shared" si="2500"/>
        <v/>
      </c>
      <c r="AG2471" s="32" t="str">
        <f t="shared" si="2500"/>
        <v/>
      </c>
      <c r="AH2471" s="33"/>
    </row>
    <row r="2472" hidden="1" outlineLevel="3">
      <c r="A2472" s="16" t="b">
        <v>0</v>
      </c>
      <c r="B2472" s="17"/>
      <c r="C2472" s="18"/>
      <c r="D2472" s="42"/>
      <c r="E2472" s="20"/>
      <c r="F2472" s="53"/>
      <c r="G2472" s="45"/>
      <c r="H2472" s="45"/>
      <c r="I2472" s="45"/>
      <c r="J2472" s="36"/>
      <c r="K2472" s="23"/>
      <c r="L2472" s="36"/>
      <c r="M2472" s="23"/>
      <c r="N2472" s="23"/>
      <c r="O2472" s="24"/>
      <c r="P2472" s="16" t="b">
        <v>0</v>
      </c>
      <c r="Q2472" s="24"/>
      <c r="R2472" s="48" t="str">
        <f t="shared" si="2376"/>
        <v/>
      </c>
      <c r="S2472" s="26"/>
      <c r="T2472" s="49" t="str">
        <f t="shared" si="2484"/>
        <v/>
      </c>
      <c r="U2472" s="24"/>
      <c r="V2472" s="66" t="s">
        <v>29</v>
      </c>
      <c r="W2472" s="29" t="str">
        <f t="shared" si="2024"/>
        <v>/</v>
      </c>
      <c r="X2472" s="37" t="s">
        <v>1545</v>
      </c>
      <c r="Y2472" s="31"/>
      <c r="Z2472" s="26" t="str">
        <f t="shared" si="5"/>
        <v/>
      </c>
      <c r="AA2472" s="26" t="str">
        <f t="shared" si="6"/>
        <v/>
      </c>
      <c r="AB2472" s="32" t="str">
        <f t="shared" si="7"/>
        <v/>
      </c>
      <c r="AC2472" s="32" t="str">
        <f t="shared" ref="AC2472:AG2472" si="2501">IF(J2472&lt;&gt;"", IF(AND($P2472=FALSE, $A2472=FALSE), -J2472, IF(AND($P2472=FALSE, $A2472=TRUE), 0, IF($P2472=TRUE, (J2472 / $R2472) * 100 * ($S2472 / 100)-J2472, ))), )</f>
        <v/>
      </c>
      <c r="AD2472" s="32" t="str">
        <f t="shared" si="2501"/>
        <v/>
      </c>
      <c r="AE2472" s="32" t="str">
        <f t="shared" si="2501"/>
        <v/>
      </c>
      <c r="AF2472" s="32" t="str">
        <f t="shared" si="2501"/>
        <v/>
      </c>
      <c r="AG2472" s="32" t="str">
        <f t="shared" si="2501"/>
        <v/>
      </c>
      <c r="AH2472" s="33"/>
    </row>
    <row r="2473" hidden="1" outlineLevel="2" collapsed="1">
      <c r="A2473" s="16" t="b">
        <v>0</v>
      </c>
      <c r="B2473" s="17"/>
      <c r="C2473" s="18"/>
      <c r="D2473" s="42">
        <v>45547.0</v>
      </c>
      <c r="E2473" s="20" t="s">
        <v>24</v>
      </c>
      <c r="F2473" s="53" t="s">
        <v>1534</v>
      </c>
      <c r="G2473" s="45">
        <v>0.01</v>
      </c>
      <c r="H2473" s="45"/>
      <c r="I2473" s="45">
        <v>0.01</v>
      </c>
      <c r="J2473" s="36"/>
      <c r="K2473" s="23"/>
      <c r="L2473" s="36"/>
      <c r="M2473" s="23"/>
      <c r="N2473" s="23"/>
      <c r="O2473" s="24"/>
      <c r="P2473" s="16" t="b">
        <v>0</v>
      </c>
      <c r="Q2473" s="24"/>
      <c r="R2473" s="48">
        <f t="shared" si="2376"/>
        <v>0.02</v>
      </c>
      <c r="S2473" s="26">
        <v>13.33</v>
      </c>
      <c r="T2473" s="49" t="str">
        <f t="shared" si="2484"/>
        <v>+66550</v>
      </c>
      <c r="U2473" s="24"/>
      <c r="V2473" s="28" t="str">
        <f>IF(ISBLANK($D2473), "0",)</f>
        <v/>
      </c>
      <c r="W2473" s="29" t="str">
        <f t="shared" si="2024"/>
        <v/>
      </c>
      <c r="X2473" s="30"/>
      <c r="Y2473" s="31"/>
      <c r="Z2473" s="26">
        <f t="shared" si="5"/>
        <v>-0.01</v>
      </c>
      <c r="AA2473" s="26">
        <f t="shared" si="6"/>
        <v>-0.01</v>
      </c>
      <c r="AB2473" s="32" t="str">
        <f t="shared" si="7"/>
        <v/>
      </c>
      <c r="AC2473" s="32" t="str">
        <f t="shared" ref="AC2473:AG2473" si="2502">IF(J2473&lt;&gt;"", IF(AND($P2473=FALSE, $A2473=FALSE), -J2473, IF(AND($P2473=FALSE, $A2473=TRUE), 0, IF($P2473=TRUE, (J2473 / $R2473) * 100 * ($S2473 / 100)-J2473, ))), )</f>
        <v/>
      </c>
      <c r="AD2473" s="32" t="str">
        <f t="shared" si="2502"/>
        <v/>
      </c>
      <c r="AE2473" s="32" t="str">
        <f t="shared" si="2502"/>
        <v/>
      </c>
      <c r="AF2473" s="32" t="str">
        <f t="shared" si="2502"/>
        <v/>
      </c>
      <c r="AG2473" s="32" t="str">
        <f t="shared" si="2502"/>
        <v/>
      </c>
      <c r="AH2473" s="33"/>
    </row>
    <row r="2474" hidden="1" outlineLevel="3">
      <c r="A2474" s="16" t="b">
        <v>0</v>
      </c>
      <c r="B2474" s="17"/>
      <c r="C2474" s="18"/>
      <c r="D2474" s="42"/>
      <c r="E2474" s="20"/>
      <c r="F2474" s="53"/>
      <c r="G2474" s="45"/>
      <c r="H2474" s="45"/>
      <c r="I2474" s="45"/>
      <c r="J2474" s="36"/>
      <c r="K2474" s="23"/>
      <c r="L2474" s="36"/>
      <c r="M2474" s="23"/>
      <c r="N2474" s="23"/>
      <c r="O2474" s="24"/>
      <c r="P2474" s="16" t="b">
        <v>0</v>
      </c>
      <c r="Q2474" s="24"/>
      <c r="R2474" s="48" t="str">
        <f t="shared" si="2376"/>
        <v/>
      </c>
      <c r="S2474" s="26"/>
      <c r="T2474" s="49" t="str">
        <f t="shared" si="2484"/>
        <v/>
      </c>
      <c r="U2474" s="24"/>
      <c r="V2474" s="66">
        <v>24.0</v>
      </c>
      <c r="W2474" s="29" t="str">
        <f t="shared" si="2024"/>
        <v>/</v>
      </c>
      <c r="X2474" s="37" t="s">
        <v>416</v>
      </c>
      <c r="Y2474" s="31"/>
      <c r="Z2474" s="26" t="str">
        <f t="shared" si="5"/>
        <v/>
      </c>
      <c r="AA2474" s="26" t="str">
        <f t="shared" si="6"/>
        <v/>
      </c>
      <c r="AB2474" s="32" t="str">
        <f t="shared" si="7"/>
        <v/>
      </c>
      <c r="AC2474" s="32" t="str">
        <f t="shared" ref="AC2474:AG2474" si="2503">IF(J2474&lt;&gt;"", IF(AND($P2474=FALSE, $A2474=FALSE), -J2474, IF(AND($P2474=FALSE, $A2474=TRUE), 0, IF($P2474=TRUE, (J2474 / $R2474) * 100 * ($S2474 / 100)-J2474, ))), )</f>
        <v/>
      </c>
      <c r="AD2474" s="32" t="str">
        <f t="shared" si="2503"/>
        <v/>
      </c>
      <c r="AE2474" s="32" t="str">
        <f t="shared" si="2503"/>
        <v/>
      </c>
      <c r="AF2474" s="32" t="str">
        <f t="shared" si="2503"/>
        <v/>
      </c>
      <c r="AG2474" s="32" t="str">
        <f t="shared" si="2503"/>
        <v/>
      </c>
      <c r="AH2474" s="33"/>
    </row>
    <row r="2475" hidden="1" outlineLevel="3">
      <c r="A2475" s="16" t="b">
        <v>0</v>
      </c>
      <c r="B2475" s="17"/>
      <c r="C2475" s="18"/>
      <c r="D2475" s="42"/>
      <c r="E2475" s="20"/>
      <c r="F2475" s="53"/>
      <c r="G2475" s="45"/>
      <c r="H2475" s="45"/>
      <c r="I2475" s="45"/>
      <c r="J2475" s="36"/>
      <c r="K2475" s="23"/>
      <c r="L2475" s="36"/>
      <c r="M2475" s="23"/>
      <c r="N2475" s="23"/>
      <c r="O2475" s="24"/>
      <c r="P2475" s="16" t="b">
        <v>0</v>
      </c>
      <c r="Q2475" s="24"/>
      <c r="R2475" s="48" t="str">
        <f t="shared" si="2376"/>
        <v/>
      </c>
      <c r="S2475" s="26"/>
      <c r="T2475" s="49" t="str">
        <f t="shared" si="2484"/>
        <v/>
      </c>
      <c r="U2475" s="24"/>
      <c r="V2475" s="66">
        <v>41.0</v>
      </c>
      <c r="W2475" s="29" t="str">
        <f t="shared" si="2024"/>
        <v>/</v>
      </c>
      <c r="X2475" s="37" t="s">
        <v>1546</v>
      </c>
      <c r="Y2475" s="31"/>
      <c r="Z2475" s="26" t="str">
        <f t="shared" si="5"/>
        <v/>
      </c>
      <c r="AA2475" s="26" t="str">
        <f t="shared" si="6"/>
        <v/>
      </c>
      <c r="AB2475" s="32" t="str">
        <f t="shared" si="7"/>
        <v/>
      </c>
      <c r="AC2475" s="32" t="str">
        <f t="shared" ref="AC2475:AG2475" si="2504">IF(J2475&lt;&gt;"", IF(AND($P2475=FALSE, $A2475=FALSE), -J2475, IF(AND($P2475=FALSE, $A2475=TRUE), 0, IF($P2475=TRUE, (J2475 / $R2475) * 100 * ($S2475 / 100)-J2475, ))), )</f>
        <v/>
      </c>
      <c r="AD2475" s="32" t="str">
        <f t="shared" si="2504"/>
        <v/>
      </c>
      <c r="AE2475" s="32" t="str">
        <f t="shared" si="2504"/>
        <v/>
      </c>
      <c r="AF2475" s="32" t="str">
        <f t="shared" si="2504"/>
        <v/>
      </c>
      <c r="AG2475" s="32" t="str">
        <f t="shared" si="2504"/>
        <v/>
      </c>
      <c r="AH2475" s="33"/>
    </row>
    <row r="2476" hidden="1" outlineLevel="3">
      <c r="A2476" s="16" t="b">
        <v>0</v>
      </c>
      <c r="B2476" s="17"/>
      <c r="C2476" s="18"/>
      <c r="D2476" s="42"/>
      <c r="E2476" s="20"/>
      <c r="F2476" s="53"/>
      <c r="G2476" s="45"/>
      <c r="H2476" s="45"/>
      <c r="I2476" s="45"/>
      <c r="J2476" s="36"/>
      <c r="K2476" s="23"/>
      <c r="L2476" s="36"/>
      <c r="M2476" s="23"/>
      <c r="N2476" s="23"/>
      <c r="O2476" s="24"/>
      <c r="P2476" s="16" t="b">
        <v>0</v>
      </c>
      <c r="Q2476" s="24"/>
      <c r="R2476" s="48" t="str">
        <f t="shared" si="2376"/>
        <v/>
      </c>
      <c r="S2476" s="26"/>
      <c r="T2476" s="49" t="str">
        <f t="shared" si="2484"/>
        <v/>
      </c>
      <c r="U2476" s="24"/>
      <c r="V2476" s="75" t="s">
        <v>29</v>
      </c>
      <c r="W2476" s="29" t="str">
        <f t="shared" si="2024"/>
        <v>/</v>
      </c>
      <c r="X2476" s="37" t="s">
        <v>72</v>
      </c>
      <c r="Y2476" s="31"/>
      <c r="Z2476" s="26" t="str">
        <f t="shared" si="5"/>
        <v/>
      </c>
      <c r="AA2476" s="26" t="str">
        <f t="shared" si="6"/>
        <v/>
      </c>
      <c r="AB2476" s="32" t="str">
        <f t="shared" si="7"/>
        <v/>
      </c>
      <c r="AC2476" s="32" t="str">
        <f t="shared" ref="AC2476:AG2476" si="2505">IF(J2476&lt;&gt;"", IF(AND($P2476=FALSE, $A2476=FALSE), -J2476, IF(AND($P2476=FALSE, $A2476=TRUE), 0, IF($P2476=TRUE, (J2476 / $R2476) * 100 * ($S2476 / 100)-J2476, ))), )</f>
        <v/>
      </c>
      <c r="AD2476" s="32" t="str">
        <f t="shared" si="2505"/>
        <v/>
      </c>
      <c r="AE2476" s="32" t="str">
        <f t="shared" si="2505"/>
        <v/>
      </c>
      <c r="AF2476" s="32" t="str">
        <f t="shared" si="2505"/>
        <v/>
      </c>
      <c r="AG2476" s="32" t="str">
        <f t="shared" si="2505"/>
        <v/>
      </c>
      <c r="AH2476" s="33"/>
    </row>
    <row r="2477" hidden="1" outlineLevel="2">
      <c r="A2477" s="16" t="b">
        <v>0</v>
      </c>
      <c r="B2477" s="17"/>
      <c r="C2477" s="18"/>
      <c r="D2477" s="42">
        <v>45547.0</v>
      </c>
      <c r="E2477" s="20" t="s">
        <v>24</v>
      </c>
      <c r="F2477" s="53" t="s">
        <v>1534</v>
      </c>
      <c r="G2477" s="45">
        <v>5.0</v>
      </c>
      <c r="H2477" s="45"/>
      <c r="I2477" s="45">
        <v>5.0</v>
      </c>
      <c r="J2477" s="36"/>
      <c r="K2477" s="23"/>
      <c r="L2477" s="36"/>
      <c r="M2477" s="23"/>
      <c r="N2477" s="23"/>
      <c r="O2477" s="24"/>
      <c r="P2477" s="16" t="b">
        <v>0</v>
      </c>
      <c r="Q2477" s="24"/>
      <c r="R2477" s="48">
        <f t="shared" si="2376"/>
        <v>10</v>
      </c>
      <c r="S2477" s="26">
        <v>138.34</v>
      </c>
      <c r="T2477" s="49" t="str">
        <f t="shared" si="2484"/>
        <v>+1283</v>
      </c>
      <c r="U2477" s="24"/>
      <c r="V2477" s="28" t="str">
        <f>IF(ISBLANK($D2477), "0",)</f>
        <v/>
      </c>
      <c r="W2477" s="29" t="str">
        <f t="shared" si="2024"/>
        <v/>
      </c>
      <c r="X2477" s="30"/>
      <c r="Y2477" s="31"/>
      <c r="Z2477" s="26">
        <f t="shared" si="5"/>
        <v>-5</v>
      </c>
      <c r="AA2477" s="26">
        <f t="shared" si="6"/>
        <v>-5</v>
      </c>
      <c r="AB2477" s="32" t="str">
        <f t="shared" si="7"/>
        <v/>
      </c>
      <c r="AC2477" s="32" t="str">
        <f t="shared" ref="AC2477:AG2477" si="2506">IF(J2477&lt;&gt;"", IF(AND($P2477=FALSE, $A2477=FALSE), -J2477, IF(AND($P2477=FALSE, $A2477=TRUE), 0, IF($P2477=TRUE, (J2477 / $R2477) * 100 * ($S2477 / 100)-J2477, ))), )</f>
        <v/>
      </c>
      <c r="AD2477" s="32" t="str">
        <f t="shared" si="2506"/>
        <v/>
      </c>
      <c r="AE2477" s="32" t="str">
        <f t="shared" si="2506"/>
        <v/>
      </c>
      <c r="AF2477" s="32" t="str">
        <f t="shared" si="2506"/>
        <v/>
      </c>
      <c r="AG2477" s="32" t="str">
        <f t="shared" si="2506"/>
        <v/>
      </c>
      <c r="AH2477" s="33"/>
    </row>
    <row r="2478" hidden="1" outlineLevel="3">
      <c r="A2478" s="16" t="b">
        <v>0</v>
      </c>
      <c r="B2478" s="17"/>
      <c r="C2478" s="18"/>
      <c r="D2478" s="42"/>
      <c r="E2478" s="20"/>
      <c r="F2478" s="53"/>
      <c r="G2478" s="45"/>
      <c r="H2478" s="45"/>
      <c r="I2478" s="45"/>
      <c r="J2478" s="36"/>
      <c r="K2478" s="23"/>
      <c r="L2478" s="36"/>
      <c r="M2478" s="23"/>
      <c r="N2478" s="23"/>
      <c r="O2478" s="24"/>
      <c r="P2478" s="16" t="b">
        <v>0</v>
      </c>
      <c r="Q2478" s="24"/>
      <c r="R2478" s="48" t="str">
        <f t="shared" si="2376"/>
        <v/>
      </c>
      <c r="S2478" s="26"/>
      <c r="T2478" s="49" t="str">
        <f t="shared" si="2484"/>
        <v/>
      </c>
      <c r="U2478" s="24"/>
      <c r="V2478" s="66">
        <v>7.0</v>
      </c>
      <c r="W2478" s="29" t="str">
        <f t="shared" si="2024"/>
        <v>/</v>
      </c>
      <c r="X2478" s="37" t="s">
        <v>1547</v>
      </c>
      <c r="Y2478" s="31"/>
      <c r="Z2478" s="26" t="str">
        <f t="shared" si="5"/>
        <v/>
      </c>
      <c r="AA2478" s="26" t="str">
        <f t="shared" si="6"/>
        <v/>
      </c>
      <c r="AB2478" s="32" t="str">
        <f t="shared" si="7"/>
        <v/>
      </c>
      <c r="AC2478" s="32" t="str">
        <f t="shared" ref="AC2478:AG2478" si="2507">IF(J2478&lt;&gt;"", IF(AND($P2478=FALSE, $A2478=FALSE), -J2478, IF(AND($P2478=FALSE, $A2478=TRUE), 0, IF($P2478=TRUE, (J2478 / $R2478) * 100 * ($S2478 / 100)-J2478, ))), )</f>
        <v/>
      </c>
      <c r="AD2478" s="32" t="str">
        <f t="shared" si="2507"/>
        <v/>
      </c>
      <c r="AE2478" s="32" t="str">
        <f t="shared" si="2507"/>
        <v/>
      </c>
      <c r="AF2478" s="32" t="str">
        <f t="shared" si="2507"/>
        <v/>
      </c>
      <c r="AG2478" s="32" t="str">
        <f t="shared" si="2507"/>
        <v/>
      </c>
      <c r="AH2478" s="33"/>
    </row>
    <row r="2479" hidden="1" outlineLevel="3">
      <c r="A2479" s="16" t="b">
        <v>0</v>
      </c>
      <c r="B2479" s="17"/>
      <c r="C2479" s="18"/>
      <c r="D2479" s="42"/>
      <c r="E2479" s="20"/>
      <c r="F2479" s="53"/>
      <c r="G2479" s="45"/>
      <c r="H2479" s="45"/>
      <c r="I2479" s="45"/>
      <c r="J2479" s="36"/>
      <c r="K2479" s="23"/>
      <c r="L2479" s="36"/>
      <c r="M2479" s="23"/>
      <c r="N2479" s="23"/>
      <c r="O2479" s="24"/>
      <c r="P2479" s="16" t="b">
        <v>0</v>
      </c>
      <c r="Q2479" s="24"/>
      <c r="R2479" s="48" t="str">
        <f t="shared" si="2376"/>
        <v/>
      </c>
      <c r="S2479" s="26"/>
      <c r="T2479" s="49" t="str">
        <f t="shared" si="2484"/>
        <v/>
      </c>
      <c r="U2479" s="24"/>
      <c r="V2479" s="75" t="s">
        <v>29</v>
      </c>
      <c r="W2479" s="29" t="str">
        <f t="shared" si="2024"/>
        <v>/</v>
      </c>
      <c r="X2479" s="37" t="s">
        <v>614</v>
      </c>
      <c r="Y2479" s="31"/>
      <c r="Z2479" s="26" t="str">
        <f t="shared" si="5"/>
        <v/>
      </c>
      <c r="AA2479" s="26" t="str">
        <f t="shared" si="6"/>
        <v/>
      </c>
      <c r="AB2479" s="32" t="str">
        <f t="shared" si="7"/>
        <v/>
      </c>
      <c r="AC2479" s="32" t="str">
        <f t="shared" ref="AC2479:AG2479" si="2508">IF(J2479&lt;&gt;"", IF(AND($P2479=FALSE, $A2479=FALSE), -J2479, IF(AND($P2479=FALSE, $A2479=TRUE), 0, IF($P2479=TRUE, (J2479 / $R2479) * 100 * ($S2479 / 100)-J2479, ))), )</f>
        <v/>
      </c>
      <c r="AD2479" s="32" t="str">
        <f t="shared" si="2508"/>
        <v/>
      </c>
      <c r="AE2479" s="32" t="str">
        <f t="shared" si="2508"/>
        <v/>
      </c>
      <c r="AF2479" s="32" t="str">
        <f t="shared" si="2508"/>
        <v/>
      </c>
      <c r="AG2479" s="32" t="str">
        <f t="shared" si="2508"/>
        <v/>
      </c>
      <c r="AH2479" s="33"/>
    </row>
    <row r="2480" hidden="1" outlineLevel="3">
      <c r="A2480" s="16" t="b">
        <v>0</v>
      </c>
      <c r="B2480" s="17"/>
      <c r="C2480" s="18"/>
      <c r="D2480" s="42"/>
      <c r="E2480" s="20"/>
      <c r="F2480" s="53"/>
      <c r="G2480" s="45"/>
      <c r="H2480" s="45"/>
      <c r="I2480" s="45"/>
      <c r="J2480" s="36"/>
      <c r="K2480" s="23"/>
      <c r="L2480" s="36"/>
      <c r="M2480" s="23"/>
      <c r="N2480" s="23"/>
      <c r="O2480" s="24"/>
      <c r="P2480" s="16" t="b">
        <v>0</v>
      </c>
      <c r="Q2480" s="24"/>
      <c r="R2480" s="48" t="str">
        <f t="shared" si="2376"/>
        <v/>
      </c>
      <c r="S2480" s="26"/>
      <c r="T2480" s="49" t="str">
        <f t="shared" si="2484"/>
        <v/>
      </c>
      <c r="U2480" s="24"/>
      <c r="V2480" s="66">
        <v>139.0</v>
      </c>
      <c r="W2480" s="29" t="str">
        <f t="shared" si="2024"/>
        <v>/</v>
      </c>
      <c r="X2480" s="37" t="s">
        <v>134</v>
      </c>
      <c r="Y2480" s="31"/>
      <c r="Z2480" s="26" t="str">
        <f t="shared" si="5"/>
        <v/>
      </c>
      <c r="AA2480" s="26" t="str">
        <f t="shared" si="6"/>
        <v/>
      </c>
      <c r="AB2480" s="32" t="str">
        <f t="shared" si="7"/>
        <v/>
      </c>
      <c r="AC2480" s="32" t="str">
        <f t="shared" ref="AC2480:AG2480" si="2509">IF(J2480&lt;&gt;"", IF(AND($P2480=FALSE, $A2480=FALSE), -J2480, IF(AND($P2480=FALSE, $A2480=TRUE), 0, IF($P2480=TRUE, (J2480 / $R2480) * 100 * ($S2480 / 100)-J2480, ))), )</f>
        <v/>
      </c>
      <c r="AD2480" s="32" t="str">
        <f t="shared" si="2509"/>
        <v/>
      </c>
      <c r="AE2480" s="32" t="str">
        <f t="shared" si="2509"/>
        <v/>
      </c>
      <c r="AF2480" s="32" t="str">
        <f t="shared" si="2509"/>
        <v/>
      </c>
      <c r="AG2480" s="32" t="str">
        <f t="shared" si="2509"/>
        <v/>
      </c>
      <c r="AH2480" s="33"/>
    </row>
    <row r="2481" hidden="1" outlineLevel="3">
      <c r="A2481" s="16" t="b">
        <v>0</v>
      </c>
      <c r="B2481" s="17"/>
      <c r="C2481" s="18"/>
      <c r="D2481" s="42"/>
      <c r="E2481" s="20"/>
      <c r="F2481" s="53"/>
      <c r="G2481" s="45"/>
      <c r="H2481" s="45"/>
      <c r="I2481" s="45"/>
      <c r="J2481" s="36"/>
      <c r="K2481" s="23"/>
      <c r="L2481" s="36"/>
      <c r="M2481" s="23"/>
      <c r="N2481" s="23"/>
      <c r="O2481" s="24"/>
      <c r="P2481" s="16" t="b">
        <v>0</v>
      </c>
      <c r="Q2481" s="24"/>
      <c r="R2481" s="48" t="str">
        <f t="shared" si="2376"/>
        <v/>
      </c>
      <c r="S2481" s="26"/>
      <c r="T2481" s="49" t="str">
        <f t="shared" si="2484"/>
        <v/>
      </c>
      <c r="U2481" s="24"/>
      <c r="V2481" s="75" t="s">
        <v>29</v>
      </c>
      <c r="W2481" s="29" t="str">
        <f t="shared" si="2024"/>
        <v>/</v>
      </c>
      <c r="X2481" s="37" t="s">
        <v>72</v>
      </c>
      <c r="Y2481" s="31"/>
      <c r="Z2481" s="26" t="str">
        <f t="shared" si="5"/>
        <v/>
      </c>
      <c r="AA2481" s="26" t="str">
        <f t="shared" si="6"/>
        <v/>
      </c>
      <c r="AB2481" s="32" t="str">
        <f t="shared" si="7"/>
        <v/>
      </c>
      <c r="AC2481" s="32" t="str">
        <f t="shared" ref="AC2481:AG2481" si="2510">IF(J2481&lt;&gt;"", IF(AND($P2481=FALSE, $A2481=FALSE), -J2481, IF(AND($P2481=FALSE, $A2481=TRUE), 0, IF($P2481=TRUE, (J2481 / $R2481) * 100 * ($S2481 / 100)-J2481, ))), )</f>
        <v/>
      </c>
      <c r="AD2481" s="32" t="str">
        <f t="shared" si="2510"/>
        <v/>
      </c>
      <c r="AE2481" s="32" t="str">
        <f t="shared" si="2510"/>
        <v/>
      </c>
      <c r="AF2481" s="32" t="str">
        <f t="shared" si="2510"/>
        <v/>
      </c>
      <c r="AG2481" s="32" t="str">
        <f t="shared" si="2510"/>
        <v/>
      </c>
      <c r="AH2481" s="33"/>
    </row>
    <row r="2482" hidden="1" outlineLevel="3">
      <c r="A2482" s="16" t="b">
        <v>0</v>
      </c>
      <c r="B2482" s="17"/>
      <c r="C2482" s="18"/>
      <c r="D2482" s="42"/>
      <c r="E2482" s="20"/>
      <c r="F2482" s="53"/>
      <c r="G2482" s="45"/>
      <c r="H2482" s="45"/>
      <c r="I2482" s="45"/>
      <c r="J2482" s="36"/>
      <c r="K2482" s="23"/>
      <c r="L2482" s="36"/>
      <c r="M2482" s="23"/>
      <c r="N2482" s="23"/>
      <c r="O2482" s="24"/>
      <c r="P2482" s="16" t="b">
        <v>0</v>
      </c>
      <c r="Q2482" s="24"/>
      <c r="R2482" s="48" t="str">
        <f t="shared" si="2376"/>
        <v/>
      </c>
      <c r="S2482" s="26"/>
      <c r="T2482" s="49" t="str">
        <f t="shared" si="2484"/>
        <v/>
      </c>
      <c r="U2482" s="24"/>
      <c r="V2482" s="75" t="s">
        <v>29</v>
      </c>
      <c r="W2482" s="29" t="str">
        <f t="shared" si="2024"/>
        <v>/</v>
      </c>
      <c r="X2482" s="37" t="s">
        <v>1548</v>
      </c>
      <c r="Y2482" s="31"/>
      <c r="Z2482" s="26" t="str">
        <f t="shared" si="5"/>
        <v/>
      </c>
      <c r="AA2482" s="26" t="str">
        <f t="shared" si="6"/>
        <v/>
      </c>
      <c r="AB2482" s="32" t="str">
        <f t="shared" si="7"/>
        <v/>
      </c>
      <c r="AC2482" s="32" t="str">
        <f t="shared" ref="AC2482:AG2482" si="2511">IF(J2482&lt;&gt;"", IF(AND($P2482=FALSE, $A2482=FALSE), -J2482, IF(AND($P2482=FALSE, $A2482=TRUE), 0, IF($P2482=TRUE, (J2482 / $R2482) * 100 * ($S2482 / 100)-J2482, ))), )</f>
        <v/>
      </c>
      <c r="AD2482" s="32" t="str">
        <f t="shared" si="2511"/>
        <v/>
      </c>
      <c r="AE2482" s="32" t="str">
        <f t="shared" si="2511"/>
        <v/>
      </c>
      <c r="AF2482" s="32" t="str">
        <f t="shared" si="2511"/>
        <v/>
      </c>
      <c r="AG2482" s="32" t="str">
        <f t="shared" si="2511"/>
        <v/>
      </c>
      <c r="AH2482" s="33"/>
    </row>
    <row r="2483" hidden="1" outlineLevel="3">
      <c r="A2483" s="16" t="b">
        <v>0</v>
      </c>
      <c r="B2483" s="17"/>
      <c r="C2483" s="18"/>
      <c r="D2483" s="42"/>
      <c r="E2483" s="20"/>
      <c r="F2483" s="53"/>
      <c r="G2483" s="45"/>
      <c r="H2483" s="45"/>
      <c r="I2483" s="45"/>
      <c r="J2483" s="36"/>
      <c r="K2483" s="23"/>
      <c r="L2483" s="36"/>
      <c r="M2483" s="23"/>
      <c r="N2483" s="23"/>
      <c r="O2483" s="24"/>
      <c r="P2483" s="16" t="b">
        <v>0</v>
      </c>
      <c r="Q2483" s="24"/>
      <c r="R2483" s="48" t="str">
        <f t="shared" si="2376"/>
        <v/>
      </c>
      <c r="S2483" s="26"/>
      <c r="T2483" s="49" t="str">
        <f t="shared" si="2484"/>
        <v/>
      </c>
      <c r="U2483" s="24"/>
      <c r="V2483" s="66">
        <v>2.0</v>
      </c>
      <c r="W2483" s="29" t="str">
        <f t="shared" si="2024"/>
        <v>/</v>
      </c>
      <c r="X2483" s="37" t="s">
        <v>1549</v>
      </c>
      <c r="Y2483" s="31"/>
      <c r="Z2483" s="26" t="str">
        <f t="shared" si="5"/>
        <v/>
      </c>
      <c r="AA2483" s="26" t="str">
        <f t="shared" si="6"/>
        <v/>
      </c>
      <c r="AB2483" s="32" t="str">
        <f t="shared" si="7"/>
        <v/>
      </c>
      <c r="AC2483" s="32" t="str">
        <f t="shared" ref="AC2483:AG2483" si="2512">IF(J2483&lt;&gt;"", IF(AND($P2483=FALSE, $A2483=FALSE), -J2483, IF(AND($P2483=FALSE, $A2483=TRUE), 0, IF($P2483=TRUE, (J2483 / $R2483) * 100 * ($S2483 / 100)-J2483, ))), )</f>
        <v/>
      </c>
      <c r="AD2483" s="32" t="str">
        <f t="shared" si="2512"/>
        <v/>
      </c>
      <c r="AE2483" s="32" t="str">
        <f t="shared" si="2512"/>
        <v/>
      </c>
      <c r="AF2483" s="32" t="str">
        <f t="shared" si="2512"/>
        <v/>
      </c>
      <c r="AG2483" s="32" t="str">
        <f t="shared" si="2512"/>
        <v/>
      </c>
      <c r="AH2483" s="33"/>
    </row>
    <row r="2484" hidden="1" outlineLevel="3">
      <c r="A2484" s="16" t="b">
        <v>0</v>
      </c>
      <c r="B2484" s="17"/>
      <c r="C2484" s="18"/>
      <c r="D2484" s="42"/>
      <c r="E2484" s="20"/>
      <c r="F2484" s="53"/>
      <c r="G2484" s="45"/>
      <c r="H2484" s="45"/>
      <c r="I2484" s="45"/>
      <c r="J2484" s="36"/>
      <c r="K2484" s="23"/>
      <c r="L2484" s="36"/>
      <c r="M2484" s="23"/>
      <c r="N2484" s="23"/>
      <c r="O2484" s="24"/>
      <c r="P2484" s="16" t="b">
        <v>0</v>
      </c>
      <c r="Q2484" s="24"/>
      <c r="R2484" s="48" t="str">
        <f t="shared" si="2376"/>
        <v/>
      </c>
      <c r="S2484" s="26"/>
      <c r="T2484" s="49" t="str">
        <f t="shared" si="2484"/>
        <v/>
      </c>
      <c r="U2484" s="24"/>
      <c r="V2484" s="66" t="s">
        <v>29</v>
      </c>
      <c r="W2484" s="29" t="str">
        <f t="shared" si="2024"/>
        <v>/</v>
      </c>
      <c r="X2484" s="37" t="s">
        <v>1106</v>
      </c>
      <c r="Y2484" s="31"/>
      <c r="Z2484" s="26" t="str">
        <f t="shared" si="5"/>
        <v/>
      </c>
      <c r="AA2484" s="26" t="str">
        <f t="shared" si="6"/>
        <v/>
      </c>
      <c r="AB2484" s="32" t="str">
        <f t="shared" si="7"/>
        <v/>
      </c>
      <c r="AC2484" s="32" t="str">
        <f t="shared" ref="AC2484:AG2484" si="2513">IF(J2484&lt;&gt;"", IF(AND($P2484=FALSE, $A2484=FALSE), -J2484, IF(AND($P2484=FALSE, $A2484=TRUE), 0, IF($P2484=TRUE, (J2484 / $R2484) * 100 * ($S2484 / 100)-J2484, ))), )</f>
        <v/>
      </c>
      <c r="AD2484" s="32" t="str">
        <f t="shared" si="2513"/>
        <v/>
      </c>
      <c r="AE2484" s="32" t="str">
        <f t="shared" si="2513"/>
        <v/>
      </c>
      <c r="AF2484" s="32" t="str">
        <f t="shared" si="2513"/>
        <v/>
      </c>
      <c r="AG2484" s="32" t="str">
        <f t="shared" si="2513"/>
        <v/>
      </c>
      <c r="AH2484" s="33"/>
    </row>
    <row r="2485" hidden="1" outlineLevel="3">
      <c r="A2485" s="16" t="b">
        <v>0</v>
      </c>
      <c r="B2485" s="17"/>
      <c r="C2485" s="18"/>
      <c r="D2485" s="42"/>
      <c r="E2485" s="20"/>
      <c r="F2485" s="53"/>
      <c r="G2485" s="45"/>
      <c r="H2485" s="45"/>
      <c r="I2485" s="45"/>
      <c r="J2485" s="36"/>
      <c r="K2485" s="23"/>
      <c r="L2485" s="36"/>
      <c r="M2485" s="23"/>
      <c r="N2485" s="23"/>
      <c r="O2485" s="24"/>
      <c r="P2485" s="16" t="b">
        <v>0</v>
      </c>
      <c r="Q2485" s="24"/>
      <c r="R2485" s="48" t="str">
        <f t="shared" si="2376"/>
        <v/>
      </c>
      <c r="S2485" s="26"/>
      <c r="T2485" s="49" t="str">
        <f t="shared" si="2484"/>
        <v/>
      </c>
      <c r="U2485" s="24"/>
      <c r="V2485" s="66">
        <v>3.0</v>
      </c>
      <c r="W2485" s="29" t="str">
        <f t="shared" si="2024"/>
        <v>/</v>
      </c>
      <c r="X2485" s="37" t="s">
        <v>660</v>
      </c>
      <c r="Y2485" s="31"/>
      <c r="Z2485" s="26" t="str">
        <f t="shared" si="5"/>
        <v/>
      </c>
      <c r="AA2485" s="26" t="str">
        <f t="shared" si="6"/>
        <v/>
      </c>
      <c r="AB2485" s="32" t="str">
        <f t="shared" si="7"/>
        <v/>
      </c>
      <c r="AC2485" s="32" t="str">
        <f t="shared" ref="AC2485:AG2485" si="2514">IF(J2485&lt;&gt;"", IF(AND($P2485=FALSE, $A2485=FALSE), -J2485, IF(AND($P2485=FALSE, $A2485=TRUE), 0, IF($P2485=TRUE, (J2485 / $R2485) * 100 * ($S2485 / 100)-J2485, ))), )</f>
        <v/>
      </c>
      <c r="AD2485" s="32" t="str">
        <f t="shared" si="2514"/>
        <v/>
      </c>
      <c r="AE2485" s="32" t="str">
        <f t="shared" si="2514"/>
        <v/>
      </c>
      <c r="AF2485" s="32" t="str">
        <f t="shared" si="2514"/>
        <v/>
      </c>
      <c r="AG2485" s="32" t="str">
        <f t="shared" si="2514"/>
        <v/>
      </c>
      <c r="AH2485" s="33"/>
    </row>
    <row r="2486" hidden="1" outlineLevel="3">
      <c r="A2486" s="16" t="b">
        <v>0</v>
      </c>
      <c r="B2486" s="17"/>
      <c r="C2486" s="18"/>
      <c r="D2486" s="42"/>
      <c r="E2486" s="20"/>
      <c r="F2486" s="53"/>
      <c r="G2486" s="45"/>
      <c r="H2486" s="45"/>
      <c r="I2486" s="45"/>
      <c r="J2486" s="36"/>
      <c r="K2486" s="23"/>
      <c r="L2486" s="36"/>
      <c r="M2486" s="23"/>
      <c r="N2486" s="23"/>
      <c r="O2486" s="24"/>
      <c r="P2486" s="16" t="b">
        <v>0</v>
      </c>
      <c r="Q2486" s="24"/>
      <c r="R2486" s="48" t="str">
        <f t="shared" si="2376"/>
        <v/>
      </c>
      <c r="S2486" s="26"/>
      <c r="T2486" s="49" t="str">
        <f t="shared" si="2484"/>
        <v/>
      </c>
      <c r="U2486" s="24"/>
      <c r="V2486" s="66" t="s">
        <v>29</v>
      </c>
      <c r="W2486" s="29" t="str">
        <f t="shared" si="2024"/>
        <v>/</v>
      </c>
      <c r="X2486" s="37" t="s">
        <v>661</v>
      </c>
      <c r="Y2486" s="31"/>
      <c r="Z2486" s="26" t="str">
        <f t="shared" si="5"/>
        <v/>
      </c>
      <c r="AA2486" s="26" t="str">
        <f t="shared" si="6"/>
        <v/>
      </c>
      <c r="AB2486" s="32" t="str">
        <f t="shared" si="7"/>
        <v/>
      </c>
      <c r="AC2486" s="32" t="str">
        <f t="shared" ref="AC2486:AG2486" si="2515">IF(J2486&lt;&gt;"", IF(AND($P2486=FALSE, $A2486=FALSE), -J2486, IF(AND($P2486=FALSE, $A2486=TRUE), 0, IF($P2486=TRUE, (J2486 / $R2486) * 100 * ($S2486 / 100)-J2486, ))), )</f>
        <v/>
      </c>
      <c r="AD2486" s="32" t="str">
        <f t="shared" si="2515"/>
        <v/>
      </c>
      <c r="AE2486" s="32" t="str">
        <f t="shared" si="2515"/>
        <v/>
      </c>
      <c r="AF2486" s="32" t="str">
        <f t="shared" si="2515"/>
        <v/>
      </c>
      <c r="AG2486" s="32" t="str">
        <f t="shared" si="2515"/>
        <v/>
      </c>
      <c r="AH2486" s="33"/>
    </row>
    <row r="2487" hidden="1" outlineLevel="3">
      <c r="A2487" s="16" t="b">
        <v>0</v>
      </c>
      <c r="B2487" s="17"/>
      <c r="C2487" s="18"/>
      <c r="D2487" s="42"/>
      <c r="E2487" s="20"/>
      <c r="F2487" s="53"/>
      <c r="G2487" s="45"/>
      <c r="H2487" s="45"/>
      <c r="I2487" s="45"/>
      <c r="J2487" s="36"/>
      <c r="K2487" s="23"/>
      <c r="L2487" s="36"/>
      <c r="M2487" s="23"/>
      <c r="N2487" s="23"/>
      <c r="O2487" s="24"/>
      <c r="P2487" s="16" t="b">
        <v>0</v>
      </c>
      <c r="Q2487" s="24"/>
      <c r="R2487" s="48" t="str">
        <f t="shared" si="2376"/>
        <v/>
      </c>
      <c r="S2487" s="26"/>
      <c r="T2487" s="49" t="str">
        <f t="shared" si="2484"/>
        <v/>
      </c>
      <c r="U2487" s="24"/>
      <c r="V2487" s="28" t="str">
        <f t="shared" ref="V2487:V2488" si="2517">IF(ISBLANK($D2487), "0",)</f>
        <v>0</v>
      </c>
      <c r="W2487" s="29" t="str">
        <f t="shared" si="2024"/>
        <v>/</v>
      </c>
      <c r="X2487" s="37" t="s">
        <v>1550</v>
      </c>
      <c r="Y2487" s="31"/>
      <c r="Z2487" s="26" t="str">
        <f t="shared" si="5"/>
        <v/>
      </c>
      <c r="AA2487" s="26" t="str">
        <f t="shared" si="6"/>
        <v/>
      </c>
      <c r="AB2487" s="32" t="str">
        <f t="shared" si="7"/>
        <v/>
      </c>
      <c r="AC2487" s="32" t="str">
        <f t="shared" ref="AC2487:AG2487" si="2516">IF(J2487&lt;&gt;"", IF(AND($P2487=FALSE, $A2487=FALSE), -J2487, IF(AND($P2487=FALSE, $A2487=TRUE), 0, IF($P2487=TRUE, (J2487 / $R2487) * 100 * ($S2487 / 100)-J2487, ))), )</f>
        <v/>
      </c>
      <c r="AD2487" s="32" t="str">
        <f t="shared" si="2516"/>
        <v/>
      </c>
      <c r="AE2487" s="32" t="str">
        <f t="shared" si="2516"/>
        <v/>
      </c>
      <c r="AF2487" s="32" t="str">
        <f t="shared" si="2516"/>
        <v/>
      </c>
      <c r="AG2487" s="32" t="str">
        <f t="shared" si="2516"/>
        <v/>
      </c>
      <c r="AH2487" s="33"/>
    </row>
    <row r="2488" hidden="1" outlineLevel="1" collapsed="1">
      <c r="A2488" s="16" t="b">
        <v>0</v>
      </c>
      <c r="B2488" s="17"/>
      <c r="C2488" s="18"/>
      <c r="D2488" s="42">
        <v>45550.0</v>
      </c>
      <c r="E2488" s="20" t="s">
        <v>24</v>
      </c>
      <c r="F2488" s="53" t="s">
        <v>1534</v>
      </c>
      <c r="G2488" s="45">
        <v>3.0</v>
      </c>
      <c r="H2488" s="45"/>
      <c r="I2488" s="45">
        <v>10.0</v>
      </c>
      <c r="J2488" s="36"/>
      <c r="K2488" s="23"/>
      <c r="L2488" s="36"/>
      <c r="M2488" s="23"/>
      <c r="N2488" s="23"/>
      <c r="O2488" s="24"/>
      <c r="P2488" s="16" t="b">
        <v>0</v>
      </c>
      <c r="Q2488" s="24"/>
      <c r="R2488" s="48">
        <f t="shared" si="2376"/>
        <v>13</v>
      </c>
      <c r="S2488" s="26">
        <v>33.94</v>
      </c>
      <c r="T2488" s="49" t="str">
        <f t="shared" si="2484"/>
        <v>+161</v>
      </c>
      <c r="U2488" s="24"/>
      <c r="V2488" s="28" t="str">
        <f t="shared" si="2517"/>
        <v/>
      </c>
      <c r="W2488" s="29" t="str">
        <f t="shared" si="2024"/>
        <v/>
      </c>
      <c r="X2488" s="30"/>
      <c r="Y2488" s="31"/>
      <c r="Z2488" s="26">
        <f t="shared" si="5"/>
        <v>-3</v>
      </c>
      <c r="AA2488" s="26">
        <f t="shared" si="6"/>
        <v>-10</v>
      </c>
      <c r="AB2488" s="32" t="str">
        <f t="shared" si="7"/>
        <v/>
      </c>
      <c r="AC2488" s="32" t="str">
        <f t="shared" ref="AC2488:AG2488" si="2518">IF(J2488&lt;&gt;"", IF(AND($P2488=FALSE, $A2488=FALSE), -J2488, IF(AND($P2488=FALSE, $A2488=TRUE), 0, IF($P2488=TRUE, (J2488 / $R2488) * 100 * ($S2488 / 100)-J2488, ))), )</f>
        <v/>
      </c>
      <c r="AD2488" s="32" t="str">
        <f t="shared" si="2518"/>
        <v/>
      </c>
      <c r="AE2488" s="32" t="str">
        <f t="shared" si="2518"/>
        <v/>
      </c>
      <c r="AF2488" s="32" t="str">
        <f t="shared" si="2518"/>
        <v/>
      </c>
      <c r="AG2488" s="32" t="str">
        <f t="shared" si="2518"/>
        <v/>
      </c>
      <c r="AH2488" s="33"/>
    </row>
    <row r="2489" hidden="1" outlineLevel="3">
      <c r="A2489" s="16" t="b">
        <v>0</v>
      </c>
      <c r="B2489" s="17"/>
      <c r="C2489" s="18"/>
      <c r="D2489" s="42"/>
      <c r="E2489" s="20"/>
      <c r="F2489" s="53"/>
      <c r="G2489" s="45"/>
      <c r="H2489" s="45"/>
      <c r="I2489" s="45"/>
      <c r="J2489" s="36"/>
      <c r="K2489" s="23"/>
      <c r="L2489" s="36"/>
      <c r="M2489" s="23"/>
      <c r="N2489" s="23"/>
      <c r="O2489" s="24"/>
      <c r="P2489" s="16" t="b">
        <v>0</v>
      </c>
      <c r="Q2489" s="24"/>
      <c r="R2489" s="48" t="str">
        <f t="shared" si="2376"/>
        <v/>
      </c>
      <c r="S2489" s="26"/>
      <c r="T2489" s="49" t="str">
        <f t="shared" si="2484"/>
        <v/>
      </c>
      <c r="U2489" s="24"/>
      <c r="V2489" s="86" t="s">
        <v>1551</v>
      </c>
      <c r="W2489" s="29" t="str">
        <f t="shared" si="2024"/>
        <v>/</v>
      </c>
      <c r="X2489" s="37" t="s">
        <v>1552</v>
      </c>
      <c r="Y2489" s="31"/>
      <c r="Z2489" s="26" t="str">
        <f t="shared" si="5"/>
        <v/>
      </c>
      <c r="AA2489" s="26" t="str">
        <f t="shared" si="6"/>
        <v/>
      </c>
      <c r="AB2489" s="32" t="str">
        <f t="shared" si="7"/>
        <v/>
      </c>
      <c r="AC2489" s="32" t="str">
        <f t="shared" ref="AC2489:AG2489" si="2519">IF(J2489&lt;&gt;"", IF(AND($P2489=FALSE, $A2489=FALSE), -J2489, IF(AND($P2489=FALSE, $A2489=TRUE), 0, IF($P2489=TRUE, (J2489 / $R2489) * 100 * ($S2489 / 100)-J2489, ))), )</f>
        <v/>
      </c>
      <c r="AD2489" s="32" t="str">
        <f t="shared" si="2519"/>
        <v/>
      </c>
      <c r="AE2489" s="32" t="str">
        <f t="shared" si="2519"/>
        <v/>
      </c>
      <c r="AF2489" s="32" t="str">
        <f t="shared" si="2519"/>
        <v/>
      </c>
      <c r="AG2489" s="32" t="str">
        <f t="shared" si="2519"/>
        <v/>
      </c>
      <c r="AH2489" s="33"/>
    </row>
    <row r="2490" hidden="1" outlineLevel="3">
      <c r="A2490" s="16" t="b">
        <v>0</v>
      </c>
      <c r="B2490" s="17"/>
      <c r="C2490" s="18"/>
      <c r="D2490" s="42"/>
      <c r="E2490" s="20"/>
      <c r="F2490" s="53"/>
      <c r="G2490" s="45"/>
      <c r="H2490" s="45"/>
      <c r="I2490" s="45"/>
      <c r="J2490" s="36"/>
      <c r="K2490" s="23"/>
      <c r="L2490" s="36"/>
      <c r="M2490" s="23"/>
      <c r="N2490" s="23"/>
      <c r="O2490" s="24"/>
      <c r="P2490" s="16" t="b">
        <v>0</v>
      </c>
      <c r="Q2490" s="24"/>
      <c r="R2490" s="48" t="str">
        <f t="shared" si="2376"/>
        <v/>
      </c>
      <c r="S2490" s="26"/>
      <c r="T2490" s="49" t="str">
        <f t="shared" si="2484"/>
        <v/>
      </c>
      <c r="U2490" s="24"/>
      <c r="V2490" s="75" t="s">
        <v>29</v>
      </c>
      <c r="W2490" s="29" t="str">
        <f t="shared" si="2024"/>
        <v>/</v>
      </c>
      <c r="X2490" s="37" t="s">
        <v>832</v>
      </c>
      <c r="Y2490" s="31"/>
      <c r="Z2490" s="26" t="str">
        <f t="shared" si="5"/>
        <v/>
      </c>
      <c r="AA2490" s="26" t="str">
        <f t="shared" si="6"/>
        <v/>
      </c>
      <c r="AB2490" s="32" t="str">
        <f t="shared" si="7"/>
        <v/>
      </c>
      <c r="AC2490" s="32" t="str">
        <f t="shared" ref="AC2490:AG2490" si="2520">IF(J2490&lt;&gt;"", IF(AND($P2490=FALSE, $A2490=FALSE), -J2490, IF(AND($P2490=FALSE, $A2490=TRUE), 0, IF($P2490=TRUE, (J2490 / $R2490) * 100 * ($S2490 / 100)-J2490, ))), )</f>
        <v/>
      </c>
      <c r="AD2490" s="32" t="str">
        <f t="shared" si="2520"/>
        <v/>
      </c>
      <c r="AE2490" s="32" t="str">
        <f t="shared" si="2520"/>
        <v/>
      </c>
      <c r="AF2490" s="32" t="str">
        <f t="shared" si="2520"/>
        <v/>
      </c>
      <c r="AG2490" s="32" t="str">
        <f t="shared" si="2520"/>
        <v/>
      </c>
      <c r="AH2490" s="33"/>
    </row>
    <row r="2491" hidden="1" outlineLevel="3">
      <c r="A2491" s="16" t="b">
        <v>0</v>
      </c>
      <c r="B2491" s="17"/>
      <c r="C2491" s="18"/>
      <c r="D2491" s="42"/>
      <c r="E2491" s="20"/>
      <c r="F2491" s="53"/>
      <c r="G2491" s="45"/>
      <c r="H2491" s="45"/>
      <c r="I2491" s="45"/>
      <c r="J2491" s="36"/>
      <c r="K2491" s="23"/>
      <c r="L2491" s="36"/>
      <c r="M2491" s="23"/>
      <c r="N2491" s="23"/>
      <c r="O2491" s="24"/>
      <c r="P2491" s="16" t="b">
        <v>0</v>
      </c>
      <c r="Q2491" s="24"/>
      <c r="R2491" s="48" t="str">
        <f t="shared" si="2376"/>
        <v/>
      </c>
      <c r="S2491" s="26"/>
      <c r="T2491" s="49" t="str">
        <f t="shared" si="2484"/>
        <v/>
      </c>
      <c r="U2491" s="24"/>
      <c r="V2491" s="28" t="str">
        <f t="shared" ref="V2491:V2492" si="2522">IF(ISBLANK($D2491), "0",)</f>
        <v>0</v>
      </c>
      <c r="W2491" s="29" t="str">
        <f t="shared" si="2024"/>
        <v>/</v>
      </c>
      <c r="X2491" s="37" t="s">
        <v>774</v>
      </c>
      <c r="Y2491" s="31"/>
      <c r="Z2491" s="26" t="str">
        <f t="shared" si="5"/>
        <v/>
      </c>
      <c r="AA2491" s="26" t="str">
        <f t="shared" si="6"/>
        <v/>
      </c>
      <c r="AB2491" s="32" t="str">
        <f t="shared" si="7"/>
        <v/>
      </c>
      <c r="AC2491" s="32" t="str">
        <f t="shared" ref="AC2491:AG2491" si="2521">IF(J2491&lt;&gt;"", IF(AND($P2491=FALSE, $A2491=FALSE), -J2491, IF(AND($P2491=FALSE, $A2491=TRUE), 0, IF($P2491=TRUE, (J2491 / $R2491) * 100 * ($S2491 / 100)-J2491, ))), )</f>
        <v/>
      </c>
      <c r="AD2491" s="32" t="str">
        <f t="shared" si="2521"/>
        <v/>
      </c>
      <c r="AE2491" s="32" t="str">
        <f t="shared" si="2521"/>
        <v/>
      </c>
      <c r="AF2491" s="32" t="str">
        <f t="shared" si="2521"/>
        <v/>
      </c>
      <c r="AG2491" s="32" t="str">
        <f t="shared" si="2521"/>
        <v/>
      </c>
      <c r="AH2491" s="33"/>
    </row>
    <row r="2492" hidden="1" outlineLevel="2" collapsed="1">
      <c r="A2492" s="16" t="b">
        <v>0</v>
      </c>
      <c r="B2492" s="17"/>
      <c r="C2492" s="18"/>
      <c r="D2492" s="42">
        <v>45550.0</v>
      </c>
      <c r="E2492" s="20" t="s">
        <v>24</v>
      </c>
      <c r="F2492" s="53" t="s">
        <v>1534</v>
      </c>
      <c r="G2492" s="45">
        <v>3.0</v>
      </c>
      <c r="H2492" s="45"/>
      <c r="I2492" s="45">
        <v>5.0</v>
      </c>
      <c r="J2492" s="36"/>
      <c r="K2492" s="23"/>
      <c r="L2492" s="36"/>
      <c r="M2492" s="23"/>
      <c r="N2492" s="23"/>
      <c r="O2492" s="24"/>
      <c r="P2492" s="16" t="b">
        <v>0</v>
      </c>
      <c r="Q2492" s="24"/>
      <c r="R2492" s="48">
        <f t="shared" si="2376"/>
        <v>8</v>
      </c>
      <c r="S2492" s="26">
        <v>18.33</v>
      </c>
      <c r="T2492" s="49" t="str">
        <f t="shared" si="2484"/>
        <v>+129</v>
      </c>
      <c r="U2492" s="24"/>
      <c r="V2492" s="28" t="str">
        <f t="shared" si="2522"/>
        <v/>
      </c>
      <c r="W2492" s="29" t="str">
        <f t="shared" si="2024"/>
        <v/>
      </c>
      <c r="X2492" s="30"/>
      <c r="Y2492" s="31"/>
      <c r="Z2492" s="26">
        <f t="shared" si="5"/>
        <v>-3</v>
      </c>
      <c r="AA2492" s="26">
        <f t="shared" si="6"/>
        <v>-5</v>
      </c>
      <c r="AB2492" s="32" t="str">
        <f t="shared" si="7"/>
        <v/>
      </c>
      <c r="AC2492" s="32" t="str">
        <f t="shared" ref="AC2492:AG2492" si="2523">IF(J2492&lt;&gt;"", IF(AND($P2492=FALSE, $A2492=FALSE), -J2492, IF(AND($P2492=FALSE, $A2492=TRUE), 0, IF($P2492=TRUE, (J2492 / $R2492) * 100 * ($S2492 / 100)-J2492, ))), )</f>
        <v/>
      </c>
      <c r="AD2492" s="32" t="str">
        <f t="shared" si="2523"/>
        <v/>
      </c>
      <c r="AE2492" s="32" t="str">
        <f t="shared" si="2523"/>
        <v/>
      </c>
      <c r="AF2492" s="32" t="str">
        <f t="shared" si="2523"/>
        <v/>
      </c>
      <c r="AG2492" s="32" t="str">
        <f t="shared" si="2523"/>
        <v/>
      </c>
      <c r="AH2492" s="33"/>
    </row>
    <row r="2493" hidden="1" outlineLevel="3">
      <c r="A2493" s="16" t="b">
        <v>0</v>
      </c>
      <c r="B2493" s="17"/>
      <c r="C2493" s="18"/>
      <c r="D2493" s="42"/>
      <c r="E2493" s="20"/>
      <c r="F2493" s="53"/>
      <c r="G2493" s="45"/>
      <c r="H2493" s="45"/>
      <c r="I2493" s="45"/>
      <c r="J2493" s="36"/>
      <c r="K2493" s="23"/>
      <c r="L2493" s="36"/>
      <c r="M2493" s="23"/>
      <c r="N2493" s="23"/>
      <c r="O2493" s="24"/>
      <c r="P2493" s="16" t="b">
        <v>0</v>
      </c>
      <c r="Q2493" s="24"/>
      <c r="R2493" s="48" t="str">
        <f t="shared" si="2376"/>
        <v/>
      </c>
      <c r="S2493" s="26"/>
      <c r="T2493" s="49" t="str">
        <f t="shared" si="2484"/>
        <v/>
      </c>
      <c r="U2493" s="24"/>
      <c r="V2493" s="75" t="s">
        <v>29</v>
      </c>
      <c r="W2493" s="29" t="str">
        <f t="shared" si="2024"/>
        <v>/</v>
      </c>
      <c r="X2493" s="37" t="s">
        <v>375</v>
      </c>
      <c r="Y2493" s="31"/>
      <c r="Z2493" s="26" t="str">
        <f t="shared" si="5"/>
        <v/>
      </c>
      <c r="AA2493" s="26" t="str">
        <f t="shared" si="6"/>
        <v/>
      </c>
      <c r="AB2493" s="32" t="str">
        <f t="shared" si="7"/>
        <v/>
      </c>
      <c r="AC2493" s="32" t="str">
        <f t="shared" ref="AC2493:AG2493" si="2524">IF(J2493&lt;&gt;"", IF(AND($P2493=FALSE, $A2493=FALSE), -J2493, IF(AND($P2493=FALSE, $A2493=TRUE), 0, IF($P2493=TRUE, (J2493 / $R2493) * 100 * ($S2493 / 100)-J2493, ))), )</f>
        <v/>
      </c>
      <c r="AD2493" s="32" t="str">
        <f t="shared" si="2524"/>
        <v/>
      </c>
      <c r="AE2493" s="32" t="str">
        <f t="shared" si="2524"/>
        <v/>
      </c>
      <c r="AF2493" s="32" t="str">
        <f t="shared" si="2524"/>
        <v/>
      </c>
      <c r="AG2493" s="32" t="str">
        <f t="shared" si="2524"/>
        <v/>
      </c>
      <c r="AH2493" s="33"/>
    </row>
    <row r="2494" hidden="1" outlineLevel="3">
      <c r="A2494" s="16" t="b">
        <v>0</v>
      </c>
      <c r="B2494" s="17"/>
      <c r="C2494" s="18"/>
      <c r="D2494" s="42"/>
      <c r="E2494" s="20"/>
      <c r="F2494" s="53"/>
      <c r="G2494" s="45"/>
      <c r="H2494" s="45"/>
      <c r="I2494" s="45"/>
      <c r="J2494" s="36"/>
      <c r="K2494" s="23"/>
      <c r="L2494" s="36"/>
      <c r="M2494" s="23"/>
      <c r="N2494" s="23"/>
      <c r="O2494" s="24"/>
      <c r="P2494" s="16" t="b">
        <v>0</v>
      </c>
      <c r="Q2494" s="24"/>
      <c r="R2494" s="48" t="str">
        <f t="shared" si="2376"/>
        <v/>
      </c>
      <c r="S2494" s="26"/>
      <c r="T2494" s="49" t="str">
        <f t="shared" si="2484"/>
        <v/>
      </c>
      <c r="U2494" s="24"/>
      <c r="V2494" s="75" t="s">
        <v>29</v>
      </c>
      <c r="W2494" s="29" t="str">
        <f t="shared" si="2024"/>
        <v>/</v>
      </c>
      <c r="X2494" s="37" t="s">
        <v>1553</v>
      </c>
      <c r="Y2494" s="31"/>
      <c r="Z2494" s="26" t="str">
        <f t="shared" si="5"/>
        <v/>
      </c>
      <c r="AA2494" s="26" t="str">
        <f t="shared" si="6"/>
        <v/>
      </c>
      <c r="AB2494" s="32" t="str">
        <f t="shared" si="7"/>
        <v/>
      </c>
      <c r="AC2494" s="32" t="str">
        <f t="shared" ref="AC2494:AG2494" si="2525">IF(J2494&lt;&gt;"", IF(AND($P2494=FALSE, $A2494=FALSE), -J2494, IF(AND($P2494=FALSE, $A2494=TRUE), 0, IF($P2494=TRUE, (J2494 / $R2494) * 100 * ($S2494 / 100)-J2494, ))), )</f>
        <v/>
      </c>
      <c r="AD2494" s="32" t="str">
        <f t="shared" si="2525"/>
        <v/>
      </c>
      <c r="AE2494" s="32" t="str">
        <f t="shared" si="2525"/>
        <v/>
      </c>
      <c r="AF2494" s="32" t="str">
        <f t="shared" si="2525"/>
        <v/>
      </c>
      <c r="AG2494" s="32" t="str">
        <f t="shared" si="2525"/>
        <v/>
      </c>
      <c r="AH2494" s="33"/>
    </row>
    <row r="2495" hidden="1" outlineLevel="3">
      <c r="A2495" s="16" t="b">
        <v>0</v>
      </c>
      <c r="B2495" s="17"/>
      <c r="C2495" s="18"/>
      <c r="D2495" s="42"/>
      <c r="E2495" s="20"/>
      <c r="F2495" s="53"/>
      <c r="G2495" s="45"/>
      <c r="H2495" s="45"/>
      <c r="I2495" s="45"/>
      <c r="J2495" s="36"/>
      <c r="K2495" s="23"/>
      <c r="L2495" s="36"/>
      <c r="M2495" s="23"/>
      <c r="N2495" s="23"/>
      <c r="O2495" s="24"/>
      <c r="P2495" s="16" t="b">
        <v>0</v>
      </c>
      <c r="Q2495" s="24"/>
      <c r="R2495" s="48" t="str">
        <f t="shared" si="2376"/>
        <v/>
      </c>
      <c r="S2495" s="26"/>
      <c r="T2495" s="49" t="str">
        <f t="shared" si="2484"/>
        <v/>
      </c>
      <c r="U2495" s="24"/>
      <c r="V2495" s="66">
        <v>4.0</v>
      </c>
      <c r="W2495" s="29" t="str">
        <f t="shared" si="2024"/>
        <v>/</v>
      </c>
      <c r="X2495" s="37" t="s">
        <v>1554</v>
      </c>
      <c r="Y2495" s="31"/>
      <c r="Z2495" s="26" t="str">
        <f t="shared" si="5"/>
        <v/>
      </c>
      <c r="AA2495" s="26" t="str">
        <f t="shared" si="6"/>
        <v/>
      </c>
      <c r="AB2495" s="32" t="str">
        <f t="shared" si="7"/>
        <v/>
      </c>
      <c r="AC2495" s="32" t="str">
        <f t="shared" ref="AC2495:AG2495" si="2526">IF(J2495&lt;&gt;"", IF(AND($P2495=FALSE, $A2495=FALSE), -J2495, IF(AND($P2495=FALSE, $A2495=TRUE), 0, IF($P2495=TRUE, (J2495 / $R2495) * 100 * ($S2495 / 100)-J2495, ))), )</f>
        <v/>
      </c>
      <c r="AD2495" s="32" t="str">
        <f t="shared" si="2526"/>
        <v/>
      </c>
      <c r="AE2495" s="32" t="str">
        <f t="shared" si="2526"/>
        <v/>
      </c>
      <c r="AF2495" s="32" t="str">
        <f t="shared" si="2526"/>
        <v/>
      </c>
      <c r="AG2495" s="32" t="str">
        <f t="shared" si="2526"/>
        <v/>
      </c>
      <c r="AH2495" s="33"/>
    </row>
    <row r="2496" hidden="1" outlineLevel="2" collapsed="1">
      <c r="A2496" s="16" t="b">
        <v>0</v>
      </c>
      <c r="B2496" s="17"/>
      <c r="C2496" s="18"/>
      <c r="D2496" s="42">
        <v>45550.0</v>
      </c>
      <c r="E2496" s="20" t="s">
        <v>24</v>
      </c>
      <c r="F2496" s="53" t="s">
        <v>1534</v>
      </c>
      <c r="G2496" s="45">
        <v>4.0</v>
      </c>
      <c r="H2496" s="45"/>
      <c r="I2496" s="45"/>
      <c r="J2496" s="36"/>
      <c r="K2496" s="23"/>
      <c r="L2496" s="36"/>
      <c r="M2496" s="23"/>
      <c r="N2496" s="23"/>
      <c r="O2496" s="24"/>
      <c r="P2496" s="16" t="b">
        <v>1</v>
      </c>
      <c r="Q2496" s="24"/>
      <c r="R2496" s="48">
        <f t="shared" si="2376"/>
        <v>4</v>
      </c>
      <c r="S2496" s="26">
        <v>9.93</v>
      </c>
      <c r="T2496" s="49" t="str">
        <f t="shared" si="2484"/>
        <v>+148</v>
      </c>
      <c r="U2496" s="24"/>
      <c r="V2496" s="28" t="str">
        <f>IF(ISBLANK($D2496), "0",)</f>
        <v/>
      </c>
      <c r="W2496" s="29" t="str">
        <f t="shared" si="2024"/>
        <v/>
      </c>
      <c r="X2496" s="30"/>
      <c r="Y2496" s="31"/>
      <c r="Z2496" s="26">
        <f t="shared" si="5"/>
        <v>5.93</v>
      </c>
      <c r="AA2496" s="26" t="str">
        <f t="shared" si="6"/>
        <v/>
      </c>
      <c r="AB2496" s="32" t="str">
        <f t="shared" si="7"/>
        <v/>
      </c>
      <c r="AC2496" s="32" t="str">
        <f t="shared" ref="AC2496:AG2496" si="2527">IF(J2496&lt;&gt;"", IF(AND($P2496=FALSE, $A2496=FALSE), -J2496, IF(AND($P2496=FALSE, $A2496=TRUE), 0, IF($P2496=TRUE, (J2496 / $R2496) * 100 * ($S2496 / 100)-J2496, ))), )</f>
        <v/>
      </c>
      <c r="AD2496" s="32" t="str">
        <f t="shared" si="2527"/>
        <v/>
      </c>
      <c r="AE2496" s="32" t="str">
        <f t="shared" si="2527"/>
        <v/>
      </c>
      <c r="AF2496" s="32" t="str">
        <f t="shared" si="2527"/>
        <v/>
      </c>
      <c r="AG2496" s="32" t="str">
        <f t="shared" si="2527"/>
        <v/>
      </c>
      <c r="AH2496" s="33"/>
    </row>
    <row r="2497" hidden="1" outlineLevel="3">
      <c r="A2497" s="16" t="b">
        <v>0</v>
      </c>
      <c r="B2497" s="17"/>
      <c r="C2497" s="18"/>
      <c r="D2497" s="42"/>
      <c r="E2497" s="20"/>
      <c r="F2497" s="53"/>
      <c r="G2497" s="45"/>
      <c r="H2497" s="45"/>
      <c r="I2497" s="45"/>
      <c r="J2497" s="36"/>
      <c r="K2497" s="23"/>
      <c r="L2497" s="36"/>
      <c r="M2497" s="23"/>
      <c r="N2497" s="23"/>
      <c r="O2497" s="24"/>
      <c r="P2497" s="16" t="b">
        <v>0</v>
      </c>
      <c r="Q2497" s="24"/>
      <c r="R2497" s="48" t="str">
        <f t="shared" si="2376"/>
        <v/>
      </c>
      <c r="S2497" s="26"/>
      <c r="T2497" s="49" t="str">
        <f t="shared" si="2484"/>
        <v/>
      </c>
      <c r="U2497" s="24"/>
      <c r="V2497" s="75" t="s">
        <v>29</v>
      </c>
      <c r="W2497" s="29" t="str">
        <f t="shared" si="2024"/>
        <v>/</v>
      </c>
      <c r="X2497" s="37" t="s">
        <v>1555</v>
      </c>
      <c r="Y2497" s="31"/>
      <c r="Z2497" s="26" t="str">
        <f t="shared" si="5"/>
        <v/>
      </c>
      <c r="AA2497" s="26" t="str">
        <f t="shared" si="6"/>
        <v/>
      </c>
      <c r="AB2497" s="32" t="str">
        <f t="shared" si="7"/>
        <v/>
      </c>
      <c r="AC2497" s="32" t="str">
        <f t="shared" ref="AC2497:AG2497" si="2528">IF(J2497&lt;&gt;"", IF(AND($P2497=FALSE, $A2497=FALSE), -J2497, IF(AND($P2497=FALSE, $A2497=TRUE), 0, IF($P2497=TRUE, (J2497 / $R2497) * 100 * ($S2497 / 100)-J2497, ))), )</f>
        <v/>
      </c>
      <c r="AD2497" s="32" t="str">
        <f t="shared" si="2528"/>
        <v/>
      </c>
      <c r="AE2497" s="32" t="str">
        <f t="shared" si="2528"/>
        <v/>
      </c>
      <c r="AF2497" s="32" t="str">
        <f t="shared" si="2528"/>
        <v/>
      </c>
      <c r="AG2497" s="32" t="str">
        <f t="shared" si="2528"/>
        <v/>
      </c>
      <c r="AH2497" s="33"/>
    </row>
    <row r="2498" hidden="1" outlineLevel="3">
      <c r="A2498" s="16" t="b">
        <v>0</v>
      </c>
      <c r="B2498" s="17"/>
      <c r="C2498" s="18"/>
      <c r="D2498" s="42"/>
      <c r="E2498" s="20"/>
      <c r="F2498" s="53"/>
      <c r="G2498" s="45"/>
      <c r="H2498" s="45"/>
      <c r="I2498" s="45"/>
      <c r="J2498" s="36"/>
      <c r="K2498" s="23"/>
      <c r="L2498" s="36"/>
      <c r="M2498" s="23"/>
      <c r="N2498" s="23"/>
      <c r="O2498" s="24"/>
      <c r="P2498" s="16" t="b">
        <v>0</v>
      </c>
      <c r="Q2498" s="24"/>
      <c r="R2498" s="48" t="str">
        <f t="shared" si="2376"/>
        <v/>
      </c>
      <c r="S2498" s="26"/>
      <c r="T2498" s="49" t="str">
        <f t="shared" si="2484"/>
        <v/>
      </c>
      <c r="U2498" s="24"/>
      <c r="V2498" s="75" t="s">
        <v>29</v>
      </c>
      <c r="W2498" s="29" t="str">
        <f t="shared" si="2024"/>
        <v>/</v>
      </c>
      <c r="X2498" s="37" t="s">
        <v>312</v>
      </c>
      <c r="Y2498" s="31"/>
      <c r="Z2498" s="26" t="str">
        <f t="shared" si="5"/>
        <v/>
      </c>
      <c r="AA2498" s="26" t="str">
        <f t="shared" si="6"/>
        <v/>
      </c>
      <c r="AB2498" s="32" t="str">
        <f t="shared" si="7"/>
        <v/>
      </c>
      <c r="AC2498" s="32" t="str">
        <f t="shared" ref="AC2498:AG2498" si="2529">IF(J2498&lt;&gt;"", IF(AND($P2498=FALSE, $A2498=FALSE), -J2498, IF(AND($P2498=FALSE, $A2498=TRUE), 0, IF($P2498=TRUE, (J2498 / $R2498) * 100 * ($S2498 / 100)-J2498, ))), )</f>
        <v/>
      </c>
      <c r="AD2498" s="32" t="str">
        <f t="shared" si="2529"/>
        <v/>
      </c>
      <c r="AE2498" s="32" t="str">
        <f t="shared" si="2529"/>
        <v/>
      </c>
      <c r="AF2498" s="32" t="str">
        <f t="shared" si="2529"/>
        <v/>
      </c>
      <c r="AG2498" s="32" t="str">
        <f t="shared" si="2529"/>
        <v/>
      </c>
      <c r="AH2498" s="33"/>
    </row>
    <row r="2499" hidden="1" outlineLevel="3">
      <c r="A2499" s="16" t="b">
        <v>0</v>
      </c>
      <c r="B2499" s="17"/>
      <c r="C2499" s="18"/>
      <c r="D2499" s="42"/>
      <c r="E2499" s="20"/>
      <c r="F2499" s="53"/>
      <c r="G2499" s="45"/>
      <c r="H2499" s="45"/>
      <c r="I2499" s="45"/>
      <c r="J2499" s="36"/>
      <c r="K2499" s="23"/>
      <c r="L2499" s="36"/>
      <c r="M2499" s="23"/>
      <c r="N2499" s="23"/>
      <c r="O2499" s="24"/>
      <c r="P2499" s="16" t="b">
        <v>0</v>
      </c>
      <c r="Q2499" s="24"/>
      <c r="R2499" s="48" t="str">
        <f t="shared" si="2376"/>
        <v/>
      </c>
      <c r="S2499" s="26"/>
      <c r="T2499" s="49" t="str">
        <f t="shared" si="2484"/>
        <v/>
      </c>
      <c r="U2499" s="24"/>
      <c r="V2499" s="75" t="s">
        <v>29</v>
      </c>
      <c r="W2499" s="29" t="str">
        <f t="shared" si="2024"/>
        <v>/</v>
      </c>
      <c r="X2499" s="37" t="s">
        <v>1239</v>
      </c>
      <c r="Y2499" s="31"/>
      <c r="Z2499" s="26" t="str">
        <f t="shared" si="5"/>
        <v/>
      </c>
      <c r="AA2499" s="26" t="str">
        <f t="shared" si="6"/>
        <v/>
      </c>
      <c r="AB2499" s="32" t="str">
        <f t="shared" si="7"/>
        <v/>
      </c>
      <c r="AC2499" s="32" t="str">
        <f t="shared" ref="AC2499:AG2499" si="2530">IF(J2499&lt;&gt;"", IF(AND($P2499=FALSE, $A2499=FALSE), -J2499, IF(AND($P2499=FALSE, $A2499=TRUE), 0, IF($P2499=TRUE, (J2499 / $R2499) * 100 * ($S2499 / 100)-J2499, ))), )</f>
        <v/>
      </c>
      <c r="AD2499" s="32" t="str">
        <f t="shared" si="2530"/>
        <v/>
      </c>
      <c r="AE2499" s="32" t="str">
        <f t="shared" si="2530"/>
        <v/>
      </c>
      <c r="AF2499" s="32" t="str">
        <f t="shared" si="2530"/>
        <v/>
      </c>
      <c r="AG2499" s="32" t="str">
        <f t="shared" si="2530"/>
        <v/>
      </c>
      <c r="AH2499" s="33"/>
    </row>
    <row r="2500" hidden="1" outlineLevel="3">
      <c r="A2500" s="16" t="b">
        <v>0</v>
      </c>
      <c r="B2500" s="17"/>
      <c r="C2500" s="18"/>
      <c r="D2500" s="42"/>
      <c r="E2500" s="20"/>
      <c r="F2500" s="53"/>
      <c r="G2500" s="45"/>
      <c r="H2500" s="45"/>
      <c r="I2500" s="45"/>
      <c r="J2500" s="36"/>
      <c r="K2500" s="23"/>
      <c r="L2500" s="36"/>
      <c r="M2500" s="23"/>
      <c r="N2500" s="23"/>
      <c r="O2500" s="24"/>
      <c r="P2500" s="16" t="b">
        <v>0</v>
      </c>
      <c r="Q2500" s="24"/>
      <c r="R2500" s="48" t="str">
        <f t="shared" si="2376"/>
        <v/>
      </c>
      <c r="S2500" s="26"/>
      <c r="T2500" s="49" t="str">
        <f t="shared" si="2484"/>
        <v/>
      </c>
      <c r="U2500" s="24"/>
      <c r="V2500" s="75" t="s">
        <v>29</v>
      </c>
      <c r="W2500" s="29" t="str">
        <f t="shared" si="2024"/>
        <v>/</v>
      </c>
      <c r="X2500" s="37" t="s">
        <v>675</v>
      </c>
      <c r="Y2500" s="31"/>
      <c r="Z2500" s="26" t="str">
        <f t="shared" si="5"/>
        <v/>
      </c>
      <c r="AA2500" s="26" t="str">
        <f t="shared" si="6"/>
        <v/>
      </c>
      <c r="AB2500" s="32" t="str">
        <f t="shared" si="7"/>
        <v/>
      </c>
      <c r="AC2500" s="32" t="str">
        <f t="shared" ref="AC2500:AG2500" si="2531">IF(J2500&lt;&gt;"", IF(AND($P2500=FALSE, $A2500=FALSE), -J2500, IF(AND($P2500=FALSE, $A2500=TRUE), 0, IF($P2500=TRUE, (J2500 / $R2500) * 100 * ($S2500 / 100)-J2500, ))), )</f>
        <v/>
      </c>
      <c r="AD2500" s="32" t="str">
        <f t="shared" si="2531"/>
        <v/>
      </c>
      <c r="AE2500" s="32" t="str">
        <f t="shared" si="2531"/>
        <v/>
      </c>
      <c r="AF2500" s="32" t="str">
        <f t="shared" si="2531"/>
        <v/>
      </c>
      <c r="AG2500" s="32" t="str">
        <f t="shared" si="2531"/>
        <v/>
      </c>
      <c r="AH2500" s="33"/>
    </row>
    <row r="2501" hidden="1" outlineLevel="2" collapsed="1">
      <c r="A2501" s="16" t="b">
        <v>0</v>
      </c>
      <c r="B2501" s="17"/>
      <c r="C2501" s="18"/>
      <c r="D2501" s="42">
        <v>45550.0</v>
      </c>
      <c r="E2501" s="20" t="s">
        <v>24</v>
      </c>
      <c r="F2501" s="53" t="s">
        <v>1534</v>
      </c>
      <c r="G2501" s="45">
        <v>0.01</v>
      </c>
      <c r="H2501" s="45"/>
      <c r="I2501" s="45">
        <v>0.01</v>
      </c>
      <c r="J2501" s="36"/>
      <c r="K2501" s="23"/>
      <c r="L2501" s="36"/>
      <c r="M2501" s="23"/>
      <c r="N2501" s="23"/>
      <c r="O2501" s="24"/>
      <c r="P2501" s="16" t="b">
        <v>0</v>
      </c>
      <c r="Q2501" s="24"/>
      <c r="R2501" s="48">
        <f t="shared" si="2376"/>
        <v>0.02</v>
      </c>
      <c r="S2501" s="26">
        <v>13.5</v>
      </c>
      <c r="T2501" s="49" t="str">
        <f t="shared" si="2484"/>
        <v>+67400</v>
      </c>
      <c r="U2501" s="24"/>
      <c r="V2501" s="28" t="str">
        <f>IF(ISBLANK($D2501), "0",)</f>
        <v/>
      </c>
      <c r="W2501" s="29" t="str">
        <f t="shared" si="2024"/>
        <v/>
      </c>
      <c r="X2501" s="30"/>
      <c r="Y2501" s="31"/>
      <c r="Z2501" s="26">
        <f t="shared" si="5"/>
        <v>-0.01</v>
      </c>
      <c r="AA2501" s="26">
        <f t="shared" si="6"/>
        <v>-0.01</v>
      </c>
      <c r="AB2501" s="32" t="str">
        <f t="shared" si="7"/>
        <v/>
      </c>
      <c r="AC2501" s="32" t="str">
        <f t="shared" ref="AC2501:AG2501" si="2532">IF(J2501&lt;&gt;"", IF(AND($P2501=FALSE, $A2501=FALSE), -J2501, IF(AND($P2501=FALSE, $A2501=TRUE), 0, IF($P2501=TRUE, (J2501 / $R2501) * 100 * ($S2501 / 100)-J2501, ))), )</f>
        <v/>
      </c>
      <c r="AD2501" s="32" t="str">
        <f t="shared" si="2532"/>
        <v/>
      </c>
      <c r="AE2501" s="32" t="str">
        <f t="shared" si="2532"/>
        <v/>
      </c>
      <c r="AF2501" s="32" t="str">
        <f t="shared" si="2532"/>
        <v/>
      </c>
      <c r="AG2501" s="32" t="str">
        <f t="shared" si="2532"/>
        <v/>
      </c>
      <c r="AH2501" s="33"/>
    </row>
    <row r="2502" hidden="1" outlineLevel="3">
      <c r="A2502" s="16" t="b">
        <v>0</v>
      </c>
      <c r="B2502" s="17"/>
      <c r="C2502" s="18"/>
      <c r="D2502" s="42"/>
      <c r="E2502" s="20"/>
      <c r="F2502" s="53"/>
      <c r="G2502" s="45"/>
      <c r="H2502" s="45"/>
      <c r="I2502" s="45"/>
      <c r="J2502" s="36"/>
      <c r="K2502" s="23"/>
      <c r="L2502" s="36"/>
      <c r="M2502" s="23"/>
      <c r="N2502" s="23"/>
      <c r="O2502" s="24"/>
      <c r="P2502" s="16" t="b">
        <v>0</v>
      </c>
      <c r="Q2502" s="24"/>
      <c r="R2502" s="48" t="str">
        <f t="shared" si="2376"/>
        <v/>
      </c>
      <c r="S2502" s="26"/>
      <c r="T2502" s="49" t="str">
        <f t="shared" si="2484"/>
        <v/>
      </c>
      <c r="U2502" s="24"/>
      <c r="V2502" s="86" t="s">
        <v>1123</v>
      </c>
      <c r="W2502" s="29" t="str">
        <f t="shared" si="2024"/>
        <v>/</v>
      </c>
      <c r="X2502" s="37" t="s">
        <v>1556</v>
      </c>
      <c r="Y2502" s="31"/>
      <c r="Z2502" s="26" t="str">
        <f t="shared" si="5"/>
        <v/>
      </c>
      <c r="AA2502" s="26" t="str">
        <f t="shared" si="6"/>
        <v/>
      </c>
      <c r="AB2502" s="32" t="str">
        <f t="shared" si="7"/>
        <v/>
      </c>
      <c r="AC2502" s="32" t="str">
        <f t="shared" ref="AC2502:AG2502" si="2533">IF(J2502&lt;&gt;"", IF(AND($P2502=FALSE, $A2502=FALSE), -J2502, IF(AND($P2502=FALSE, $A2502=TRUE), 0, IF($P2502=TRUE, (J2502 / $R2502) * 100 * ($S2502 / 100)-J2502, ))), )</f>
        <v/>
      </c>
      <c r="AD2502" s="32" t="str">
        <f t="shared" si="2533"/>
        <v/>
      </c>
      <c r="AE2502" s="32" t="str">
        <f t="shared" si="2533"/>
        <v/>
      </c>
      <c r="AF2502" s="32" t="str">
        <f t="shared" si="2533"/>
        <v/>
      </c>
      <c r="AG2502" s="32" t="str">
        <f t="shared" si="2533"/>
        <v/>
      </c>
      <c r="AH2502" s="33"/>
    </row>
    <row r="2503" hidden="1" outlineLevel="2" collapsed="1">
      <c r="A2503" s="16" t="b">
        <v>0</v>
      </c>
      <c r="B2503" s="17"/>
      <c r="C2503" s="18"/>
      <c r="D2503" s="42">
        <v>45550.0</v>
      </c>
      <c r="E2503" s="20" t="s">
        <v>24</v>
      </c>
      <c r="F2503" s="53" t="s">
        <v>1534</v>
      </c>
      <c r="G2503" s="45">
        <v>2.0</v>
      </c>
      <c r="H2503" s="45"/>
      <c r="I2503" s="45">
        <v>3.0</v>
      </c>
      <c r="J2503" s="36"/>
      <c r="K2503" s="23"/>
      <c r="L2503" s="36"/>
      <c r="M2503" s="23"/>
      <c r="N2503" s="23"/>
      <c r="O2503" s="24"/>
      <c r="P2503" s="16" t="b">
        <v>0</v>
      </c>
      <c r="Q2503" s="24"/>
      <c r="R2503" s="48">
        <f t="shared" si="2376"/>
        <v>5</v>
      </c>
      <c r="S2503" s="26">
        <v>19.0</v>
      </c>
      <c r="T2503" s="49" t="str">
        <f t="shared" si="2484"/>
        <v>+280</v>
      </c>
      <c r="U2503" s="24"/>
      <c r="V2503" s="28" t="str">
        <f t="shared" ref="V2503:V2506" si="2535">IF(ISBLANK($D2503), "0",)</f>
        <v/>
      </c>
      <c r="W2503" s="29" t="str">
        <f t="shared" si="2024"/>
        <v/>
      </c>
      <c r="X2503" s="30"/>
      <c r="Y2503" s="31"/>
      <c r="Z2503" s="26">
        <f t="shared" si="5"/>
        <v>-2</v>
      </c>
      <c r="AA2503" s="26">
        <f t="shared" si="6"/>
        <v>-3</v>
      </c>
      <c r="AB2503" s="32" t="str">
        <f t="shared" si="7"/>
        <v/>
      </c>
      <c r="AC2503" s="32" t="str">
        <f t="shared" ref="AC2503:AG2503" si="2534">IF(J2503&lt;&gt;"", IF(AND($P2503=FALSE, $A2503=FALSE), -J2503, IF(AND($P2503=FALSE, $A2503=TRUE), 0, IF($P2503=TRUE, (J2503 / $R2503) * 100 * ($S2503 / 100)-J2503, ))), )</f>
        <v/>
      </c>
      <c r="AD2503" s="32" t="str">
        <f t="shared" si="2534"/>
        <v/>
      </c>
      <c r="AE2503" s="32" t="str">
        <f t="shared" si="2534"/>
        <v/>
      </c>
      <c r="AF2503" s="32" t="str">
        <f t="shared" si="2534"/>
        <v/>
      </c>
      <c r="AG2503" s="32" t="str">
        <f t="shared" si="2534"/>
        <v/>
      </c>
      <c r="AH2503" s="33"/>
    </row>
    <row r="2504" hidden="1" outlineLevel="3">
      <c r="A2504" s="16" t="b">
        <v>0</v>
      </c>
      <c r="B2504" s="17"/>
      <c r="C2504" s="18"/>
      <c r="D2504" s="42"/>
      <c r="E2504" s="20"/>
      <c r="F2504" s="53"/>
      <c r="G2504" s="45"/>
      <c r="H2504" s="45"/>
      <c r="I2504" s="45"/>
      <c r="J2504" s="36"/>
      <c r="K2504" s="23"/>
      <c r="L2504" s="36"/>
      <c r="M2504" s="23"/>
      <c r="N2504" s="23"/>
      <c r="O2504" s="24"/>
      <c r="P2504" s="16" t="b">
        <v>0</v>
      </c>
      <c r="Q2504" s="24"/>
      <c r="R2504" s="48" t="str">
        <f t="shared" si="2376"/>
        <v/>
      </c>
      <c r="S2504" s="26"/>
      <c r="T2504" s="49" t="str">
        <f t="shared" si="2484"/>
        <v/>
      </c>
      <c r="U2504" s="24"/>
      <c r="V2504" s="28" t="str">
        <f t="shared" si="2535"/>
        <v>0</v>
      </c>
      <c r="W2504" s="29" t="str">
        <f t="shared" si="2024"/>
        <v>/</v>
      </c>
      <c r="X2504" s="37" t="s">
        <v>1557</v>
      </c>
      <c r="Y2504" s="31"/>
      <c r="Z2504" s="26" t="str">
        <f t="shared" si="5"/>
        <v/>
      </c>
      <c r="AA2504" s="26" t="str">
        <f t="shared" si="6"/>
        <v/>
      </c>
      <c r="AB2504" s="32" t="str">
        <f t="shared" si="7"/>
        <v/>
      </c>
      <c r="AC2504" s="32" t="str">
        <f t="shared" ref="AC2504:AG2504" si="2536">IF(J2504&lt;&gt;"", IF(AND($P2504=FALSE, $A2504=FALSE), -J2504, IF(AND($P2504=FALSE, $A2504=TRUE), 0, IF($P2504=TRUE, (J2504 / $R2504) * 100 * ($S2504 / 100)-J2504, ))), )</f>
        <v/>
      </c>
      <c r="AD2504" s="32" t="str">
        <f t="shared" si="2536"/>
        <v/>
      </c>
      <c r="AE2504" s="32" t="str">
        <f t="shared" si="2536"/>
        <v/>
      </c>
      <c r="AF2504" s="32" t="str">
        <f t="shared" si="2536"/>
        <v/>
      </c>
      <c r="AG2504" s="32" t="str">
        <f t="shared" si="2536"/>
        <v/>
      </c>
      <c r="AH2504" s="33"/>
    </row>
    <row r="2505" hidden="1" outlineLevel="2" collapsed="1">
      <c r="A2505" s="16" t="b">
        <v>0</v>
      </c>
      <c r="B2505" s="17"/>
      <c r="C2505" s="18"/>
      <c r="D2505" s="42">
        <v>45550.0</v>
      </c>
      <c r="E2505" s="20" t="s">
        <v>24</v>
      </c>
      <c r="F2505" s="53" t="s">
        <v>1534</v>
      </c>
      <c r="G2505" s="45">
        <v>2.0</v>
      </c>
      <c r="H2505" s="45"/>
      <c r="I2505" s="45">
        <v>4.0</v>
      </c>
      <c r="J2505" s="36"/>
      <c r="K2505" s="23"/>
      <c r="L2505" s="36"/>
      <c r="M2505" s="23"/>
      <c r="N2505" s="23"/>
      <c r="O2505" s="24"/>
      <c r="P2505" s="16" t="b">
        <v>0</v>
      </c>
      <c r="Q2505" s="24"/>
      <c r="R2505" s="48">
        <f t="shared" si="2376"/>
        <v>6</v>
      </c>
      <c r="S2505" s="26">
        <v>19.69</v>
      </c>
      <c r="T2505" s="49" t="str">
        <f t="shared" si="2484"/>
        <v>+228</v>
      </c>
      <c r="U2505" s="24"/>
      <c r="V2505" s="28" t="str">
        <f t="shared" si="2535"/>
        <v/>
      </c>
      <c r="W2505" s="29" t="str">
        <f t="shared" si="2024"/>
        <v/>
      </c>
      <c r="X2505" s="30"/>
      <c r="Y2505" s="31"/>
      <c r="Z2505" s="26">
        <f t="shared" si="5"/>
        <v>-2</v>
      </c>
      <c r="AA2505" s="26">
        <f t="shared" si="6"/>
        <v>-4</v>
      </c>
      <c r="AB2505" s="32" t="str">
        <f t="shared" si="7"/>
        <v/>
      </c>
      <c r="AC2505" s="32" t="str">
        <f t="shared" ref="AC2505:AG2505" si="2537">IF(J2505&lt;&gt;"", IF(AND($P2505=FALSE, $A2505=FALSE), -J2505, IF(AND($P2505=FALSE, $A2505=TRUE), 0, IF($P2505=TRUE, (J2505 / $R2505) * 100 * ($S2505 / 100)-J2505, ))), )</f>
        <v/>
      </c>
      <c r="AD2505" s="32" t="str">
        <f t="shared" si="2537"/>
        <v/>
      </c>
      <c r="AE2505" s="32" t="str">
        <f t="shared" si="2537"/>
        <v/>
      </c>
      <c r="AF2505" s="32" t="str">
        <f t="shared" si="2537"/>
        <v/>
      </c>
      <c r="AG2505" s="32" t="str">
        <f t="shared" si="2537"/>
        <v/>
      </c>
      <c r="AH2505" s="33"/>
    </row>
    <row r="2506" hidden="1" outlineLevel="3">
      <c r="A2506" s="16" t="b">
        <v>0</v>
      </c>
      <c r="B2506" s="17"/>
      <c r="C2506" s="18"/>
      <c r="D2506" s="42"/>
      <c r="E2506" s="20"/>
      <c r="F2506" s="53"/>
      <c r="G2506" s="45"/>
      <c r="H2506" s="45"/>
      <c r="I2506" s="45"/>
      <c r="J2506" s="36"/>
      <c r="K2506" s="23"/>
      <c r="L2506" s="36"/>
      <c r="M2506" s="23"/>
      <c r="N2506" s="23"/>
      <c r="O2506" s="24"/>
      <c r="P2506" s="16" t="b">
        <v>0</v>
      </c>
      <c r="Q2506" s="24"/>
      <c r="R2506" s="48" t="str">
        <f t="shared" si="2376"/>
        <v/>
      </c>
      <c r="S2506" s="26"/>
      <c r="T2506" s="49" t="str">
        <f t="shared" si="2484"/>
        <v/>
      </c>
      <c r="U2506" s="24"/>
      <c r="V2506" s="28" t="str">
        <f t="shared" si="2535"/>
        <v>0</v>
      </c>
      <c r="W2506" s="29" t="str">
        <f t="shared" si="2024"/>
        <v>/</v>
      </c>
      <c r="X2506" s="37" t="s">
        <v>1247</v>
      </c>
      <c r="Y2506" s="31"/>
      <c r="Z2506" s="26" t="str">
        <f t="shared" si="5"/>
        <v/>
      </c>
      <c r="AA2506" s="26" t="str">
        <f t="shared" si="6"/>
        <v/>
      </c>
      <c r="AB2506" s="32" t="str">
        <f t="shared" si="7"/>
        <v/>
      </c>
      <c r="AC2506" s="32" t="str">
        <f t="shared" ref="AC2506:AG2506" si="2538">IF(J2506&lt;&gt;"", IF(AND($P2506=FALSE, $A2506=FALSE), -J2506, IF(AND($P2506=FALSE, $A2506=TRUE), 0, IF($P2506=TRUE, (J2506 / $R2506) * 100 * ($S2506 / 100)-J2506, ))), )</f>
        <v/>
      </c>
      <c r="AD2506" s="32" t="str">
        <f t="shared" si="2538"/>
        <v/>
      </c>
      <c r="AE2506" s="32" t="str">
        <f t="shared" si="2538"/>
        <v/>
      </c>
      <c r="AF2506" s="32" t="str">
        <f t="shared" si="2538"/>
        <v/>
      </c>
      <c r="AG2506" s="32" t="str">
        <f t="shared" si="2538"/>
        <v/>
      </c>
      <c r="AH2506" s="33"/>
    </row>
    <row r="2507" hidden="1" outlineLevel="3">
      <c r="A2507" s="16" t="b">
        <v>0</v>
      </c>
      <c r="B2507" s="17"/>
      <c r="C2507" s="18"/>
      <c r="D2507" s="42"/>
      <c r="E2507" s="20"/>
      <c r="F2507" s="53"/>
      <c r="G2507" s="45"/>
      <c r="H2507" s="45"/>
      <c r="I2507" s="45"/>
      <c r="J2507" s="36"/>
      <c r="K2507" s="23"/>
      <c r="L2507" s="36"/>
      <c r="M2507" s="23"/>
      <c r="N2507" s="23"/>
      <c r="O2507" s="24"/>
      <c r="P2507" s="16" t="b">
        <v>0</v>
      </c>
      <c r="Q2507" s="24"/>
      <c r="R2507" s="48" t="str">
        <f t="shared" si="2376"/>
        <v/>
      </c>
      <c r="S2507" s="26"/>
      <c r="T2507" s="49" t="str">
        <f t="shared" si="2484"/>
        <v/>
      </c>
      <c r="U2507" s="24"/>
      <c r="V2507" s="75" t="s">
        <v>29</v>
      </c>
      <c r="W2507" s="29" t="str">
        <f t="shared" si="2024"/>
        <v>/</v>
      </c>
      <c r="X2507" s="37" t="s">
        <v>1558</v>
      </c>
      <c r="Y2507" s="31"/>
      <c r="Z2507" s="26" t="str">
        <f t="shared" si="5"/>
        <v/>
      </c>
      <c r="AA2507" s="26" t="str">
        <f t="shared" si="6"/>
        <v/>
      </c>
      <c r="AB2507" s="32" t="str">
        <f t="shared" si="7"/>
        <v/>
      </c>
      <c r="AC2507" s="32" t="str">
        <f t="shared" ref="AC2507:AG2507" si="2539">IF(J2507&lt;&gt;"", IF(AND($P2507=FALSE, $A2507=FALSE), -J2507, IF(AND($P2507=FALSE, $A2507=TRUE), 0, IF($P2507=TRUE, (J2507 / $R2507) * 100 * ($S2507 / 100)-J2507, ))), )</f>
        <v/>
      </c>
      <c r="AD2507" s="32" t="str">
        <f t="shared" si="2539"/>
        <v/>
      </c>
      <c r="AE2507" s="32" t="str">
        <f t="shared" si="2539"/>
        <v/>
      </c>
      <c r="AF2507" s="32" t="str">
        <f t="shared" si="2539"/>
        <v/>
      </c>
      <c r="AG2507" s="32" t="str">
        <f t="shared" si="2539"/>
        <v/>
      </c>
      <c r="AH2507" s="33"/>
    </row>
    <row r="2508" hidden="1" outlineLevel="3">
      <c r="A2508" s="16" t="b">
        <v>0</v>
      </c>
      <c r="B2508" s="17"/>
      <c r="C2508" s="18"/>
      <c r="D2508" s="42"/>
      <c r="E2508" s="20"/>
      <c r="F2508" s="53"/>
      <c r="G2508" s="45"/>
      <c r="H2508" s="45"/>
      <c r="I2508" s="45"/>
      <c r="J2508" s="36"/>
      <c r="K2508" s="23"/>
      <c r="L2508" s="36"/>
      <c r="M2508" s="23"/>
      <c r="N2508" s="23"/>
      <c r="O2508" s="24"/>
      <c r="P2508" s="16" t="b">
        <v>0</v>
      </c>
      <c r="Q2508" s="24"/>
      <c r="R2508" s="48" t="str">
        <f t="shared" si="2376"/>
        <v/>
      </c>
      <c r="S2508" s="26"/>
      <c r="T2508" s="49" t="str">
        <f t="shared" si="2484"/>
        <v/>
      </c>
      <c r="U2508" s="24"/>
      <c r="V2508" s="66">
        <v>128.0</v>
      </c>
      <c r="W2508" s="29" t="str">
        <f t="shared" si="2024"/>
        <v>/</v>
      </c>
      <c r="X2508" s="37" t="s">
        <v>1154</v>
      </c>
      <c r="Y2508" s="31"/>
      <c r="Z2508" s="26" t="str">
        <f t="shared" si="5"/>
        <v/>
      </c>
      <c r="AA2508" s="26" t="str">
        <f t="shared" si="6"/>
        <v/>
      </c>
      <c r="AB2508" s="32" t="str">
        <f t="shared" si="7"/>
        <v/>
      </c>
      <c r="AC2508" s="32" t="str">
        <f t="shared" ref="AC2508:AG2508" si="2540">IF(J2508&lt;&gt;"", IF(AND($P2508=FALSE, $A2508=FALSE), -J2508, IF(AND($P2508=FALSE, $A2508=TRUE), 0, IF($P2508=TRUE, (J2508 / $R2508) * 100 * ($S2508 / 100)-J2508, ))), )</f>
        <v/>
      </c>
      <c r="AD2508" s="32" t="str">
        <f t="shared" si="2540"/>
        <v/>
      </c>
      <c r="AE2508" s="32" t="str">
        <f t="shared" si="2540"/>
        <v/>
      </c>
      <c r="AF2508" s="32" t="str">
        <f t="shared" si="2540"/>
        <v/>
      </c>
      <c r="AG2508" s="32" t="str">
        <f t="shared" si="2540"/>
        <v/>
      </c>
      <c r="AH2508" s="33"/>
    </row>
    <row r="2509" hidden="1" outlineLevel="2" collapsed="1">
      <c r="A2509" s="16" t="b">
        <v>0</v>
      </c>
      <c r="B2509" s="17"/>
      <c r="C2509" s="18"/>
      <c r="D2509" s="42">
        <v>45550.0</v>
      </c>
      <c r="E2509" s="20" t="s">
        <v>24</v>
      </c>
      <c r="F2509" s="53" t="s">
        <v>1534</v>
      </c>
      <c r="G2509" s="45">
        <v>2.0</v>
      </c>
      <c r="H2509" s="45"/>
      <c r="I2509" s="45">
        <v>2.0</v>
      </c>
      <c r="J2509" s="36"/>
      <c r="K2509" s="23"/>
      <c r="L2509" s="36"/>
      <c r="M2509" s="23"/>
      <c r="N2509" s="23"/>
      <c r="O2509" s="24"/>
      <c r="P2509" s="16" t="b">
        <v>0</v>
      </c>
      <c r="Q2509" s="24"/>
      <c r="R2509" s="48">
        <f t="shared" si="2376"/>
        <v>4</v>
      </c>
      <c r="S2509" s="26">
        <v>27.27</v>
      </c>
      <c r="T2509" s="49" t="str">
        <f t="shared" si="2484"/>
        <v>+582</v>
      </c>
      <c r="U2509" s="24"/>
      <c r="V2509" s="28" t="str">
        <f>IF(ISBLANK($D2509), "0",)</f>
        <v/>
      </c>
      <c r="W2509" s="29" t="str">
        <f t="shared" si="2024"/>
        <v/>
      </c>
      <c r="X2509" s="30"/>
      <c r="Y2509" s="31"/>
      <c r="Z2509" s="26">
        <f t="shared" si="5"/>
        <v>-2</v>
      </c>
      <c r="AA2509" s="26">
        <f t="shared" si="6"/>
        <v>-2</v>
      </c>
      <c r="AB2509" s="32" t="str">
        <f t="shared" si="7"/>
        <v/>
      </c>
      <c r="AC2509" s="32" t="str">
        <f t="shared" ref="AC2509:AG2509" si="2541">IF(J2509&lt;&gt;"", IF(AND($P2509=FALSE, $A2509=FALSE), -J2509, IF(AND($P2509=FALSE, $A2509=TRUE), 0, IF($P2509=TRUE, (J2509 / $R2509) * 100 * ($S2509 / 100)-J2509, ))), )</f>
        <v/>
      </c>
      <c r="AD2509" s="32" t="str">
        <f t="shared" si="2541"/>
        <v/>
      </c>
      <c r="AE2509" s="32" t="str">
        <f t="shared" si="2541"/>
        <v/>
      </c>
      <c r="AF2509" s="32" t="str">
        <f t="shared" si="2541"/>
        <v/>
      </c>
      <c r="AG2509" s="32" t="str">
        <f t="shared" si="2541"/>
        <v/>
      </c>
      <c r="AH2509" s="33"/>
    </row>
    <row r="2510" hidden="1" outlineLevel="3">
      <c r="A2510" s="16" t="b">
        <v>0</v>
      </c>
      <c r="B2510" s="17"/>
      <c r="C2510" s="18"/>
      <c r="D2510" s="42"/>
      <c r="E2510" s="20"/>
      <c r="F2510" s="53"/>
      <c r="G2510" s="45"/>
      <c r="H2510" s="45"/>
      <c r="I2510" s="45"/>
      <c r="J2510" s="36"/>
      <c r="K2510" s="23"/>
      <c r="L2510" s="36"/>
      <c r="M2510" s="23"/>
      <c r="N2510" s="23"/>
      <c r="O2510" s="24"/>
      <c r="P2510" s="16" t="b">
        <v>0</v>
      </c>
      <c r="Q2510" s="24"/>
      <c r="R2510" s="48" t="str">
        <f t="shared" si="2376"/>
        <v/>
      </c>
      <c r="S2510" s="26"/>
      <c r="T2510" s="49" t="str">
        <f t="shared" si="2484"/>
        <v/>
      </c>
      <c r="U2510" s="24"/>
      <c r="V2510" s="75" t="s">
        <v>29</v>
      </c>
      <c r="W2510" s="29" t="str">
        <f t="shared" si="2024"/>
        <v>/</v>
      </c>
      <c r="X2510" s="37" t="s">
        <v>1527</v>
      </c>
      <c r="Y2510" s="31"/>
      <c r="Z2510" s="26" t="str">
        <f t="shared" si="5"/>
        <v/>
      </c>
      <c r="AA2510" s="26" t="str">
        <f t="shared" si="6"/>
        <v/>
      </c>
      <c r="AB2510" s="32" t="str">
        <f t="shared" si="7"/>
        <v/>
      </c>
      <c r="AC2510" s="32" t="str">
        <f t="shared" ref="AC2510:AG2510" si="2542">IF(J2510&lt;&gt;"", IF(AND($P2510=FALSE, $A2510=FALSE), -J2510, IF(AND($P2510=FALSE, $A2510=TRUE), 0, IF($P2510=TRUE, (J2510 / $R2510) * 100 * ($S2510 / 100)-J2510, ))), )</f>
        <v/>
      </c>
      <c r="AD2510" s="32" t="str">
        <f t="shared" si="2542"/>
        <v/>
      </c>
      <c r="AE2510" s="32" t="str">
        <f t="shared" si="2542"/>
        <v/>
      </c>
      <c r="AF2510" s="32" t="str">
        <f t="shared" si="2542"/>
        <v/>
      </c>
      <c r="AG2510" s="32" t="str">
        <f t="shared" si="2542"/>
        <v/>
      </c>
      <c r="AH2510" s="33"/>
    </row>
    <row r="2511" hidden="1" outlineLevel="3">
      <c r="A2511" s="16" t="b">
        <v>0</v>
      </c>
      <c r="B2511" s="17"/>
      <c r="C2511" s="18"/>
      <c r="D2511" s="42"/>
      <c r="E2511" s="20"/>
      <c r="F2511" s="53"/>
      <c r="G2511" s="45"/>
      <c r="H2511" s="45"/>
      <c r="I2511" s="45"/>
      <c r="J2511" s="36"/>
      <c r="K2511" s="23"/>
      <c r="L2511" s="36"/>
      <c r="M2511" s="23"/>
      <c r="N2511" s="23"/>
      <c r="O2511" s="24"/>
      <c r="P2511" s="16" t="b">
        <v>0</v>
      </c>
      <c r="Q2511" s="24"/>
      <c r="R2511" s="48" t="str">
        <f t="shared" si="2376"/>
        <v/>
      </c>
      <c r="S2511" s="26"/>
      <c r="T2511" s="49" t="str">
        <f t="shared" si="2484"/>
        <v/>
      </c>
      <c r="U2511" s="24"/>
      <c r="V2511" s="75" t="s">
        <v>29</v>
      </c>
      <c r="W2511" s="29" t="str">
        <f t="shared" si="2024"/>
        <v>/</v>
      </c>
      <c r="X2511" s="37" t="s">
        <v>872</v>
      </c>
      <c r="Y2511" s="31"/>
      <c r="Z2511" s="26" t="str">
        <f t="shared" si="5"/>
        <v/>
      </c>
      <c r="AA2511" s="26" t="str">
        <f t="shared" si="6"/>
        <v/>
      </c>
      <c r="AB2511" s="32" t="str">
        <f t="shared" si="7"/>
        <v/>
      </c>
      <c r="AC2511" s="32" t="str">
        <f t="shared" ref="AC2511:AG2511" si="2543">IF(J2511&lt;&gt;"", IF(AND($P2511=FALSE, $A2511=FALSE), -J2511, IF(AND($P2511=FALSE, $A2511=TRUE), 0, IF($P2511=TRUE, (J2511 / $R2511) * 100 * ($S2511 / 100)-J2511, ))), )</f>
        <v/>
      </c>
      <c r="AD2511" s="32" t="str">
        <f t="shared" si="2543"/>
        <v/>
      </c>
      <c r="AE2511" s="32" t="str">
        <f t="shared" si="2543"/>
        <v/>
      </c>
      <c r="AF2511" s="32" t="str">
        <f t="shared" si="2543"/>
        <v/>
      </c>
      <c r="AG2511" s="32" t="str">
        <f t="shared" si="2543"/>
        <v/>
      </c>
      <c r="AH2511" s="33"/>
    </row>
    <row r="2512" hidden="1" outlineLevel="3">
      <c r="A2512" s="16" t="b">
        <v>0</v>
      </c>
      <c r="B2512" s="17"/>
      <c r="C2512" s="18"/>
      <c r="D2512" s="42"/>
      <c r="E2512" s="20"/>
      <c r="F2512" s="53"/>
      <c r="G2512" s="45"/>
      <c r="H2512" s="45"/>
      <c r="I2512" s="45"/>
      <c r="J2512" s="36"/>
      <c r="K2512" s="23"/>
      <c r="L2512" s="36"/>
      <c r="M2512" s="23"/>
      <c r="N2512" s="23"/>
      <c r="O2512" s="24"/>
      <c r="P2512" s="16" t="b">
        <v>0</v>
      </c>
      <c r="Q2512" s="24"/>
      <c r="R2512" s="48" t="str">
        <f t="shared" si="2376"/>
        <v/>
      </c>
      <c r="S2512" s="26"/>
      <c r="T2512" s="49" t="str">
        <f t="shared" si="2484"/>
        <v/>
      </c>
      <c r="U2512" s="24"/>
      <c r="V2512" s="75" t="s">
        <v>29</v>
      </c>
      <c r="W2512" s="29" t="str">
        <f t="shared" si="2024"/>
        <v>/</v>
      </c>
      <c r="X2512" s="37" t="s">
        <v>1093</v>
      </c>
      <c r="Y2512" s="31"/>
      <c r="Z2512" s="26" t="str">
        <f t="shared" si="5"/>
        <v/>
      </c>
      <c r="AA2512" s="26" t="str">
        <f t="shared" si="6"/>
        <v/>
      </c>
      <c r="AB2512" s="32" t="str">
        <f t="shared" si="7"/>
        <v/>
      </c>
      <c r="AC2512" s="32" t="str">
        <f t="shared" ref="AC2512:AG2512" si="2544">IF(J2512&lt;&gt;"", IF(AND($P2512=FALSE, $A2512=FALSE), -J2512, IF(AND($P2512=FALSE, $A2512=TRUE), 0, IF($P2512=TRUE, (J2512 / $R2512) * 100 * ($S2512 / 100)-J2512, ))), )</f>
        <v/>
      </c>
      <c r="AD2512" s="32" t="str">
        <f t="shared" si="2544"/>
        <v/>
      </c>
      <c r="AE2512" s="32" t="str">
        <f t="shared" si="2544"/>
        <v/>
      </c>
      <c r="AF2512" s="32" t="str">
        <f t="shared" si="2544"/>
        <v/>
      </c>
      <c r="AG2512" s="32" t="str">
        <f t="shared" si="2544"/>
        <v/>
      </c>
      <c r="AH2512" s="33"/>
    </row>
    <row r="2513" hidden="1" outlineLevel="3">
      <c r="A2513" s="16" t="b">
        <v>0</v>
      </c>
      <c r="B2513" s="17"/>
      <c r="C2513" s="18"/>
      <c r="D2513" s="42"/>
      <c r="E2513" s="20"/>
      <c r="F2513" s="53"/>
      <c r="G2513" s="45"/>
      <c r="H2513" s="45"/>
      <c r="I2513" s="45"/>
      <c r="J2513" s="36"/>
      <c r="K2513" s="23"/>
      <c r="L2513" s="36"/>
      <c r="M2513" s="23"/>
      <c r="N2513" s="23"/>
      <c r="O2513" s="24"/>
      <c r="P2513" s="16" t="b">
        <v>0</v>
      </c>
      <c r="Q2513" s="24"/>
      <c r="R2513" s="48" t="str">
        <f t="shared" si="2376"/>
        <v/>
      </c>
      <c r="S2513" s="26"/>
      <c r="T2513" s="49" t="str">
        <f t="shared" si="2484"/>
        <v/>
      </c>
      <c r="U2513" s="24"/>
      <c r="V2513" s="28" t="str">
        <f t="shared" ref="V2513:V2514" si="2546">IF(ISBLANK($D2513), "0",)</f>
        <v>0</v>
      </c>
      <c r="W2513" s="29" t="str">
        <f t="shared" si="2024"/>
        <v>/</v>
      </c>
      <c r="X2513" s="37" t="s">
        <v>1494</v>
      </c>
      <c r="Y2513" s="31"/>
      <c r="Z2513" s="26" t="str">
        <f t="shared" si="5"/>
        <v/>
      </c>
      <c r="AA2513" s="26" t="str">
        <f t="shared" si="6"/>
        <v/>
      </c>
      <c r="AB2513" s="32" t="str">
        <f t="shared" si="7"/>
        <v/>
      </c>
      <c r="AC2513" s="32" t="str">
        <f t="shared" ref="AC2513:AG2513" si="2545">IF(J2513&lt;&gt;"", IF(AND($P2513=FALSE, $A2513=FALSE), -J2513, IF(AND($P2513=FALSE, $A2513=TRUE), 0, IF($P2513=TRUE, (J2513 / $R2513) * 100 * ($S2513 / 100)-J2513, ))), )</f>
        <v/>
      </c>
      <c r="AD2513" s="32" t="str">
        <f t="shared" si="2545"/>
        <v/>
      </c>
      <c r="AE2513" s="32" t="str">
        <f t="shared" si="2545"/>
        <v/>
      </c>
      <c r="AF2513" s="32" t="str">
        <f t="shared" si="2545"/>
        <v/>
      </c>
      <c r="AG2513" s="32" t="str">
        <f t="shared" si="2545"/>
        <v/>
      </c>
      <c r="AH2513" s="33"/>
    </row>
    <row r="2514" hidden="1" outlineLevel="2" collapsed="1">
      <c r="A2514" s="16" t="b">
        <v>0</v>
      </c>
      <c r="B2514" s="17"/>
      <c r="C2514" s="18"/>
      <c r="D2514" s="42">
        <v>45550.0</v>
      </c>
      <c r="E2514" s="20" t="s">
        <v>24</v>
      </c>
      <c r="F2514" s="53" t="s">
        <v>1534</v>
      </c>
      <c r="G2514" s="45">
        <v>2.0</v>
      </c>
      <c r="H2514" s="45"/>
      <c r="I2514" s="45">
        <v>2.0</v>
      </c>
      <c r="J2514" s="36"/>
      <c r="K2514" s="23"/>
      <c r="L2514" s="36"/>
      <c r="M2514" s="23"/>
      <c r="N2514" s="23"/>
      <c r="O2514" s="24"/>
      <c r="P2514" s="16" t="b">
        <v>1</v>
      </c>
      <c r="Q2514" s="24"/>
      <c r="R2514" s="48">
        <f t="shared" si="2376"/>
        <v>4</v>
      </c>
      <c r="S2514" s="26">
        <v>8.2</v>
      </c>
      <c r="T2514" s="49" t="str">
        <f t="shared" si="2484"/>
        <v>+105</v>
      </c>
      <c r="U2514" s="24"/>
      <c r="V2514" s="28" t="str">
        <f t="shared" si="2546"/>
        <v/>
      </c>
      <c r="W2514" s="29" t="str">
        <f t="shared" si="2024"/>
        <v/>
      </c>
      <c r="X2514" s="30"/>
      <c r="Y2514" s="31"/>
      <c r="Z2514" s="26">
        <f t="shared" si="5"/>
        <v>2.1</v>
      </c>
      <c r="AA2514" s="26">
        <f t="shared" si="6"/>
        <v>2.1</v>
      </c>
      <c r="AB2514" s="32" t="str">
        <f t="shared" si="7"/>
        <v/>
      </c>
      <c r="AC2514" s="32" t="str">
        <f t="shared" ref="AC2514:AG2514" si="2547">IF(J2514&lt;&gt;"", IF(AND($P2514=FALSE, $A2514=FALSE), -J2514, IF(AND($P2514=FALSE, $A2514=TRUE), 0, IF($P2514=TRUE, (J2514 / $R2514) * 100 * ($S2514 / 100)-J2514, ))), )</f>
        <v/>
      </c>
      <c r="AD2514" s="32" t="str">
        <f t="shared" si="2547"/>
        <v/>
      </c>
      <c r="AE2514" s="32" t="str">
        <f t="shared" si="2547"/>
        <v/>
      </c>
      <c r="AF2514" s="32" t="str">
        <f t="shared" si="2547"/>
        <v/>
      </c>
      <c r="AG2514" s="32" t="str">
        <f t="shared" si="2547"/>
        <v/>
      </c>
      <c r="AH2514" s="33"/>
    </row>
    <row r="2515" hidden="1" outlineLevel="3">
      <c r="A2515" s="16" t="b">
        <v>0</v>
      </c>
      <c r="B2515" s="17"/>
      <c r="C2515" s="18"/>
      <c r="D2515" s="42"/>
      <c r="E2515" s="20"/>
      <c r="F2515" s="53"/>
      <c r="G2515" s="45"/>
      <c r="H2515" s="45"/>
      <c r="I2515" s="45"/>
      <c r="J2515" s="36"/>
      <c r="K2515" s="23"/>
      <c r="L2515" s="36"/>
      <c r="M2515" s="23"/>
      <c r="N2515" s="23"/>
      <c r="O2515" s="24"/>
      <c r="P2515" s="16" t="b">
        <v>0</v>
      </c>
      <c r="Q2515" s="24"/>
      <c r="R2515" s="48" t="str">
        <f t="shared" si="2376"/>
        <v/>
      </c>
      <c r="S2515" s="26"/>
      <c r="T2515" s="49" t="str">
        <f t="shared" si="2484"/>
        <v/>
      </c>
      <c r="U2515" s="24"/>
      <c r="V2515" s="75" t="s">
        <v>29</v>
      </c>
      <c r="W2515" s="29" t="str">
        <f t="shared" si="2024"/>
        <v>/</v>
      </c>
      <c r="X2515" s="37" t="s">
        <v>1559</v>
      </c>
      <c r="Y2515" s="31"/>
      <c r="Z2515" s="26" t="str">
        <f t="shared" si="5"/>
        <v/>
      </c>
      <c r="AA2515" s="26" t="str">
        <f t="shared" si="6"/>
        <v/>
      </c>
      <c r="AB2515" s="32" t="str">
        <f t="shared" si="7"/>
        <v/>
      </c>
      <c r="AC2515" s="32" t="str">
        <f t="shared" ref="AC2515:AG2515" si="2548">IF(J2515&lt;&gt;"", IF(AND($P2515=FALSE, $A2515=FALSE), -J2515, IF(AND($P2515=FALSE, $A2515=TRUE), 0, IF($P2515=TRUE, (J2515 / $R2515) * 100 * ($S2515 / 100)-J2515, ))), )</f>
        <v/>
      </c>
      <c r="AD2515" s="32" t="str">
        <f t="shared" si="2548"/>
        <v/>
      </c>
      <c r="AE2515" s="32" t="str">
        <f t="shared" si="2548"/>
        <v/>
      </c>
      <c r="AF2515" s="32" t="str">
        <f t="shared" si="2548"/>
        <v/>
      </c>
      <c r="AG2515" s="32" t="str">
        <f t="shared" si="2548"/>
        <v/>
      </c>
      <c r="AH2515" s="33"/>
    </row>
    <row r="2516" hidden="1" outlineLevel="3">
      <c r="A2516" s="16" t="b">
        <v>0</v>
      </c>
      <c r="B2516" s="17"/>
      <c r="C2516" s="18"/>
      <c r="D2516" s="42"/>
      <c r="E2516" s="20"/>
      <c r="F2516" s="53"/>
      <c r="G2516" s="45"/>
      <c r="H2516" s="45"/>
      <c r="I2516" s="45"/>
      <c r="J2516" s="36"/>
      <c r="K2516" s="23"/>
      <c r="L2516" s="36"/>
      <c r="M2516" s="23"/>
      <c r="N2516" s="23"/>
      <c r="O2516" s="24"/>
      <c r="P2516" s="16" t="b">
        <v>0</v>
      </c>
      <c r="Q2516" s="24"/>
      <c r="R2516" s="48" t="str">
        <f t="shared" si="2376"/>
        <v/>
      </c>
      <c r="S2516" s="26"/>
      <c r="T2516" s="49" t="str">
        <f t="shared" si="2484"/>
        <v/>
      </c>
      <c r="U2516" s="24"/>
      <c r="V2516" s="75" t="s">
        <v>29</v>
      </c>
      <c r="W2516" s="29" t="str">
        <f t="shared" si="2024"/>
        <v>/</v>
      </c>
      <c r="X2516" s="37" t="s">
        <v>1560</v>
      </c>
      <c r="Y2516" s="31"/>
      <c r="Z2516" s="26" t="str">
        <f t="shared" si="5"/>
        <v/>
      </c>
      <c r="AA2516" s="26" t="str">
        <f t="shared" si="6"/>
        <v/>
      </c>
      <c r="AB2516" s="32" t="str">
        <f t="shared" si="7"/>
        <v/>
      </c>
      <c r="AC2516" s="32" t="str">
        <f t="shared" ref="AC2516:AG2516" si="2549">IF(J2516&lt;&gt;"", IF(AND($P2516=FALSE, $A2516=FALSE), -J2516, IF(AND($P2516=FALSE, $A2516=TRUE), 0, IF($P2516=TRUE, (J2516 / $R2516) * 100 * ($S2516 / 100)-J2516, ))), )</f>
        <v/>
      </c>
      <c r="AD2516" s="32" t="str">
        <f t="shared" si="2549"/>
        <v/>
      </c>
      <c r="AE2516" s="32" t="str">
        <f t="shared" si="2549"/>
        <v/>
      </c>
      <c r="AF2516" s="32" t="str">
        <f t="shared" si="2549"/>
        <v/>
      </c>
      <c r="AG2516" s="32" t="str">
        <f t="shared" si="2549"/>
        <v/>
      </c>
      <c r="AH2516" s="33"/>
    </row>
    <row r="2517" hidden="1" outlineLevel="2">
      <c r="A2517" s="16" t="b">
        <v>0</v>
      </c>
      <c r="B2517" s="17"/>
      <c r="C2517" s="18"/>
      <c r="D2517" s="42">
        <v>45550.0</v>
      </c>
      <c r="E2517" s="20" t="s">
        <v>24</v>
      </c>
      <c r="F2517" s="53" t="s">
        <v>1534</v>
      </c>
      <c r="G2517" s="45">
        <v>2.0</v>
      </c>
      <c r="H2517" s="45"/>
      <c r="I2517" s="45"/>
      <c r="J2517" s="36"/>
      <c r="K2517" s="23"/>
      <c r="L2517" s="36"/>
      <c r="M2517" s="23"/>
      <c r="N2517" s="23"/>
      <c r="O2517" s="24"/>
      <c r="P2517" s="16" t="b">
        <v>0</v>
      </c>
      <c r="Q2517" s="24"/>
      <c r="R2517" s="48">
        <f t="shared" si="2376"/>
        <v>2</v>
      </c>
      <c r="S2517" s="26">
        <v>26.81</v>
      </c>
      <c r="T2517" s="49" t="str">
        <f t="shared" si="2484"/>
        <v>+1241</v>
      </c>
      <c r="U2517" s="24"/>
      <c r="V2517" s="28" t="str">
        <f>IF(ISBLANK($D2517), "0",)</f>
        <v/>
      </c>
      <c r="W2517" s="29" t="str">
        <f t="shared" si="2024"/>
        <v/>
      </c>
      <c r="X2517" s="30"/>
      <c r="Y2517" s="31"/>
      <c r="Z2517" s="26">
        <f t="shared" si="5"/>
        <v>-2</v>
      </c>
      <c r="AA2517" s="26" t="str">
        <f t="shared" si="6"/>
        <v/>
      </c>
      <c r="AB2517" s="32" t="str">
        <f t="shared" si="7"/>
        <v/>
      </c>
      <c r="AC2517" s="32" t="str">
        <f t="shared" ref="AC2517:AG2517" si="2550">IF(J2517&lt;&gt;"", IF(AND($P2517=FALSE, $A2517=FALSE), -J2517, IF(AND($P2517=FALSE, $A2517=TRUE), 0, IF($P2517=TRUE, (J2517 / $R2517) * 100 * ($S2517 / 100)-J2517, ))), )</f>
        <v/>
      </c>
      <c r="AD2517" s="32" t="str">
        <f t="shared" si="2550"/>
        <v/>
      </c>
      <c r="AE2517" s="32" t="str">
        <f t="shared" si="2550"/>
        <v/>
      </c>
      <c r="AF2517" s="32" t="str">
        <f t="shared" si="2550"/>
        <v/>
      </c>
      <c r="AG2517" s="32" t="str">
        <f t="shared" si="2550"/>
        <v/>
      </c>
      <c r="AH2517" s="33"/>
    </row>
    <row r="2518" hidden="1" outlineLevel="3">
      <c r="A2518" s="16" t="b">
        <v>0</v>
      </c>
      <c r="B2518" s="17"/>
      <c r="C2518" s="18"/>
      <c r="D2518" s="42"/>
      <c r="E2518" s="20"/>
      <c r="F2518" s="53"/>
      <c r="G2518" s="45"/>
      <c r="H2518" s="45"/>
      <c r="I2518" s="45"/>
      <c r="J2518" s="36"/>
      <c r="K2518" s="23"/>
      <c r="L2518" s="36"/>
      <c r="M2518" s="23"/>
      <c r="N2518" s="23"/>
      <c r="O2518" s="24"/>
      <c r="P2518" s="16" t="b">
        <v>0</v>
      </c>
      <c r="Q2518" s="24"/>
      <c r="R2518" s="48" t="str">
        <f t="shared" si="2376"/>
        <v/>
      </c>
      <c r="S2518" s="26"/>
      <c r="T2518" s="49" t="str">
        <f t="shared" si="2484"/>
        <v/>
      </c>
      <c r="U2518" s="24"/>
      <c r="V2518" s="66">
        <v>56.0</v>
      </c>
      <c r="W2518" s="29" t="str">
        <f t="shared" si="2024"/>
        <v>/</v>
      </c>
      <c r="X2518" s="37" t="s">
        <v>1561</v>
      </c>
      <c r="Y2518" s="31"/>
      <c r="Z2518" s="26" t="str">
        <f t="shared" si="5"/>
        <v/>
      </c>
      <c r="AA2518" s="26" t="str">
        <f t="shared" si="6"/>
        <v/>
      </c>
      <c r="AB2518" s="32" t="str">
        <f t="shared" si="7"/>
        <v/>
      </c>
      <c r="AC2518" s="32" t="str">
        <f t="shared" ref="AC2518:AG2518" si="2551">IF(J2518&lt;&gt;"", IF(AND($P2518=FALSE, $A2518=FALSE), -J2518, IF(AND($P2518=FALSE, $A2518=TRUE), 0, IF($P2518=TRUE, (J2518 / $R2518) * 100 * ($S2518 / 100)-J2518, ))), )</f>
        <v/>
      </c>
      <c r="AD2518" s="32" t="str">
        <f t="shared" si="2551"/>
        <v/>
      </c>
      <c r="AE2518" s="32" t="str">
        <f t="shared" si="2551"/>
        <v/>
      </c>
      <c r="AF2518" s="32" t="str">
        <f t="shared" si="2551"/>
        <v/>
      </c>
      <c r="AG2518" s="32" t="str">
        <f t="shared" si="2551"/>
        <v/>
      </c>
      <c r="AH2518" s="33"/>
    </row>
    <row r="2519" hidden="1" outlineLevel="3">
      <c r="A2519" s="16" t="b">
        <v>0</v>
      </c>
      <c r="B2519" s="17"/>
      <c r="C2519" s="18"/>
      <c r="D2519" s="42"/>
      <c r="E2519" s="20"/>
      <c r="F2519" s="53"/>
      <c r="G2519" s="45"/>
      <c r="H2519" s="45"/>
      <c r="I2519" s="45"/>
      <c r="J2519" s="36"/>
      <c r="K2519" s="23"/>
      <c r="L2519" s="36"/>
      <c r="M2519" s="23"/>
      <c r="N2519" s="23"/>
      <c r="O2519" s="24"/>
      <c r="P2519" s="16" t="b">
        <v>0</v>
      </c>
      <c r="Q2519" s="24"/>
      <c r="R2519" s="48" t="str">
        <f t="shared" si="2376"/>
        <v/>
      </c>
      <c r="S2519" s="26"/>
      <c r="T2519" s="49" t="str">
        <f t="shared" si="2484"/>
        <v/>
      </c>
      <c r="U2519" s="24"/>
      <c r="V2519" s="75" t="s">
        <v>29</v>
      </c>
      <c r="W2519" s="29" t="str">
        <f t="shared" si="2024"/>
        <v>/</v>
      </c>
      <c r="X2519" s="37" t="s">
        <v>1562</v>
      </c>
      <c r="Y2519" s="31"/>
      <c r="Z2519" s="26" t="str">
        <f t="shared" si="5"/>
        <v/>
      </c>
      <c r="AA2519" s="26" t="str">
        <f t="shared" si="6"/>
        <v/>
      </c>
      <c r="AB2519" s="32" t="str">
        <f t="shared" si="7"/>
        <v/>
      </c>
      <c r="AC2519" s="32" t="str">
        <f t="shared" ref="AC2519:AG2519" si="2552">IF(J2519&lt;&gt;"", IF(AND($P2519=FALSE, $A2519=FALSE), -J2519, IF(AND($P2519=FALSE, $A2519=TRUE), 0, IF($P2519=TRUE, (J2519 / $R2519) * 100 * ($S2519 / 100)-J2519, ))), )</f>
        <v/>
      </c>
      <c r="AD2519" s="32" t="str">
        <f t="shared" si="2552"/>
        <v/>
      </c>
      <c r="AE2519" s="32" t="str">
        <f t="shared" si="2552"/>
        <v/>
      </c>
      <c r="AF2519" s="32" t="str">
        <f t="shared" si="2552"/>
        <v/>
      </c>
      <c r="AG2519" s="32" t="str">
        <f t="shared" si="2552"/>
        <v/>
      </c>
      <c r="AH2519" s="33"/>
    </row>
    <row r="2520" hidden="1" outlineLevel="3">
      <c r="A2520" s="16" t="b">
        <v>0</v>
      </c>
      <c r="B2520" s="17"/>
      <c r="C2520" s="18"/>
      <c r="D2520" s="42"/>
      <c r="E2520" s="20"/>
      <c r="F2520" s="53"/>
      <c r="G2520" s="45"/>
      <c r="H2520" s="45"/>
      <c r="I2520" s="45"/>
      <c r="J2520" s="36"/>
      <c r="K2520" s="23"/>
      <c r="L2520" s="36"/>
      <c r="M2520" s="23"/>
      <c r="N2520" s="23"/>
      <c r="O2520" s="24"/>
      <c r="P2520" s="16" t="b">
        <v>0</v>
      </c>
      <c r="Q2520" s="24"/>
      <c r="R2520" s="48" t="str">
        <f t="shared" si="2376"/>
        <v/>
      </c>
      <c r="S2520" s="26"/>
      <c r="T2520" s="49" t="str">
        <f t="shared" si="2484"/>
        <v/>
      </c>
      <c r="U2520" s="24"/>
      <c r="V2520" s="75" t="s">
        <v>29</v>
      </c>
      <c r="W2520" s="29" t="str">
        <f t="shared" si="2024"/>
        <v>/</v>
      </c>
      <c r="X2520" s="37" t="s">
        <v>1239</v>
      </c>
      <c r="Y2520" s="31"/>
      <c r="Z2520" s="26" t="str">
        <f t="shared" si="5"/>
        <v/>
      </c>
      <c r="AA2520" s="26" t="str">
        <f t="shared" si="6"/>
        <v/>
      </c>
      <c r="AB2520" s="32" t="str">
        <f t="shared" si="7"/>
        <v/>
      </c>
      <c r="AC2520" s="32" t="str">
        <f t="shared" ref="AC2520:AG2520" si="2553">IF(J2520&lt;&gt;"", IF(AND($P2520=FALSE, $A2520=FALSE), -J2520, IF(AND($P2520=FALSE, $A2520=TRUE), 0, IF($P2520=TRUE, (J2520 / $R2520) * 100 * ($S2520 / 100)-J2520, ))), )</f>
        <v/>
      </c>
      <c r="AD2520" s="32" t="str">
        <f t="shared" si="2553"/>
        <v/>
      </c>
      <c r="AE2520" s="32" t="str">
        <f t="shared" si="2553"/>
        <v/>
      </c>
      <c r="AF2520" s="32" t="str">
        <f t="shared" si="2553"/>
        <v/>
      </c>
      <c r="AG2520" s="32" t="str">
        <f t="shared" si="2553"/>
        <v/>
      </c>
      <c r="AH2520" s="33"/>
    </row>
    <row r="2521" hidden="1" outlineLevel="3">
      <c r="A2521" s="16" t="b">
        <v>0</v>
      </c>
      <c r="B2521" s="17"/>
      <c r="C2521" s="18"/>
      <c r="D2521" s="42"/>
      <c r="E2521" s="20"/>
      <c r="F2521" s="53"/>
      <c r="G2521" s="45"/>
      <c r="H2521" s="45"/>
      <c r="I2521" s="45"/>
      <c r="J2521" s="36"/>
      <c r="K2521" s="23"/>
      <c r="L2521" s="36"/>
      <c r="M2521" s="23"/>
      <c r="N2521" s="23"/>
      <c r="O2521" s="24"/>
      <c r="P2521" s="16" t="b">
        <v>0</v>
      </c>
      <c r="Q2521" s="24"/>
      <c r="R2521" s="48" t="str">
        <f t="shared" si="2376"/>
        <v/>
      </c>
      <c r="S2521" s="26"/>
      <c r="T2521" s="49" t="str">
        <f t="shared" si="2484"/>
        <v/>
      </c>
      <c r="U2521" s="24"/>
      <c r="V2521" s="66">
        <v>43.0</v>
      </c>
      <c r="W2521" s="29" t="str">
        <f t="shared" si="2024"/>
        <v>/</v>
      </c>
      <c r="X2521" s="37" t="s">
        <v>1563</v>
      </c>
      <c r="Y2521" s="31"/>
      <c r="Z2521" s="26" t="str">
        <f t="shared" si="5"/>
        <v/>
      </c>
      <c r="AA2521" s="26" t="str">
        <f t="shared" si="6"/>
        <v/>
      </c>
      <c r="AB2521" s="32" t="str">
        <f t="shared" si="7"/>
        <v/>
      </c>
      <c r="AC2521" s="32" t="str">
        <f t="shared" ref="AC2521:AG2521" si="2554">IF(J2521&lt;&gt;"", IF(AND($P2521=FALSE, $A2521=FALSE), -J2521, IF(AND($P2521=FALSE, $A2521=TRUE), 0, IF($P2521=TRUE, (J2521 / $R2521) * 100 * ($S2521 / 100)-J2521, ))), )</f>
        <v/>
      </c>
      <c r="AD2521" s="32" t="str">
        <f t="shared" si="2554"/>
        <v/>
      </c>
      <c r="AE2521" s="32" t="str">
        <f t="shared" si="2554"/>
        <v/>
      </c>
      <c r="AF2521" s="32" t="str">
        <f t="shared" si="2554"/>
        <v/>
      </c>
      <c r="AG2521" s="32" t="str">
        <f t="shared" si="2554"/>
        <v/>
      </c>
      <c r="AH2521" s="33"/>
    </row>
    <row r="2522" hidden="1" outlineLevel="3">
      <c r="A2522" s="16" t="b">
        <v>0</v>
      </c>
      <c r="B2522" s="17"/>
      <c r="C2522" s="18"/>
      <c r="D2522" s="42"/>
      <c r="E2522" s="20"/>
      <c r="F2522" s="53"/>
      <c r="G2522" s="45"/>
      <c r="H2522" s="45"/>
      <c r="I2522" s="45"/>
      <c r="J2522" s="36"/>
      <c r="K2522" s="23"/>
      <c r="L2522" s="36"/>
      <c r="M2522" s="23"/>
      <c r="N2522" s="23"/>
      <c r="O2522" s="24"/>
      <c r="P2522" s="16" t="b">
        <v>0</v>
      </c>
      <c r="Q2522" s="24"/>
      <c r="R2522" s="48" t="str">
        <f t="shared" si="2376"/>
        <v/>
      </c>
      <c r="S2522" s="26"/>
      <c r="T2522" s="49" t="str">
        <f t="shared" si="2484"/>
        <v/>
      </c>
      <c r="U2522" s="24"/>
      <c r="V2522" s="75" t="s">
        <v>29</v>
      </c>
      <c r="W2522" s="29" t="str">
        <f t="shared" si="2024"/>
        <v>/</v>
      </c>
      <c r="X2522" s="37" t="s">
        <v>1564</v>
      </c>
      <c r="Y2522" s="31"/>
      <c r="Z2522" s="26" t="str">
        <f t="shared" si="5"/>
        <v/>
      </c>
      <c r="AA2522" s="26" t="str">
        <f t="shared" si="6"/>
        <v/>
      </c>
      <c r="AB2522" s="32" t="str">
        <f t="shared" si="7"/>
        <v/>
      </c>
      <c r="AC2522" s="32" t="str">
        <f t="shared" ref="AC2522:AG2522" si="2555">IF(J2522&lt;&gt;"", IF(AND($P2522=FALSE, $A2522=FALSE), -J2522, IF(AND($P2522=FALSE, $A2522=TRUE), 0, IF($P2522=TRUE, (J2522 / $R2522) * 100 * ($S2522 / 100)-J2522, ))), )</f>
        <v/>
      </c>
      <c r="AD2522" s="32" t="str">
        <f t="shared" si="2555"/>
        <v/>
      </c>
      <c r="AE2522" s="32" t="str">
        <f t="shared" si="2555"/>
        <v/>
      </c>
      <c r="AF2522" s="32" t="str">
        <f t="shared" si="2555"/>
        <v/>
      </c>
      <c r="AG2522" s="32" t="str">
        <f t="shared" si="2555"/>
        <v/>
      </c>
      <c r="AH2522" s="33"/>
    </row>
    <row r="2523" hidden="1" outlineLevel="3">
      <c r="A2523" s="16" t="b">
        <v>0</v>
      </c>
      <c r="B2523" s="17"/>
      <c r="C2523" s="18"/>
      <c r="D2523" s="42"/>
      <c r="E2523" s="20"/>
      <c r="F2523" s="53"/>
      <c r="G2523" s="45"/>
      <c r="H2523" s="45"/>
      <c r="I2523" s="45"/>
      <c r="J2523" s="36"/>
      <c r="K2523" s="23"/>
      <c r="L2523" s="36"/>
      <c r="M2523" s="23"/>
      <c r="N2523" s="23"/>
      <c r="O2523" s="24"/>
      <c r="P2523" s="16" t="b">
        <v>0</v>
      </c>
      <c r="Q2523" s="24"/>
      <c r="R2523" s="48" t="str">
        <f t="shared" si="2376"/>
        <v/>
      </c>
      <c r="S2523" s="26"/>
      <c r="T2523" s="49" t="str">
        <f t="shared" si="2484"/>
        <v/>
      </c>
      <c r="U2523" s="24"/>
      <c r="V2523" s="75" t="s">
        <v>29</v>
      </c>
      <c r="W2523" s="29" t="str">
        <f t="shared" si="2024"/>
        <v>/</v>
      </c>
      <c r="X2523" s="37" t="s">
        <v>676</v>
      </c>
      <c r="Y2523" s="31"/>
      <c r="Z2523" s="26" t="str">
        <f t="shared" si="5"/>
        <v/>
      </c>
      <c r="AA2523" s="26" t="str">
        <f t="shared" si="6"/>
        <v/>
      </c>
      <c r="AB2523" s="32" t="str">
        <f t="shared" si="7"/>
        <v/>
      </c>
      <c r="AC2523" s="32" t="str">
        <f t="shared" ref="AC2523:AG2523" si="2556">IF(J2523&lt;&gt;"", IF(AND($P2523=FALSE, $A2523=FALSE), -J2523, IF(AND($P2523=FALSE, $A2523=TRUE), 0, IF($P2523=TRUE, (J2523 / $R2523) * 100 * ($S2523 / 100)-J2523, ))), )</f>
        <v/>
      </c>
      <c r="AD2523" s="32" t="str">
        <f t="shared" si="2556"/>
        <v/>
      </c>
      <c r="AE2523" s="32" t="str">
        <f t="shared" si="2556"/>
        <v/>
      </c>
      <c r="AF2523" s="32" t="str">
        <f t="shared" si="2556"/>
        <v/>
      </c>
      <c r="AG2523" s="32" t="str">
        <f t="shared" si="2556"/>
        <v/>
      </c>
      <c r="AH2523" s="33"/>
    </row>
    <row r="2524" hidden="1" outlineLevel="1" collapsed="1">
      <c r="A2524" s="16" t="b">
        <v>0</v>
      </c>
      <c r="B2524" s="17"/>
      <c r="C2524" s="18"/>
      <c r="D2524" s="42">
        <v>45550.0</v>
      </c>
      <c r="E2524" s="20" t="s">
        <v>24</v>
      </c>
      <c r="F2524" s="53" t="s">
        <v>1534</v>
      </c>
      <c r="G2524" s="45">
        <v>4.0</v>
      </c>
      <c r="H2524" s="45"/>
      <c r="I2524" s="45">
        <v>10.0</v>
      </c>
      <c r="J2524" s="36"/>
      <c r="K2524" s="23"/>
      <c r="L2524" s="36"/>
      <c r="M2524" s="23"/>
      <c r="N2524" s="23"/>
      <c r="O2524" s="24"/>
      <c r="P2524" s="16" t="b">
        <v>0</v>
      </c>
      <c r="Q2524" s="24"/>
      <c r="R2524" s="48">
        <f t="shared" si="2376"/>
        <v>14</v>
      </c>
      <c r="S2524" s="26">
        <v>37.16</v>
      </c>
      <c r="T2524" s="49" t="str">
        <f t="shared" si="2484"/>
        <v>+165</v>
      </c>
      <c r="U2524" s="24"/>
      <c r="V2524" s="28" t="str">
        <f>IF(ISBLANK($D2524), "0",)</f>
        <v/>
      </c>
      <c r="W2524" s="29" t="str">
        <f t="shared" si="2024"/>
        <v/>
      </c>
      <c r="X2524" s="30"/>
      <c r="Y2524" s="31"/>
      <c r="Z2524" s="26">
        <f t="shared" si="5"/>
        <v>-4</v>
      </c>
      <c r="AA2524" s="26">
        <f t="shared" si="6"/>
        <v>-10</v>
      </c>
      <c r="AB2524" s="32" t="str">
        <f t="shared" si="7"/>
        <v/>
      </c>
      <c r="AC2524" s="32" t="str">
        <f t="shared" ref="AC2524:AG2524" si="2557">IF(J2524&lt;&gt;"", IF(AND($P2524=FALSE, $A2524=FALSE), -J2524, IF(AND($P2524=FALSE, $A2524=TRUE), 0, IF($P2524=TRUE, (J2524 / $R2524) * 100 * ($S2524 / 100)-J2524, ))), )</f>
        <v/>
      </c>
      <c r="AD2524" s="32" t="str">
        <f t="shared" si="2557"/>
        <v/>
      </c>
      <c r="AE2524" s="32" t="str">
        <f t="shared" si="2557"/>
        <v/>
      </c>
      <c r="AF2524" s="32" t="str">
        <f t="shared" si="2557"/>
        <v/>
      </c>
      <c r="AG2524" s="32" t="str">
        <f t="shared" si="2557"/>
        <v/>
      </c>
      <c r="AH2524" s="33"/>
    </row>
    <row r="2525" hidden="1" outlineLevel="3">
      <c r="A2525" s="16" t="b">
        <v>0</v>
      </c>
      <c r="B2525" s="17"/>
      <c r="C2525" s="18"/>
      <c r="D2525" s="42"/>
      <c r="E2525" s="20"/>
      <c r="F2525" s="53"/>
      <c r="G2525" s="45"/>
      <c r="H2525" s="45"/>
      <c r="I2525" s="45"/>
      <c r="J2525" s="36"/>
      <c r="K2525" s="23"/>
      <c r="L2525" s="36"/>
      <c r="M2525" s="23"/>
      <c r="N2525" s="23"/>
      <c r="O2525" s="24"/>
      <c r="P2525" s="16" t="b">
        <v>0</v>
      </c>
      <c r="Q2525" s="24"/>
      <c r="R2525" s="48" t="str">
        <f t="shared" si="2376"/>
        <v/>
      </c>
      <c r="S2525" s="26"/>
      <c r="T2525" s="49" t="str">
        <f t="shared" si="2484"/>
        <v/>
      </c>
      <c r="U2525" s="24"/>
      <c r="V2525" s="75" t="s">
        <v>29</v>
      </c>
      <c r="W2525" s="29" t="str">
        <f t="shared" si="2024"/>
        <v>/</v>
      </c>
      <c r="X2525" s="37" t="s">
        <v>1565</v>
      </c>
      <c r="Y2525" s="31"/>
      <c r="Z2525" s="26" t="str">
        <f t="shared" si="5"/>
        <v/>
      </c>
      <c r="AA2525" s="26" t="str">
        <f t="shared" si="6"/>
        <v/>
      </c>
      <c r="AB2525" s="32" t="str">
        <f t="shared" si="7"/>
        <v/>
      </c>
      <c r="AC2525" s="32" t="str">
        <f t="shared" ref="AC2525:AG2525" si="2558">IF(J2525&lt;&gt;"", IF(AND($P2525=FALSE, $A2525=FALSE), -J2525, IF(AND($P2525=FALSE, $A2525=TRUE), 0, IF($P2525=TRUE, (J2525 / $R2525) * 100 * ($S2525 / 100)-J2525, ))), )</f>
        <v/>
      </c>
      <c r="AD2525" s="32" t="str">
        <f t="shared" si="2558"/>
        <v/>
      </c>
      <c r="AE2525" s="32" t="str">
        <f t="shared" si="2558"/>
        <v/>
      </c>
      <c r="AF2525" s="32" t="str">
        <f t="shared" si="2558"/>
        <v/>
      </c>
      <c r="AG2525" s="32" t="str">
        <f t="shared" si="2558"/>
        <v/>
      </c>
      <c r="AH2525" s="33"/>
    </row>
    <row r="2526" hidden="1" outlineLevel="3">
      <c r="A2526" s="16" t="b">
        <v>0</v>
      </c>
      <c r="B2526" s="17"/>
      <c r="C2526" s="18"/>
      <c r="D2526" s="42"/>
      <c r="E2526" s="20"/>
      <c r="F2526" s="53"/>
      <c r="G2526" s="45"/>
      <c r="H2526" s="45"/>
      <c r="I2526" s="45"/>
      <c r="J2526" s="36"/>
      <c r="K2526" s="23"/>
      <c r="L2526" s="36"/>
      <c r="M2526" s="23"/>
      <c r="N2526" s="23"/>
      <c r="O2526" s="24"/>
      <c r="P2526" s="16" t="b">
        <v>0</v>
      </c>
      <c r="Q2526" s="24"/>
      <c r="R2526" s="48" t="str">
        <f t="shared" si="2376"/>
        <v/>
      </c>
      <c r="S2526" s="26"/>
      <c r="T2526" s="49" t="str">
        <f t="shared" si="2484"/>
        <v/>
      </c>
      <c r="U2526" s="24"/>
      <c r="V2526" s="75" t="s">
        <v>29</v>
      </c>
      <c r="W2526" s="29" t="str">
        <f t="shared" si="2024"/>
        <v>/</v>
      </c>
      <c r="X2526" s="37" t="s">
        <v>651</v>
      </c>
      <c r="Y2526" s="31"/>
      <c r="Z2526" s="26" t="str">
        <f t="shared" si="5"/>
        <v/>
      </c>
      <c r="AA2526" s="26" t="str">
        <f t="shared" si="6"/>
        <v/>
      </c>
      <c r="AB2526" s="32" t="str">
        <f t="shared" si="7"/>
        <v/>
      </c>
      <c r="AC2526" s="32" t="str">
        <f t="shared" ref="AC2526:AG2526" si="2559">IF(J2526&lt;&gt;"", IF(AND($P2526=FALSE, $A2526=FALSE), -J2526, IF(AND($P2526=FALSE, $A2526=TRUE), 0, IF($P2526=TRUE, (J2526 / $R2526) * 100 * ($S2526 / 100)-J2526, ))), )</f>
        <v/>
      </c>
      <c r="AD2526" s="32" t="str">
        <f t="shared" si="2559"/>
        <v/>
      </c>
      <c r="AE2526" s="32" t="str">
        <f t="shared" si="2559"/>
        <v/>
      </c>
      <c r="AF2526" s="32" t="str">
        <f t="shared" si="2559"/>
        <v/>
      </c>
      <c r="AG2526" s="32" t="str">
        <f t="shared" si="2559"/>
        <v/>
      </c>
      <c r="AH2526" s="33"/>
    </row>
    <row r="2527" hidden="1" outlineLevel="3">
      <c r="A2527" s="16" t="b">
        <v>0</v>
      </c>
      <c r="B2527" s="17"/>
      <c r="C2527" s="18"/>
      <c r="D2527" s="42"/>
      <c r="E2527" s="20"/>
      <c r="F2527" s="53"/>
      <c r="G2527" s="45"/>
      <c r="H2527" s="45"/>
      <c r="I2527" s="45"/>
      <c r="J2527" s="36"/>
      <c r="K2527" s="23"/>
      <c r="L2527" s="36"/>
      <c r="M2527" s="23"/>
      <c r="N2527" s="23"/>
      <c r="O2527" s="24"/>
      <c r="P2527" s="16" t="b">
        <v>0</v>
      </c>
      <c r="Q2527" s="24"/>
      <c r="R2527" s="48" t="str">
        <f t="shared" si="2376"/>
        <v/>
      </c>
      <c r="S2527" s="26"/>
      <c r="T2527" s="49" t="str">
        <f t="shared" si="2484"/>
        <v/>
      </c>
      <c r="U2527" s="24"/>
      <c r="V2527" s="66">
        <v>25.0</v>
      </c>
      <c r="W2527" s="29" t="str">
        <f t="shared" si="2024"/>
        <v>/</v>
      </c>
      <c r="X2527" s="37" t="s">
        <v>149</v>
      </c>
      <c r="Y2527" s="31"/>
      <c r="Z2527" s="26" t="str">
        <f t="shared" si="5"/>
        <v/>
      </c>
      <c r="AA2527" s="26" t="str">
        <f t="shared" si="6"/>
        <v/>
      </c>
      <c r="AB2527" s="32" t="str">
        <f t="shared" si="7"/>
        <v/>
      </c>
      <c r="AC2527" s="32" t="str">
        <f t="shared" ref="AC2527:AG2527" si="2560">IF(J2527&lt;&gt;"", IF(AND($P2527=FALSE, $A2527=FALSE), -J2527, IF(AND($P2527=FALSE, $A2527=TRUE), 0, IF($P2527=TRUE, (J2527 / $R2527) * 100 * ($S2527 / 100)-J2527, ))), )</f>
        <v/>
      </c>
      <c r="AD2527" s="32" t="str">
        <f t="shared" si="2560"/>
        <v/>
      </c>
      <c r="AE2527" s="32" t="str">
        <f t="shared" si="2560"/>
        <v/>
      </c>
      <c r="AF2527" s="32" t="str">
        <f t="shared" si="2560"/>
        <v/>
      </c>
      <c r="AG2527" s="32" t="str">
        <f t="shared" si="2560"/>
        <v/>
      </c>
      <c r="AH2527" s="33"/>
    </row>
    <row r="2528" hidden="1" outlineLevel="2">
      <c r="A2528" s="16" t="b">
        <v>0</v>
      </c>
      <c r="B2528" s="17"/>
      <c r="C2528" s="18"/>
      <c r="D2528" s="42">
        <v>45550.0</v>
      </c>
      <c r="E2528" s="20" t="s">
        <v>24</v>
      </c>
      <c r="F2528" s="53" t="s">
        <v>1534</v>
      </c>
      <c r="G2528" s="45">
        <v>1.0</v>
      </c>
      <c r="H2528" s="45"/>
      <c r="I2528" s="45"/>
      <c r="J2528" s="36"/>
      <c r="K2528" s="23"/>
      <c r="L2528" s="36"/>
      <c r="M2528" s="23"/>
      <c r="N2528" s="23"/>
      <c r="O2528" s="24"/>
      <c r="P2528" s="16" t="b">
        <v>0</v>
      </c>
      <c r="Q2528" s="24"/>
      <c r="R2528" s="48">
        <f t="shared" si="2376"/>
        <v>1</v>
      </c>
      <c r="S2528" s="26">
        <v>8.9</v>
      </c>
      <c r="T2528" s="49" t="str">
        <f t="shared" si="2484"/>
        <v>+790</v>
      </c>
      <c r="U2528" s="24"/>
      <c r="V2528" s="28" t="str">
        <f>IF(ISBLANK($D2528), "0",)</f>
        <v/>
      </c>
      <c r="W2528" s="29" t="str">
        <f t="shared" si="2024"/>
        <v/>
      </c>
      <c r="X2528" s="30"/>
      <c r="Y2528" s="31"/>
      <c r="Z2528" s="26">
        <f t="shared" si="5"/>
        <v>-1</v>
      </c>
      <c r="AA2528" s="26" t="str">
        <f t="shared" si="6"/>
        <v/>
      </c>
      <c r="AB2528" s="32" t="str">
        <f t="shared" si="7"/>
        <v/>
      </c>
      <c r="AC2528" s="32" t="str">
        <f t="shared" ref="AC2528:AG2528" si="2561">IF(J2528&lt;&gt;"", IF(AND($P2528=FALSE, $A2528=FALSE), -J2528, IF(AND($P2528=FALSE, $A2528=TRUE), 0, IF($P2528=TRUE, (J2528 / $R2528) * 100 * ($S2528 / 100)-J2528, ))), )</f>
        <v/>
      </c>
      <c r="AD2528" s="32" t="str">
        <f t="shared" si="2561"/>
        <v/>
      </c>
      <c r="AE2528" s="32" t="str">
        <f t="shared" si="2561"/>
        <v/>
      </c>
      <c r="AF2528" s="32" t="str">
        <f t="shared" si="2561"/>
        <v/>
      </c>
      <c r="AG2528" s="32" t="str">
        <f t="shared" si="2561"/>
        <v/>
      </c>
      <c r="AH2528" s="33"/>
    </row>
    <row r="2529" hidden="1" outlineLevel="3">
      <c r="A2529" s="16" t="b">
        <v>0</v>
      </c>
      <c r="B2529" s="17"/>
      <c r="C2529" s="18"/>
      <c r="D2529" s="42"/>
      <c r="E2529" s="20"/>
      <c r="F2529" s="53"/>
      <c r="G2529" s="45"/>
      <c r="H2529" s="45"/>
      <c r="I2529" s="45"/>
      <c r="J2529" s="36"/>
      <c r="K2529" s="23"/>
      <c r="L2529" s="36"/>
      <c r="M2529" s="23"/>
      <c r="N2529" s="23"/>
      <c r="O2529" s="24"/>
      <c r="P2529" s="16" t="b">
        <v>0</v>
      </c>
      <c r="Q2529" s="24"/>
      <c r="R2529" s="48" t="str">
        <f t="shared" si="2376"/>
        <v/>
      </c>
      <c r="S2529" s="26"/>
      <c r="T2529" s="49" t="str">
        <f t="shared" si="2484"/>
        <v/>
      </c>
      <c r="U2529" s="24"/>
      <c r="V2529" s="66">
        <v>94.0</v>
      </c>
      <c r="W2529" s="29" t="str">
        <f t="shared" si="2024"/>
        <v>/</v>
      </c>
      <c r="X2529" s="37" t="s">
        <v>1566</v>
      </c>
      <c r="Y2529" s="31"/>
      <c r="Z2529" s="26" t="str">
        <f t="shared" si="5"/>
        <v/>
      </c>
      <c r="AA2529" s="26" t="str">
        <f t="shared" si="6"/>
        <v/>
      </c>
      <c r="AB2529" s="32" t="str">
        <f t="shared" si="7"/>
        <v/>
      </c>
      <c r="AC2529" s="32" t="str">
        <f t="shared" ref="AC2529:AG2529" si="2562">IF(J2529&lt;&gt;"", IF(AND($P2529=FALSE, $A2529=FALSE), -J2529, IF(AND($P2529=FALSE, $A2529=TRUE), 0, IF($P2529=TRUE, (J2529 / $R2529) * 100 * ($S2529 / 100)-J2529, ))), )</f>
        <v/>
      </c>
      <c r="AD2529" s="32" t="str">
        <f t="shared" si="2562"/>
        <v/>
      </c>
      <c r="AE2529" s="32" t="str">
        <f t="shared" si="2562"/>
        <v/>
      </c>
      <c r="AF2529" s="32" t="str">
        <f t="shared" si="2562"/>
        <v/>
      </c>
      <c r="AG2529" s="32" t="str">
        <f t="shared" si="2562"/>
        <v/>
      </c>
      <c r="AH2529" s="33"/>
    </row>
    <row r="2530" hidden="1" outlineLevel="1" collapsed="1">
      <c r="A2530" s="95" t="b">
        <v>0</v>
      </c>
      <c r="B2530" s="96"/>
      <c r="C2530" s="18"/>
      <c r="D2530" s="42">
        <v>45551.0</v>
      </c>
      <c r="E2530" s="20" t="s">
        <v>24</v>
      </c>
      <c r="F2530" s="53" t="s">
        <v>1534</v>
      </c>
      <c r="G2530" s="97">
        <v>2.0</v>
      </c>
      <c r="H2530" s="97"/>
      <c r="I2530" s="97">
        <v>1.0</v>
      </c>
      <c r="J2530" s="98"/>
      <c r="K2530" s="99"/>
      <c r="L2530" s="98"/>
      <c r="M2530" s="99"/>
      <c r="N2530" s="99"/>
      <c r="O2530" s="18"/>
      <c r="P2530" s="100" t="b">
        <v>0</v>
      </c>
      <c r="Q2530" s="18"/>
      <c r="R2530" s="101">
        <f t="shared" si="2376"/>
        <v>3</v>
      </c>
      <c r="S2530" s="32">
        <v>7.8</v>
      </c>
      <c r="T2530" s="102" t="str">
        <f t="shared" si="2484"/>
        <v>+160</v>
      </c>
      <c r="U2530" s="18"/>
      <c r="V2530" s="103" t="str">
        <f>IF(ISBLANK($D2530), "0",)</f>
        <v/>
      </c>
      <c r="W2530" s="104" t="str">
        <f t="shared" si="2024"/>
        <v/>
      </c>
      <c r="X2530" s="105"/>
      <c r="Y2530" s="106"/>
      <c r="Z2530" s="26">
        <f t="shared" si="5"/>
        <v>-2</v>
      </c>
      <c r="AA2530" s="26">
        <f t="shared" si="6"/>
        <v>-1</v>
      </c>
      <c r="AB2530" s="32" t="str">
        <f t="shared" si="7"/>
        <v/>
      </c>
      <c r="AC2530" s="32" t="str">
        <f t="shared" ref="AC2530:AG2530" si="2563">IF(J2530&lt;&gt;"", IF(AND($P2530=FALSE, $A2530=FALSE), -J2530, IF(AND($P2530=FALSE, $A2530=TRUE), 0, IF($P2530=TRUE, (J2530 / $R2530) * 100 * ($S2530 / 100)-J2530, ))), )</f>
        <v/>
      </c>
      <c r="AD2530" s="32" t="str">
        <f t="shared" si="2563"/>
        <v/>
      </c>
      <c r="AE2530" s="32" t="str">
        <f t="shared" si="2563"/>
        <v/>
      </c>
      <c r="AF2530" s="32" t="str">
        <f t="shared" si="2563"/>
        <v/>
      </c>
      <c r="AG2530" s="32" t="str">
        <f t="shared" si="2563"/>
        <v/>
      </c>
      <c r="AH2530" s="33"/>
    </row>
    <row r="2531" hidden="1" outlineLevel="3">
      <c r="A2531" s="95" t="b">
        <v>0</v>
      </c>
      <c r="B2531" s="96"/>
      <c r="C2531" s="18"/>
      <c r="D2531" s="107"/>
      <c r="E2531" s="108"/>
      <c r="F2531" s="109"/>
      <c r="G2531" s="97"/>
      <c r="H2531" s="97"/>
      <c r="I2531" s="97"/>
      <c r="J2531" s="98"/>
      <c r="K2531" s="99"/>
      <c r="L2531" s="98"/>
      <c r="M2531" s="99"/>
      <c r="N2531" s="99"/>
      <c r="O2531" s="18"/>
      <c r="P2531" s="100" t="b">
        <v>0</v>
      </c>
      <c r="Q2531" s="18"/>
      <c r="R2531" s="101" t="str">
        <f t="shared" si="2376"/>
        <v/>
      </c>
      <c r="S2531" s="32"/>
      <c r="T2531" s="102" t="str">
        <f t="shared" si="2484"/>
        <v/>
      </c>
      <c r="U2531" s="18"/>
      <c r="V2531" s="110" t="s">
        <v>176</v>
      </c>
      <c r="W2531" s="104" t="str">
        <f t="shared" si="2024"/>
        <v>/</v>
      </c>
      <c r="X2531" s="111" t="s">
        <v>1567</v>
      </c>
      <c r="Y2531" s="106"/>
      <c r="Z2531" s="26" t="str">
        <f t="shared" si="5"/>
        <v/>
      </c>
      <c r="AA2531" s="26" t="str">
        <f t="shared" si="6"/>
        <v/>
      </c>
      <c r="AB2531" s="32" t="str">
        <f t="shared" si="7"/>
        <v/>
      </c>
      <c r="AC2531" s="32" t="str">
        <f t="shared" ref="AC2531:AG2531" si="2564">IF(J2531&lt;&gt;"", IF(AND($P2531=FALSE, $A2531=FALSE), -J2531, IF(AND($P2531=FALSE, $A2531=TRUE), 0, IF($P2531=TRUE, (J2531 / $R2531) * 100 * ($S2531 / 100)-J2531, ))), )</f>
        <v/>
      </c>
      <c r="AD2531" s="32" t="str">
        <f t="shared" si="2564"/>
        <v/>
      </c>
      <c r="AE2531" s="32" t="str">
        <f t="shared" si="2564"/>
        <v/>
      </c>
      <c r="AF2531" s="32" t="str">
        <f t="shared" si="2564"/>
        <v/>
      </c>
      <c r="AG2531" s="32" t="str">
        <f t="shared" si="2564"/>
        <v/>
      </c>
      <c r="AH2531" s="33"/>
    </row>
    <row r="2532" hidden="1" outlineLevel="3">
      <c r="A2532" s="95" t="b">
        <v>0</v>
      </c>
      <c r="B2532" s="96"/>
      <c r="C2532" s="18"/>
      <c r="D2532" s="107"/>
      <c r="E2532" s="108"/>
      <c r="F2532" s="109"/>
      <c r="G2532" s="97"/>
      <c r="H2532" s="97"/>
      <c r="I2532" s="97"/>
      <c r="J2532" s="98"/>
      <c r="K2532" s="99"/>
      <c r="L2532" s="98"/>
      <c r="M2532" s="99"/>
      <c r="N2532" s="99"/>
      <c r="O2532" s="18"/>
      <c r="P2532" s="100" t="b">
        <v>0</v>
      </c>
      <c r="Q2532" s="18"/>
      <c r="R2532" s="101" t="str">
        <f t="shared" si="2376"/>
        <v/>
      </c>
      <c r="S2532" s="32"/>
      <c r="T2532" s="102" t="str">
        <f t="shared" si="2484"/>
        <v/>
      </c>
      <c r="U2532" s="18"/>
      <c r="V2532" s="75" t="s">
        <v>29</v>
      </c>
      <c r="W2532" s="104" t="str">
        <f t="shared" si="2024"/>
        <v>/</v>
      </c>
      <c r="X2532" s="111" t="s">
        <v>1568</v>
      </c>
      <c r="Y2532" s="106"/>
      <c r="Z2532" s="26" t="str">
        <f t="shared" si="5"/>
        <v/>
      </c>
      <c r="AA2532" s="26" t="str">
        <f t="shared" si="6"/>
        <v/>
      </c>
      <c r="AB2532" s="32" t="str">
        <f t="shared" si="7"/>
        <v/>
      </c>
      <c r="AC2532" s="32" t="str">
        <f t="shared" ref="AC2532:AG2532" si="2565">IF(J2532&lt;&gt;"", IF(AND($P2532=FALSE, $A2532=FALSE), -J2532, IF(AND($P2532=FALSE, $A2532=TRUE), 0, IF($P2532=TRUE, (J2532 / $R2532) * 100 * ($S2532 / 100)-J2532, ))), )</f>
        <v/>
      </c>
      <c r="AD2532" s="32" t="str">
        <f t="shared" si="2565"/>
        <v/>
      </c>
      <c r="AE2532" s="32" t="str">
        <f t="shared" si="2565"/>
        <v/>
      </c>
      <c r="AF2532" s="32" t="str">
        <f t="shared" si="2565"/>
        <v/>
      </c>
      <c r="AG2532" s="32" t="str">
        <f t="shared" si="2565"/>
        <v/>
      </c>
      <c r="AH2532" s="33"/>
    </row>
    <row r="2533" hidden="1" outlineLevel="3">
      <c r="A2533" s="95" t="b">
        <v>0</v>
      </c>
      <c r="B2533" s="96"/>
      <c r="C2533" s="18"/>
      <c r="D2533" s="107"/>
      <c r="E2533" s="108"/>
      <c r="F2533" s="109"/>
      <c r="G2533" s="97"/>
      <c r="H2533" s="97"/>
      <c r="I2533" s="97"/>
      <c r="J2533" s="98"/>
      <c r="K2533" s="99"/>
      <c r="L2533" s="98"/>
      <c r="M2533" s="99"/>
      <c r="N2533" s="99"/>
      <c r="O2533" s="18"/>
      <c r="P2533" s="100" t="b">
        <v>0</v>
      </c>
      <c r="Q2533" s="18"/>
      <c r="R2533" s="101" t="str">
        <f t="shared" si="2376"/>
        <v/>
      </c>
      <c r="S2533" s="32"/>
      <c r="T2533" s="102" t="str">
        <f t="shared" si="2484"/>
        <v/>
      </c>
      <c r="U2533" s="18"/>
      <c r="V2533" s="75" t="s">
        <v>29</v>
      </c>
      <c r="W2533" s="104" t="str">
        <f t="shared" si="2024"/>
        <v>/</v>
      </c>
      <c r="X2533" s="111" t="s">
        <v>1569</v>
      </c>
      <c r="Y2533" s="106"/>
      <c r="Z2533" s="26" t="str">
        <f t="shared" si="5"/>
        <v/>
      </c>
      <c r="AA2533" s="26" t="str">
        <f t="shared" si="6"/>
        <v/>
      </c>
      <c r="AB2533" s="32" t="str">
        <f t="shared" si="7"/>
        <v/>
      </c>
      <c r="AC2533" s="32" t="str">
        <f t="shared" ref="AC2533:AG2533" si="2566">IF(J2533&lt;&gt;"", IF(AND($P2533=FALSE, $A2533=FALSE), -J2533, IF(AND($P2533=FALSE, $A2533=TRUE), 0, IF($P2533=TRUE, (J2533 / $R2533) * 100 * ($S2533 / 100)-J2533, ))), )</f>
        <v/>
      </c>
      <c r="AD2533" s="32" t="str">
        <f t="shared" si="2566"/>
        <v/>
      </c>
      <c r="AE2533" s="32" t="str">
        <f t="shared" si="2566"/>
        <v/>
      </c>
      <c r="AF2533" s="32" t="str">
        <f t="shared" si="2566"/>
        <v/>
      </c>
      <c r="AG2533" s="32" t="str">
        <f t="shared" si="2566"/>
        <v/>
      </c>
      <c r="AH2533" s="33"/>
    </row>
    <row r="2534" hidden="1" outlineLevel="3">
      <c r="A2534" s="95" t="b">
        <v>0</v>
      </c>
      <c r="B2534" s="96"/>
      <c r="C2534" s="18"/>
      <c r="D2534" s="107"/>
      <c r="E2534" s="108"/>
      <c r="F2534" s="109"/>
      <c r="G2534" s="97"/>
      <c r="H2534" s="97"/>
      <c r="I2534" s="97"/>
      <c r="J2534" s="98"/>
      <c r="K2534" s="99"/>
      <c r="L2534" s="98"/>
      <c r="M2534" s="99"/>
      <c r="N2534" s="99"/>
      <c r="O2534" s="18"/>
      <c r="P2534" s="100" t="b">
        <v>0</v>
      </c>
      <c r="Q2534" s="18"/>
      <c r="R2534" s="101" t="str">
        <f t="shared" si="2376"/>
        <v/>
      </c>
      <c r="S2534" s="32"/>
      <c r="T2534" s="102" t="str">
        <f t="shared" si="2484"/>
        <v/>
      </c>
      <c r="U2534" s="18"/>
      <c r="V2534" s="75" t="s">
        <v>29</v>
      </c>
      <c r="W2534" s="104" t="str">
        <f t="shared" si="2024"/>
        <v>/</v>
      </c>
      <c r="X2534" s="111" t="s">
        <v>1570</v>
      </c>
      <c r="Y2534" s="106"/>
      <c r="Z2534" s="26" t="str">
        <f t="shared" si="5"/>
        <v/>
      </c>
      <c r="AA2534" s="26" t="str">
        <f t="shared" si="6"/>
        <v/>
      </c>
      <c r="AB2534" s="32" t="str">
        <f t="shared" si="7"/>
        <v/>
      </c>
      <c r="AC2534" s="32" t="str">
        <f t="shared" ref="AC2534:AG2534" si="2567">IF(J2534&lt;&gt;"", IF(AND($P2534=FALSE, $A2534=FALSE), -J2534, IF(AND($P2534=FALSE, $A2534=TRUE), 0, IF($P2534=TRUE, (J2534 / $R2534) * 100 * ($S2534 / 100)-J2534, ))), )</f>
        <v/>
      </c>
      <c r="AD2534" s="32" t="str">
        <f t="shared" si="2567"/>
        <v/>
      </c>
      <c r="AE2534" s="32" t="str">
        <f t="shared" si="2567"/>
        <v/>
      </c>
      <c r="AF2534" s="32" t="str">
        <f t="shared" si="2567"/>
        <v/>
      </c>
      <c r="AG2534" s="32" t="str">
        <f t="shared" si="2567"/>
        <v/>
      </c>
      <c r="AH2534" s="33"/>
    </row>
    <row r="2535" hidden="1" outlineLevel="2" collapsed="1">
      <c r="A2535" s="95" t="b">
        <v>0</v>
      </c>
      <c r="B2535" s="96"/>
      <c r="C2535" s="18"/>
      <c r="D2535" s="42">
        <v>45551.0</v>
      </c>
      <c r="E2535" s="20" t="s">
        <v>24</v>
      </c>
      <c r="F2535" s="53" t="s">
        <v>1534</v>
      </c>
      <c r="G2535" s="97">
        <v>3.0</v>
      </c>
      <c r="H2535" s="97"/>
      <c r="I2535" s="97">
        <v>3.0</v>
      </c>
      <c r="J2535" s="98"/>
      <c r="K2535" s="99"/>
      <c r="L2535" s="98"/>
      <c r="M2535" s="99"/>
      <c r="N2535" s="99"/>
      <c r="O2535" s="18"/>
      <c r="P2535" s="100" t="b">
        <v>0</v>
      </c>
      <c r="Q2535" s="18"/>
      <c r="R2535" s="101">
        <f t="shared" si="2376"/>
        <v>6</v>
      </c>
      <c r="S2535" s="32">
        <v>17.61</v>
      </c>
      <c r="T2535" s="102" t="str">
        <f t="shared" si="2484"/>
        <v>+194</v>
      </c>
      <c r="U2535" s="18"/>
      <c r="V2535" s="103" t="str">
        <f>IF(ISBLANK($D2535), "0",)</f>
        <v/>
      </c>
      <c r="W2535" s="104" t="str">
        <f t="shared" si="2024"/>
        <v/>
      </c>
      <c r="X2535" s="105"/>
      <c r="Y2535" s="106"/>
      <c r="Z2535" s="26">
        <f t="shared" si="5"/>
        <v>-3</v>
      </c>
      <c r="AA2535" s="26">
        <f t="shared" si="6"/>
        <v>-3</v>
      </c>
      <c r="AB2535" s="32" t="str">
        <f t="shared" si="7"/>
        <v/>
      </c>
      <c r="AC2535" s="32" t="str">
        <f t="shared" ref="AC2535:AG2535" si="2568">IF(J2535&lt;&gt;"", IF(AND($P2535=FALSE, $A2535=FALSE), -J2535, IF(AND($P2535=FALSE, $A2535=TRUE), 0, IF($P2535=TRUE, (J2535 / $R2535) * 100 * ($S2535 / 100)-J2535, ))), )</f>
        <v/>
      </c>
      <c r="AD2535" s="32" t="str">
        <f t="shared" si="2568"/>
        <v/>
      </c>
      <c r="AE2535" s="32" t="str">
        <f t="shared" si="2568"/>
        <v/>
      </c>
      <c r="AF2535" s="32" t="str">
        <f t="shared" si="2568"/>
        <v/>
      </c>
      <c r="AG2535" s="32" t="str">
        <f t="shared" si="2568"/>
        <v/>
      </c>
      <c r="AH2535" s="33"/>
    </row>
    <row r="2536" hidden="1" outlineLevel="3">
      <c r="A2536" s="95" t="b">
        <v>0</v>
      </c>
      <c r="B2536" s="96"/>
      <c r="C2536" s="18"/>
      <c r="D2536" s="107"/>
      <c r="E2536" s="108"/>
      <c r="F2536" s="109"/>
      <c r="G2536" s="97"/>
      <c r="H2536" s="97"/>
      <c r="I2536" s="97"/>
      <c r="J2536" s="98"/>
      <c r="K2536" s="99"/>
      <c r="L2536" s="98"/>
      <c r="M2536" s="99"/>
      <c r="N2536" s="99"/>
      <c r="O2536" s="18"/>
      <c r="P2536" s="100" t="b">
        <v>0</v>
      </c>
      <c r="Q2536" s="18"/>
      <c r="R2536" s="101" t="str">
        <f t="shared" si="2376"/>
        <v/>
      </c>
      <c r="S2536" s="32"/>
      <c r="T2536" s="102" t="str">
        <f t="shared" si="2484"/>
        <v/>
      </c>
      <c r="U2536" s="18"/>
      <c r="V2536" s="112" t="s">
        <v>1571</v>
      </c>
      <c r="W2536" s="104" t="str">
        <f t="shared" si="2024"/>
        <v>/</v>
      </c>
      <c r="X2536" s="111" t="s">
        <v>1572</v>
      </c>
      <c r="Y2536" s="106"/>
      <c r="Z2536" s="26" t="str">
        <f t="shared" si="5"/>
        <v/>
      </c>
      <c r="AA2536" s="26" t="str">
        <f t="shared" si="6"/>
        <v/>
      </c>
      <c r="AB2536" s="32" t="str">
        <f t="shared" si="7"/>
        <v/>
      </c>
      <c r="AC2536" s="32" t="str">
        <f t="shared" ref="AC2536:AG2536" si="2569">IF(J2536&lt;&gt;"", IF(AND($P2536=FALSE, $A2536=FALSE), -J2536, IF(AND($P2536=FALSE, $A2536=TRUE), 0, IF($P2536=TRUE, (J2536 / $R2536) * 100 * ($S2536 / 100)-J2536, ))), )</f>
        <v/>
      </c>
      <c r="AD2536" s="32" t="str">
        <f t="shared" si="2569"/>
        <v/>
      </c>
      <c r="AE2536" s="32" t="str">
        <f t="shared" si="2569"/>
        <v/>
      </c>
      <c r="AF2536" s="32" t="str">
        <f t="shared" si="2569"/>
        <v/>
      </c>
      <c r="AG2536" s="32" t="str">
        <f t="shared" si="2569"/>
        <v/>
      </c>
      <c r="AH2536" s="33"/>
    </row>
    <row r="2537" hidden="1" outlineLevel="3">
      <c r="A2537" s="95" t="b">
        <v>0</v>
      </c>
      <c r="B2537" s="96"/>
      <c r="C2537" s="18"/>
      <c r="D2537" s="107"/>
      <c r="E2537" s="108"/>
      <c r="F2537" s="109"/>
      <c r="G2537" s="97"/>
      <c r="H2537" s="97"/>
      <c r="I2537" s="97"/>
      <c r="J2537" s="98"/>
      <c r="K2537" s="99"/>
      <c r="L2537" s="98"/>
      <c r="M2537" s="99"/>
      <c r="N2537" s="99"/>
      <c r="O2537" s="18"/>
      <c r="P2537" s="100" t="b">
        <v>0</v>
      </c>
      <c r="Q2537" s="18"/>
      <c r="R2537" s="101" t="str">
        <f t="shared" si="2376"/>
        <v/>
      </c>
      <c r="S2537" s="32"/>
      <c r="T2537" s="102" t="str">
        <f t="shared" si="2484"/>
        <v/>
      </c>
      <c r="U2537" s="18"/>
      <c r="V2537" s="75" t="s">
        <v>29</v>
      </c>
      <c r="W2537" s="104" t="str">
        <f t="shared" si="2024"/>
        <v>/</v>
      </c>
      <c r="X2537" s="111" t="s">
        <v>804</v>
      </c>
      <c r="Y2537" s="106"/>
      <c r="Z2537" s="26" t="str">
        <f t="shared" si="5"/>
        <v/>
      </c>
      <c r="AA2537" s="26" t="str">
        <f t="shared" si="6"/>
        <v/>
      </c>
      <c r="AB2537" s="32" t="str">
        <f t="shared" si="7"/>
        <v/>
      </c>
      <c r="AC2537" s="32" t="str">
        <f t="shared" ref="AC2537:AG2537" si="2570">IF(J2537&lt;&gt;"", IF(AND($P2537=FALSE, $A2537=FALSE), -J2537, IF(AND($P2537=FALSE, $A2537=TRUE), 0, IF($P2537=TRUE, (J2537 / $R2537) * 100 * ($S2537 / 100)-J2537, ))), )</f>
        <v/>
      </c>
      <c r="AD2537" s="32" t="str">
        <f t="shared" si="2570"/>
        <v/>
      </c>
      <c r="AE2537" s="32" t="str">
        <f t="shared" si="2570"/>
        <v/>
      </c>
      <c r="AF2537" s="32" t="str">
        <f t="shared" si="2570"/>
        <v/>
      </c>
      <c r="AG2537" s="32" t="str">
        <f t="shared" si="2570"/>
        <v/>
      </c>
      <c r="AH2537" s="33"/>
    </row>
    <row r="2538" hidden="1" outlineLevel="3">
      <c r="A2538" s="95" t="b">
        <v>0</v>
      </c>
      <c r="B2538" s="96"/>
      <c r="C2538" s="18"/>
      <c r="D2538" s="107"/>
      <c r="E2538" s="108"/>
      <c r="F2538" s="109"/>
      <c r="G2538" s="97"/>
      <c r="H2538" s="97"/>
      <c r="I2538" s="97"/>
      <c r="J2538" s="98"/>
      <c r="K2538" s="99"/>
      <c r="L2538" s="98"/>
      <c r="M2538" s="99"/>
      <c r="N2538" s="99"/>
      <c r="O2538" s="18"/>
      <c r="P2538" s="100" t="b">
        <v>0</v>
      </c>
      <c r="Q2538" s="18"/>
      <c r="R2538" s="101" t="str">
        <f t="shared" si="2376"/>
        <v/>
      </c>
      <c r="S2538" s="32"/>
      <c r="T2538" s="102" t="str">
        <f t="shared" si="2484"/>
        <v/>
      </c>
      <c r="U2538" s="18"/>
      <c r="V2538" s="75" t="s">
        <v>29</v>
      </c>
      <c r="W2538" s="104" t="str">
        <f t="shared" si="2024"/>
        <v>/</v>
      </c>
      <c r="X2538" s="111" t="s">
        <v>1573</v>
      </c>
      <c r="Y2538" s="106"/>
      <c r="Z2538" s="26" t="str">
        <f t="shared" si="5"/>
        <v/>
      </c>
      <c r="AA2538" s="26" t="str">
        <f t="shared" si="6"/>
        <v/>
      </c>
      <c r="AB2538" s="32" t="str">
        <f t="shared" si="7"/>
        <v/>
      </c>
      <c r="AC2538" s="32" t="str">
        <f t="shared" ref="AC2538:AG2538" si="2571">IF(J2538&lt;&gt;"", IF(AND($P2538=FALSE, $A2538=FALSE), -J2538, IF(AND($P2538=FALSE, $A2538=TRUE), 0, IF($P2538=TRUE, (J2538 / $R2538) * 100 * ($S2538 / 100)-J2538, ))), )</f>
        <v/>
      </c>
      <c r="AD2538" s="32" t="str">
        <f t="shared" si="2571"/>
        <v/>
      </c>
      <c r="AE2538" s="32" t="str">
        <f t="shared" si="2571"/>
        <v/>
      </c>
      <c r="AF2538" s="32" t="str">
        <f t="shared" si="2571"/>
        <v/>
      </c>
      <c r="AG2538" s="32" t="str">
        <f t="shared" si="2571"/>
        <v/>
      </c>
      <c r="AH2538" s="33"/>
    </row>
    <row r="2539" hidden="1" outlineLevel="2" collapsed="1">
      <c r="A2539" s="95" t="b">
        <v>0</v>
      </c>
      <c r="B2539" s="96"/>
      <c r="C2539" s="18"/>
      <c r="D2539" s="42">
        <v>45551.0</v>
      </c>
      <c r="E2539" s="20" t="s">
        <v>24</v>
      </c>
      <c r="F2539" s="53" t="s">
        <v>1534</v>
      </c>
      <c r="G2539" s="97">
        <v>1.0</v>
      </c>
      <c r="H2539" s="97"/>
      <c r="I2539" s="97">
        <v>1.5</v>
      </c>
      <c r="J2539" s="98"/>
      <c r="K2539" s="99"/>
      <c r="L2539" s="98"/>
      <c r="M2539" s="99"/>
      <c r="N2539" s="99"/>
      <c r="O2539" s="18"/>
      <c r="P2539" s="100" t="b">
        <v>0</v>
      </c>
      <c r="Q2539" s="18"/>
      <c r="R2539" s="101">
        <f t="shared" si="2376"/>
        <v>2.5</v>
      </c>
      <c r="S2539" s="32">
        <v>747.49</v>
      </c>
      <c r="T2539" s="102" t="str">
        <f t="shared" si="2484"/>
        <v>+29800</v>
      </c>
      <c r="U2539" s="18"/>
      <c r="V2539" s="103" t="str">
        <f>IF(ISBLANK($D2539), "0",)</f>
        <v/>
      </c>
      <c r="W2539" s="104" t="str">
        <f t="shared" si="2024"/>
        <v/>
      </c>
      <c r="X2539" s="105"/>
      <c r="Y2539" s="106"/>
      <c r="Z2539" s="26">
        <f t="shared" si="5"/>
        <v>-1</v>
      </c>
      <c r="AA2539" s="26">
        <f t="shared" si="6"/>
        <v>-1.5</v>
      </c>
      <c r="AB2539" s="32" t="str">
        <f t="shared" si="7"/>
        <v/>
      </c>
      <c r="AC2539" s="32" t="str">
        <f t="shared" ref="AC2539:AG2539" si="2572">IF(J2539&lt;&gt;"", IF(AND($P2539=FALSE, $A2539=FALSE), -J2539, IF(AND($P2539=FALSE, $A2539=TRUE), 0, IF($P2539=TRUE, (J2539 / $R2539) * 100 * ($S2539 / 100)-J2539, ))), )</f>
        <v/>
      </c>
      <c r="AD2539" s="32" t="str">
        <f t="shared" si="2572"/>
        <v/>
      </c>
      <c r="AE2539" s="32" t="str">
        <f t="shared" si="2572"/>
        <v/>
      </c>
      <c r="AF2539" s="32" t="str">
        <f t="shared" si="2572"/>
        <v/>
      </c>
      <c r="AG2539" s="32" t="str">
        <f t="shared" si="2572"/>
        <v/>
      </c>
      <c r="AH2539" s="33"/>
    </row>
    <row r="2540" hidden="1" outlineLevel="3">
      <c r="A2540" s="95" t="b">
        <v>0</v>
      </c>
      <c r="B2540" s="96"/>
      <c r="C2540" s="18"/>
      <c r="D2540" s="107"/>
      <c r="E2540" s="108"/>
      <c r="F2540" s="109"/>
      <c r="G2540" s="97"/>
      <c r="H2540" s="97"/>
      <c r="I2540" s="97"/>
      <c r="J2540" s="98"/>
      <c r="K2540" s="99"/>
      <c r="L2540" s="98"/>
      <c r="M2540" s="99"/>
      <c r="N2540" s="99"/>
      <c r="O2540" s="18"/>
      <c r="P2540" s="100" t="b">
        <v>0</v>
      </c>
      <c r="Q2540" s="18"/>
      <c r="R2540" s="101" t="str">
        <f t="shared" si="2376"/>
        <v/>
      </c>
      <c r="S2540" s="32"/>
      <c r="T2540" s="102" t="str">
        <f t="shared" si="2484"/>
        <v/>
      </c>
      <c r="U2540" s="18"/>
      <c r="V2540" s="75" t="s">
        <v>29</v>
      </c>
      <c r="W2540" s="104" t="str">
        <f t="shared" si="2024"/>
        <v>/</v>
      </c>
      <c r="X2540" s="111" t="s">
        <v>1574</v>
      </c>
      <c r="Y2540" s="106"/>
      <c r="Z2540" s="26" t="str">
        <f t="shared" si="5"/>
        <v/>
      </c>
      <c r="AA2540" s="26" t="str">
        <f t="shared" si="6"/>
        <v/>
      </c>
      <c r="AB2540" s="32" t="str">
        <f t="shared" si="7"/>
        <v/>
      </c>
      <c r="AC2540" s="32" t="str">
        <f t="shared" ref="AC2540:AG2540" si="2573">IF(J2540&lt;&gt;"", IF(AND($P2540=FALSE, $A2540=FALSE), -J2540, IF(AND($P2540=FALSE, $A2540=TRUE), 0, IF($P2540=TRUE, (J2540 / $R2540) * 100 * ($S2540 / 100)-J2540, ))), )</f>
        <v/>
      </c>
      <c r="AD2540" s="32" t="str">
        <f t="shared" si="2573"/>
        <v/>
      </c>
      <c r="AE2540" s="32" t="str">
        <f t="shared" si="2573"/>
        <v/>
      </c>
      <c r="AF2540" s="32" t="str">
        <f t="shared" si="2573"/>
        <v/>
      </c>
      <c r="AG2540" s="32" t="str">
        <f t="shared" si="2573"/>
        <v/>
      </c>
      <c r="AH2540" s="33"/>
    </row>
    <row r="2541" hidden="1" outlineLevel="3">
      <c r="A2541" s="95" t="b">
        <v>0</v>
      </c>
      <c r="B2541" s="96"/>
      <c r="C2541" s="18"/>
      <c r="D2541" s="107"/>
      <c r="E2541" s="108"/>
      <c r="F2541" s="109"/>
      <c r="G2541" s="97"/>
      <c r="H2541" s="97"/>
      <c r="I2541" s="97"/>
      <c r="J2541" s="98"/>
      <c r="K2541" s="99"/>
      <c r="L2541" s="98"/>
      <c r="M2541" s="99"/>
      <c r="N2541" s="99"/>
      <c r="O2541" s="18"/>
      <c r="P2541" s="100" t="b">
        <v>0</v>
      </c>
      <c r="Q2541" s="18"/>
      <c r="R2541" s="101" t="str">
        <f t="shared" si="2376"/>
        <v/>
      </c>
      <c r="S2541" s="32"/>
      <c r="T2541" s="102" t="str">
        <f t="shared" si="2484"/>
        <v/>
      </c>
      <c r="U2541" s="18"/>
      <c r="V2541" s="113">
        <v>6.0</v>
      </c>
      <c r="W2541" s="104" t="str">
        <f t="shared" si="2024"/>
        <v>/</v>
      </c>
      <c r="X2541" s="111" t="s">
        <v>96</v>
      </c>
      <c r="Y2541" s="106"/>
      <c r="Z2541" s="26" t="str">
        <f t="shared" si="5"/>
        <v/>
      </c>
      <c r="AA2541" s="26" t="str">
        <f t="shared" si="6"/>
        <v/>
      </c>
      <c r="AB2541" s="32" t="str">
        <f t="shared" si="7"/>
        <v/>
      </c>
      <c r="AC2541" s="32" t="str">
        <f t="shared" ref="AC2541:AG2541" si="2574">IF(J2541&lt;&gt;"", IF(AND($P2541=FALSE, $A2541=FALSE), -J2541, IF(AND($P2541=FALSE, $A2541=TRUE), 0, IF($P2541=TRUE, (J2541 / $R2541) * 100 * ($S2541 / 100)-J2541, ))), )</f>
        <v/>
      </c>
      <c r="AD2541" s="32" t="str">
        <f t="shared" si="2574"/>
        <v/>
      </c>
      <c r="AE2541" s="32" t="str">
        <f t="shared" si="2574"/>
        <v/>
      </c>
      <c r="AF2541" s="32" t="str">
        <f t="shared" si="2574"/>
        <v/>
      </c>
      <c r="AG2541" s="32" t="str">
        <f t="shared" si="2574"/>
        <v/>
      </c>
      <c r="AH2541" s="33"/>
    </row>
    <row r="2542" hidden="1" outlineLevel="3">
      <c r="A2542" s="95" t="b">
        <v>0</v>
      </c>
      <c r="B2542" s="96"/>
      <c r="C2542" s="18"/>
      <c r="D2542" s="107"/>
      <c r="E2542" s="108"/>
      <c r="F2542" s="109"/>
      <c r="G2542" s="97"/>
      <c r="H2542" s="97"/>
      <c r="I2542" s="97"/>
      <c r="J2542" s="98"/>
      <c r="K2542" s="99"/>
      <c r="L2542" s="98"/>
      <c r="M2542" s="99"/>
      <c r="N2542" s="99"/>
      <c r="O2542" s="18"/>
      <c r="P2542" s="100" t="b">
        <v>0</v>
      </c>
      <c r="Q2542" s="18"/>
      <c r="R2542" s="101" t="str">
        <f t="shared" si="2376"/>
        <v/>
      </c>
      <c r="S2542" s="32"/>
      <c r="T2542" s="102" t="str">
        <f t="shared" si="2484"/>
        <v/>
      </c>
      <c r="U2542" s="18"/>
      <c r="V2542" s="75" t="s">
        <v>29</v>
      </c>
      <c r="W2542" s="104" t="str">
        <f t="shared" si="2024"/>
        <v>/</v>
      </c>
      <c r="X2542" s="111" t="s">
        <v>1575</v>
      </c>
      <c r="Y2542" s="106"/>
      <c r="Z2542" s="26" t="str">
        <f t="shared" si="5"/>
        <v/>
      </c>
      <c r="AA2542" s="26" t="str">
        <f t="shared" si="6"/>
        <v/>
      </c>
      <c r="AB2542" s="32" t="str">
        <f t="shared" si="7"/>
        <v/>
      </c>
      <c r="AC2542" s="32" t="str">
        <f t="shared" ref="AC2542:AG2542" si="2575">IF(J2542&lt;&gt;"", IF(AND($P2542=FALSE, $A2542=FALSE), -J2542, IF(AND($P2542=FALSE, $A2542=TRUE), 0, IF($P2542=TRUE, (J2542 / $R2542) * 100 * ($S2542 / 100)-J2542, ))), )</f>
        <v/>
      </c>
      <c r="AD2542" s="32" t="str">
        <f t="shared" si="2575"/>
        <v/>
      </c>
      <c r="AE2542" s="32" t="str">
        <f t="shared" si="2575"/>
        <v/>
      </c>
      <c r="AF2542" s="32" t="str">
        <f t="shared" si="2575"/>
        <v/>
      </c>
      <c r="AG2542" s="32" t="str">
        <f t="shared" si="2575"/>
        <v/>
      </c>
      <c r="AH2542" s="33"/>
    </row>
    <row r="2543" hidden="1" outlineLevel="3">
      <c r="A2543" s="95" t="b">
        <v>0</v>
      </c>
      <c r="B2543" s="96"/>
      <c r="C2543" s="18"/>
      <c r="D2543" s="107"/>
      <c r="E2543" s="108"/>
      <c r="F2543" s="109"/>
      <c r="G2543" s="97"/>
      <c r="H2543" s="97"/>
      <c r="I2543" s="97"/>
      <c r="J2543" s="98"/>
      <c r="K2543" s="99"/>
      <c r="L2543" s="98"/>
      <c r="M2543" s="99"/>
      <c r="N2543" s="99"/>
      <c r="O2543" s="18"/>
      <c r="P2543" s="100" t="b">
        <v>0</v>
      </c>
      <c r="Q2543" s="18"/>
      <c r="R2543" s="101" t="str">
        <f t="shared" si="2376"/>
        <v/>
      </c>
      <c r="S2543" s="32"/>
      <c r="T2543" s="102" t="str">
        <f t="shared" si="2484"/>
        <v/>
      </c>
      <c r="U2543" s="18"/>
      <c r="V2543" s="75" t="s">
        <v>29</v>
      </c>
      <c r="W2543" s="104" t="str">
        <f t="shared" si="2024"/>
        <v>/</v>
      </c>
      <c r="X2543" s="111" t="s">
        <v>1576</v>
      </c>
      <c r="Y2543" s="106"/>
      <c r="Z2543" s="26" t="str">
        <f t="shared" si="5"/>
        <v/>
      </c>
      <c r="AA2543" s="26" t="str">
        <f t="shared" si="6"/>
        <v/>
      </c>
      <c r="AB2543" s="32" t="str">
        <f t="shared" si="7"/>
        <v/>
      </c>
      <c r="AC2543" s="32" t="str">
        <f t="shared" ref="AC2543:AG2543" si="2576">IF(J2543&lt;&gt;"", IF(AND($P2543=FALSE, $A2543=FALSE), -J2543, IF(AND($P2543=FALSE, $A2543=TRUE), 0, IF($P2543=TRUE, (J2543 / $R2543) * 100 * ($S2543 / 100)-J2543, ))), )</f>
        <v/>
      </c>
      <c r="AD2543" s="32" t="str">
        <f t="shared" si="2576"/>
        <v/>
      </c>
      <c r="AE2543" s="32" t="str">
        <f t="shared" si="2576"/>
        <v/>
      </c>
      <c r="AF2543" s="32" t="str">
        <f t="shared" si="2576"/>
        <v/>
      </c>
      <c r="AG2543" s="32" t="str">
        <f t="shared" si="2576"/>
        <v/>
      </c>
      <c r="AH2543" s="33"/>
    </row>
    <row r="2544" hidden="1" outlineLevel="2">
      <c r="A2544" s="95" t="b">
        <v>0</v>
      </c>
      <c r="B2544" s="96"/>
      <c r="C2544" s="18"/>
      <c r="D2544" s="42">
        <v>45551.0</v>
      </c>
      <c r="E2544" s="20" t="s">
        <v>24</v>
      </c>
      <c r="F2544" s="53" t="s">
        <v>1534</v>
      </c>
      <c r="G2544" s="97">
        <v>1.0</v>
      </c>
      <c r="H2544" s="97"/>
      <c r="I2544" s="97">
        <v>2.0</v>
      </c>
      <c r="J2544" s="98"/>
      <c r="K2544" s="99"/>
      <c r="L2544" s="98"/>
      <c r="M2544" s="99"/>
      <c r="N2544" s="99"/>
      <c r="O2544" s="18"/>
      <c r="P2544" s="100" t="b">
        <v>0</v>
      </c>
      <c r="Q2544" s="18"/>
      <c r="R2544" s="101">
        <f t="shared" si="2376"/>
        <v>3</v>
      </c>
      <c r="S2544" s="32">
        <v>30.15</v>
      </c>
      <c r="T2544" s="102" t="str">
        <f t="shared" si="2484"/>
        <v>+905</v>
      </c>
      <c r="U2544" s="18"/>
      <c r="V2544" s="103" t="str">
        <f>IF(ISBLANK($D2544), "0",)</f>
        <v/>
      </c>
      <c r="W2544" s="104" t="str">
        <f t="shared" si="2024"/>
        <v/>
      </c>
      <c r="X2544" s="105"/>
      <c r="Y2544" s="106"/>
      <c r="Z2544" s="26">
        <f t="shared" si="5"/>
        <v>-1</v>
      </c>
      <c r="AA2544" s="26">
        <f t="shared" si="6"/>
        <v>-2</v>
      </c>
      <c r="AB2544" s="32" t="str">
        <f t="shared" si="7"/>
        <v/>
      </c>
      <c r="AC2544" s="32" t="str">
        <f t="shared" ref="AC2544:AG2544" si="2577">IF(J2544&lt;&gt;"", IF(AND($P2544=FALSE, $A2544=FALSE), -J2544, IF(AND($P2544=FALSE, $A2544=TRUE), 0, IF($P2544=TRUE, (J2544 / $R2544) * 100 * ($S2544 / 100)-J2544, ))), )</f>
        <v/>
      </c>
      <c r="AD2544" s="32" t="str">
        <f t="shared" si="2577"/>
        <v/>
      </c>
      <c r="AE2544" s="32" t="str">
        <f t="shared" si="2577"/>
        <v/>
      </c>
      <c r="AF2544" s="32" t="str">
        <f t="shared" si="2577"/>
        <v/>
      </c>
      <c r="AG2544" s="32" t="str">
        <f t="shared" si="2577"/>
        <v/>
      </c>
      <c r="AH2544" s="33"/>
    </row>
    <row r="2545" hidden="1" outlineLevel="3">
      <c r="A2545" s="95" t="b">
        <v>0</v>
      </c>
      <c r="B2545" s="96"/>
      <c r="C2545" s="18"/>
      <c r="D2545" s="107"/>
      <c r="E2545" s="108"/>
      <c r="F2545" s="109"/>
      <c r="G2545" s="97"/>
      <c r="H2545" s="97"/>
      <c r="I2545" s="97"/>
      <c r="J2545" s="98"/>
      <c r="K2545" s="99"/>
      <c r="L2545" s="98"/>
      <c r="M2545" s="99"/>
      <c r="N2545" s="99"/>
      <c r="O2545" s="18"/>
      <c r="P2545" s="100" t="b">
        <v>0</v>
      </c>
      <c r="Q2545" s="18"/>
      <c r="R2545" s="101" t="str">
        <f t="shared" si="2376"/>
        <v/>
      </c>
      <c r="S2545" s="32"/>
      <c r="T2545" s="102" t="str">
        <f t="shared" si="2484"/>
        <v/>
      </c>
      <c r="U2545" s="18"/>
      <c r="V2545" s="75" t="s">
        <v>29</v>
      </c>
      <c r="W2545" s="104" t="str">
        <f t="shared" si="2024"/>
        <v>/</v>
      </c>
      <c r="X2545" s="111" t="s">
        <v>1577</v>
      </c>
      <c r="Y2545" s="106"/>
      <c r="Z2545" s="26" t="str">
        <f t="shared" si="5"/>
        <v/>
      </c>
      <c r="AA2545" s="26" t="str">
        <f t="shared" si="6"/>
        <v/>
      </c>
      <c r="AB2545" s="32" t="str">
        <f t="shared" si="7"/>
        <v/>
      </c>
      <c r="AC2545" s="32" t="str">
        <f t="shared" ref="AC2545:AG2545" si="2578">IF(J2545&lt;&gt;"", IF(AND($P2545=FALSE, $A2545=FALSE), -J2545, IF(AND($P2545=FALSE, $A2545=TRUE), 0, IF($P2545=TRUE, (J2545 / $R2545) * 100 * ($S2545 / 100)-J2545, ))), )</f>
        <v/>
      </c>
      <c r="AD2545" s="32" t="str">
        <f t="shared" si="2578"/>
        <v/>
      </c>
      <c r="AE2545" s="32" t="str">
        <f t="shared" si="2578"/>
        <v/>
      </c>
      <c r="AF2545" s="32" t="str">
        <f t="shared" si="2578"/>
        <v/>
      </c>
      <c r="AG2545" s="32" t="str">
        <f t="shared" si="2578"/>
        <v/>
      </c>
      <c r="AH2545" s="33"/>
    </row>
    <row r="2546" hidden="1" outlineLevel="3">
      <c r="A2546" s="95" t="b">
        <v>0</v>
      </c>
      <c r="B2546" s="96"/>
      <c r="C2546" s="18"/>
      <c r="D2546" s="107"/>
      <c r="E2546" s="108"/>
      <c r="F2546" s="109"/>
      <c r="G2546" s="97"/>
      <c r="H2546" s="97"/>
      <c r="I2546" s="97"/>
      <c r="J2546" s="98"/>
      <c r="K2546" s="99"/>
      <c r="L2546" s="98"/>
      <c r="M2546" s="99"/>
      <c r="N2546" s="99"/>
      <c r="O2546" s="18"/>
      <c r="P2546" s="100" t="b">
        <v>0</v>
      </c>
      <c r="Q2546" s="18"/>
      <c r="R2546" s="101" t="str">
        <f t="shared" si="2376"/>
        <v/>
      </c>
      <c r="S2546" s="32"/>
      <c r="T2546" s="102" t="str">
        <f t="shared" si="2484"/>
        <v/>
      </c>
      <c r="U2546" s="18"/>
      <c r="V2546" s="75" t="s">
        <v>29</v>
      </c>
      <c r="W2546" s="104" t="str">
        <f t="shared" si="2024"/>
        <v>/</v>
      </c>
      <c r="X2546" s="111" t="s">
        <v>1578</v>
      </c>
      <c r="Y2546" s="106"/>
      <c r="Z2546" s="26" t="str">
        <f t="shared" si="5"/>
        <v/>
      </c>
      <c r="AA2546" s="26" t="str">
        <f t="shared" si="6"/>
        <v/>
      </c>
      <c r="AB2546" s="32" t="str">
        <f t="shared" si="7"/>
        <v/>
      </c>
      <c r="AC2546" s="32" t="str">
        <f t="shared" ref="AC2546:AG2546" si="2579">IF(J2546&lt;&gt;"", IF(AND($P2546=FALSE, $A2546=FALSE), -J2546, IF(AND($P2546=FALSE, $A2546=TRUE), 0, IF($P2546=TRUE, (J2546 / $R2546) * 100 * ($S2546 / 100)-J2546, ))), )</f>
        <v/>
      </c>
      <c r="AD2546" s="32" t="str">
        <f t="shared" si="2579"/>
        <v/>
      </c>
      <c r="AE2546" s="32" t="str">
        <f t="shared" si="2579"/>
        <v/>
      </c>
      <c r="AF2546" s="32" t="str">
        <f t="shared" si="2579"/>
        <v/>
      </c>
      <c r="AG2546" s="32" t="str">
        <f t="shared" si="2579"/>
        <v/>
      </c>
      <c r="AH2546" s="33"/>
    </row>
    <row r="2547" hidden="1" outlineLevel="3">
      <c r="A2547" s="95" t="b">
        <v>0</v>
      </c>
      <c r="B2547" s="96"/>
      <c r="C2547" s="18"/>
      <c r="D2547" s="107"/>
      <c r="E2547" s="108"/>
      <c r="F2547" s="109"/>
      <c r="G2547" s="97"/>
      <c r="H2547" s="97"/>
      <c r="I2547" s="97"/>
      <c r="J2547" s="98"/>
      <c r="K2547" s="99"/>
      <c r="L2547" s="98"/>
      <c r="M2547" s="99"/>
      <c r="N2547" s="99"/>
      <c r="O2547" s="18"/>
      <c r="P2547" s="100" t="b">
        <v>0</v>
      </c>
      <c r="Q2547" s="18"/>
      <c r="R2547" s="101" t="str">
        <f t="shared" si="2376"/>
        <v/>
      </c>
      <c r="S2547" s="32"/>
      <c r="T2547" s="102" t="str">
        <f t="shared" si="2484"/>
        <v/>
      </c>
      <c r="U2547" s="18"/>
      <c r="V2547" s="113">
        <v>20.0</v>
      </c>
      <c r="W2547" s="104" t="str">
        <f t="shared" si="2024"/>
        <v>/</v>
      </c>
      <c r="X2547" s="111" t="s">
        <v>106</v>
      </c>
      <c r="Y2547" s="106"/>
      <c r="Z2547" s="26" t="str">
        <f t="shared" si="5"/>
        <v/>
      </c>
      <c r="AA2547" s="26" t="str">
        <f t="shared" si="6"/>
        <v/>
      </c>
      <c r="AB2547" s="32" t="str">
        <f t="shared" si="7"/>
        <v/>
      </c>
      <c r="AC2547" s="32" t="str">
        <f t="shared" ref="AC2547:AG2547" si="2580">IF(J2547&lt;&gt;"", IF(AND($P2547=FALSE, $A2547=FALSE), -J2547, IF(AND($P2547=FALSE, $A2547=TRUE), 0, IF($P2547=TRUE, (J2547 / $R2547) * 100 * ($S2547 / 100)-J2547, ))), )</f>
        <v/>
      </c>
      <c r="AD2547" s="32" t="str">
        <f t="shared" si="2580"/>
        <v/>
      </c>
      <c r="AE2547" s="32" t="str">
        <f t="shared" si="2580"/>
        <v/>
      </c>
      <c r="AF2547" s="32" t="str">
        <f t="shared" si="2580"/>
        <v/>
      </c>
      <c r="AG2547" s="32" t="str">
        <f t="shared" si="2580"/>
        <v/>
      </c>
      <c r="AH2547" s="33"/>
    </row>
    <row r="2548" hidden="1" outlineLevel="3">
      <c r="A2548" s="95" t="b">
        <v>0</v>
      </c>
      <c r="B2548" s="96"/>
      <c r="C2548" s="18"/>
      <c r="D2548" s="107"/>
      <c r="E2548" s="108"/>
      <c r="F2548" s="109"/>
      <c r="G2548" s="97"/>
      <c r="H2548" s="97"/>
      <c r="I2548" s="97"/>
      <c r="J2548" s="98"/>
      <c r="K2548" s="99"/>
      <c r="L2548" s="98"/>
      <c r="M2548" s="99"/>
      <c r="N2548" s="99"/>
      <c r="O2548" s="18"/>
      <c r="P2548" s="100" t="b">
        <v>0</v>
      </c>
      <c r="Q2548" s="18"/>
      <c r="R2548" s="101" t="str">
        <f t="shared" si="2376"/>
        <v/>
      </c>
      <c r="S2548" s="32"/>
      <c r="T2548" s="102" t="str">
        <f t="shared" si="2484"/>
        <v/>
      </c>
      <c r="U2548" s="18"/>
      <c r="V2548" s="75" t="s">
        <v>29</v>
      </c>
      <c r="W2548" s="104" t="str">
        <f t="shared" si="2024"/>
        <v>/</v>
      </c>
      <c r="X2548" s="111" t="s">
        <v>1579</v>
      </c>
      <c r="Y2548" s="106"/>
      <c r="Z2548" s="26" t="str">
        <f t="shared" si="5"/>
        <v/>
      </c>
      <c r="AA2548" s="26" t="str">
        <f t="shared" si="6"/>
        <v/>
      </c>
      <c r="AB2548" s="32" t="str">
        <f t="shared" si="7"/>
        <v/>
      </c>
      <c r="AC2548" s="32" t="str">
        <f t="shared" ref="AC2548:AG2548" si="2581">IF(J2548&lt;&gt;"", IF(AND($P2548=FALSE, $A2548=FALSE), -J2548, IF(AND($P2548=FALSE, $A2548=TRUE), 0, IF($P2548=TRUE, (J2548 / $R2548) * 100 * ($S2548 / 100)-J2548, ))), )</f>
        <v/>
      </c>
      <c r="AD2548" s="32" t="str">
        <f t="shared" si="2581"/>
        <v/>
      </c>
      <c r="AE2548" s="32" t="str">
        <f t="shared" si="2581"/>
        <v/>
      </c>
      <c r="AF2548" s="32" t="str">
        <f t="shared" si="2581"/>
        <v/>
      </c>
      <c r="AG2548" s="32" t="str">
        <f t="shared" si="2581"/>
        <v/>
      </c>
      <c r="AH2548" s="33"/>
    </row>
    <row r="2549" hidden="1" outlineLevel="3">
      <c r="A2549" s="95" t="b">
        <v>0</v>
      </c>
      <c r="B2549" s="96"/>
      <c r="C2549" s="18"/>
      <c r="D2549" s="107"/>
      <c r="E2549" s="108"/>
      <c r="F2549" s="109"/>
      <c r="G2549" s="97"/>
      <c r="H2549" s="97"/>
      <c r="I2549" s="97"/>
      <c r="J2549" s="98"/>
      <c r="K2549" s="99"/>
      <c r="L2549" s="98"/>
      <c r="M2549" s="99"/>
      <c r="N2549" s="99"/>
      <c r="O2549" s="18"/>
      <c r="P2549" s="100" t="b">
        <v>0</v>
      </c>
      <c r="Q2549" s="18"/>
      <c r="R2549" s="101" t="str">
        <f t="shared" si="2376"/>
        <v/>
      </c>
      <c r="S2549" s="32"/>
      <c r="T2549" s="102" t="str">
        <f t="shared" si="2484"/>
        <v/>
      </c>
      <c r="U2549" s="18"/>
      <c r="V2549" s="75" t="s">
        <v>29</v>
      </c>
      <c r="W2549" s="104" t="str">
        <f t="shared" si="2024"/>
        <v>/</v>
      </c>
      <c r="X2549" s="111" t="s">
        <v>1113</v>
      </c>
      <c r="Y2549" s="106"/>
      <c r="Z2549" s="26" t="str">
        <f t="shared" si="5"/>
        <v/>
      </c>
      <c r="AA2549" s="26" t="str">
        <f t="shared" si="6"/>
        <v/>
      </c>
      <c r="AB2549" s="32" t="str">
        <f t="shared" si="7"/>
        <v/>
      </c>
      <c r="AC2549" s="32" t="str">
        <f t="shared" ref="AC2549:AG2549" si="2582">IF(J2549&lt;&gt;"", IF(AND($P2549=FALSE, $A2549=FALSE), -J2549, IF(AND($P2549=FALSE, $A2549=TRUE), 0, IF($P2549=TRUE, (J2549 / $R2549) * 100 * ($S2549 / 100)-J2549, ))), )</f>
        <v/>
      </c>
      <c r="AD2549" s="32" t="str">
        <f t="shared" si="2582"/>
        <v/>
      </c>
      <c r="AE2549" s="32" t="str">
        <f t="shared" si="2582"/>
        <v/>
      </c>
      <c r="AF2549" s="32" t="str">
        <f t="shared" si="2582"/>
        <v/>
      </c>
      <c r="AG2549" s="32" t="str">
        <f t="shared" si="2582"/>
        <v/>
      </c>
      <c r="AH2549" s="33"/>
    </row>
    <row r="2550" hidden="1" outlineLevel="3">
      <c r="A2550" s="95" t="b">
        <v>0</v>
      </c>
      <c r="B2550" s="96"/>
      <c r="C2550" s="18"/>
      <c r="D2550" s="107"/>
      <c r="E2550" s="108"/>
      <c r="F2550" s="109"/>
      <c r="G2550" s="97"/>
      <c r="H2550" s="97"/>
      <c r="I2550" s="97"/>
      <c r="J2550" s="98"/>
      <c r="K2550" s="99"/>
      <c r="L2550" s="98"/>
      <c r="M2550" s="99"/>
      <c r="N2550" s="99"/>
      <c r="O2550" s="18"/>
      <c r="P2550" s="100" t="b">
        <v>0</v>
      </c>
      <c r="Q2550" s="18"/>
      <c r="R2550" s="101" t="str">
        <f t="shared" si="2376"/>
        <v/>
      </c>
      <c r="S2550" s="32"/>
      <c r="T2550" s="102" t="str">
        <f t="shared" si="2484"/>
        <v/>
      </c>
      <c r="U2550" s="18"/>
      <c r="V2550" s="75">
        <v>183.0</v>
      </c>
      <c r="W2550" s="104" t="str">
        <f t="shared" si="2024"/>
        <v>/</v>
      </c>
      <c r="X2550" s="111" t="s">
        <v>436</v>
      </c>
      <c r="Y2550" s="106"/>
      <c r="Z2550" s="26" t="str">
        <f t="shared" si="5"/>
        <v/>
      </c>
      <c r="AA2550" s="26" t="str">
        <f t="shared" si="6"/>
        <v/>
      </c>
      <c r="AB2550" s="32" t="str">
        <f t="shared" si="7"/>
        <v/>
      </c>
      <c r="AC2550" s="32" t="str">
        <f t="shared" ref="AC2550:AG2550" si="2583">IF(J2550&lt;&gt;"", IF(AND($P2550=FALSE, $A2550=FALSE), -J2550, IF(AND($P2550=FALSE, $A2550=TRUE), 0, IF($P2550=TRUE, (J2550 / $R2550) * 100 * ($S2550 / 100)-J2550, ))), )</f>
        <v/>
      </c>
      <c r="AD2550" s="32" t="str">
        <f t="shared" si="2583"/>
        <v/>
      </c>
      <c r="AE2550" s="32" t="str">
        <f t="shared" si="2583"/>
        <v/>
      </c>
      <c r="AF2550" s="32" t="str">
        <f t="shared" si="2583"/>
        <v/>
      </c>
      <c r="AG2550" s="32" t="str">
        <f t="shared" si="2583"/>
        <v/>
      </c>
      <c r="AH2550" s="33"/>
    </row>
    <row r="2551" hidden="1" outlineLevel="3">
      <c r="A2551" s="95" t="b">
        <v>0</v>
      </c>
      <c r="B2551" s="96"/>
      <c r="C2551" s="18"/>
      <c r="D2551" s="107"/>
      <c r="E2551" s="108"/>
      <c r="F2551" s="109"/>
      <c r="G2551" s="97"/>
      <c r="H2551" s="97"/>
      <c r="I2551" s="97"/>
      <c r="J2551" s="98"/>
      <c r="K2551" s="99"/>
      <c r="L2551" s="98"/>
      <c r="M2551" s="99"/>
      <c r="N2551" s="99"/>
      <c r="O2551" s="18"/>
      <c r="P2551" s="100" t="b">
        <v>0</v>
      </c>
      <c r="Q2551" s="18"/>
      <c r="R2551" s="101" t="str">
        <f t="shared" si="2376"/>
        <v/>
      </c>
      <c r="S2551" s="32"/>
      <c r="T2551" s="102" t="str">
        <f t="shared" si="2484"/>
        <v/>
      </c>
      <c r="U2551" s="18"/>
      <c r="V2551" s="75" t="s">
        <v>29</v>
      </c>
      <c r="W2551" s="104" t="str">
        <f t="shared" si="2024"/>
        <v>/</v>
      </c>
      <c r="X2551" s="111" t="s">
        <v>910</v>
      </c>
      <c r="Y2551" s="106"/>
      <c r="Z2551" s="26" t="str">
        <f t="shared" si="5"/>
        <v/>
      </c>
      <c r="AA2551" s="26" t="str">
        <f t="shared" si="6"/>
        <v/>
      </c>
      <c r="AB2551" s="32" t="str">
        <f t="shared" si="7"/>
        <v/>
      </c>
      <c r="AC2551" s="32" t="str">
        <f t="shared" ref="AC2551:AG2551" si="2584">IF(J2551&lt;&gt;"", IF(AND($P2551=FALSE, $A2551=FALSE), -J2551, IF(AND($P2551=FALSE, $A2551=TRUE), 0, IF($P2551=TRUE, (J2551 / $R2551) * 100 * ($S2551 / 100)-J2551, ))), )</f>
        <v/>
      </c>
      <c r="AD2551" s="32" t="str">
        <f t="shared" si="2584"/>
        <v/>
      </c>
      <c r="AE2551" s="32" t="str">
        <f t="shared" si="2584"/>
        <v/>
      </c>
      <c r="AF2551" s="32" t="str">
        <f t="shared" si="2584"/>
        <v/>
      </c>
      <c r="AG2551" s="32" t="str">
        <f t="shared" si="2584"/>
        <v/>
      </c>
      <c r="AH2551" s="33"/>
    </row>
    <row r="2552" hidden="1" outlineLevel="3">
      <c r="A2552" s="95" t="b">
        <v>0</v>
      </c>
      <c r="B2552" s="96"/>
      <c r="C2552" s="18"/>
      <c r="D2552" s="107"/>
      <c r="E2552" s="108"/>
      <c r="F2552" s="109"/>
      <c r="G2552" s="97"/>
      <c r="H2552" s="97"/>
      <c r="I2552" s="97"/>
      <c r="J2552" s="98"/>
      <c r="K2552" s="99"/>
      <c r="L2552" s="98"/>
      <c r="M2552" s="99"/>
      <c r="N2552" s="99"/>
      <c r="O2552" s="18"/>
      <c r="P2552" s="100" t="b">
        <v>0</v>
      </c>
      <c r="Q2552" s="18"/>
      <c r="R2552" s="101" t="str">
        <f t="shared" si="2376"/>
        <v/>
      </c>
      <c r="S2552" s="32"/>
      <c r="T2552" s="102" t="str">
        <f t="shared" si="2484"/>
        <v/>
      </c>
      <c r="U2552" s="18"/>
      <c r="V2552" s="75" t="s">
        <v>29</v>
      </c>
      <c r="W2552" s="104" t="str">
        <f t="shared" si="2024"/>
        <v>/</v>
      </c>
      <c r="X2552" s="111" t="s">
        <v>1580</v>
      </c>
      <c r="Y2552" s="106"/>
      <c r="Z2552" s="26" t="str">
        <f t="shared" si="5"/>
        <v/>
      </c>
      <c r="AA2552" s="26" t="str">
        <f t="shared" si="6"/>
        <v/>
      </c>
      <c r="AB2552" s="32" t="str">
        <f t="shared" si="7"/>
        <v/>
      </c>
      <c r="AC2552" s="32" t="str">
        <f t="shared" ref="AC2552:AG2552" si="2585">IF(J2552&lt;&gt;"", IF(AND($P2552=FALSE, $A2552=FALSE), -J2552, IF(AND($P2552=FALSE, $A2552=TRUE), 0, IF($P2552=TRUE, (J2552 / $R2552) * 100 * ($S2552 / 100)-J2552, ))), )</f>
        <v/>
      </c>
      <c r="AD2552" s="32" t="str">
        <f t="shared" si="2585"/>
        <v/>
      </c>
      <c r="AE2552" s="32" t="str">
        <f t="shared" si="2585"/>
        <v/>
      </c>
      <c r="AF2552" s="32" t="str">
        <f t="shared" si="2585"/>
        <v/>
      </c>
      <c r="AG2552" s="32" t="str">
        <f t="shared" si="2585"/>
        <v/>
      </c>
      <c r="AH2552" s="33"/>
    </row>
    <row r="2553" hidden="1" outlineLevel="1" collapsed="1">
      <c r="A2553" s="95" t="b">
        <v>0</v>
      </c>
      <c r="B2553" s="96"/>
      <c r="C2553" s="18"/>
      <c r="D2553" s="42">
        <v>45554.0</v>
      </c>
      <c r="E2553" s="20" t="s">
        <v>24</v>
      </c>
      <c r="F2553" s="53" t="s">
        <v>1581</v>
      </c>
      <c r="G2553" s="97">
        <v>5.0</v>
      </c>
      <c r="H2553" s="97"/>
      <c r="I2553" s="97">
        <v>5.0</v>
      </c>
      <c r="J2553" s="98"/>
      <c r="K2553" s="99"/>
      <c r="L2553" s="98"/>
      <c r="M2553" s="99"/>
      <c r="N2553" s="99"/>
      <c r="O2553" s="18"/>
      <c r="P2553" s="100" t="b">
        <v>1</v>
      </c>
      <c r="Q2553" s="18"/>
      <c r="R2553" s="101">
        <f t="shared" si="2376"/>
        <v>10</v>
      </c>
      <c r="S2553" s="32">
        <v>22.5</v>
      </c>
      <c r="T2553" s="102" t="str">
        <f t="shared" si="2484"/>
        <v>+125</v>
      </c>
      <c r="U2553" s="18"/>
      <c r="V2553" s="103" t="str">
        <f>IF(ISBLANK($D2553), "0",)</f>
        <v/>
      </c>
      <c r="W2553" s="104" t="str">
        <f t="shared" si="2024"/>
        <v/>
      </c>
      <c r="X2553" s="105"/>
      <c r="Y2553" s="106"/>
      <c r="Z2553" s="26">
        <f t="shared" si="5"/>
        <v>6.25</v>
      </c>
      <c r="AA2553" s="26">
        <f t="shared" si="6"/>
        <v>6.25</v>
      </c>
      <c r="AB2553" s="32" t="str">
        <f t="shared" si="7"/>
        <v/>
      </c>
      <c r="AC2553" s="32" t="str">
        <f t="shared" ref="AC2553:AG2553" si="2586">IF(J2553&lt;&gt;"", IF(AND($P2553=FALSE, $A2553=FALSE), -J2553, IF(AND($P2553=FALSE, $A2553=TRUE), 0, IF($P2553=TRUE, (J2553 / $R2553) * 100 * ($S2553 / 100)-J2553, ))), )</f>
        <v/>
      </c>
      <c r="AD2553" s="32" t="str">
        <f t="shared" si="2586"/>
        <v/>
      </c>
      <c r="AE2553" s="32" t="str">
        <f t="shared" si="2586"/>
        <v/>
      </c>
      <c r="AF2553" s="32" t="str">
        <f t="shared" si="2586"/>
        <v/>
      </c>
      <c r="AG2553" s="32" t="str">
        <f t="shared" si="2586"/>
        <v/>
      </c>
      <c r="AH2553" s="33"/>
    </row>
    <row r="2554" hidden="1" outlineLevel="3">
      <c r="A2554" s="95" t="b">
        <v>0</v>
      </c>
      <c r="B2554" s="96"/>
      <c r="C2554" s="18"/>
      <c r="D2554" s="107"/>
      <c r="E2554" s="108"/>
      <c r="F2554" s="109"/>
      <c r="G2554" s="97"/>
      <c r="H2554" s="97"/>
      <c r="I2554" s="97"/>
      <c r="J2554" s="98"/>
      <c r="K2554" s="99"/>
      <c r="L2554" s="98"/>
      <c r="M2554" s="99"/>
      <c r="N2554" s="99"/>
      <c r="O2554" s="18"/>
      <c r="P2554" s="100" t="b">
        <v>0</v>
      </c>
      <c r="Q2554" s="18"/>
      <c r="R2554" s="101" t="str">
        <f t="shared" si="2376"/>
        <v/>
      </c>
      <c r="S2554" s="32"/>
      <c r="T2554" s="102" t="str">
        <f t="shared" si="2484"/>
        <v/>
      </c>
      <c r="U2554" s="18"/>
      <c r="V2554" s="75" t="s">
        <v>29</v>
      </c>
      <c r="W2554" s="104" t="str">
        <f t="shared" si="2024"/>
        <v>/</v>
      </c>
      <c r="X2554" s="111" t="s">
        <v>1582</v>
      </c>
      <c r="Y2554" s="106"/>
      <c r="Z2554" s="26" t="str">
        <f t="shared" si="5"/>
        <v/>
      </c>
      <c r="AA2554" s="26" t="str">
        <f t="shared" si="6"/>
        <v/>
      </c>
      <c r="AB2554" s="32" t="str">
        <f t="shared" si="7"/>
        <v/>
      </c>
      <c r="AC2554" s="32" t="str">
        <f t="shared" ref="AC2554:AG2554" si="2587">IF(J2554&lt;&gt;"", IF(AND($P2554=FALSE, $A2554=FALSE), -J2554, IF(AND($P2554=FALSE, $A2554=TRUE), 0, IF($P2554=TRUE, (J2554 / $R2554) * 100 * ($S2554 / 100)-J2554, ))), )</f>
        <v/>
      </c>
      <c r="AD2554" s="32" t="str">
        <f t="shared" si="2587"/>
        <v/>
      </c>
      <c r="AE2554" s="32" t="str">
        <f t="shared" si="2587"/>
        <v/>
      </c>
      <c r="AF2554" s="32" t="str">
        <f t="shared" si="2587"/>
        <v/>
      </c>
      <c r="AG2554" s="32" t="str">
        <f t="shared" si="2587"/>
        <v/>
      </c>
      <c r="AH2554" s="33"/>
    </row>
    <row r="2555" hidden="1" outlineLevel="2" collapsed="1">
      <c r="A2555" s="95" t="b">
        <v>0</v>
      </c>
      <c r="B2555" s="96"/>
      <c r="C2555" s="18"/>
      <c r="D2555" s="42">
        <v>45554.0</v>
      </c>
      <c r="E2555" s="20" t="s">
        <v>24</v>
      </c>
      <c r="F2555" s="53" t="s">
        <v>1581</v>
      </c>
      <c r="G2555" s="97">
        <v>5.0</v>
      </c>
      <c r="H2555" s="97"/>
      <c r="I2555" s="97">
        <v>5.0</v>
      </c>
      <c r="J2555" s="98"/>
      <c r="K2555" s="99"/>
      <c r="L2555" s="98"/>
      <c r="M2555" s="99"/>
      <c r="N2555" s="99"/>
      <c r="O2555" s="18"/>
      <c r="P2555" s="100" t="b">
        <v>0</v>
      </c>
      <c r="Q2555" s="18"/>
      <c r="R2555" s="101">
        <f t="shared" si="2376"/>
        <v>10</v>
      </c>
      <c r="S2555" s="32">
        <v>272.34</v>
      </c>
      <c r="T2555" s="102" t="str">
        <f t="shared" si="2484"/>
        <v>+2623</v>
      </c>
      <c r="U2555" s="18"/>
      <c r="V2555" s="103" t="str">
        <f>IF(ISBLANK($D2555), "0",)</f>
        <v/>
      </c>
      <c r="W2555" s="104" t="str">
        <f t="shared" si="2024"/>
        <v/>
      </c>
      <c r="X2555" s="105"/>
      <c r="Y2555" s="106"/>
      <c r="Z2555" s="26">
        <f t="shared" si="5"/>
        <v>-5</v>
      </c>
      <c r="AA2555" s="26">
        <f t="shared" si="6"/>
        <v>-5</v>
      </c>
      <c r="AB2555" s="32" t="str">
        <f t="shared" si="7"/>
        <v/>
      </c>
      <c r="AC2555" s="32" t="str">
        <f t="shared" ref="AC2555:AG2555" si="2588">IF(J2555&lt;&gt;"", IF(AND($P2555=FALSE, $A2555=FALSE), -J2555, IF(AND($P2555=FALSE, $A2555=TRUE), 0, IF($P2555=TRUE, (J2555 / $R2555) * 100 * ($S2555 / 100)-J2555, ))), )</f>
        <v/>
      </c>
      <c r="AD2555" s="32" t="str">
        <f t="shared" si="2588"/>
        <v/>
      </c>
      <c r="AE2555" s="32" t="str">
        <f t="shared" si="2588"/>
        <v/>
      </c>
      <c r="AF2555" s="32" t="str">
        <f t="shared" si="2588"/>
        <v/>
      </c>
      <c r="AG2555" s="32" t="str">
        <f t="shared" si="2588"/>
        <v/>
      </c>
      <c r="AH2555" s="33"/>
    </row>
    <row r="2556" hidden="1" outlineLevel="3">
      <c r="A2556" s="95" t="b">
        <v>0</v>
      </c>
      <c r="B2556" s="96"/>
      <c r="C2556" s="18"/>
      <c r="D2556" s="107"/>
      <c r="E2556" s="108"/>
      <c r="F2556" s="109"/>
      <c r="G2556" s="97"/>
      <c r="H2556" s="97"/>
      <c r="I2556" s="97"/>
      <c r="J2556" s="98"/>
      <c r="K2556" s="99"/>
      <c r="L2556" s="98"/>
      <c r="M2556" s="99"/>
      <c r="N2556" s="99"/>
      <c r="O2556" s="18"/>
      <c r="P2556" s="100" t="b">
        <v>0</v>
      </c>
      <c r="Q2556" s="18"/>
      <c r="R2556" s="101" t="str">
        <f t="shared" si="2376"/>
        <v/>
      </c>
      <c r="S2556" s="32"/>
      <c r="T2556" s="102" t="str">
        <f t="shared" si="2484"/>
        <v/>
      </c>
      <c r="U2556" s="18"/>
      <c r="V2556" s="113">
        <v>281.0</v>
      </c>
      <c r="W2556" s="104" t="str">
        <f t="shared" si="2024"/>
        <v>/</v>
      </c>
      <c r="X2556" s="111" t="s">
        <v>1583</v>
      </c>
      <c r="Y2556" s="106"/>
      <c r="Z2556" s="26" t="str">
        <f t="shared" si="5"/>
        <v/>
      </c>
      <c r="AA2556" s="26" t="str">
        <f t="shared" si="6"/>
        <v/>
      </c>
      <c r="AB2556" s="32" t="str">
        <f t="shared" si="7"/>
        <v/>
      </c>
      <c r="AC2556" s="32" t="str">
        <f t="shared" ref="AC2556:AG2556" si="2589">IF(J2556&lt;&gt;"", IF(AND($P2556=FALSE, $A2556=FALSE), -J2556, IF(AND($P2556=FALSE, $A2556=TRUE), 0, IF($P2556=TRUE, (J2556 / $R2556) * 100 * ($S2556 / 100)-J2556, ))), )</f>
        <v/>
      </c>
      <c r="AD2556" s="32" t="str">
        <f t="shared" si="2589"/>
        <v/>
      </c>
      <c r="AE2556" s="32" t="str">
        <f t="shared" si="2589"/>
        <v/>
      </c>
      <c r="AF2556" s="32" t="str">
        <f t="shared" si="2589"/>
        <v/>
      </c>
      <c r="AG2556" s="32" t="str">
        <f t="shared" si="2589"/>
        <v/>
      </c>
      <c r="AH2556" s="33"/>
    </row>
    <row r="2557" hidden="1" outlineLevel="3">
      <c r="A2557" s="95" t="b">
        <v>0</v>
      </c>
      <c r="B2557" s="96"/>
      <c r="C2557" s="18"/>
      <c r="D2557" s="107"/>
      <c r="E2557" s="108"/>
      <c r="F2557" s="109"/>
      <c r="G2557" s="97"/>
      <c r="H2557" s="97"/>
      <c r="I2557" s="97"/>
      <c r="J2557" s="98"/>
      <c r="K2557" s="99"/>
      <c r="L2557" s="98"/>
      <c r="M2557" s="99"/>
      <c r="N2557" s="99"/>
      <c r="O2557" s="18"/>
      <c r="P2557" s="100" t="b">
        <v>0</v>
      </c>
      <c r="Q2557" s="18"/>
      <c r="R2557" s="101" t="str">
        <f t="shared" si="2376"/>
        <v/>
      </c>
      <c r="S2557" s="32"/>
      <c r="T2557" s="102" t="str">
        <f t="shared" si="2484"/>
        <v/>
      </c>
      <c r="U2557" s="18"/>
      <c r="V2557" s="75" t="s">
        <v>29</v>
      </c>
      <c r="W2557" s="104" t="str">
        <f t="shared" si="2024"/>
        <v>/</v>
      </c>
      <c r="X2557" s="111" t="s">
        <v>1584</v>
      </c>
      <c r="Y2557" s="106"/>
      <c r="Z2557" s="26" t="str">
        <f t="shared" si="5"/>
        <v/>
      </c>
      <c r="AA2557" s="26" t="str">
        <f t="shared" si="6"/>
        <v/>
      </c>
      <c r="AB2557" s="32" t="str">
        <f t="shared" si="7"/>
        <v/>
      </c>
      <c r="AC2557" s="32" t="str">
        <f t="shared" ref="AC2557:AG2557" si="2590">IF(J2557&lt;&gt;"", IF(AND($P2557=FALSE, $A2557=FALSE), -J2557, IF(AND($P2557=FALSE, $A2557=TRUE), 0, IF($P2557=TRUE, (J2557 / $R2557) * 100 * ($S2557 / 100)-J2557, ))), )</f>
        <v/>
      </c>
      <c r="AD2557" s="32" t="str">
        <f t="shared" si="2590"/>
        <v/>
      </c>
      <c r="AE2557" s="32" t="str">
        <f t="shared" si="2590"/>
        <v/>
      </c>
      <c r="AF2557" s="32" t="str">
        <f t="shared" si="2590"/>
        <v/>
      </c>
      <c r="AG2557" s="32" t="str">
        <f t="shared" si="2590"/>
        <v/>
      </c>
      <c r="AH2557" s="33"/>
    </row>
    <row r="2558" hidden="1" outlineLevel="3">
      <c r="A2558" s="95" t="b">
        <v>0</v>
      </c>
      <c r="B2558" s="96"/>
      <c r="C2558" s="18"/>
      <c r="D2558" s="107"/>
      <c r="E2558" s="108"/>
      <c r="F2558" s="109"/>
      <c r="G2558" s="97"/>
      <c r="H2558" s="97"/>
      <c r="I2558" s="97"/>
      <c r="J2558" s="98"/>
      <c r="K2558" s="99"/>
      <c r="L2558" s="98"/>
      <c r="M2558" s="99"/>
      <c r="N2558" s="99"/>
      <c r="O2558" s="18"/>
      <c r="P2558" s="100" t="b">
        <v>0</v>
      </c>
      <c r="Q2558" s="18"/>
      <c r="R2558" s="101" t="str">
        <f t="shared" si="2376"/>
        <v/>
      </c>
      <c r="S2558" s="32"/>
      <c r="T2558" s="102" t="str">
        <f t="shared" si="2484"/>
        <v/>
      </c>
      <c r="U2558" s="18"/>
      <c r="V2558" s="113">
        <v>23.0</v>
      </c>
      <c r="W2558" s="104" t="str">
        <f t="shared" si="2024"/>
        <v>/</v>
      </c>
      <c r="X2558" s="111" t="s">
        <v>1585</v>
      </c>
      <c r="Y2558" s="106"/>
      <c r="Z2558" s="26" t="str">
        <f t="shared" si="5"/>
        <v/>
      </c>
      <c r="AA2558" s="26" t="str">
        <f t="shared" si="6"/>
        <v/>
      </c>
      <c r="AB2558" s="32" t="str">
        <f t="shared" si="7"/>
        <v/>
      </c>
      <c r="AC2558" s="32" t="str">
        <f t="shared" ref="AC2558:AG2558" si="2591">IF(J2558&lt;&gt;"", IF(AND($P2558=FALSE, $A2558=FALSE), -J2558, IF(AND($P2558=FALSE, $A2558=TRUE), 0, IF($P2558=TRUE, (J2558 / $R2558) * 100 * ($S2558 / 100)-J2558, ))), )</f>
        <v/>
      </c>
      <c r="AD2558" s="32" t="str">
        <f t="shared" si="2591"/>
        <v/>
      </c>
      <c r="AE2558" s="32" t="str">
        <f t="shared" si="2591"/>
        <v/>
      </c>
      <c r="AF2558" s="32" t="str">
        <f t="shared" si="2591"/>
        <v/>
      </c>
      <c r="AG2558" s="32" t="str">
        <f t="shared" si="2591"/>
        <v/>
      </c>
      <c r="AH2558" s="33"/>
    </row>
    <row r="2559" hidden="1" outlineLevel="3">
      <c r="A2559" s="95" t="b">
        <v>0</v>
      </c>
      <c r="B2559" s="96"/>
      <c r="C2559" s="18"/>
      <c r="D2559" s="107"/>
      <c r="E2559" s="108"/>
      <c r="F2559" s="109"/>
      <c r="G2559" s="97"/>
      <c r="H2559" s="97"/>
      <c r="I2559" s="97"/>
      <c r="J2559" s="98"/>
      <c r="K2559" s="99"/>
      <c r="L2559" s="98"/>
      <c r="M2559" s="99"/>
      <c r="N2559" s="99"/>
      <c r="O2559" s="18"/>
      <c r="P2559" s="100" t="b">
        <v>0</v>
      </c>
      <c r="Q2559" s="18"/>
      <c r="R2559" s="101" t="str">
        <f t="shared" si="2376"/>
        <v/>
      </c>
      <c r="S2559" s="32"/>
      <c r="T2559" s="102" t="str">
        <f t="shared" si="2484"/>
        <v/>
      </c>
      <c r="U2559" s="18"/>
      <c r="V2559" s="113">
        <f>54+29</f>
        <v>83</v>
      </c>
      <c r="W2559" s="104" t="str">
        <f t="shared" si="2024"/>
        <v>/</v>
      </c>
      <c r="X2559" s="111" t="s">
        <v>1586</v>
      </c>
      <c r="Y2559" s="106"/>
      <c r="Z2559" s="26" t="str">
        <f t="shared" si="5"/>
        <v/>
      </c>
      <c r="AA2559" s="26" t="str">
        <f t="shared" si="6"/>
        <v/>
      </c>
      <c r="AB2559" s="32" t="str">
        <f t="shared" si="7"/>
        <v/>
      </c>
      <c r="AC2559" s="32" t="str">
        <f t="shared" ref="AC2559:AG2559" si="2592">IF(J2559&lt;&gt;"", IF(AND($P2559=FALSE, $A2559=FALSE), -J2559, IF(AND($P2559=FALSE, $A2559=TRUE), 0, IF($P2559=TRUE, (J2559 / $R2559) * 100 * ($S2559 / 100)-J2559, ))), )</f>
        <v/>
      </c>
      <c r="AD2559" s="32" t="str">
        <f t="shared" si="2592"/>
        <v/>
      </c>
      <c r="AE2559" s="32" t="str">
        <f t="shared" si="2592"/>
        <v/>
      </c>
      <c r="AF2559" s="32" t="str">
        <f t="shared" si="2592"/>
        <v/>
      </c>
      <c r="AG2559" s="32" t="str">
        <f t="shared" si="2592"/>
        <v/>
      </c>
      <c r="AH2559" s="33"/>
    </row>
    <row r="2560" hidden="1" outlineLevel="3">
      <c r="A2560" s="95" t="b">
        <v>0</v>
      </c>
      <c r="B2560" s="96"/>
      <c r="C2560" s="18"/>
      <c r="D2560" s="107"/>
      <c r="E2560" s="108"/>
      <c r="F2560" s="109"/>
      <c r="G2560" s="97"/>
      <c r="H2560" s="97"/>
      <c r="I2560" s="97"/>
      <c r="J2560" s="98"/>
      <c r="K2560" s="99"/>
      <c r="L2560" s="98"/>
      <c r="M2560" s="99"/>
      <c r="N2560" s="99"/>
      <c r="O2560" s="18"/>
      <c r="P2560" s="100" t="b">
        <v>0</v>
      </c>
      <c r="Q2560" s="18"/>
      <c r="R2560" s="101" t="str">
        <f t="shared" si="2376"/>
        <v/>
      </c>
      <c r="S2560" s="32"/>
      <c r="T2560" s="102" t="str">
        <f t="shared" si="2484"/>
        <v/>
      </c>
      <c r="U2560" s="18"/>
      <c r="V2560" s="75" t="s">
        <v>29</v>
      </c>
      <c r="W2560" s="104" t="str">
        <f t="shared" si="2024"/>
        <v>/</v>
      </c>
      <c r="X2560" s="111" t="s">
        <v>1587</v>
      </c>
      <c r="Y2560" s="106"/>
      <c r="Z2560" s="26" t="str">
        <f t="shared" si="5"/>
        <v/>
      </c>
      <c r="AA2560" s="26" t="str">
        <f t="shared" si="6"/>
        <v/>
      </c>
      <c r="AB2560" s="32" t="str">
        <f t="shared" si="7"/>
        <v/>
      </c>
      <c r="AC2560" s="32" t="str">
        <f t="shared" ref="AC2560:AG2560" si="2593">IF(J2560&lt;&gt;"", IF(AND($P2560=FALSE, $A2560=FALSE), -J2560, IF(AND($P2560=FALSE, $A2560=TRUE), 0, IF($P2560=TRUE, (J2560 / $R2560) * 100 * ($S2560 / 100)-J2560, ))), )</f>
        <v/>
      </c>
      <c r="AD2560" s="32" t="str">
        <f t="shared" si="2593"/>
        <v/>
      </c>
      <c r="AE2560" s="32" t="str">
        <f t="shared" si="2593"/>
        <v/>
      </c>
      <c r="AF2560" s="32" t="str">
        <f t="shared" si="2593"/>
        <v/>
      </c>
      <c r="AG2560" s="32" t="str">
        <f t="shared" si="2593"/>
        <v/>
      </c>
      <c r="AH2560" s="33"/>
    </row>
    <row r="2561" hidden="1" outlineLevel="2">
      <c r="A2561" s="95" t="b">
        <v>0</v>
      </c>
      <c r="B2561" s="96"/>
      <c r="C2561" s="18"/>
      <c r="D2561" s="42">
        <v>45554.0</v>
      </c>
      <c r="E2561" s="20" t="s">
        <v>24</v>
      </c>
      <c r="F2561" s="53" t="s">
        <v>1581</v>
      </c>
      <c r="G2561" s="97">
        <v>3.0</v>
      </c>
      <c r="H2561" s="97"/>
      <c r="I2561" s="97">
        <v>7.0</v>
      </c>
      <c r="J2561" s="98"/>
      <c r="K2561" s="99"/>
      <c r="L2561" s="98"/>
      <c r="M2561" s="99"/>
      <c r="N2561" s="99"/>
      <c r="O2561" s="18"/>
      <c r="P2561" s="100" t="b">
        <v>0</v>
      </c>
      <c r="Q2561" s="18"/>
      <c r="R2561" s="101">
        <f t="shared" si="2376"/>
        <v>10</v>
      </c>
      <c r="S2561" s="32">
        <v>36.14</v>
      </c>
      <c r="T2561" s="102" t="str">
        <f t="shared" si="2484"/>
        <v>+261</v>
      </c>
      <c r="U2561" s="18"/>
      <c r="V2561" s="103" t="str">
        <f>IF(ISBLANK($D2561), "0",)</f>
        <v/>
      </c>
      <c r="W2561" s="104" t="str">
        <f t="shared" si="2024"/>
        <v/>
      </c>
      <c r="X2561" s="105"/>
      <c r="Y2561" s="106"/>
      <c r="Z2561" s="26">
        <f t="shared" si="5"/>
        <v>-3</v>
      </c>
      <c r="AA2561" s="26">
        <f t="shared" si="6"/>
        <v>-7</v>
      </c>
      <c r="AB2561" s="32" t="str">
        <f t="shared" si="7"/>
        <v/>
      </c>
      <c r="AC2561" s="32" t="str">
        <f t="shared" ref="AC2561:AG2561" si="2594">IF(J2561&lt;&gt;"", IF(AND($P2561=FALSE, $A2561=FALSE), -J2561, IF(AND($P2561=FALSE, $A2561=TRUE), 0, IF($P2561=TRUE, (J2561 / $R2561) * 100 * ($S2561 / 100)-J2561, ))), )</f>
        <v/>
      </c>
      <c r="AD2561" s="32" t="str">
        <f t="shared" si="2594"/>
        <v/>
      </c>
      <c r="AE2561" s="32" t="str">
        <f t="shared" si="2594"/>
        <v/>
      </c>
      <c r="AF2561" s="32" t="str">
        <f t="shared" si="2594"/>
        <v/>
      </c>
      <c r="AG2561" s="32" t="str">
        <f t="shared" si="2594"/>
        <v/>
      </c>
      <c r="AH2561" s="33"/>
    </row>
    <row r="2562" hidden="1" outlineLevel="3">
      <c r="A2562" s="95" t="b">
        <v>0</v>
      </c>
      <c r="B2562" s="96"/>
      <c r="C2562" s="18"/>
      <c r="D2562" s="107"/>
      <c r="E2562" s="108"/>
      <c r="F2562" s="109"/>
      <c r="G2562" s="97"/>
      <c r="H2562" s="97"/>
      <c r="I2562" s="97"/>
      <c r="J2562" s="98"/>
      <c r="K2562" s="99"/>
      <c r="L2562" s="98"/>
      <c r="M2562" s="99"/>
      <c r="N2562" s="99"/>
      <c r="O2562" s="18"/>
      <c r="P2562" s="100" t="b">
        <v>0</v>
      </c>
      <c r="Q2562" s="18"/>
      <c r="R2562" s="101" t="str">
        <f t="shared" si="2376"/>
        <v/>
      </c>
      <c r="S2562" s="32"/>
      <c r="T2562" s="102" t="str">
        <f t="shared" si="2484"/>
        <v/>
      </c>
      <c r="U2562" s="18"/>
      <c r="V2562" s="113">
        <v>27.0</v>
      </c>
      <c r="W2562" s="104" t="str">
        <f t="shared" si="2024"/>
        <v>/</v>
      </c>
      <c r="X2562" s="111" t="s">
        <v>1588</v>
      </c>
      <c r="Y2562" s="106"/>
      <c r="Z2562" s="26" t="str">
        <f t="shared" si="5"/>
        <v/>
      </c>
      <c r="AA2562" s="26" t="str">
        <f t="shared" si="6"/>
        <v/>
      </c>
      <c r="AB2562" s="32" t="str">
        <f t="shared" si="7"/>
        <v/>
      </c>
      <c r="AC2562" s="32" t="str">
        <f t="shared" ref="AC2562:AG2562" si="2595">IF(J2562&lt;&gt;"", IF(AND($P2562=FALSE, $A2562=FALSE), -J2562, IF(AND($P2562=FALSE, $A2562=TRUE), 0, IF($P2562=TRUE, (J2562 / $R2562) * 100 * ($S2562 / 100)-J2562, ))), )</f>
        <v/>
      </c>
      <c r="AD2562" s="32" t="str">
        <f t="shared" si="2595"/>
        <v/>
      </c>
      <c r="AE2562" s="32" t="str">
        <f t="shared" si="2595"/>
        <v/>
      </c>
      <c r="AF2562" s="32" t="str">
        <f t="shared" si="2595"/>
        <v/>
      </c>
      <c r="AG2562" s="32" t="str">
        <f t="shared" si="2595"/>
        <v/>
      </c>
      <c r="AH2562" s="33"/>
    </row>
    <row r="2563" hidden="1" outlineLevel="3">
      <c r="A2563" s="95" t="b">
        <v>0</v>
      </c>
      <c r="B2563" s="96"/>
      <c r="C2563" s="18"/>
      <c r="D2563" s="107"/>
      <c r="E2563" s="108"/>
      <c r="F2563" s="109"/>
      <c r="G2563" s="97"/>
      <c r="H2563" s="97"/>
      <c r="I2563" s="97"/>
      <c r="J2563" s="98"/>
      <c r="K2563" s="99"/>
      <c r="L2563" s="98"/>
      <c r="M2563" s="99"/>
      <c r="N2563" s="99"/>
      <c r="O2563" s="18"/>
      <c r="P2563" s="100" t="b">
        <v>0</v>
      </c>
      <c r="Q2563" s="18"/>
      <c r="R2563" s="101" t="str">
        <f t="shared" si="2376"/>
        <v/>
      </c>
      <c r="S2563" s="32"/>
      <c r="T2563" s="102" t="str">
        <f t="shared" si="2484"/>
        <v/>
      </c>
      <c r="U2563" s="18"/>
      <c r="V2563" s="75" t="s">
        <v>29</v>
      </c>
      <c r="W2563" s="104" t="str">
        <f t="shared" si="2024"/>
        <v>/</v>
      </c>
      <c r="X2563" s="111" t="s">
        <v>1589</v>
      </c>
      <c r="Y2563" s="106"/>
      <c r="Z2563" s="26" t="str">
        <f t="shared" si="5"/>
        <v/>
      </c>
      <c r="AA2563" s="26" t="str">
        <f t="shared" si="6"/>
        <v/>
      </c>
      <c r="AB2563" s="32" t="str">
        <f t="shared" si="7"/>
        <v/>
      </c>
      <c r="AC2563" s="32" t="str">
        <f t="shared" ref="AC2563:AG2563" si="2596">IF(J2563&lt;&gt;"", IF(AND($P2563=FALSE, $A2563=FALSE), -J2563, IF(AND($P2563=FALSE, $A2563=TRUE), 0, IF($P2563=TRUE, (J2563 / $R2563) * 100 * ($S2563 / 100)-J2563, ))), )</f>
        <v/>
      </c>
      <c r="AD2563" s="32" t="str">
        <f t="shared" si="2596"/>
        <v/>
      </c>
      <c r="AE2563" s="32" t="str">
        <f t="shared" si="2596"/>
        <v/>
      </c>
      <c r="AF2563" s="32" t="str">
        <f t="shared" si="2596"/>
        <v/>
      </c>
      <c r="AG2563" s="32" t="str">
        <f t="shared" si="2596"/>
        <v/>
      </c>
      <c r="AH2563" s="33"/>
    </row>
    <row r="2564" hidden="1" outlineLevel="3">
      <c r="A2564" s="95" t="b">
        <v>0</v>
      </c>
      <c r="B2564" s="96"/>
      <c r="C2564" s="18"/>
      <c r="D2564" s="107"/>
      <c r="E2564" s="108"/>
      <c r="F2564" s="109"/>
      <c r="G2564" s="97"/>
      <c r="H2564" s="97"/>
      <c r="I2564" s="97"/>
      <c r="J2564" s="98"/>
      <c r="K2564" s="99"/>
      <c r="L2564" s="98"/>
      <c r="M2564" s="99"/>
      <c r="N2564" s="99"/>
      <c r="O2564" s="18"/>
      <c r="P2564" s="100" t="b">
        <v>0</v>
      </c>
      <c r="Q2564" s="18"/>
      <c r="R2564" s="101" t="str">
        <f t="shared" si="2376"/>
        <v/>
      </c>
      <c r="S2564" s="32"/>
      <c r="T2564" s="102" t="str">
        <f t="shared" si="2484"/>
        <v/>
      </c>
      <c r="U2564" s="18"/>
      <c r="V2564" s="112" t="s">
        <v>1590</v>
      </c>
      <c r="W2564" s="104" t="str">
        <f t="shared" si="2024"/>
        <v>/</v>
      </c>
      <c r="X2564" s="111" t="s">
        <v>1591</v>
      </c>
      <c r="Y2564" s="106"/>
      <c r="Z2564" s="26" t="str">
        <f t="shared" si="5"/>
        <v/>
      </c>
      <c r="AA2564" s="26" t="str">
        <f t="shared" si="6"/>
        <v/>
      </c>
      <c r="AB2564" s="32" t="str">
        <f t="shared" si="7"/>
        <v/>
      </c>
      <c r="AC2564" s="32" t="str">
        <f t="shared" ref="AC2564:AG2564" si="2597">IF(J2564&lt;&gt;"", IF(AND($P2564=FALSE, $A2564=FALSE), -J2564, IF(AND($P2564=FALSE, $A2564=TRUE), 0, IF($P2564=TRUE, (J2564 / $R2564) * 100 * ($S2564 / 100)-J2564, ))), )</f>
        <v/>
      </c>
      <c r="AD2564" s="32" t="str">
        <f t="shared" si="2597"/>
        <v/>
      </c>
      <c r="AE2564" s="32" t="str">
        <f t="shared" si="2597"/>
        <v/>
      </c>
      <c r="AF2564" s="32" t="str">
        <f t="shared" si="2597"/>
        <v/>
      </c>
      <c r="AG2564" s="32" t="str">
        <f t="shared" si="2597"/>
        <v/>
      </c>
      <c r="AH2564" s="33"/>
    </row>
    <row r="2565" hidden="1" outlineLevel="1" collapsed="1">
      <c r="A2565" s="95" t="b">
        <v>0</v>
      </c>
      <c r="B2565" s="96"/>
      <c r="C2565" s="18"/>
      <c r="D2565" s="42">
        <v>45556.0</v>
      </c>
      <c r="E2565" s="20" t="s">
        <v>24</v>
      </c>
      <c r="F2565" s="53" t="s">
        <v>1581</v>
      </c>
      <c r="G2565" s="97">
        <v>2.0</v>
      </c>
      <c r="H2565" s="97"/>
      <c r="I2565" s="97">
        <v>2.0</v>
      </c>
      <c r="J2565" s="98"/>
      <c r="K2565" s="99"/>
      <c r="L2565" s="98"/>
      <c r="M2565" s="99"/>
      <c r="N2565" s="99"/>
      <c r="O2565" s="18"/>
      <c r="P2565" s="100" t="b">
        <v>0</v>
      </c>
      <c r="Q2565" s="18"/>
      <c r="R2565" s="101">
        <f t="shared" si="2376"/>
        <v>4</v>
      </c>
      <c r="S2565" s="32">
        <v>46.51</v>
      </c>
      <c r="T2565" s="102" t="str">
        <f t="shared" si="2484"/>
        <v>+1063</v>
      </c>
      <c r="U2565" s="18"/>
      <c r="V2565" s="103" t="str">
        <f t="shared" ref="V2565:V2567" si="2599">IF(ISBLANK($D2565), "0",)</f>
        <v/>
      </c>
      <c r="W2565" s="104" t="str">
        <f t="shared" si="2024"/>
        <v/>
      </c>
      <c r="X2565" s="105"/>
      <c r="Y2565" s="106"/>
      <c r="Z2565" s="26">
        <f t="shared" si="5"/>
        <v>-2</v>
      </c>
      <c r="AA2565" s="26">
        <f t="shared" si="6"/>
        <v>-2</v>
      </c>
      <c r="AB2565" s="32" t="str">
        <f t="shared" si="7"/>
        <v/>
      </c>
      <c r="AC2565" s="32" t="str">
        <f t="shared" ref="AC2565:AG2565" si="2598">IF(J2565&lt;&gt;"", IF(AND($P2565=FALSE, $A2565=FALSE), -J2565, IF(AND($P2565=FALSE, $A2565=TRUE), 0, IF($P2565=TRUE, (J2565 / $R2565) * 100 * ($S2565 / 100)-J2565, ))), )</f>
        <v/>
      </c>
      <c r="AD2565" s="32" t="str">
        <f t="shared" si="2598"/>
        <v/>
      </c>
      <c r="AE2565" s="32" t="str">
        <f t="shared" si="2598"/>
        <v/>
      </c>
      <c r="AF2565" s="32" t="str">
        <f t="shared" si="2598"/>
        <v/>
      </c>
      <c r="AG2565" s="32" t="str">
        <f t="shared" si="2598"/>
        <v/>
      </c>
      <c r="AH2565" s="33"/>
    </row>
    <row r="2566" hidden="1" outlineLevel="3">
      <c r="A2566" s="95" t="b">
        <v>0</v>
      </c>
      <c r="B2566" s="96"/>
      <c r="C2566" s="18"/>
      <c r="D2566" s="107"/>
      <c r="E2566" s="108"/>
      <c r="F2566" s="109"/>
      <c r="G2566" s="97"/>
      <c r="H2566" s="97"/>
      <c r="I2566" s="97"/>
      <c r="J2566" s="98"/>
      <c r="K2566" s="99"/>
      <c r="L2566" s="98"/>
      <c r="M2566" s="99"/>
      <c r="N2566" s="99"/>
      <c r="O2566" s="18"/>
      <c r="P2566" s="100" t="b">
        <v>0</v>
      </c>
      <c r="Q2566" s="18"/>
      <c r="R2566" s="101" t="str">
        <f t="shared" si="2376"/>
        <v/>
      </c>
      <c r="S2566" s="32"/>
      <c r="T2566" s="102" t="str">
        <f t="shared" si="2484"/>
        <v/>
      </c>
      <c r="U2566" s="18"/>
      <c r="V2566" s="103" t="str">
        <f t="shared" si="2599"/>
        <v>0</v>
      </c>
      <c r="W2566" s="104" t="str">
        <f t="shared" si="2024"/>
        <v>/</v>
      </c>
      <c r="X2566" s="111" t="s">
        <v>1592</v>
      </c>
      <c r="Y2566" s="106"/>
      <c r="Z2566" s="26" t="str">
        <f t="shared" si="5"/>
        <v/>
      </c>
      <c r="AA2566" s="26" t="str">
        <f t="shared" si="6"/>
        <v/>
      </c>
      <c r="AB2566" s="32" t="str">
        <f t="shared" si="7"/>
        <v/>
      </c>
      <c r="AC2566" s="32" t="str">
        <f t="shared" ref="AC2566:AG2566" si="2600">IF(J2566&lt;&gt;"", IF(AND($P2566=FALSE, $A2566=FALSE), -J2566, IF(AND($P2566=FALSE, $A2566=TRUE), 0, IF($P2566=TRUE, (J2566 / $R2566) * 100 * ($S2566 / 100)-J2566, ))), )</f>
        <v/>
      </c>
      <c r="AD2566" s="32" t="str">
        <f t="shared" si="2600"/>
        <v/>
      </c>
      <c r="AE2566" s="32" t="str">
        <f t="shared" si="2600"/>
        <v/>
      </c>
      <c r="AF2566" s="32" t="str">
        <f t="shared" si="2600"/>
        <v/>
      </c>
      <c r="AG2566" s="32" t="str">
        <f t="shared" si="2600"/>
        <v/>
      </c>
      <c r="AH2566" s="33"/>
    </row>
    <row r="2567" hidden="1" outlineLevel="3">
      <c r="A2567" s="95" t="b">
        <v>0</v>
      </c>
      <c r="B2567" s="96"/>
      <c r="C2567" s="18"/>
      <c r="D2567" s="107"/>
      <c r="E2567" s="108"/>
      <c r="F2567" s="109"/>
      <c r="G2567" s="97"/>
      <c r="H2567" s="97"/>
      <c r="I2567" s="97"/>
      <c r="J2567" s="98"/>
      <c r="K2567" s="99"/>
      <c r="L2567" s="98"/>
      <c r="M2567" s="99"/>
      <c r="N2567" s="99"/>
      <c r="O2567" s="18"/>
      <c r="P2567" s="100" t="b">
        <v>0</v>
      </c>
      <c r="Q2567" s="18"/>
      <c r="R2567" s="101" t="str">
        <f t="shared" si="2376"/>
        <v/>
      </c>
      <c r="S2567" s="32"/>
      <c r="T2567" s="102" t="str">
        <f t="shared" si="2484"/>
        <v/>
      </c>
      <c r="U2567" s="18"/>
      <c r="V2567" s="103" t="str">
        <f t="shared" si="2599"/>
        <v>0</v>
      </c>
      <c r="W2567" s="104" t="str">
        <f t="shared" si="2024"/>
        <v>/</v>
      </c>
      <c r="X2567" s="111" t="s">
        <v>1593</v>
      </c>
      <c r="Y2567" s="106"/>
      <c r="Z2567" s="26" t="str">
        <f t="shared" si="5"/>
        <v/>
      </c>
      <c r="AA2567" s="26" t="str">
        <f t="shared" si="6"/>
        <v/>
      </c>
      <c r="AB2567" s="32" t="str">
        <f t="shared" si="7"/>
        <v/>
      </c>
      <c r="AC2567" s="32" t="str">
        <f t="shared" ref="AC2567:AG2567" si="2601">IF(J2567&lt;&gt;"", IF(AND($P2567=FALSE, $A2567=FALSE), -J2567, IF(AND($P2567=FALSE, $A2567=TRUE), 0, IF($P2567=TRUE, (J2567 / $R2567) * 100 * ($S2567 / 100)-J2567, ))), )</f>
        <v/>
      </c>
      <c r="AD2567" s="32" t="str">
        <f t="shared" si="2601"/>
        <v/>
      </c>
      <c r="AE2567" s="32" t="str">
        <f t="shared" si="2601"/>
        <v/>
      </c>
      <c r="AF2567" s="32" t="str">
        <f t="shared" si="2601"/>
        <v/>
      </c>
      <c r="AG2567" s="32" t="str">
        <f t="shared" si="2601"/>
        <v/>
      </c>
      <c r="AH2567" s="33"/>
    </row>
    <row r="2568" hidden="1" outlineLevel="3">
      <c r="A2568" s="95" t="b">
        <v>0</v>
      </c>
      <c r="B2568" s="96"/>
      <c r="C2568" s="18"/>
      <c r="D2568" s="107"/>
      <c r="E2568" s="108"/>
      <c r="F2568" s="109"/>
      <c r="G2568" s="97"/>
      <c r="H2568" s="97"/>
      <c r="I2568" s="97"/>
      <c r="J2568" s="98"/>
      <c r="K2568" s="99"/>
      <c r="L2568" s="98"/>
      <c r="M2568" s="99"/>
      <c r="N2568" s="99"/>
      <c r="O2568" s="18"/>
      <c r="P2568" s="100" t="b">
        <v>0</v>
      </c>
      <c r="Q2568" s="18"/>
      <c r="R2568" s="101" t="str">
        <f t="shared" si="2376"/>
        <v/>
      </c>
      <c r="S2568" s="32"/>
      <c r="T2568" s="102" t="str">
        <f t="shared" si="2484"/>
        <v/>
      </c>
      <c r="U2568" s="18"/>
      <c r="V2568" s="75" t="s">
        <v>29</v>
      </c>
      <c r="W2568" s="104" t="str">
        <f t="shared" si="2024"/>
        <v>/</v>
      </c>
      <c r="X2568" s="111" t="s">
        <v>379</v>
      </c>
      <c r="Y2568" s="106"/>
      <c r="Z2568" s="26" t="str">
        <f t="shared" si="5"/>
        <v/>
      </c>
      <c r="AA2568" s="26" t="str">
        <f t="shared" si="6"/>
        <v/>
      </c>
      <c r="AB2568" s="32" t="str">
        <f t="shared" si="7"/>
        <v/>
      </c>
      <c r="AC2568" s="32" t="str">
        <f t="shared" ref="AC2568:AG2568" si="2602">IF(J2568&lt;&gt;"", IF(AND($P2568=FALSE, $A2568=FALSE), -J2568, IF(AND($P2568=FALSE, $A2568=TRUE), 0, IF($P2568=TRUE, (J2568 / $R2568) * 100 * ($S2568 / 100)-J2568, ))), )</f>
        <v/>
      </c>
      <c r="AD2568" s="32" t="str">
        <f t="shared" si="2602"/>
        <v/>
      </c>
      <c r="AE2568" s="32" t="str">
        <f t="shared" si="2602"/>
        <v/>
      </c>
      <c r="AF2568" s="32" t="str">
        <f t="shared" si="2602"/>
        <v/>
      </c>
      <c r="AG2568" s="32" t="str">
        <f t="shared" si="2602"/>
        <v/>
      </c>
      <c r="AH2568" s="33"/>
    </row>
    <row r="2569" hidden="1" outlineLevel="3">
      <c r="A2569" s="95" t="b">
        <v>0</v>
      </c>
      <c r="B2569" s="96"/>
      <c r="C2569" s="18"/>
      <c r="D2569" s="107"/>
      <c r="E2569" s="108"/>
      <c r="F2569" s="109"/>
      <c r="G2569" s="97"/>
      <c r="H2569" s="97"/>
      <c r="I2569" s="97"/>
      <c r="J2569" s="98"/>
      <c r="K2569" s="99"/>
      <c r="L2569" s="98"/>
      <c r="M2569" s="99"/>
      <c r="N2569" s="99"/>
      <c r="O2569" s="18"/>
      <c r="P2569" s="100" t="b">
        <v>0</v>
      </c>
      <c r="Q2569" s="18"/>
      <c r="R2569" s="101" t="str">
        <f t="shared" si="2376"/>
        <v/>
      </c>
      <c r="S2569" s="32"/>
      <c r="T2569" s="102" t="str">
        <f t="shared" si="2484"/>
        <v/>
      </c>
      <c r="U2569" s="18"/>
      <c r="V2569" s="103" t="str">
        <f t="shared" ref="V2569:V2571" si="2604">IF(ISBLANK($D2569), "0",)</f>
        <v>0</v>
      </c>
      <c r="W2569" s="104" t="str">
        <f t="shared" si="2024"/>
        <v>/</v>
      </c>
      <c r="X2569" s="111" t="s">
        <v>1527</v>
      </c>
      <c r="Y2569" s="106"/>
      <c r="Z2569" s="26" t="str">
        <f t="shared" si="5"/>
        <v/>
      </c>
      <c r="AA2569" s="26" t="str">
        <f t="shared" si="6"/>
        <v/>
      </c>
      <c r="AB2569" s="32" t="str">
        <f t="shared" si="7"/>
        <v/>
      </c>
      <c r="AC2569" s="32" t="str">
        <f t="shared" ref="AC2569:AG2569" si="2603">IF(J2569&lt;&gt;"", IF(AND($P2569=FALSE, $A2569=FALSE), -J2569, IF(AND($P2569=FALSE, $A2569=TRUE), 0, IF($P2569=TRUE, (J2569 / $R2569) * 100 * ($S2569 / 100)-J2569, ))), )</f>
        <v/>
      </c>
      <c r="AD2569" s="32" t="str">
        <f t="shared" si="2603"/>
        <v/>
      </c>
      <c r="AE2569" s="32" t="str">
        <f t="shared" si="2603"/>
        <v/>
      </c>
      <c r="AF2569" s="32" t="str">
        <f t="shared" si="2603"/>
        <v/>
      </c>
      <c r="AG2569" s="32" t="str">
        <f t="shared" si="2603"/>
        <v/>
      </c>
      <c r="AH2569" s="33"/>
    </row>
    <row r="2570" hidden="1" outlineLevel="2" collapsed="1">
      <c r="A2570" s="95" t="b">
        <v>0</v>
      </c>
      <c r="B2570" s="96"/>
      <c r="C2570" s="18"/>
      <c r="D2570" s="42">
        <v>45556.0</v>
      </c>
      <c r="E2570" s="20" t="s">
        <v>24</v>
      </c>
      <c r="F2570" s="53" t="s">
        <v>1581</v>
      </c>
      <c r="G2570" s="97">
        <v>1.5</v>
      </c>
      <c r="H2570" s="97"/>
      <c r="I2570" s="97"/>
      <c r="J2570" s="98"/>
      <c r="K2570" s="99"/>
      <c r="L2570" s="98"/>
      <c r="M2570" s="99"/>
      <c r="N2570" s="99"/>
      <c r="O2570" s="18"/>
      <c r="P2570" s="100" t="b">
        <v>0</v>
      </c>
      <c r="Q2570" s="18"/>
      <c r="R2570" s="101">
        <f t="shared" si="2376"/>
        <v>1.5</v>
      </c>
      <c r="S2570" s="32">
        <v>9.0</v>
      </c>
      <c r="T2570" s="102" t="str">
        <f t="shared" si="2484"/>
        <v>+500</v>
      </c>
      <c r="U2570" s="18"/>
      <c r="V2570" s="103" t="str">
        <f t="shared" si="2604"/>
        <v/>
      </c>
      <c r="W2570" s="104" t="str">
        <f t="shared" si="2024"/>
        <v/>
      </c>
      <c r="X2570" s="105"/>
      <c r="Y2570" s="106"/>
      <c r="Z2570" s="26">
        <f t="shared" si="5"/>
        <v>-1.5</v>
      </c>
      <c r="AA2570" s="26" t="str">
        <f t="shared" si="6"/>
        <v/>
      </c>
      <c r="AB2570" s="32" t="str">
        <f t="shared" si="7"/>
        <v/>
      </c>
      <c r="AC2570" s="32" t="str">
        <f t="shared" ref="AC2570:AG2570" si="2605">IF(J2570&lt;&gt;"", IF(AND($P2570=FALSE, $A2570=FALSE), -J2570, IF(AND($P2570=FALSE, $A2570=TRUE), 0, IF($P2570=TRUE, (J2570 / $R2570) * 100 * ($S2570 / 100)-J2570, ))), )</f>
        <v/>
      </c>
      <c r="AD2570" s="32" t="str">
        <f t="shared" si="2605"/>
        <v/>
      </c>
      <c r="AE2570" s="32" t="str">
        <f t="shared" si="2605"/>
        <v/>
      </c>
      <c r="AF2570" s="32" t="str">
        <f t="shared" si="2605"/>
        <v/>
      </c>
      <c r="AG2570" s="32" t="str">
        <f t="shared" si="2605"/>
        <v/>
      </c>
      <c r="AH2570" s="33"/>
    </row>
    <row r="2571" hidden="1" outlineLevel="3">
      <c r="A2571" s="95" t="b">
        <v>0</v>
      </c>
      <c r="B2571" s="96"/>
      <c r="C2571" s="18"/>
      <c r="D2571" s="107"/>
      <c r="E2571" s="108"/>
      <c r="F2571" s="109"/>
      <c r="G2571" s="97"/>
      <c r="H2571" s="97"/>
      <c r="I2571" s="97"/>
      <c r="J2571" s="98"/>
      <c r="K2571" s="99"/>
      <c r="L2571" s="98"/>
      <c r="M2571" s="99"/>
      <c r="N2571" s="99"/>
      <c r="O2571" s="18"/>
      <c r="P2571" s="100" t="b">
        <v>0</v>
      </c>
      <c r="Q2571" s="18"/>
      <c r="R2571" s="101" t="str">
        <f t="shared" si="2376"/>
        <v/>
      </c>
      <c r="S2571" s="32"/>
      <c r="T2571" s="102" t="str">
        <f t="shared" si="2484"/>
        <v/>
      </c>
      <c r="U2571" s="18"/>
      <c r="V2571" s="103" t="str">
        <f t="shared" si="2604"/>
        <v>0</v>
      </c>
      <c r="W2571" s="104" t="str">
        <f t="shared" si="2024"/>
        <v>/</v>
      </c>
      <c r="X2571" s="111" t="s">
        <v>1527</v>
      </c>
      <c r="Y2571" s="106"/>
      <c r="Z2571" s="26" t="str">
        <f t="shared" si="5"/>
        <v/>
      </c>
      <c r="AA2571" s="26" t="str">
        <f t="shared" si="6"/>
        <v/>
      </c>
      <c r="AB2571" s="32" t="str">
        <f t="shared" si="7"/>
        <v/>
      </c>
      <c r="AC2571" s="32" t="str">
        <f t="shared" ref="AC2571:AG2571" si="2606">IF(J2571&lt;&gt;"", IF(AND($P2571=FALSE, $A2571=FALSE), -J2571, IF(AND($P2571=FALSE, $A2571=TRUE), 0, IF($P2571=TRUE, (J2571 / $R2571) * 100 * ($S2571 / 100)-J2571, ))), )</f>
        <v/>
      </c>
      <c r="AD2571" s="32" t="str">
        <f t="shared" si="2606"/>
        <v/>
      </c>
      <c r="AE2571" s="32" t="str">
        <f t="shared" si="2606"/>
        <v/>
      </c>
      <c r="AF2571" s="32" t="str">
        <f t="shared" si="2606"/>
        <v/>
      </c>
      <c r="AG2571" s="32" t="str">
        <f t="shared" si="2606"/>
        <v/>
      </c>
      <c r="AH2571" s="33"/>
    </row>
    <row r="2572" hidden="1" outlineLevel="3">
      <c r="A2572" s="95" t="b">
        <v>0</v>
      </c>
      <c r="B2572" s="96"/>
      <c r="C2572" s="18"/>
      <c r="D2572" s="107"/>
      <c r="E2572" s="108"/>
      <c r="F2572" s="109"/>
      <c r="G2572" s="97"/>
      <c r="H2572" s="97"/>
      <c r="I2572" s="97"/>
      <c r="J2572" s="98"/>
      <c r="K2572" s="99"/>
      <c r="L2572" s="98"/>
      <c r="M2572" s="99"/>
      <c r="N2572" s="99"/>
      <c r="O2572" s="18"/>
      <c r="P2572" s="100" t="b">
        <v>0</v>
      </c>
      <c r="Q2572" s="18"/>
      <c r="R2572" s="101" t="str">
        <f t="shared" si="2376"/>
        <v/>
      </c>
      <c r="S2572" s="32"/>
      <c r="T2572" s="102" t="str">
        <f t="shared" si="2484"/>
        <v/>
      </c>
      <c r="U2572" s="18"/>
      <c r="V2572" s="75" t="s">
        <v>29</v>
      </c>
      <c r="W2572" s="104" t="str">
        <f t="shared" si="2024"/>
        <v>/</v>
      </c>
      <c r="X2572" s="111" t="s">
        <v>1594</v>
      </c>
      <c r="Y2572" s="106"/>
      <c r="Z2572" s="26" t="str">
        <f t="shared" si="5"/>
        <v/>
      </c>
      <c r="AA2572" s="26" t="str">
        <f t="shared" si="6"/>
        <v/>
      </c>
      <c r="AB2572" s="32" t="str">
        <f t="shared" si="7"/>
        <v/>
      </c>
      <c r="AC2572" s="32" t="str">
        <f t="shared" ref="AC2572:AG2572" si="2607">IF(J2572&lt;&gt;"", IF(AND($P2572=FALSE, $A2572=FALSE), -J2572, IF(AND($P2572=FALSE, $A2572=TRUE), 0, IF($P2572=TRUE, (J2572 / $R2572) * 100 * ($S2572 / 100)-J2572, ))), )</f>
        <v/>
      </c>
      <c r="AD2572" s="32" t="str">
        <f t="shared" si="2607"/>
        <v/>
      </c>
      <c r="AE2572" s="32" t="str">
        <f t="shared" si="2607"/>
        <v/>
      </c>
      <c r="AF2572" s="32" t="str">
        <f t="shared" si="2607"/>
        <v/>
      </c>
      <c r="AG2572" s="32" t="str">
        <f t="shared" si="2607"/>
        <v/>
      </c>
      <c r="AH2572" s="33"/>
    </row>
    <row r="2573" hidden="1" outlineLevel="3">
      <c r="A2573" s="95" t="b">
        <v>0</v>
      </c>
      <c r="B2573" s="96"/>
      <c r="C2573" s="18"/>
      <c r="D2573" s="107"/>
      <c r="E2573" s="108"/>
      <c r="F2573" s="109"/>
      <c r="G2573" s="97"/>
      <c r="H2573" s="97"/>
      <c r="I2573" s="97"/>
      <c r="J2573" s="98"/>
      <c r="K2573" s="99"/>
      <c r="L2573" s="98"/>
      <c r="M2573" s="99"/>
      <c r="N2573" s="99"/>
      <c r="O2573" s="18"/>
      <c r="P2573" s="100" t="b">
        <v>0</v>
      </c>
      <c r="Q2573" s="18"/>
      <c r="R2573" s="101" t="str">
        <f t="shared" si="2376"/>
        <v/>
      </c>
      <c r="S2573" s="32"/>
      <c r="T2573" s="102" t="str">
        <f t="shared" si="2484"/>
        <v/>
      </c>
      <c r="U2573" s="18"/>
      <c r="V2573" s="103" t="str">
        <f>IF(ISBLANK($D2573), "0",)</f>
        <v>0</v>
      </c>
      <c r="W2573" s="104" t="str">
        <f t="shared" si="2024"/>
        <v>/</v>
      </c>
      <c r="X2573" s="111" t="s">
        <v>1595</v>
      </c>
      <c r="Y2573" s="106"/>
      <c r="Z2573" s="26" t="str">
        <f t="shared" si="5"/>
        <v/>
      </c>
      <c r="AA2573" s="26" t="str">
        <f t="shared" si="6"/>
        <v/>
      </c>
      <c r="AB2573" s="32" t="str">
        <f t="shared" si="7"/>
        <v/>
      </c>
      <c r="AC2573" s="32" t="str">
        <f t="shared" ref="AC2573:AG2573" si="2608">IF(J2573&lt;&gt;"", IF(AND($P2573=FALSE, $A2573=FALSE), -J2573, IF(AND($P2573=FALSE, $A2573=TRUE), 0, IF($P2573=TRUE, (J2573 / $R2573) * 100 * ($S2573 / 100)-J2573, ))), )</f>
        <v/>
      </c>
      <c r="AD2573" s="32" t="str">
        <f t="shared" si="2608"/>
        <v/>
      </c>
      <c r="AE2573" s="32" t="str">
        <f t="shared" si="2608"/>
        <v/>
      </c>
      <c r="AF2573" s="32" t="str">
        <f t="shared" si="2608"/>
        <v/>
      </c>
      <c r="AG2573" s="32" t="str">
        <f t="shared" si="2608"/>
        <v/>
      </c>
      <c r="AH2573" s="33"/>
    </row>
    <row r="2574" hidden="1" outlineLevel="3">
      <c r="A2574" s="95" t="b">
        <v>0</v>
      </c>
      <c r="B2574" s="96"/>
      <c r="C2574" s="18"/>
      <c r="D2574" s="107"/>
      <c r="E2574" s="108"/>
      <c r="F2574" s="109"/>
      <c r="G2574" s="97"/>
      <c r="H2574" s="97"/>
      <c r="I2574" s="97"/>
      <c r="J2574" s="98"/>
      <c r="K2574" s="99"/>
      <c r="L2574" s="98"/>
      <c r="M2574" s="99"/>
      <c r="N2574" s="99"/>
      <c r="O2574" s="18"/>
      <c r="P2574" s="100" t="b">
        <v>0</v>
      </c>
      <c r="Q2574" s="18"/>
      <c r="R2574" s="101" t="str">
        <f t="shared" si="2376"/>
        <v/>
      </c>
      <c r="S2574" s="32"/>
      <c r="T2574" s="102" t="str">
        <f t="shared" si="2484"/>
        <v/>
      </c>
      <c r="U2574" s="18"/>
      <c r="V2574" s="75" t="s">
        <v>29</v>
      </c>
      <c r="W2574" s="104" t="str">
        <f t="shared" si="2024"/>
        <v>/</v>
      </c>
      <c r="X2574" s="111" t="s">
        <v>379</v>
      </c>
      <c r="Y2574" s="106"/>
      <c r="Z2574" s="26" t="str">
        <f t="shared" si="5"/>
        <v/>
      </c>
      <c r="AA2574" s="26" t="str">
        <f t="shared" si="6"/>
        <v/>
      </c>
      <c r="AB2574" s="32" t="str">
        <f t="shared" si="7"/>
        <v/>
      </c>
      <c r="AC2574" s="32" t="str">
        <f t="shared" ref="AC2574:AG2574" si="2609">IF(J2574&lt;&gt;"", IF(AND($P2574=FALSE, $A2574=FALSE), -J2574, IF(AND($P2574=FALSE, $A2574=TRUE), 0, IF($P2574=TRUE, (J2574 / $R2574) * 100 * ($S2574 / 100)-J2574, ))), )</f>
        <v/>
      </c>
      <c r="AD2574" s="32" t="str">
        <f t="shared" si="2609"/>
        <v/>
      </c>
      <c r="AE2574" s="32" t="str">
        <f t="shared" si="2609"/>
        <v/>
      </c>
      <c r="AF2574" s="32" t="str">
        <f t="shared" si="2609"/>
        <v/>
      </c>
      <c r="AG2574" s="32" t="str">
        <f t="shared" si="2609"/>
        <v/>
      </c>
      <c r="AH2574" s="33"/>
    </row>
    <row r="2575" hidden="1" outlineLevel="3">
      <c r="A2575" s="95" t="b">
        <v>0</v>
      </c>
      <c r="B2575" s="96"/>
      <c r="C2575" s="18"/>
      <c r="D2575" s="107"/>
      <c r="E2575" s="108"/>
      <c r="F2575" s="109"/>
      <c r="G2575" s="97"/>
      <c r="H2575" s="97"/>
      <c r="I2575" s="97"/>
      <c r="J2575" s="98"/>
      <c r="K2575" s="99"/>
      <c r="L2575" s="98"/>
      <c r="M2575" s="99"/>
      <c r="N2575" s="99"/>
      <c r="O2575" s="18"/>
      <c r="P2575" s="100" t="b">
        <v>0</v>
      </c>
      <c r="Q2575" s="18"/>
      <c r="R2575" s="101" t="str">
        <f t="shared" si="2376"/>
        <v/>
      </c>
      <c r="S2575" s="32"/>
      <c r="T2575" s="102" t="str">
        <f t="shared" si="2484"/>
        <v/>
      </c>
      <c r="U2575" s="18"/>
      <c r="V2575" s="103" t="str">
        <f t="shared" ref="V2575:V2576" si="2611">IF(ISBLANK($D2575), "0",)</f>
        <v>0</v>
      </c>
      <c r="W2575" s="104" t="str">
        <f t="shared" si="2024"/>
        <v>/</v>
      </c>
      <c r="X2575" s="111" t="s">
        <v>1596</v>
      </c>
      <c r="Y2575" s="106"/>
      <c r="Z2575" s="26" t="str">
        <f t="shared" si="5"/>
        <v/>
      </c>
      <c r="AA2575" s="26" t="str">
        <f t="shared" si="6"/>
        <v/>
      </c>
      <c r="AB2575" s="32" t="str">
        <f t="shared" si="7"/>
        <v/>
      </c>
      <c r="AC2575" s="32" t="str">
        <f t="shared" ref="AC2575:AG2575" si="2610">IF(J2575&lt;&gt;"", IF(AND($P2575=FALSE, $A2575=FALSE), -J2575, IF(AND($P2575=FALSE, $A2575=TRUE), 0, IF($P2575=TRUE, (J2575 / $R2575) * 100 * ($S2575 / 100)-J2575, ))), )</f>
        <v/>
      </c>
      <c r="AD2575" s="32" t="str">
        <f t="shared" si="2610"/>
        <v/>
      </c>
      <c r="AE2575" s="32" t="str">
        <f t="shared" si="2610"/>
        <v/>
      </c>
      <c r="AF2575" s="32" t="str">
        <f t="shared" si="2610"/>
        <v/>
      </c>
      <c r="AG2575" s="32" t="str">
        <f t="shared" si="2610"/>
        <v/>
      </c>
      <c r="AH2575" s="33"/>
    </row>
    <row r="2576" hidden="1" outlineLevel="2" collapsed="1">
      <c r="A2576" s="95" t="b">
        <v>0</v>
      </c>
      <c r="B2576" s="96"/>
      <c r="C2576" s="18"/>
      <c r="D2576" s="42">
        <v>45556.0</v>
      </c>
      <c r="E2576" s="20" t="s">
        <v>24</v>
      </c>
      <c r="F2576" s="53" t="s">
        <v>1581</v>
      </c>
      <c r="G2576" s="97">
        <v>3.0</v>
      </c>
      <c r="H2576" s="97"/>
      <c r="I2576" s="97">
        <v>2.0</v>
      </c>
      <c r="J2576" s="98"/>
      <c r="K2576" s="99"/>
      <c r="L2576" s="98"/>
      <c r="M2576" s="99"/>
      <c r="N2576" s="99"/>
      <c r="O2576" s="18"/>
      <c r="P2576" s="100" t="b">
        <v>0</v>
      </c>
      <c r="Q2576" s="18"/>
      <c r="R2576" s="101">
        <f t="shared" si="2376"/>
        <v>5</v>
      </c>
      <c r="S2576" s="32">
        <v>16.82</v>
      </c>
      <c r="T2576" s="102" t="str">
        <f t="shared" si="2484"/>
        <v>+236</v>
      </c>
      <c r="U2576" s="18"/>
      <c r="V2576" s="103" t="str">
        <f t="shared" si="2611"/>
        <v/>
      </c>
      <c r="W2576" s="104" t="str">
        <f t="shared" si="2024"/>
        <v/>
      </c>
      <c r="X2576" s="105"/>
      <c r="Y2576" s="106"/>
      <c r="Z2576" s="26">
        <f t="shared" si="5"/>
        <v>-3</v>
      </c>
      <c r="AA2576" s="26">
        <f t="shared" si="6"/>
        <v>-2</v>
      </c>
      <c r="AB2576" s="32" t="str">
        <f t="shared" si="7"/>
        <v/>
      </c>
      <c r="AC2576" s="32" t="str">
        <f t="shared" ref="AC2576:AG2576" si="2612">IF(J2576&lt;&gt;"", IF(AND($P2576=FALSE, $A2576=FALSE), -J2576, IF(AND($P2576=FALSE, $A2576=TRUE), 0, IF($P2576=TRUE, (J2576 / $R2576) * 100 * ($S2576 / 100)-J2576, ))), )</f>
        <v/>
      </c>
      <c r="AD2576" s="32" t="str">
        <f t="shared" si="2612"/>
        <v/>
      </c>
      <c r="AE2576" s="32" t="str">
        <f t="shared" si="2612"/>
        <v/>
      </c>
      <c r="AF2576" s="32" t="str">
        <f t="shared" si="2612"/>
        <v/>
      </c>
      <c r="AG2576" s="32" t="str">
        <f t="shared" si="2612"/>
        <v/>
      </c>
      <c r="AH2576" s="33"/>
    </row>
    <row r="2577" hidden="1" outlineLevel="3">
      <c r="A2577" s="95" t="b">
        <v>0</v>
      </c>
      <c r="B2577" s="96"/>
      <c r="C2577" s="18"/>
      <c r="D2577" s="107"/>
      <c r="E2577" s="108"/>
      <c r="F2577" s="109"/>
      <c r="G2577" s="97"/>
      <c r="H2577" s="97"/>
      <c r="I2577" s="97"/>
      <c r="J2577" s="98"/>
      <c r="K2577" s="99"/>
      <c r="L2577" s="98"/>
      <c r="M2577" s="99"/>
      <c r="N2577" s="99"/>
      <c r="O2577" s="18"/>
      <c r="P2577" s="100" t="b">
        <v>0</v>
      </c>
      <c r="Q2577" s="18"/>
      <c r="R2577" s="101" t="str">
        <f t="shared" si="2376"/>
        <v/>
      </c>
      <c r="S2577" s="32"/>
      <c r="T2577" s="102" t="str">
        <f t="shared" si="2484"/>
        <v/>
      </c>
      <c r="U2577" s="18"/>
      <c r="V2577" s="112" t="s">
        <v>1597</v>
      </c>
      <c r="W2577" s="104" t="str">
        <f t="shared" si="2024"/>
        <v>/</v>
      </c>
      <c r="X2577" s="111" t="s">
        <v>1005</v>
      </c>
      <c r="Y2577" s="106"/>
      <c r="Z2577" s="26" t="str">
        <f t="shared" si="5"/>
        <v/>
      </c>
      <c r="AA2577" s="26" t="str">
        <f t="shared" si="6"/>
        <v/>
      </c>
      <c r="AB2577" s="32" t="str">
        <f t="shared" si="7"/>
        <v/>
      </c>
      <c r="AC2577" s="32" t="str">
        <f t="shared" ref="AC2577:AG2577" si="2613">IF(J2577&lt;&gt;"", IF(AND($P2577=FALSE, $A2577=FALSE), -J2577, IF(AND($P2577=FALSE, $A2577=TRUE), 0, IF($P2577=TRUE, (J2577 / $R2577) * 100 * ($S2577 / 100)-J2577, ))), )</f>
        <v/>
      </c>
      <c r="AD2577" s="32" t="str">
        <f t="shared" si="2613"/>
        <v/>
      </c>
      <c r="AE2577" s="32" t="str">
        <f t="shared" si="2613"/>
        <v/>
      </c>
      <c r="AF2577" s="32" t="str">
        <f t="shared" si="2613"/>
        <v/>
      </c>
      <c r="AG2577" s="32" t="str">
        <f t="shared" si="2613"/>
        <v/>
      </c>
      <c r="AH2577" s="33"/>
    </row>
    <row r="2578" hidden="1" outlineLevel="3">
      <c r="A2578" s="95" t="b">
        <v>0</v>
      </c>
      <c r="B2578" s="96"/>
      <c r="C2578" s="18"/>
      <c r="D2578" s="107"/>
      <c r="E2578" s="108"/>
      <c r="F2578" s="109"/>
      <c r="G2578" s="97"/>
      <c r="H2578" s="97"/>
      <c r="I2578" s="97"/>
      <c r="J2578" s="98"/>
      <c r="K2578" s="99"/>
      <c r="L2578" s="98"/>
      <c r="M2578" s="99"/>
      <c r="N2578" s="99"/>
      <c r="O2578" s="18"/>
      <c r="P2578" s="100" t="b">
        <v>0</v>
      </c>
      <c r="Q2578" s="18"/>
      <c r="R2578" s="101" t="str">
        <f t="shared" si="2376"/>
        <v/>
      </c>
      <c r="S2578" s="32"/>
      <c r="T2578" s="102" t="str">
        <f t="shared" si="2484"/>
        <v/>
      </c>
      <c r="U2578" s="18"/>
      <c r="V2578" s="112" t="s">
        <v>1598</v>
      </c>
      <c r="W2578" s="104" t="str">
        <f t="shared" si="2024"/>
        <v>/</v>
      </c>
      <c r="X2578" s="111" t="s">
        <v>1599</v>
      </c>
      <c r="Y2578" s="106"/>
      <c r="Z2578" s="26" t="str">
        <f t="shared" si="5"/>
        <v/>
      </c>
      <c r="AA2578" s="26" t="str">
        <f t="shared" si="6"/>
        <v/>
      </c>
      <c r="AB2578" s="32" t="str">
        <f t="shared" si="7"/>
        <v/>
      </c>
      <c r="AC2578" s="32" t="str">
        <f t="shared" ref="AC2578:AG2578" si="2614">IF(J2578&lt;&gt;"", IF(AND($P2578=FALSE, $A2578=FALSE), -J2578, IF(AND($P2578=FALSE, $A2578=TRUE), 0, IF($P2578=TRUE, (J2578 / $R2578) * 100 * ($S2578 / 100)-J2578, ))), )</f>
        <v/>
      </c>
      <c r="AD2578" s="32" t="str">
        <f t="shared" si="2614"/>
        <v/>
      </c>
      <c r="AE2578" s="32" t="str">
        <f t="shared" si="2614"/>
        <v/>
      </c>
      <c r="AF2578" s="32" t="str">
        <f t="shared" si="2614"/>
        <v/>
      </c>
      <c r="AG2578" s="32" t="str">
        <f t="shared" si="2614"/>
        <v/>
      </c>
      <c r="AH2578" s="33"/>
    </row>
    <row r="2579" hidden="1" outlineLevel="3">
      <c r="A2579" s="95" t="b">
        <v>0</v>
      </c>
      <c r="B2579" s="96"/>
      <c r="C2579" s="18"/>
      <c r="D2579" s="107"/>
      <c r="E2579" s="108"/>
      <c r="F2579" s="109"/>
      <c r="G2579" s="97"/>
      <c r="H2579" s="97"/>
      <c r="I2579" s="97"/>
      <c r="J2579" s="98"/>
      <c r="K2579" s="99"/>
      <c r="L2579" s="98"/>
      <c r="M2579" s="99"/>
      <c r="N2579" s="99"/>
      <c r="O2579" s="18"/>
      <c r="P2579" s="100" t="b">
        <v>0</v>
      </c>
      <c r="Q2579" s="18"/>
      <c r="R2579" s="101" t="str">
        <f t="shared" si="2376"/>
        <v/>
      </c>
      <c r="S2579" s="32"/>
      <c r="T2579" s="102" t="str">
        <f t="shared" si="2484"/>
        <v/>
      </c>
      <c r="U2579" s="18"/>
      <c r="V2579" s="112" t="s">
        <v>1087</v>
      </c>
      <c r="W2579" s="104" t="str">
        <f t="shared" si="2024"/>
        <v>/</v>
      </c>
      <c r="X2579" s="111" t="s">
        <v>1600</v>
      </c>
      <c r="Y2579" s="106"/>
      <c r="Z2579" s="26" t="str">
        <f t="shared" si="5"/>
        <v/>
      </c>
      <c r="AA2579" s="26" t="str">
        <f t="shared" si="6"/>
        <v/>
      </c>
      <c r="AB2579" s="32" t="str">
        <f t="shared" si="7"/>
        <v/>
      </c>
      <c r="AC2579" s="32" t="str">
        <f t="shared" ref="AC2579:AG2579" si="2615">IF(J2579&lt;&gt;"", IF(AND($P2579=FALSE, $A2579=FALSE), -J2579, IF(AND($P2579=FALSE, $A2579=TRUE), 0, IF($P2579=TRUE, (J2579 / $R2579) * 100 * ($S2579 / 100)-J2579, ))), )</f>
        <v/>
      </c>
      <c r="AD2579" s="32" t="str">
        <f t="shared" si="2615"/>
        <v/>
      </c>
      <c r="AE2579" s="32" t="str">
        <f t="shared" si="2615"/>
        <v/>
      </c>
      <c r="AF2579" s="32" t="str">
        <f t="shared" si="2615"/>
        <v/>
      </c>
      <c r="AG2579" s="32" t="str">
        <f t="shared" si="2615"/>
        <v/>
      </c>
      <c r="AH2579" s="33"/>
    </row>
    <row r="2580" hidden="1" outlineLevel="3">
      <c r="A2580" s="95" t="b">
        <v>0</v>
      </c>
      <c r="B2580" s="96"/>
      <c r="C2580" s="18"/>
      <c r="D2580" s="107"/>
      <c r="E2580" s="108"/>
      <c r="F2580" s="109"/>
      <c r="G2580" s="97"/>
      <c r="H2580" s="97"/>
      <c r="I2580" s="97"/>
      <c r="J2580" s="98"/>
      <c r="K2580" s="99"/>
      <c r="L2580" s="98"/>
      <c r="M2580" s="99"/>
      <c r="N2580" s="99"/>
      <c r="O2580" s="18"/>
      <c r="P2580" s="100" t="b">
        <v>0</v>
      </c>
      <c r="Q2580" s="18"/>
      <c r="R2580" s="101" t="str">
        <f t="shared" si="2376"/>
        <v/>
      </c>
      <c r="S2580" s="32"/>
      <c r="T2580" s="102" t="str">
        <f t="shared" si="2484"/>
        <v/>
      </c>
      <c r="U2580" s="18"/>
      <c r="V2580" s="112" t="s">
        <v>1123</v>
      </c>
      <c r="W2580" s="104" t="str">
        <f t="shared" si="2024"/>
        <v>/</v>
      </c>
      <c r="X2580" s="111" t="s">
        <v>491</v>
      </c>
      <c r="Y2580" s="106"/>
      <c r="Z2580" s="26" t="str">
        <f t="shared" si="5"/>
        <v/>
      </c>
      <c r="AA2580" s="26" t="str">
        <f t="shared" si="6"/>
        <v/>
      </c>
      <c r="AB2580" s="32" t="str">
        <f t="shared" si="7"/>
        <v/>
      </c>
      <c r="AC2580" s="32" t="str">
        <f t="shared" ref="AC2580:AG2580" si="2616">IF(J2580&lt;&gt;"", IF(AND($P2580=FALSE, $A2580=FALSE), -J2580, IF(AND($P2580=FALSE, $A2580=TRUE), 0, IF($P2580=TRUE, (J2580 / $R2580) * 100 * ($S2580 / 100)-J2580, ))), )</f>
        <v/>
      </c>
      <c r="AD2580" s="32" t="str">
        <f t="shared" si="2616"/>
        <v/>
      </c>
      <c r="AE2580" s="32" t="str">
        <f t="shared" si="2616"/>
        <v/>
      </c>
      <c r="AF2580" s="32" t="str">
        <f t="shared" si="2616"/>
        <v/>
      </c>
      <c r="AG2580" s="32" t="str">
        <f t="shared" si="2616"/>
        <v/>
      </c>
      <c r="AH2580" s="33"/>
    </row>
    <row r="2581" hidden="1" outlineLevel="2" collapsed="1">
      <c r="A2581" s="95" t="b">
        <v>0</v>
      </c>
      <c r="B2581" s="96"/>
      <c r="C2581" s="18"/>
      <c r="D2581" s="42">
        <v>45556.0</v>
      </c>
      <c r="E2581" s="20" t="s">
        <v>24</v>
      </c>
      <c r="F2581" s="53" t="s">
        <v>1581</v>
      </c>
      <c r="G2581" s="97">
        <v>3.0</v>
      </c>
      <c r="H2581" s="97"/>
      <c r="I2581" s="97">
        <v>3.0</v>
      </c>
      <c r="J2581" s="98"/>
      <c r="K2581" s="99"/>
      <c r="L2581" s="98"/>
      <c r="M2581" s="99"/>
      <c r="N2581" s="99"/>
      <c r="O2581" s="18"/>
      <c r="P2581" s="100" t="b">
        <v>0</v>
      </c>
      <c r="Q2581" s="18"/>
      <c r="R2581" s="101">
        <f t="shared" si="2376"/>
        <v>6</v>
      </c>
      <c r="S2581" s="32">
        <v>20.83</v>
      </c>
      <c r="T2581" s="102" t="str">
        <f t="shared" si="2484"/>
        <v>+247</v>
      </c>
      <c r="U2581" s="18"/>
      <c r="V2581" s="103" t="str">
        <f>IF(ISBLANK($D2581), "0",)</f>
        <v/>
      </c>
      <c r="W2581" s="104" t="str">
        <f t="shared" si="2024"/>
        <v/>
      </c>
      <c r="X2581" s="105"/>
      <c r="Y2581" s="106"/>
      <c r="Z2581" s="26">
        <f t="shared" si="5"/>
        <v>-3</v>
      </c>
      <c r="AA2581" s="26">
        <f t="shared" si="6"/>
        <v>-3</v>
      </c>
      <c r="AB2581" s="32" t="str">
        <f t="shared" si="7"/>
        <v/>
      </c>
      <c r="AC2581" s="32" t="str">
        <f t="shared" ref="AC2581:AG2581" si="2617">IF(J2581&lt;&gt;"", IF(AND($P2581=FALSE, $A2581=FALSE), -J2581, IF(AND($P2581=FALSE, $A2581=TRUE), 0, IF($P2581=TRUE, (J2581 / $R2581) * 100 * ($S2581 / 100)-J2581, ))), )</f>
        <v/>
      </c>
      <c r="AD2581" s="32" t="str">
        <f t="shared" si="2617"/>
        <v/>
      </c>
      <c r="AE2581" s="32" t="str">
        <f t="shared" si="2617"/>
        <v/>
      </c>
      <c r="AF2581" s="32" t="str">
        <f t="shared" si="2617"/>
        <v/>
      </c>
      <c r="AG2581" s="32" t="str">
        <f t="shared" si="2617"/>
        <v/>
      </c>
      <c r="AH2581" s="33"/>
    </row>
    <row r="2582" hidden="1" outlineLevel="3">
      <c r="A2582" s="95" t="b">
        <v>0</v>
      </c>
      <c r="B2582" s="96"/>
      <c r="C2582" s="18"/>
      <c r="D2582" s="107"/>
      <c r="E2582" s="108"/>
      <c r="F2582" s="109"/>
      <c r="G2582" s="97"/>
      <c r="H2582" s="97"/>
      <c r="I2582" s="97"/>
      <c r="J2582" s="98"/>
      <c r="K2582" s="99"/>
      <c r="L2582" s="98"/>
      <c r="M2582" s="99"/>
      <c r="N2582" s="99"/>
      <c r="O2582" s="18"/>
      <c r="P2582" s="100" t="b">
        <v>0</v>
      </c>
      <c r="Q2582" s="18"/>
      <c r="R2582" s="101" t="str">
        <f t="shared" si="2376"/>
        <v/>
      </c>
      <c r="S2582" s="32"/>
      <c r="T2582" s="102" t="str">
        <f t="shared" si="2484"/>
        <v/>
      </c>
      <c r="U2582" s="18"/>
      <c r="V2582" s="113">
        <v>1.0</v>
      </c>
      <c r="W2582" s="104" t="str">
        <f t="shared" si="2024"/>
        <v>/</v>
      </c>
      <c r="X2582" s="111" t="s">
        <v>1601</v>
      </c>
      <c r="Y2582" s="106"/>
      <c r="Z2582" s="26" t="str">
        <f t="shared" si="5"/>
        <v/>
      </c>
      <c r="AA2582" s="26" t="str">
        <f t="shared" si="6"/>
        <v/>
      </c>
      <c r="AB2582" s="32" t="str">
        <f t="shared" si="7"/>
        <v/>
      </c>
      <c r="AC2582" s="32" t="str">
        <f t="shared" ref="AC2582:AG2582" si="2618">IF(J2582&lt;&gt;"", IF(AND($P2582=FALSE, $A2582=FALSE), -J2582, IF(AND($P2582=FALSE, $A2582=TRUE), 0, IF($P2582=TRUE, (J2582 / $R2582) * 100 * ($S2582 / 100)-J2582, ))), )</f>
        <v/>
      </c>
      <c r="AD2582" s="32" t="str">
        <f t="shared" si="2618"/>
        <v/>
      </c>
      <c r="AE2582" s="32" t="str">
        <f t="shared" si="2618"/>
        <v/>
      </c>
      <c r="AF2582" s="32" t="str">
        <f t="shared" si="2618"/>
        <v/>
      </c>
      <c r="AG2582" s="32" t="str">
        <f t="shared" si="2618"/>
        <v/>
      </c>
      <c r="AH2582" s="33"/>
    </row>
    <row r="2583" hidden="1" outlineLevel="3">
      <c r="A2583" s="95" t="b">
        <v>0</v>
      </c>
      <c r="B2583" s="96"/>
      <c r="C2583" s="18"/>
      <c r="D2583" s="107"/>
      <c r="E2583" s="108"/>
      <c r="F2583" s="109"/>
      <c r="G2583" s="97"/>
      <c r="H2583" s="97"/>
      <c r="I2583" s="97"/>
      <c r="J2583" s="98"/>
      <c r="K2583" s="99"/>
      <c r="L2583" s="98"/>
      <c r="M2583" s="99"/>
      <c r="N2583" s="99"/>
      <c r="O2583" s="18"/>
      <c r="P2583" s="100" t="b">
        <v>0</v>
      </c>
      <c r="Q2583" s="18"/>
      <c r="R2583" s="101" t="str">
        <f t="shared" si="2376"/>
        <v/>
      </c>
      <c r="S2583" s="32"/>
      <c r="T2583" s="102" t="str">
        <f t="shared" si="2484"/>
        <v/>
      </c>
      <c r="U2583" s="18"/>
      <c r="V2583" s="113">
        <v>181.0</v>
      </c>
      <c r="W2583" s="104" t="str">
        <f t="shared" si="2024"/>
        <v>/</v>
      </c>
      <c r="X2583" s="111" t="s">
        <v>1602</v>
      </c>
      <c r="Y2583" s="106"/>
      <c r="Z2583" s="26" t="str">
        <f t="shared" si="5"/>
        <v/>
      </c>
      <c r="AA2583" s="26" t="str">
        <f t="shared" si="6"/>
        <v/>
      </c>
      <c r="AB2583" s="32" t="str">
        <f t="shared" si="7"/>
        <v/>
      </c>
      <c r="AC2583" s="32" t="str">
        <f t="shared" ref="AC2583:AG2583" si="2619">IF(J2583&lt;&gt;"", IF(AND($P2583=FALSE, $A2583=FALSE), -J2583, IF(AND($P2583=FALSE, $A2583=TRUE), 0, IF($P2583=TRUE, (J2583 / $R2583) * 100 * ($S2583 / 100)-J2583, ))), )</f>
        <v/>
      </c>
      <c r="AD2583" s="32" t="str">
        <f t="shared" si="2619"/>
        <v/>
      </c>
      <c r="AE2583" s="32" t="str">
        <f t="shared" si="2619"/>
        <v/>
      </c>
      <c r="AF2583" s="32" t="str">
        <f t="shared" si="2619"/>
        <v/>
      </c>
      <c r="AG2583" s="32" t="str">
        <f t="shared" si="2619"/>
        <v/>
      </c>
      <c r="AH2583" s="33"/>
    </row>
    <row r="2584" hidden="1" outlineLevel="3">
      <c r="A2584" s="95" t="b">
        <v>0</v>
      </c>
      <c r="B2584" s="96"/>
      <c r="C2584" s="18"/>
      <c r="D2584" s="107"/>
      <c r="E2584" s="108"/>
      <c r="F2584" s="109"/>
      <c r="G2584" s="97"/>
      <c r="H2584" s="97"/>
      <c r="I2584" s="97"/>
      <c r="J2584" s="98"/>
      <c r="K2584" s="99"/>
      <c r="L2584" s="98"/>
      <c r="M2584" s="99"/>
      <c r="N2584" s="99"/>
      <c r="O2584" s="18"/>
      <c r="P2584" s="100" t="b">
        <v>0</v>
      </c>
      <c r="Q2584" s="18"/>
      <c r="R2584" s="101" t="str">
        <f t="shared" si="2376"/>
        <v/>
      </c>
      <c r="S2584" s="32"/>
      <c r="T2584" s="102" t="str">
        <f t="shared" si="2484"/>
        <v/>
      </c>
      <c r="U2584" s="18"/>
      <c r="V2584" s="113">
        <v>215.0</v>
      </c>
      <c r="W2584" s="104" t="str">
        <f t="shared" si="2024"/>
        <v>/</v>
      </c>
      <c r="X2584" s="111" t="s">
        <v>649</v>
      </c>
      <c r="Y2584" s="106"/>
      <c r="Z2584" s="26" t="str">
        <f t="shared" si="5"/>
        <v/>
      </c>
      <c r="AA2584" s="26" t="str">
        <f t="shared" si="6"/>
        <v/>
      </c>
      <c r="AB2584" s="32" t="str">
        <f t="shared" si="7"/>
        <v/>
      </c>
      <c r="AC2584" s="32" t="str">
        <f t="shared" ref="AC2584:AG2584" si="2620">IF(J2584&lt;&gt;"", IF(AND($P2584=FALSE, $A2584=FALSE), -J2584, IF(AND($P2584=FALSE, $A2584=TRUE), 0, IF($P2584=TRUE, (J2584 / $R2584) * 100 * ($S2584 / 100)-J2584, ))), )</f>
        <v/>
      </c>
      <c r="AD2584" s="32" t="str">
        <f t="shared" si="2620"/>
        <v/>
      </c>
      <c r="AE2584" s="32" t="str">
        <f t="shared" si="2620"/>
        <v/>
      </c>
      <c r="AF2584" s="32" t="str">
        <f t="shared" si="2620"/>
        <v/>
      </c>
      <c r="AG2584" s="32" t="str">
        <f t="shared" si="2620"/>
        <v/>
      </c>
      <c r="AH2584" s="33"/>
    </row>
    <row r="2585" hidden="1" outlineLevel="3">
      <c r="A2585" s="95" t="b">
        <v>0</v>
      </c>
      <c r="B2585" s="96"/>
      <c r="C2585" s="18"/>
      <c r="D2585" s="107"/>
      <c r="E2585" s="108"/>
      <c r="F2585" s="109"/>
      <c r="G2585" s="97"/>
      <c r="H2585" s="97"/>
      <c r="I2585" s="97"/>
      <c r="J2585" s="98"/>
      <c r="K2585" s="99"/>
      <c r="L2585" s="98"/>
      <c r="M2585" s="99"/>
      <c r="N2585" s="99"/>
      <c r="O2585" s="18"/>
      <c r="P2585" s="100" t="b">
        <v>0</v>
      </c>
      <c r="Q2585" s="18"/>
      <c r="R2585" s="101" t="str">
        <f t="shared" si="2376"/>
        <v/>
      </c>
      <c r="S2585" s="32"/>
      <c r="T2585" s="102" t="str">
        <f t="shared" si="2484"/>
        <v/>
      </c>
      <c r="U2585" s="18"/>
      <c r="V2585" s="75" t="s">
        <v>29</v>
      </c>
      <c r="W2585" s="104" t="str">
        <f t="shared" si="2024"/>
        <v>/</v>
      </c>
      <c r="X2585" s="111" t="s">
        <v>1036</v>
      </c>
      <c r="Y2585" s="106"/>
      <c r="Z2585" s="26" t="str">
        <f t="shared" si="5"/>
        <v/>
      </c>
      <c r="AA2585" s="26" t="str">
        <f t="shared" si="6"/>
        <v/>
      </c>
      <c r="AB2585" s="32" t="str">
        <f t="shared" si="7"/>
        <v/>
      </c>
      <c r="AC2585" s="32" t="str">
        <f t="shared" ref="AC2585:AG2585" si="2621">IF(J2585&lt;&gt;"", IF(AND($P2585=FALSE, $A2585=FALSE), -J2585, IF(AND($P2585=FALSE, $A2585=TRUE), 0, IF($P2585=TRUE, (J2585 / $R2585) * 100 * ($S2585 / 100)-J2585, ))), )</f>
        <v/>
      </c>
      <c r="AD2585" s="32" t="str">
        <f t="shared" si="2621"/>
        <v/>
      </c>
      <c r="AE2585" s="32" t="str">
        <f t="shared" si="2621"/>
        <v/>
      </c>
      <c r="AF2585" s="32" t="str">
        <f t="shared" si="2621"/>
        <v/>
      </c>
      <c r="AG2585" s="32" t="str">
        <f t="shared" si="2621"/>
        <v/>
      </c>
      <c r="AH2585" s="33"/>
    </row>
    <row r="2586" hidden="1" outlineLevel="3">
      <c r="A2586" s="95" t="b">
        <v>0</v>
      </c>
      <c r="B2586" s="96"/>
      <c r="C2586" s="18"/>
      <c r="D2586" s="107"/>
      <c r="E2586" s="108"/>
      <c r="F2586" s="109"/>
      <c r="G2586" s="97"/>
      <c r="H2586" s="97"/>
      <c r="I2586" s="97"/>
      <c r="J2586" s="98"/>
      <c r="K2586" s="99"/>
      <c r="L2586" s="98"/>
      <c r="M2586" s="99"/>
      <c r="N2586" s="99"/>
      <c r="O2586" s="18"/>
      <c r="P2586" s="100" t="b">
        <v>0</v>
      </c>
      <c r="Q2586" s="18"/>
      <c r="R2586" s="101" t="str">
        <f t="shared" si="2376"/>
        <v/>
      </c>
      <c r="S2586" s="32"/>
      <c r="T2586" s="102" t="str">
        <f t="shared" si="2484"/>
        <v/>
      </c>
      <c r="U2586" s="18"/>
      <c r="V2586" s="75" t="s">
        <v>29</v>
      </c>
      <c r="W2586" s="104" t="str">
        <f t="shared" si="2024"/>
        <v>/</v>
      </c>
      <c r="X2586" s="111" t="s">
        <v>1603</v>
      </c>
      <c r="Y2586" s="106"/>
      <c r="Z2586" s="26" t="str">
        <f t="shared" si="5"/>
        <v/>
      </c>
      <c r="AA2586" s="26" t="str">
        <f t="shared" si="6"/>
        <v/>
      </c>
      <c r="AB2586" s="32" t="str">
        <f t="shared" si="7"/>
        <v/>
      </c>
      <c r="AC2586" s="32" t="str">
        <f t="shared" ref="AC2586:AG2586" si="2622">IF(J2586&lt;&gt;"", IF(AND($P2586=FALSE, $A2586=FALSE), -J2586, IF(AND($P2586=FALSE, $A2586=TRUE), 0, IF($P2586=TRUE, (J2586 / $R2586) * 100 * ($S2586 / 100)-J2586, ))), )</f>
        <v/>
      </c>
      <c r="AD2586" s="32" t="str">
        <f t="shared" si="2622"/>
        <v/>
      </c>
      <c r="AE2586" s="32" t="str">
        <f t="shared" si="2622"/>
        <v/>
      </c>
      <c r="AF2586" s="32" t="str">
        <f t="shared" si="2622"/>
        <v/>
      </c>
      <c r="AG2586" s="32" t="str">
        <f t="shared" si="2622"/>
        <v/>
      </c>
      <c r="AH2586" s="33"/>
    </row>
    <row r="2587" hidden="1" outlineLevel="2" collapsed="1">
      <c r="A2587" s="95" t="b">
        <v>0</v>
      </c>
      <c r="B2587" s="96"/>
      <c r="C2587" s="18"/>
      <c r="D2587" s="42">
        <v>45556.0</v>
      </c>
      <c r="E2587" s="20" t="s">
        <v>24</v>
      </c>
      <c r="F2587" s="53" t="s">
        <v>1581</v>
      </c>
      <c r="G2587" s="97">
        <v>3.0</v>
      </c>
      <c r="H2587" s="97"/>
      <c r="I2587" s="97">
        <v>3.0</v>
      </c>
      <c r="J2587" s="98"/>
      <c r="K2587" s="99"/>
      <c r="L2587" s="98"/>
      <c r="M2587" s="99"/>
      <c r="N2587" s="99"/>
      <c r="O2587" s="18"/>
      <c r="P2587" s="100" t="b">
        <v>0</v>
      </c>
      <c r="Q2587" s="18"/>
      <c r="R2587" s="101">
        <f t="shared" si="2376"/>
        <v>6</v>
      </c>
      <c r="S2587" s="32">
        <v>15.5</v>
      </c>
      <c r="T2587" s="102" t="str">
        <f t="shared" si="2484"/>
        <v>+158</v>
      </c>
      <c r="U2587" s="18"/>
      <c r="V2587" s="103" t="str">
        <f>IF(ISBLANK($D2587), "0",)</f>
        <v/>
      </c>
      <c r="W2587" s="104" t="str">
        <f t="shared" si="2024"/>
        <v/>
      </c>
      <c r="X2587" s="105"/>
      <c r="Y2587" s="106"/>
      <c r="Z2587" s="26">
        <f t="shared" si="5"/>
        <v>-3</v>
      </c>
      <c r="AA2587" s="26">
        <f t="shared" si="6"/>
        <v>-3</v>
      </c>
      <c r="AB2587" s="32" t="str">
        <f t="shared" si="7"/>
        <v/>
      </c>
      <c r="AC2587" s="32" t="str">
        <f t="shared" ref="AC2587:AG2587" si="2623">IF(J2587&lt;&gt;"", IF(AND($P2587=FALSE, $A2587=FALSE), -J2587, IF(AND($P2587=FALSE, $A2587=TRUE), 0, IF($P2587=TRUE, (J2587 / $R2587) * 100 * ($S2587 / 100)-J2587, ))), )</f>
        <v/>
      </c>
      <c r="AD2587" s="32" t="str">
        <f t="shared" si="2623"/>
        <v/>
      </c>
      <c r="AE2587" s="32" t="str">
        <f t="shared" si="2623"/>
        <v/>
      </c>
      <c r="AF2587" s="32" t="str">
        <f t="shared" si="2623"/>
        <v/>
      </c>
      <c r="AG2587" s="32" t="str">
        <f t="shared" si="2623"/>
        <v/>
      </c>
      <c r="AH2587" s="33"/>
    </row>
    <row r="2588" hidden="1" outlineLevel="3">
      <c r="A2588" s="95" t="b">
        <v>0</v>
      </c>
      <c r="B2588" s="96"/>
      <c r="C2588" s="18"/>
      <c r="D2588" s="107"/>
      <c r="E2588" s="108"/>
      <c r="F2588" s="109"/>
      <c r="G2588" s="97"/>
      <c r="H2588" s="97"/>
      <c r="I2588" s="97"/>
      <c r="J2588" s="98"/>
      <c r="K2588" s="99"/>
      <c r="L2588" s="98"/>
      <c r="M2588" s="99"/>
      <c r="N2588" s="99"/>
      <c r="O2588" s="18"/>
      <c r="P2588" s="100" t="b">
        <v>0</v>
      </c>
      <c r="Q2588" s="18"/>
      <c r="R2588" s="101" t="str">
        <f t="shared" si="2376"/>
        <v/>
      </c>
      <c r="S2588" s="32"/>
      <c r="T2588" s="102" t="str">
        <f t="shared" si="2484"/>
        <v/>
      </c>
      <c r="U2588" s="18"/>
      <c r="V2588" s="113">
        <v>142.0</v>
      </c>
      <c r="W2588" s="104" t="str">
        <f t="shared" si="2024"/>
        <v>/</v>
      </c>
      <c r="X2588" s="111" t="s">
        <v>1553</v>
      </c>
      <c r="Y2588" s="106"/>
      <c r="Z2588" s="26" t="str">
        <f t="shared" si="5"/>
        <v/>
      </c>
      <c r="AA2588" s="26" t="str">
        <f t="shared" si="6"/>
        <v/>
      </c>
      <c r="AB2588" s="32" t="str">
        <f t="shared" si="7"/>
        <v/>
      </c>
      <c r="AC2588" s="32" t="str">
        <f t="shared" ref="AC2588:AG2588" si="2624">IF(J2588&lt;&gt;"", IF(AND($P2588=FALSE, $A2588=FALSE), -J2588, IF(AND($P2588=FALSE, $A2588=TRUE), 0, IF($P2588=TRUE, (J2588 / $R2588) * 100 * ($S2588 / 100)-J2588, ))), )</f>
        <v/>
      </c>
      <c r="AD2588" s="32" t="str">
        <f t="shared" si="2624"/>
        <v/>
      </c>
      <c r="AE2588" s="32" t="str">
        <f t="shared" si="2624"/>
        <v/>
      </c>
      <c r="AF2588" s="32" t="str">
        <f t="shared" si="2624"/>
        <v/>
      </c>
      <c r="AG2588" s="32" t="str">
        <f t="shared" si="2624"/>
        <v/>
      </c>
      <c r="AH2588" s="33"/>
    </row>
    <row r="2589" hidden="1" outlineLevel="3">
      <c r="A2589" s="95" t="b">
        <v>0</v>
      </c>
      <c r="B2589" s="96"/>
      <c r="C2589" s="18"/>
      <c r="D2589" s="107"/>
      <c r="E2589" s="108"/>
      <c r="F2589" s="109"/>
      <c r="G2589" s="97"/>
      <c r="H2589" s="97"/>
      <c r="I2589" s="97"/>
      <c r="J2589" s="98"/>
      <c r="K2589" s="99"/>
      <c r="L2589" s="98"/>
      <c r="M2589" s="99"/>
      <c r="N2589" s="99"/>
      <c r="O2589" s="18"/>
      <c r="P2589" s="100" t="b">
        <v>0</v>
      </c>
      <c r="Q2589" s="18"/>
      <c r="R2589" s="101" t="str">
        <f t="shared" si="2376"/>
        <v/>
      </c>
      <c r="S2589" s="32"/>
      <c r="T2589" s="102" t="str">
        <f t="shared" si="2484"/>
        <v/>
      </c>
      <c r="U2589" s="18"/>
      <c r="V2589" s="103" t="str">
        <f>IF(ISBLANK($D2589), "0",)</f>
        <v>0</v>
      </c>
      <c r="W2589" s="104" t="str">
        <f t="shared" si="2024"/>
        <v>/</v>
      </c>
      <c r="X2589" s="111" t="s">
        <v>910</v>
      </c>
      <c r="Y2589" s="106"/>
      <c r="Z2589" s="26" t="str">
        <f t="shared" si="5"/>
        <v/>
      </c>
      <c r="AA2589" s="26" t="str">
        <f t="shared" si="6"/>
        <v/>
      </c>
      <c r="AB2589" s="32" t="str">
        <f t="shared" si="7"/>
        <v/>
      </c>
      <c r="AC2589" s="32" t="str">
        <f t="shared" ref="AC2589:AG2589" si="2625">IF(J2589&lt;&gt;"", IF(AND($P2589=FALSE, $A2589=FALSE), -J2589, IF(AND($P2589=FALSE, $A2589=TRUE), 0, IF($P2589=TRUE, (J2589 / $R2589) * 100 * ($S2589 / 100)-J2589, ))), )</f>
        <v/>
      </c>
      <c r="AD2589" s="32" t="str">
        <f t="shared" si="2625"/>
        <v/>
      </c>
      <c r="AE2589" s="32" t="str">
        <f t="shared" si="2625"/>
        <v/>
      </c>
      <c r="AF2589" s="32" t="str">
        <f t="shared" si="2625"/>
        <v/>
      </c>
      <c r="AG2589" s="32" t="str">
        <f t="shared" si="2625"/>
        <v/>
      </c>
      <c r="AH2589" s="33"/>
    </row>
    <row r="2590" hidden="1" outlineLevel="3">
      <c r="A2590" s="95" t="b">
        <v>0</v>
      </c>
      <c r="B2590" s="96"/>
      <c r="C2590" s="18"/>
      <c r="D2590" s="107"/>
      <c r="E2590" s="108"/>
      <c r="F2590" s="109"/>
      <c r="G2590" s="97"/>
      <c r="H2590" s="97"/>
      <c r="I2590" s="97"/>
      <c r="J2590" s="98"/>
      <c r="K2590" s="99"/>
      <c r="L2590" s="98"/>
      <c r="M2590" s="99"/>
      <c r="N2590" s="99"/>
      <c r="O2590" s="18"/>
      <c r="P2590" s="100" t="b">
        <v>0</v>
      </c>
      <c r="Q2590" s="18"/>
      <c r="R2590" s="101" t="str">
        <f t="shared" si="2376"/>
        <v/>
      </c>
      <c r="S2590" s="32"/>
      <c r="T2590" s="102" t="str">
        <f t="shared" si="2484"/>
        <v/>
      </c>
      <c r="U2590" s="18"/>
      <c r="V2590" s="75" t="s">
        <v>29</v>
      </c>
      <c r="W2590" s="104" t="str">
        <f t="shared" si="2024"/>
        <v>/</v>
      </c>
      <c r="X2590" s="111" t="s">
        <v>1604</v>
      </c>
      <c r="Y2590" s="106"/>
      <c r="Z2590" s="26" t="str">
        <f t="shared" si="5"/>
        <v/>
      </c>
      <c r="AA2590" s="26" t="str">
        <f t="shared" si="6"/>
        <v/>
      </c>
      <c r="AB2590" s="32" t="str">
        <f t="shared" si="7"/>
        <v/>
      </c>
      <c r="AC2590" s="32" t="str">
        <f t="shared" ref="AC2590:AG2590" si="2626">IF(J2590&lt;&gt;"", IF(AND($P2590=FALSE, $A2590=FALSE), -J2590, IF(AND($P2590=FALSE, $A2590=TRUE), 0, IF($P2590=TRUE, (J2590 / $R2590) * 100 * ($S2590 / 100)-J2590, ))), )</f>
        <v/>
      </c>
      <c r="AD2590" s="32" t="str">
        <f t="shared" si="2626"/>
        <v/>
      </c>
      <c r="AE2590" s="32" t="str">
        <f t="shared" si="2626"/>
        <v/>
      </c>
      <c r="AF2590" s="32" t="str">
        <f t="shared" si="2626"/>
        <v/>
      </c>
      <c r="AG2590" s="32" t="str">
        <f t="shared" si="2626"/>
        <v/>
      </c>
      <c r="AH2590" s="33"/>
    </row>
    <row r="2591" hidden="1" outlineLevel="3">
      <c r="A2591" s="95" t="b">
        <v>0</v>
      </c>
      <c r="B2591" s="96"/>
      <c r="C2591" s="18"/>
      <c r="D2591" s="107"/>
      <c r="E2591" s="108"/>
      <c r="F2591" s="109"/>
      <c r="G2591" s="97"/>
      <c r="H2591" s="97"/>
      <c r="I2591" s="97"/>
      <c r="J2591" s="98"/>
      <c r="K2591" s="99"/>
      <c r="L2591" s="98"/>
      <c r="M2591" s="99"/>
      <c r="N2591" s="99"/>
      <c r="O2591" s="18"/>
      <c r="P2591" s="100" t="b">
        <v>0</v>
      </c>
      <c r="Q2591" s="18"/>
      <c r="R2591" s="101" t="str">
        <f t="shared" si="2376"/>
        <v/>
      </c>
      <c r="S2591" s="32"/>
      <c r="T2591" s="102" t="str">
        <f t="shared" si="2484"/>
        <v/>
      </c>
      <c r="U2591" s="18"/>
      <c r="V2591" s="75" t="s">
        <v>29</v>
      </c>
      <c r="W2591" s="104" t="str">
        <f t="shared" si="2024"/>
        <v>/</v>
      </c>
      <c r="X2591" s="111" t="s">
        <v>1113</v>
      </c>
      <c r="Y2591" s="106"/>
      <c r="Z2591" s="26" t="str">
        <f t="shared" si="5"/>
        <v/>
      </c>
      <c r="AA2591" s="26" t="str">
        <f t="shared" si="6"/>
        <v/>
      </c>
      <c r="AB2591" s="32" t="str">
        <f t="shared" si="7"/>
        <v/>
      </c>
      <c r="AC2591" s="32" t="str">
        <f t="shared" ref="AC2591:AG2591" si="2627">IF(J2591&lt;&gt;"", IF(AND($P2591=FALSE, $A2591=FALSE), -J2591, IF(AND($P2591=FALSE, $A2591=TRUE), 0, IF($P2591=TRUE, (J2591 / $R2591) * 100 * ($S2591 / 100)-J2591, ))), )</f>
        <v/>
      </c>
      <c r="AD2591" s="32" t="str">
        <f t="shared" si="2627"/>
        <v/>
      </c>
      <c r="AE2591" s="32" t="str">
        <f t="shared" si="2627"/>
        <v/>
      </c>
      <c r="AF2591" s="32" t="str">
        <f t="shared" si="2627"/>
        <v/>
      </c>
      <c r="AG2591" s="32" t="str">
        <f t="shared" si="2627"/>
        <v/>
      </c>
      <c r="AH2591" s="33"/>
    </row>
    <row r="2592" hidden="1" outlineLevel="2" collapsed="1">
      <c r="A2592" s="95" t="b">
        <v>0</v>
      </c>
      <c r="B2592" s="96"/>
      <c r="C2592" s="18"/>
      <c r="D2592" s="42">
        <v>45556.0</v>
      </c>
      <c r="E2592" s="20" t="s">
        <v>24</v>
      </c>
      <c r="F2592" s="53" t="s">
        <v>1581</v>
      </c>
      <c r="G2592" s="97">
        <v>0.01</v>
      </c>
      <c r="H2592" s="97"/>
      <c r="I2592" s="97">
        <v>0.01</v>
      </c>
      <c r="J2592" s="98"/>
      <c r="K2592" s="99"/>
      <c r="L2592" s="98"/>
      <c r="M2592" s="99"/>
      <c r="N2592" s="99"/>
      <c r="O2592" s="18"/>
      <c r="P2592" s="100" t="b">
        <v>0</v>
      </c>
      <c r="Q2592" s="18"/>
      <c r="R2592" s="101">
        <f t="shared" si="2376"/>
        <v>0.02</v>
      </c>
      <c r="S2592" s="32">
        <v>10.03</v>
      </c>
      <c r="T2592" s="102" t="str">
        <f t="shared" si="2484"/>
        <v>+50050</v>
      </c>
      <c r="U2592" s="18"/>
      <c r="V2592" s="103" t="str">
        <f>IF(ISBLANK($D2592), "0",)</f>
        <v/>
      </c>
      <c r="W2592" s="104" t="str">
        <f t="shared" si="2024"/>
        <v/>
      </c>
      <c r="X2592" s="105"/>
      <c r="Y2592" s="106"/>
      <c r="Z2592" s="26">
        <f t="shared" si="5"/>
        <v>-0.01</v>
      </c>
      <c r="AA2592" s="26">
        <f t="shared" si="6"/>
        <v>-0.01</v>
      </c>
      <c r="AB2592" s="32" t="str">
        <f t="shared" si="7"/>
        <v/>
      </c>
      <c r="AC2592" s="32" t="str">
        <f t="shared" ref="AC2592:AG2592" si="2628">IF(J2592&lt;&gt;"", IF(AND($P2592=FALSE, $A2592=FALSE), -J2592, IF(AND($P2592=FALSE, $A2592=TRUE), 0, IF($P2592=TRUE, (J2592 / $R2592) * 100 * ($S2592 / 100)-J2592, ))), )</f>
        <v/>
      </c>
      <c r="AD2592" s="32" t="str">
        <f t="shared" si="2628"/>
        <v/>
      </c>
      <c r="AE2592" s="32" t="str">
        <f t="shared" si="2628"/>
        <v/>
      </c>
      <c r="AF2592" s="32" t="str">
        <f t="shared" si="2628"/>
        <v/>
      </c>
      <c r="AG2592" s="32" t="str">
        <f t="shared" si="2628"/>
        <v/>
      </c>
      <c r="AH2592" s="33"/>
    </row>
    <row r="2593" hidden="1" outlineLevel="3">
      <c r="A2593" s="95" t="b">
        <v>0</v>
      </c>
      <c r="B2593" s="96"/>
      <c r="C2593" s="18"/>
      <c r="D2593" s="107"/>
      <c r="E2593" s="108"/>
      <c r="F2593" s="109"/>
      <c r="G2593" s="97"/>
      <c r="H2593" s="97"/>
      <c r="I2593" s="97"/>
      <c r="J2593" s="98"/>
      <c r="K2593" s="99"/>
      <c r="L2593" s="98"/>
      <c r="M2593" s="99"/>
      <c r="N2593" s="99"/>
      <c r="O2593" s="18"/>
      <c r="P2593" s="100" t="b">
        <v>0</v>
      </c>
      <c r="Q2593" s="18"/>
      <c r="R2593" s="101" t="str">
        <f t="shared" si="2376"/>
        <v/>
      </c>
      <c r="S2593" s="32"/>
      <c r="T2593" s="102" t="str">
        <f t="shared" si="2484"/>
        <v/>
      </c>
      <c r="U2593" s="18"/>
      <c r="V2593" s="75" t="s">
        <v>29</v>
      </c>
      <c r="W2593" s="104" t="str">
        <f t="shared" si="2024"/>
        <v>/</v>
      </c>
      <c r="X2593" s="111" t="s">
        <v>384</v>
      </c>
      <c r="Y2593" s="106"/>
      <c r="Z2593" s="26" t="str">
        <f t="shared" si="5"/>
        <v/>
      </c>
      <c r="AA2593" s="26" t="str">
        <f t="shared" si="6"/>
        <v/>
      </c>
      <c r="AB2593" s="32" t="str">
        <f t="shared" si="7"/>
        <v/>
      </c>
      <c r="AC2593" s="32" t="str">
        <f t="shared" ref="AC2593:AG2593" si="2629">IF(J2593&lt;&gt;"", IF(AND($P2593=FALSE, $A2593=FALSE), -J2593, IF(AND($P2593=FALSE, $A2593=TRUE), 0, IF($P2593=TRUE, (J2593 / $R2593) * 100 * ($S2593 / 100)-J2593, ))), )</f>
        <v/>
      </c>
      <c r="AD2593" s="32" t="str">
        <f t="shared" si="2629"/>
        <v/>
      </c>
      <c r="AE2593" s="32" t="str">
        <f t="shared" si="2629"/>
        <v/>
      </c>
      <c r="AF2593" s="32" t="str">
        <f t="shared" si="2629"/>
        <v/>
      </c>
      <c r="AG2593" s="32" t="str">
        <f t="shared" si="2629"/>
        <v/>
      </c>
      <c r="AH2593" s="33"/>
    </row>
    <row r="2594" hidden="1" outlineLevel="3">
      <c r="A2594" s="95" t="b">
        <v>0</v>
      </c>
      <c r="B2594" s="96"/>
      <c r="C2594" s="18"/>
      <c r="D2594" s="107"/>
      <c r="E2594" s="108"/>
      <c r="F2594" s="109"/>
      <c r="G2594" s="97"/>
      <c r="H2594" s="97"/>
      <c r="I2594" s="97"/>
      <c r="J2594" s="98"/>
      <c r="K2594" s="99"/>
      <c r="L2594" s="98"/>
      <c r="M2594" s="99"/>
      <c r="N2594" s="99"/>
      <c r="O2594" s="18"/>
      <c r="P2594" s="100" t="b">
        <v>0</v>
      </c>
      <c r="Q2594" s="18"/>
      <c r="R2594" s="101" t="str">
        <f t="shared" si="2376"/>
        <v/>
      </c>
      <c r="S2594" s="32"/>
      <c r="T2594" s="102" t="str">
        <f t="shared" si="2484"/>
        <v/>
      </c>
      <c r="U2594" s="18"/>
      <c r="V2594" s="113">
        <v>198.0</v>
      </c>
      <c r="W2594" s="104" t="str">
        <f t="shared" si="2024"/>
        <v>/</v>
      </c>
      <c r="X2594" s="111" t="s">
        <v>1605</v>
      </c>
      <c r="Y2594" s="106"/>
      <c r="Z2594" s="26" t="str">
        <f t="shared" si="5"/>
        <v/>
      </c>
      <c r="AA2594" s="26" t="str">
        <f t="shared" si="6"/>
        <v/>
      </c>
      <c r="AB2594" s="32" t="str">
        <f t="shared" si="7"/>
        <v/>
      </c>
      <c r="AC2594" s="32" t="str">
        <f t="shared" ref="AC2594:AG2594" si="2630">IF(J2594&lt;&gt;"", IF(AND($P2594=FALSE, $A2594=FALSE), -J2594, IF(AND($P2594=FALSE, $A2594=TRUE), 0, IF($P2594=TRUE, (J2594 / $R2594) * 100 * ($S2594 / 100)-J2594, ))), )</f>
        <v/>
      </c>
      <c r="AD2594" s="32" t="str">
        <f t="shared" si="2630"/>
        <v/>
      </c>
      <c r="AE2594" s="32" t="str">
        <f t="shared" si="2630"/>
        <v/>
      </c>
      <c r="AF2594" s="32" t="str">
        <f t="shared" si="2630"/>
        <v/>
      </c>
      <c r="AG2594" s="32" t="str">
        <f t="shared" si="2630"/>
        <v/>
      </c>
      <c r="AH2594" s="33"/>
    </row>
    <row r="2595" hidden="1" outlineLevel="3">
      <c r="A2595" s="95" t="b">
        <v>0</v>
      </c>
      <c r="B2595" s="96"/>
      <c r="C2595" s="18"/>
      <c r="D2595" s="107"/>
      <c r="E2595" s="108"/>
      <c r="F2595" s="109"/>
      <c r="G2595" s="97"/>
      <c r="H2595" s="97"/>
      <c r="I2595" s="97"/>
      <c r="J2595" s="98"/>
      <c r="K2595" s="99"/>
      <c r="L2595" s="98"/>
      <c r="M2595" s="99"/>
      <c r="N2595" s="99"/>
      <c r="O2595" s="18"/>
      <c r="P2595" s="100" t="b">
        <v>0</v>
      </c>
      <c r="Q2595" s="18"/>
      <c r="R2595" s="101" t="str">
        <f t="shared" si="2376"/>
        <v/>
      </c>
      <c r="S2595" s="32"/>
      <c r="T2595" s="102" t="str">
        <f t="shared" si="2484"/>
        <v/>
      </c>
      <c r="U2595" s="18"/>
      <c r="V2595" s="75" t="s">
        <v>29</v>
      </c>
      <c r="W2595" s="104" t="str">
        <f t="shared" si="2024"/>
        <v>/</v>
      </c>
      <c r="X2595" s="111" t="s">
        <v>1606</v>
      </c>
      <c r="Y2595" s="106"/>
      <c r="Z2595" s="26" t="str">
        <f t="shared" si="5"/>
        <v/>
      </c>
      <c r="AA2595" s="26" t="str">
        <f t="shared" si="6"/>
        <v/>
      </c>
      <c r="AB2595" s="32" t="str">
        <f t="shared" si="7"/>
        <v/>
      </c>
      <c r="AC2595" s="32" t="str">
        <f t="shared" ref="AC2595:AG2595" si="2631">IF(J2595&lt;&gt;"", IF(AND($P2595=FALSE, $A2595=FALSE), -J2595, IF(AND($P2595=FALSE, $A2595=TRUE), 0, IF($P2595=TRUE, (J2595 / $R2595) * 100 * ($S2595 / 100)-J2595, ))), )</f>
        <v/>
      </c>
      <c r="AD2595" s="32" t="str">
        <f t="shared" si="2631"/>
        <v/>
      </c>
      <c r="AE2595" s="32" t="str">
        <f t="shared" si="2631"/>
        <v/>
      </c>
      <c r="AF2595" s="32" t="str">
        <f t="shared" si="2631"/>
        <v/>
      </c>
      <c r="AG2595" s="32" t="str">
        <f t="shared" si="2631"/>
        <v/>
      </c>
      <c r="AH2595" s="33"/>
    </row>
    <row r="2596" hidden="1" outlineLevel="2" collapsed="1">
      <c r="A2596" s="95" t="b">
        <v>0</v>
      </c>
      <c r="B2596" s="96"/>
      <c r="C2596" s="18"/>
      <c r="D2596" s="42">
        <v>45556.0</v>
      </c>
      <c r="E2596" s="20" t="s">
        <v>24</v>
      </c>
      <c r="F2596" s="53" t="s">
        <v>1581</v>
      </c>
      <c r="G2596" s="97">
        <v>1.0</v>
      </c>
      <c r="H2596" s="97"/>
      <c r="I2596" s="97">
        <v>1.0</v>
      </c>
      <c r="J2596" s="98"/>
      <c r="K2596" s="99"/>
      <c r="L2596" s="98"/>
      <c r="M2596" s="99"/>
      <c r="N2596" s="99"/>
      <c r="O2596" s="18"/>
      <c r="P2596" s="100" t="b">
        <v>0</v>
      </c>
      <c r="Q2596" s="18"/>
      <c r="R2596" s="101">
        <f t="shared" si="2376"/>
        <v>2</v>
      </c>
      <c r="S2596" s="32">
        <v>26.7</v>
      </c>
      <c r="T2596" s="102" t="str">
        <f t="shared" si="2484"/>
        <v>+1235</v>
      </c>
      <c r="U2596" s="18"/>
      <c r="V2596" s="103" t="str">
        <f t="shared" ref="V2596:V2597" si="2633">IF(ISBLANK($D2596), "0",)</f>
        <v/>
      </c>
      <c r="W2596" s="104" t="str">
        <f t="shared" si="2024"/>
        <v/>
      </c>
      <c r="X2596" s="105"/>
      <c r="Y2596" s="106"/>
      <c r="Z2596" s="26">
        <f t="shared" si="5"/>
        <v>-1</v>
      </c>
      <c r="AA2596" s="26">
        <f t="shared" si="6"/>
        <v>-1</v>
      </c>
      <c r="AB2596" s="32" t="str">
        <f t="shared" si="7"/>
        <v/>
      </c>
      <c r="AC2596" s="32" t="str">
        <f t="shared" ref="AC2596:AG2596" si="2632">IF(J2596&lt;&gt;"", IF(AND($P2596=FALSE, $A2596=FALSE), -J2596, IF(AND($P2596=FALSE, $A2596=TRUE), 0, IF($P2596=TRUE, (J2596 / $R2596) * 100 * ($S2596 / 100)-J2596, ))), )</f>
        <v/>
      </c>
      <c r="AD2596" s="32" t="str">
        <f t="shared" si="2632"/>
        <v/>
      </c>
      <c r="AE2596" s="32" t="str">
        <f t="shared" si="2632"/>
        <v/>
      </c>
      <c r="AF2596" s="32" t="str">
        <f t="shared" si="2632"/>
        <v/>
      </c>
      <c r="AG2596" s="32" t="str">
        <f t="shared" si="2632"/>
        <v/>
      </c>
      <c r="AH2596" s="33"/>
    </row>
    <row r="2597" hidden="1" outlineLevel="3">
      <c r="A2597" s="95" t="b">
        <v>0</v>
      </c>
      <c r="B2597" s="96"/>
      <c r="C2597" s="18"/>
      <c r="D2597" s="107"/>
      <c r="E2597" s="108"/>
      <c r="F2597" s="109"/>
      <c r="G2597" s="97"/>
      <c r="H2597" s="97"/>
      <c r="I2597" s="97"/>
      <c r="J2597" s="98"/>
      <c r="K2597" s="99"/>
      <c r="L2597" s="98"/>
      <c r="M2597" s="99"/>
      <c r="N2597" s="99"/>
      <c r="O2597" s="18"/>
      <c r="P2597" s="100" t="b">
        <v>0</v>
      </c>
      <c r="Q2597" s="18"/>
      <c r="R2597" s="101" t="str">
        <f t="shared" si="2376"/>
        <v/>
      </c>
      <c r="S2597" s="32"/>
      <c r="T2597" s="102" t="str">
        <f t="shared" si="2484"/>
        <v/>
      </c>
      <c r="U2597" s="18"/>
      <c r="V2597" s="103" t="str">
        <f t="shared" si="2633"/>
        <v>0</v>
      </c>
      <c r="W2597" s="104" t="str">
        <f t="shared" si="2024"/>
        <v>/</v>
      </c>
      <c r="X2597" s="111" t="s">
        <v>491</v>
      </c>
      <c r="Y2597" s="106"/>
      <c r="Z2597" s="26" t="str">
        <f t="shared" si="5"/>
        <v/>
      </c>
      <c r="AA2597" s="26" t="str">
        <f t="shared" si="6"/>
        <v/>
      </c>
      <c r="AB2597" s="32" t="str">
        <f t="shared" si="7"/>
        <v/>
      </c>
      <c r="AC2597" s="32" t="str">
        <f t="shared" ref="AC2597:AG2597" si="2634">IF(J2597&lt;&gt;"", IF(AND($P2597=FALSE, $A2597=FALSE), -J2597, IF(AND($P2597=FALSE, $A2597=TRUE), 0, IF($P2597=TRUE, (J2597 / $R2597) * 100 * ($S2597 / 100)-J2597, ))), )</f>
        <v/>
      </c>
      <c r="AD2597" s="32" t="str">
        <f t="shared" si="2634"/>
        <v/>
      </c>
      <c r="AE2597" s="32" t="str">
        <f t="shared" si="2634"/>
        <v/>
      </c>
      <c r="AF2597" s="32" t="str">
        <f t="shared" si="2634"/>
        <v/>
      </c>
      <c r="AG2597" s="32" t="str">
        <f t="shared" si="2634"/>
        <v/>
      </c>
      <c r="AH2597" s="33"/>
    </row>
    <row r="2598" hidden="1" outlineLevel="3">
      <c r="A2598" s="95" t="b">
        <v>0</v>
      </c>
      <c r="B2598" s="96"/>
      <c r="C2598" s="18"/>
      <c r="D2598" s="107"/>
      <c r="E2598" s="108"/>
      <c r="F2598" s="109"/>
      <c r="G2598" s="97"/>
      <c r="H2598" s="97"/>
      <c r="I2598" s="97"/>
      <c r="J2598" s="98"/>
      <c r="K2598" s="99"/>
      <c r="L2598" s="98"/>
      <c r="M2598" s="99"/>
      <c r="N2598" s="99"/>
      <c r="O2598" s="18"/>
      <c r="P2598" s="100" t="b">
        <v>0</v>
      </c>
      <c r="Q2598" s="18"/>
      <c r="R2598" s="101" t="str">
        <f t="shared" si="2376"/>
        <v/>
      </c>
      <c r="S2598" s="32"/>
      <c r="T2598" s="102" t="str">
        <f t="shared" si="2484"/>
        <v/>
      </c>
      <c r="U2598" s="18"/>
      <c r="V2598" s="75" t="s">
        <v>29</v>
      </c>
      <c r="W2598" s="104" t="str">
        <f t="shared" si="2024"/>
        <v>/</v>
      </c>
      <c r="X2598" s="111" t="s">
        <v>1607</v>
      </c>
      <c r="Y2598" s="106"/>
      <c r="Z2598" s="26" t="str">
        <f t="shared" si="5"/>
        <v/>
      </c>
      <c r="AA2598" s="26" t="str">
        <f t="shared" si="6"/>
        <v/>
      </c>
      <c r="AB2598" s="32" t="str">
        <f t="shared" si="7"/>
        <v/>
      </c>
      <c r="AC2598" s="32" t="str">
        <f t="shared" ref="AC2598:AG2598" si="2635">IF(J2598&lt;&gt;"", IF(AND($P2598=FALSE, $A2598=FALSE), -J2598, IF(AND($P2598=FALSE, $A2598=TRUE), 0, IF($P2598=TRUE, (J2598 / $R2598) * 100 * ($S2598 / 100)-J2598, ))), )</f>
        <v/>
      </c>
      <c r="AD2598" s="32" t="str">
        <f t="shared" si="2635"/>
        <v/>
      </c>
      <c r="AE2598" s="32" t="str">
        <f t="shared" si="2635"/>
        <v/>
      </c>
      <c r="AF2598" s="32" t="str">
        <f t="shared" si="2635"/>
        <v/>
      </c>
      <c r="AG2598" s="32" t="str">
        <f t="shared" si="2635"/>
        <v/>
      </c>
      <c r="AH2598" s="33"/>
    </row>
    <row r="2599" hidden="1" outlineLevel="3">
      <c r="A2599" s="95" t="b">
        <v>0</v>
      </c>
      <c r="B2599" s="96"/>
      <c r="C2599" s="18"/>
      <c r="D2599" s="107"/>
      <c r="E2599" s="108"/>
      <c r="F2599" s="109"/>
      <c r="G2599" s="97"/>
      <c r="H2599" s="97"/>
      <c r="I2599" s="97"/>
      <c r="J2599" s="98"/>
      <c r="K2599" s="99"/>
      <c r="L2599" s="98"/>
      <c r="M2599" s="99"/>
      <c r="N2599" s="99"/>
      <c r="O2599" s="18"/>
      <c r="P2599" s="100" t="b">
        <v>0</v>
      </c>
      <c r="Q2599" s="18"/>
      <c r="R2599" s="101" t="str">
        <f t="shared" si="2376"/>
        <v/>
      </c>
      <c r="S2599" s="32"/>
      <c r="T2599" s="102" t="str">
        <f t="shared" si="2484"/>
        <v/>
      </c>
      <c r="U2599" s="18"/>
      <c r="V2599" s="75" t="s">
        <v>29</v>
      </c>
      <c r="W2599" s="104" t="str">
        <f t="shared" si="2024"/>
        <v>/</v>
      </c>
      <c r="X2599" s="111" t="s">
        <v>1608</v>
      </c>
      <c r="Y2599" s="106"/>
      <c r="Z2599" s="26" t="str">
        <f t="shared" si="5"/>
        <v/>
      </c>
      <c r="AA2599" s="26" t="str">
        <f t="shared" si="6"/>
        <v/>
      </c>
      <c r="AB2599" s="32" t="str">
        <f t="shared" si="7"/>
        <v/>
      </c>
      <c r="AC2599" s="32" t="str">
        <f t="shared" ref="AC2599:AG2599" si="2636">IF(J2599&lt;&gt;"", IF(AND($P2599=FALSE, $A2599=FALSE), -J2599, IF(AND($P2599=FALSE, $A2599=TRUE), 0, IF($P2599=TRUE, (J2599 / $R2599) * 100 * ($S2599 / 100)-J2599, ))), )</f>
        <v/>
      </c>
      <c r="AD2599" s="32" t="str">
        <f t="shared" si="2636"/>
        <v/>
      </c>
      <c r="AE2599" s="32" t="str">
        <f t="shared" si="2636"/>
        <v/>
      </c>
      <c r="AF2599" s="32" t="str">
        <f t="shared" si="2636"/>
        <v/>
      </c>
      <c r="AG2599" s="32" t="str">
        <f t="shared" si="2636"/>
        <v/>
      </c>
      <c r="AH2599" s="33"/>
    </row>
    <row r="2600" hidden="1" outlineLevel="3">
      <c r="A2600" s="95" t="b">
        <v>0</v>
      </c>
      <c r="B2600" s="96"/>
      <c r="C2600" s="18"/>
      <c r="D2600" s="107"/>
      <c r="E2600" s="108"/>
      <c r="F2600" s="109"/>
      <c r="G2600" s="97"/>
      <c r="H2600" s="97"/>
      <c r="I2600" s="97"/>
      <c r="J2600" s="98"/>
      <c r="K2600" s="99"/>
      <c r="L2600" s="98"/>
      <c r="M2600" s="99"/>
      <c r="N2600" s="99"/>
      <c r="O2600" s="18"/>
      <c r="P2600" s="100" t="b">
        <v>0</v>
      </c>
      <c r="Q2600" s="18"/>
      <c r="R2600" s="101" t="str">
        <f t="shared" si="2376"/>
        <v/>
      </c>
      <c r="S2600" s="32"/>
      <c r="T2600" s="102" t="str">
        <f t="shared" si="2484"/>
        <v/>
      </c>
      <c r="U2600" s="18"/>
      <c r="V2600" s="103" t="str">
        <f t="shared" ref="V2600:V2602" si="2638">IF(ISBLANK($D2600), "0",)</f>
        <v>0</v>
      </c>
      <c r="W2600" s="104" t="str">
        <f t="shared" si="2024"/>
        <v>/</v>
      </c>
      <c r="X2600" s="111" t="s">
        <v>1609</v>
      </c>
      <c r="Y2600" s="106"/>
      <c r="Z2600" s="26" t="str">
        <f t="shared" si="5"/>
        <v/>
      </c>
      <c r="AA2600" s="26" t="str">
        <f t="shared" si="6"/>
        <v/>
      </c>
      <c r="AB2600" s="32" t="str">
        <f t="shared" si="7"/>
        <v/>
      </c>
      <c r="AC2600" s="32" t="str">
        <f t="shared" ref="AC2600:AG2600" si="2637">IF(J2600&lt;&gt;"", IF(AND($P2600=FALSE, $A2600=FALSE), -J2600, IF(AND($P2600=FALSE, $A2600=TRUE), 0, IF($P2600=TRUE, (J2600 / $R2600) * 100 * ($S2600 / 100)-J2600, ))), )</f>
        <v/>
      </c>
      <c r="AD2600" s="32" t="str">
        <f t="shared" si="2637"/>
        <v/>
      </c>
      <c r="AE2600" s="32" t="str">
        <f t="shared" si="2637"/>
        <v/>
      </c>
      <c r="AF2600" s="32" t="str">
        <f t="shared" si="2637"/>
        <v/>
      </c>
      <c r="AG2600" s="32" t="str">
        <f t="shared" si="2637"/>
        <v/>
      </c>
      <c r="AH2600" s="33"/>
    </row>
    <row r="2601" hidden="1" outlineLevel="3">
      <c r="A2601" s="95" t="b">
        <v>0</v>
      </c>
      <c r="B2601" s="96"/>
      <c r="C2601" s="18"/>
      <c r="D2601" s="107"/>
      <c r="E2601" s="108"/>
      <c r="F2601" s="109"/>
      <c r="G2601" s="97"/>
      <c r="H2601" s="97"/>
      <c r="I2601" s="97"/>
      <c r="J2601" s="98"/>
      <c r="K2601" s="99"/>
      <c r="L2601" s="98"/>
      <c r="M2601" s="99"/>
      <c r="N2601" s="99"/>
      <c r="O2601" s="18"/>
      <c r="P2601" s="100" t="b">
        <v>0</v>
      </c>
      <c r="Q2601" s="18"/>
      <c r="R2601" s="101" t="str">
        <f t="shared" si="2376"/>
        <v/>
      </c>
      <c r="S2601" s="32"/>
      <c r="T2601" s="102" t="str">
        <f t="shared" si="2484"/>
        <v/>
      </c>
      <c r="U2601" s="18"/>
      <c r="V2601" s="103" t="str">
        <f t="shared" si="2638"/>
        <v>0</v>
      </c>
      <c r="W2601" s="104" t="str">
        <f t="shared" si="2024"/>
        <v>/</v>
      </c>
      <c r="X2601" s="111" t="s">
        <v>1610</v>
      </c>
      <c r="Y2601" s="106"/>
      <c r="Z2601" s="26" t="str">
        <f t="shared" si="5"/>
        <v/>
      </c>
      <c r="AA2601" s="26" t="str">
        <f t="shared" si="6"/>
        <v/>
      </c>
      <c r="AB2601" s="32" t="str">
        <f t="shared" si="7"/>
        <v/>
      </c>
      <c r="AC2601" s="32" t="str">
        <f t="shared" ref="AC2601:AG2601" si="2639">IF(J2601&lt;&gt;"", IF(AND($P2601=FALSE, $A2601=FALSE), -J2601, IF(AND($P2601=FALSE, $A2601=TRUE), 0, IF($P2601=TRUE, (J2601 / $R2601) * 100 * ($S2601 / 100)-J2601, ))), )</f>
        <v/>
      </c>
      <c r="AD2601" s="32" t="str">
        <f t="shared" si="2639"/>
        <v/>
      </c>
      <c r="AE2601" s="32" t="str">
        <f t="shared" si="2639"/>
        <v/>
      </c>
      <c r="AF2601" s="32" t="str">
        <f t="shared" si="2639"/>
        <v/>
      </c>
      <c r="AG2601" s="32" t="str">
        <f t="shared" si="2639"/>
        <v/>
      </c>
      <c r="AH2601" s="33"/>
    </row>
    <row r="2602" hidden="1" outlineLevel="2" collapsed="1">
      <c r="A2602" s="95" t="b">
        <v>0</v>
      </c>
      <c r="B2602" s="96"/>
      <c r="C2602" s="18"/>
      <c r="D2602" s="42">
        <v>45556.0</v>
      </c>
      <c r="E2602" s="20" t="s">
        <v>24</v>
      </c>
      <c r="F2602" s="53" t="s">
        <v>1581</v>
      </c>
      <c r="G2602" s="97">
        <v>4.0</v>
      </c>
      <c r="H2602" s="97"/>
      <c r="I2602" s="97">
        <v>2.0</v>
      </c>
      <c r="J2602" s="98"/>
      <c r="K2602" s="99"/>
      <c r="L2602" s="98"/>
      <c r="M2602" s="99"/>
      <c r="N2602" s="99"/>
      <c r="O2602" s="18"/>
      <c r="P2602" s="100" t="b">
        <v>1</v>
      </c>
      <c r="Q2602" s="18"/>
      <c r="R2602" s="101">
        <f t="shared" si="2376"/>
        <v>6</v>
      </c>
      <c r="S2602" s="32">
        <v>14.2</v>
      </c>
      <c r="T2602" s="102" t="str">
        <f t="shared" si="2484"/>
        <v>+137</v>
      </c>
      <c r="U2602" s="18"/>
      <c r="V2602" s="103" t="str">
        <f t="shared" si="2638"/>
        <v/>
      </c>
      <c r="W2602" s="104" t="str">
        <f t="shared" si="2024"/>
        <v/>
      </c>
      <c r="X2602" s="105"/>
      <c r="Y2602" s="106"/>
      <c r="Z2602" s="26">
        <f t="shared" si="5"/>
        <v>5.466666667</v>
      </c>
      <c r="AA2602" s="26">
        <f t="shared" si="6"/>
        <v>2.733333333</v>
      </c>
      <c r="AB2602" s="32" t="str">
        <f t="shared" si="7"/>
        <v/>
      </c>
      <c r="AC2602" s="32" t="str">
        <f t="shared" ref="AC2602:AG2602" si="2640">IF(J2602&lt;&gt;"", IF(AND($P2602=FALSE, $A2602=FALSE), -J2602, IF(AND($P2602=FALSE, $A2602=TRUE), 0, IF($P2602=TRUE, (J2602 / $R2602) * 100 * ($S2602 / 100)-J2602, ))), )</f>
        <v/>
      </c>
      <c r="AD2602" s="32" t="str">
        <f t="shared" si="2640"/>
        <v/>
      </c>
      <c r="AE2602" s="32" t="str">
        <f t="shared" si="2640"/>
        <v/>
      </c>
      <c r="AF2602" s="32" t="str">
        <f t="shared" si="2640"/>
        <v/>
      </c>
      <c r="AG2602" s="32" t="str">
        <f t="shared" si="2640"/>
        <v/>
      </c>
      <c r="AH2602" s="33"/>
    </row>
    <row r="2603" hidden="1" outlineLevel="3">
      <c r="A2603" s="95" t="b">
        <v>0</v>
      </c>
      <c r="B2603" s="96"/>
      <c r="C2603" s="18"/>
      <c r="D2603" s="107"/>
      <c r="E2603" s="108"/>
      <c r="F2603" s="109"/>
      <c r="G2603" s="97"/>
      <c r="H2603" s="97"/>
      <c r="I2603" s="97"/>
      <c r="J2603" s="98"/>
      <c r="K2603" s="99"/>
      <c r="L2603" s="98"/>
      <c r="M2603" s="99"/>
      <c r="N2603" s="99"/>
      <c r="O2603" s="18"/>
      <c r="P2603" s="100" t="b">
        <v>0</v>
      </c>
      <c r="Q2603" s="18"/>
      <c r="R2603" s="101" t="str">
        <f t="shared" si="2376"/>
        <v/>
      </c>
      <c r="S2603" s="32"/>
      <c r="T2603" s="102" t="str">
        <f t="shared" si="2484"/>
        <v/>
      </c>
      <c r="U2603" s="18"/>
      <c r="V2603" s="75" t="s">
        <v>29</v>
      </c>
      <c r="W2603" s="104" t="str">
        <f t="shared" si="2024"/>
        <v>/</v>
      </c>
      <c r="X2603" s="111" t="s">
        <v>683</v>
      </c>
      <c r="Y2603" s="106"/>
      <c r="Z2603" s="26" t="str">
        <f t="shared" si="5"/>
        <v/>
      </c>
      <c r="AA2603" s="26" t="str">
        <f t="shared" si="6"/>
        <v/>
      </c>
      <c r="AB2603" s="32" t="str">
        <f t="shared" si="7"/>
        <v/>
      </c>
      <c r="AC2603" s="32" t="str">
        <f t="shared" ref="AC2603:AG2603" si="2641">IF(J2603&lt;&gt;"", IF(AND($P2603=FALSE, $A2603=FALSE), -J2603, IF(AND($P2603=FALSE, $A2603=TRUE), 0, IF($P2603=TRUE, (J2603 / $R2603) * 100 * ($S2603 / 100)-J2603, ))), )</f>
        <v/>
      </c>
      <c r="AD2603" s="32" t="str">
        <f t="shared" si="2641"/>
        <v/>
      </c>
      <c r="AE2603" s="32" t="str">
        <f t="shared" si="2641"/>
        <v/>
      </c>
      <c r="AF2603" s="32" t="str">
        <f t="shared" si="2641"/>
        <v/>
      </c>
      <c r="AG2603" s="32" t="str">
        <f t="shared" si="2641"/>
        <v/>
      </c>
      <c r="AH2603" s="33"/>
    </row>
    <row r="2604" hidden="1" outlineLevel="3">
      <c r="A2604" s="95" t="b">
        <v>0</v>
      </c>
      <c r="B2604" s="96"/>
      <c r="C2604" s="18"/>
      <c r="D2604" s="107"/>
      <c r="E2604" s="108"/>
      <c r="F2604" s="109"/>
      <c r="G2604" s="97"/>
      <c r="H2604" s="97"/>
      <c r="I2604" s="97"/>
      <c r="J2604" s="98"/>
      <c r="K2604" s="99"/>
      <c r="L2604" s="98"/>
      <c r="M2604" s="99"/>
      <c r="N2604" s="99"/>
      <c r="O2604" s="18"/>
      <c r="P2604" s="100" t="b">
        <v>0</v>
      </c>
      <c r="Q2604" s="18"/>
      <c r="R2604" s="101" t="str">
        <f t="shared" si="2376"/>
        <v/>
      </c>
      <c r="S2604" s="32"/>
      <c r="T2604" s="102" t="str">
        <f t="shared" si="2484"/>
        <v/>
      </c>
      <c r="U2604" s="18"/>
      <c r="V2604" s="75" t="s">
        <v>29</v>
      </c>
      <c r="W2604" s="104" t="str">
        <f t="shared" si="2024"/>
        <v>/</v>
      </c>
      <c r="X2604" s="111" t="s">
        <v>1611</v>
      </c>
      <c r="Y2604" s="106"/>
      <c r="Z2604" s="26" t="str">
        <f t="shared" si="5"/>
        <v/>
      </c>
      <c r="AA2604" s="26" t="str">
        <f t="shared" si="6"/>
        <v/>
      </c>
      <c r="AB2604" s="32" t="str">
        <f t="shared" si="7"/>
        <v/>
      </c>
      <c r="AC2604" s="32" t="str">
        <f t="shared" ref="AC2604:AG2604" si="2642">IF(J2604&lt;&gt;"", IF(AND($P2604=FALSE, $A2604=FALSE), -J2604, IF(AND($P2604=FALSE, $A2604=TRUE), 0, IF($P2604=TRUE, (J2604 / $R2604) * 100 * ($S2604 / 100)-J2604, ))), )</f>
        <v/>
      </c>
      <c r="AD2604" s="32" t="str">
        <f t="shared" si="2642"/>
        <v/>
      </c>
      <c r="AE2604" s="32" t="str">
        <f t="shared" si="2642"/>
        <v/>
      </c>
      <c r="AF2604" s="32" t="str">
        <f t="shared" si="2642"/>
        <v/>
      </c>
      <c r="AG2604" s="32" t="str">
        <f t="shared" si="2642"/>
        <v/>
      </c>
      <c r="AH2604" s="33"/>
    </row>
    <row r="2605" hidden="1" outlineLevel="3">
      <c r="A2605" s="95" t="b">
        <v>0</v>
      </c>
      <c r="B2605" s="96"/>
      <c r="C2605" s="18"/>
      <c r="D2605" s="107"/>
      <c r="E2605" s="108"/>
      <c r="F2605" s="109"/>
      <c r="G2605" s="97"/>
      <c r="H2605" s="97"/>
      <c r="I2605" s="97"/>
      <c r="J2605" s="98"/>
      <c r="K2605" s="99"/>
      <c r="L2605" s="98"/>
      <c r="M2605" s="99"/>
      <c r="N2605" s="99"/>
      <c r="O2605" s="18"/>
      <c r="P2605" s="100" t="b">
        <v>0</v>
      </c>
      <c r="Q2605" s="18"/>
      <c r="R2605" s="101" t="str">
        <f t="shared" si="2376"/>
        <v/>
      </c>
      <c r="S2605" s="32"/>
      <c r="T2605" s="102" t="str">
        <f t="shared" si="2484"/>
        <v/>
      </c>
      <c r="U2605" s="18"/>
      <c r="V2605" s="75" t="s">
        <v>29</v>
      </c>
      <c r="W2605" s="104" t="str">
        <f t="shared" si="2024"/>
        <v>/</v>
      </c>
      <c r="X2605" s="111" t="s">
        <v>1612</v>
      </c>
      <c r="Y2605" s="106"/>
      <c r="Z2605" s="26" t="str">
        <f t="shared" si="5"/>
        <v/>
      </c>
      <c r="AA2605" s="26" t="str">
        <f t="shared" si="6"/>
        <v/>
      </c>
      <c r="AB2605" s="32" t="str">
        <f t="shared" si="7"/>
        <v/>
      </c>
      <c r="AC2605" s="32" t="str">
        <f t="shared" ref="AC2605:AG2605" si="2643">IF(J2605&lt;&gt;"", IF(AND($P2605=FALSE, $A2605=FALSE), -J2605, IF(AND($P2605=FALSE, $A2605=TRUE), 0, IF($P2605=TRUE, (J2605 / $R2605) * 100 * ($S2605 / 100)-J2605, ))), )</f>
        <v/>
      </c>
      <c r="AD2605" s="32" t="str">
        <f t="shared" si="2643"/>
        <v/>
      </c>
      <c r="AE2605" s="32" t="str">
        <f t="shared" si="2643"/>
        <v/>
      </c>
      <c r="AF2605" s="32" t="str">
        <f t="shared" si="2643"/>
        <v/>
      </c>
      <c r="AG2605" s="32" t="str">
        <f t="shared" si="2643"/>
        <v/>
      </c>
      <c r="AH2605" s="33"/>
    </row>
    <row r="2606" hidden="1" outlineLevel="2" collapsed="1">
      <c r="A2606" s="95" t="b">
        <v>0</v>
      </c>
      <c r="B2606" s="96"/>
      <c r="C2606" s="18"/>
      <c r="D2606" s="42">
        <v>45556.0</v>
      </c>
      <c r="E2606" s="20" t="s">
        <v>24</v>
      </c>
      <c r="F2606" s="53" t="s">
        <v>1581</v>
      </c>
      <c r="G2606" s="97">
        <v>2.0</v>
      </c>
      <c r="H2606" s="97"/>
      <c r="I2606" s="97">
        <v>2.0</v>
      </c>
      <c r="J2606" s="98"/>
      <c r="K2606" s="99"/>
      <c r="L2606" s="98"/>
      <c r="M2606" s="99"/>
      <c r="N2606" s="99"/>
      <c r="O2606" s="18"/>
      <c r="P2606" s="100" t="b">
        <v>0</v>
      </c>
      <c r="Q2606" s="18"/>
      <c r="R2606" s="101">
        <f t="shared" si="2376"/>
        <v>4</v>
      </c>
      <c r="S2606" s="32">
        <v>80.72</v>
      </c>
      <c r="T2606" s="102" t="str">
        <f t="shared" si="2484"/>
        <v>+1918</v>
      </c>
      <c r="U2606" s="18"/>
      <c r="V2606" s="103" t="str">
        <f>IF(ISBLANK($D2606), "0",)</f>
        <v/>
      </c>
      <c r="W2606" s="104" t="str">
        <f t="shared" si="2024"/>
        <v/>
      </c>
      <c r="X2606" s="105"/>
      <c r="Y2606" s="106"/>
      <c r="Z2606" s="26">
        <f t="shared" si="5"/>
        <v>-2</v>
      </c>
      <c r="AA2606" s="26">
        <f t="shared" si="6"/>
        <v>-2</v>
      </c>
      <c r="AB2606" s="32" t="str">
        <f t="shared" si="7"/>
        <v/>
      </c>
      <c r="AC2606" s="32" t="str">
        <f t="shared" ref="AC2606:AG2606" si="2644">IF(J2606&lt;&gt;"", IF(AND($P2606=FALSE, $A2606=FALSE), -J2606, IF(AND($P2606=FALSE, $A2606=TRUE), 0, IF($P2606=TRUE, (J2606 / $R2606) * 100 * ($S2606 / 100)-J2606, ))), )</f>
        <v/>
      </c>
      <c r="AD2606" s="32" t="str">
        <f t="shared" si="2644"/>
        <v/>
      </c>
      <c r="AE2606" s="32" t="str">
        <f t="shared" si="2644"/>
        <v/>
      </c>
      <c r="AF2606" s="32" t="str">
        <f t="shared" si="2644"/>
        <v/>
      </c>
      <c r="AG2606" s="32" t="str">
        <f t="shared" si="2644"/>
        <v/>
      </c>
      <c r="AH2606" s="33"/>
    </row>
    <row r="2607" hidden="1" outlineLevel="3">
      <c r="A2607" s="95" t="b">
        <v>0</v>
      </c>
      <c r="B2607" s="96"/>
      <c r="C2607" s="18"/>
      <c r="D2607" s="107"/>
      <c r="E2607" s="108"/>
      <c r="F2607" s="109"/>
      <c r="G2607" s="97"/>
      <c r="H2607" s="97"/>
      <c r="I2607" s="97"/>
      <c r="J2607" s="98"/>
      <c r="K2607" s="99"/>
      <c r="L2607" s="98"/>
      <c r="M2607" s="99"/>
      <c r="N2607" s="99"/>
      <c r="O2607" s="18"/>
      <c r="P2607" s="100" t="b">
        <v>0</v>
      </c>
      <c r="Q2607" s="18"/>
      <c r="R2607" s="101" t="str">
        <f t="shared" si="2376"/>
        <v/>
      </c>
      <c r="S2607" s="32"/>
      <c r="T2607" s="102" t="str">
        <f t="shared" si="2484"/>
        <v/>
      </c>
      <c r="U2607" s="18"/>
      <c r="V2607" s="75" t="s">
        <v>29</v>
      </c>
      <c r="W2607" s="104" t="str">
        <f t="shared" si="2024"/>
        <v>/</v>
      </c>
      <c r="X2607" s="111" t="s">
        <v>1611</v>
      </c>
      <c r="Y2607" s="106"/>
      <c r="Z2607" s="26" t="str">
        <f t="shared" si="5"/>
        <v/>
      </c>
      <c r="AA2607" s="26" t="str">
        <f t="shared" si="6"/>
        <v/>
      </c>
      <c r="AB2607" s="32" t="str">
        <f t="shared" si="7"/>
        <v/>
      </c>
      <c r="AC2607" s="32" t="str">
        <f t="shared" ref="AC2607:AG2607" si="2645">IF(J2607&lt;&gt;"", IF(AND($P2607=FALSE, $A2607=FALSE), -J2607, IF(AND($P2607=FALSE, $A2607=TRUE), 0, IF($P2607=TRUE, (J2607 / $R2607) * 100 * ($S2607 / 100)-J2607, ))), )</f>
        <v/>
      </c>
      <c r="AD2607" s="32" t="str">
        <f t="shared" si="2645"/>
        <v/>
      </c>
      <c r="AE2607" s="32" t="str">
        <f t="shared" si="2645"/>
        <v/>
      </c>
      <c r="AF2607" s="32" t="str">
        <f t="shared" si="2645"/>
        <v/>
      </c>
      <c r="AG2607" s="32" t="str">
        <f t="shared" si="2645"/>
        <v/>
      </c>
      <c r="AH2607" s="33"/>
    </row>
    <row r="2608" hidden="1" outlineLevel="3">
      <c r="A2608" s="95" t="b">
        <v>0</v>
      </c>
      <c r="B2608" s="96"/>
      <c r="C2608" s="18"/>
      <c r="D2608" s="107"/>
      <c r="E2608" s="108"/>
      <c r="F2608" s="109"/>
      <c r="G2608" s="97"/>
      <c r="H2608" s="97"/>
      <c r="I2608" s="97"/>
      <c r="J2608" s="98"/>
      <c r="K2608" s="99"/>
      <c r="L2608" s="98"/>
      <c r="M2608" s="99"/>
      <c r="N2608" s="99"/>
      <c r="O2608" s="18"/>
      <c r="P2608" s="100" t="b">
        <v>0</v>
      </c>
      <c r="Q2608" s="18"/>
      <c r="R2608" s="101" t="str">
        <f t="shared" si="2376"/>
        <v/>
      </c>
      <c r="S2608" s="32"/>
      <c r="T2608" s="102" t="str">
        <f t="shared" si="2484"/>
        <v/>
      </c>
      <c r="U2608" s="18"/>
      <c r="V2608" s="113">
        <v>77.0</v>
      </c>
      <c r="W2608" s="104" t="str">
        <f t="shared" si="2024"/>
        <v>/</v>
      </c>
      <c r="X2608" s="111" t="s">
        <v>1613</v>
      </c>
      <c r="Y2608" s="106"/>
      <c r="Z2608" s="26" t="str">
        <f t="shared" si="5"/>
        <v/>
      </c>
      <c r="AA2608" s="26" t="str">
        <f t="shared" si="6"/>
        <v/>
      </c>
      <c r="AB2608" s="32" t="str">
        <f t="shared" si="7"/>
        <v/>
      </c>
      <c r="AC2608" s="32" t="str">
        <f t="shared" ref="AC2608:AG2608" si="2646">IF(J2608&lt;&gt;"", IF(AND($P2608=FALSE, $A2608=FALSE), -J2608, IF(AND($P2608=FALSE, $A2608=TRUE), 0, IF($P2608=TRUE, (J2608 / $R2608) * 100 * ($S2608 / 100)-J2608, ))), )</f>
        <v/>
      </c>
      <c r="AD2608" s="32" t="str">
        <f t="shared" si="2646"/>
        <v/>
      </c>
      <c r="AE2608" s="32" t="str">
        <f t="shared" si="2646"/>
        <v/>
      </c>
      <c r="AF2608" s="32" t="str">
        <f t="shared" si="2646"/>
        <v/>
      </c>
      <c r="AG2608" s="32" t="str">
        <f t="shared" si="2646"/>
        <v/>
      </c>
      <c r="AH2608" s="33"/>
    </row>
    <row r="2609" hidden="1" outlineLevel="3">
      <c r="A2609" s="95" t="b">
        <v>0</v>
      </c>
      <c r="B2609" s="96"/>
      <c r="C2609" s="18"/>
      <c r="D2609" s="107"/>
      <c r="E2609" s="108"/>
      <c r="F2609" s="109"/>
      <c r="G2609" s="97"/>
      <c r="H2609" s="97"/>
      <c r="I2609" s="97"/>
      <c r="J2609" s="98"/>
      <c r="K2609" s="99"/>
      <c r="L2609" s="98"/>
      <c r="M2609" s="99"/>
      <c r="N2609" s="99"/>
      <c r="O2609" s="18"/>
      <c r="P2609" s="100" t="b">
        <v>0</v>
      </c>
      <c r="Q2609" s="18"/>
      <c r="R2609" s="101" t="str">
        <f t="shared" si="2376"/>
        <v/>
      </c>
      <c r="S2609" s="32"/>
      <c r="T2609" s="102" t="str">
        <f t="shared" si="2484"/>
        <v/>
      </c>
      <c r="U2609" s="18"/>
      <c r="V2609" s="75" t="s">
        <v>29</v>
      </c>
      <c r="W2609" s="104" t="str">
        <f t="shared" si="2024"/>
        <v>/</v>
      </c>
      <c r="X2609" s="111" t="s">
        <v>1614</v>
      </c>
      <c r="Y2609" s="106"/>
      <c r="Z2609" s="26" t="str">
        <f t="shared" si="5"/>
        <v/>
      </c>
      <c r="AA2609" s="26" t="str">
        <f t="shared" si="6"/>
        <v/>
      </c>
      <c r="AB2609" s="32" t="str">
        <f t="shared" si="7"/>
        <v/>
      </c>
      <c r="AC2609" s="32" t="str">
        <f t="shared" ref="AC2609:AG2609" si="2647">IF(J2609&lt;&gt;"", IF(AND($P2609=FALSE, $A2609=FALSE), -J2609, IF(AND($P2609=FALSE, $A2609=TRUE), 0, IF($P2609=TRUE, (J2609 / $R2609) * 100 * ($S2609 / 100)-J2609, ))), )</f>
        <v/>
      </c>
      <c r="AD2609" s="32" t="str">
        <f t="shared" si="2647"/>
        <v/>
      </c>
      <c r="AE2609" s="32" t="str">
        <f t="shared" si="2647"/>
        <v/>
      </c>
      <c r="AF2609" s="32" t="str">
        <f t="shared" si="2647"/>
        <v/>
      </c>
      <c r="AG2609" s="32" t="str">
        <f t="shared" si="2647"/>
        <v/>
      </c>
      <c r="AH2609" s="33"/>
    </row>
    <row r="2610" hidden="1" outlineLevel="3">
      <c r="A2610" s="95" t="b">
        <v>0</v>
      </c>
      <c r="B2610" s="96"/>
      <c r="C2610" s="18"/>
      <c r="D2610" s="107"/>
      <c r="E2610" s="108"/>
      <c r="F2610" s="109"/>
      <c r="G2610" s="97"/>
      <c r="H2610" s="97"/>
      <c r="I2610" s="97"/>
      <c r="J2610" s="98"/>
      <c r="K2610" s="99"/>
      <c r="L2610" s="98"/>
      <c r="M2610" s="99"/>
      <c r="N2610" s="99"/>
      <c r="O2610" s="18"/>
      <c r="P2610" s="100" t="b">
        <v>0</v>
      </c>
      <c r="Q2610" s="18"/>
      <c r="R2610" s="101" t="str">
        <f t="shared" si="2376"/>
        <v/>
      </c>
      <c r="S2610" s="32"/>
      <c r="T2610" s="102" t="str">
        <f t="shared" si="2484"/>
        <v/>
      </c>
      <c r="U2610" s="18"/>
      <c r="V2610" s="112" t="s">
        <v>1123</v>
      </c>
      <c r="W2610" s="104" t="str">
        <f t="shared" si="2024"/>
        <v>/</v>
      </c>
      <c r="X2610" s="111" t="s">
        <v>1615</v>
      </c>
      <c r="Y2610" s="106"/>
      <c r="Z2610" s="26" t="str">
        <f t="shared" si="5"/>
        <v/>
      </c>
      <c r="AA2610" s="26" t="str">
        <f t="shared" si="6"/>
        <v/>
      </c>
      <c r="AB2610" s="32" t="str">
        <f t="shared" si="7"/>
        <v/>
      </c>
      <c r="AC2610" s="32" t="str">
        <f t="shared" ref="AC2610:AG2610" si="2648">IF(J2610&lt;&gt;"", IF(AND($P2610=FALSE, $A2610=FALSE), -J2610, IF(AND($P2610=FALSE, $A2610=TRUE), 0, IF($P2610=TRUE, (J2610 / $R2610) * 100 * ($S2610 / 100)-J2610, ))), )</f>
        <v/>
      </c>
      <c r="AD2610" s="32" t="str">
        <f t="shared" si="2648"/>
        <v/>
      </c>
      <c r="AE2610" s="32" t="str">
        <f t="shared" si="2648"/>
        <v/>
      </c>
      <c r="AF2610" s="32" t="str">
        <f t="shared" si="2648"/>
        <v/>
      </c>
      <c r="AG2610" s="32" t="str">
        <f t="shared" si="2648"/>
        <v/>
      </c>
      <c r="AH2610" s="33"/>
    </row>
    <row r="2611" hidden="1" outlineLevel="3">
      <c r="A2611" s="95" t="b">
        <v>0</v>
      </c>
      <c r="B2611" s="96"/>
      <c r="C2611" s="18"/>
      <c r="D2611" s="107"/>
      <c r="E2611" s="108"/>
      <c r="F2611" s="109"/>
      <c r="G2611" s="97"/>
      <c r="H2611" s="97"/>
      <c r="I2611" s="97"/>
      <c r="J2611" s="98"/>
      <c r="K2611" s="99"/>
      <c r="L2611" s="98"/>
      <c r="M2611" s="99"/>
      <c r="N2611" s="99"/>
      <c r="O2611" s="18"/>
      <c r="P2611" s="100" t="b">
        <v>0</v>
      </c>
      <c r="Q2611" s="18"/>
      <c r="R2611" s="101" t="str">
        <f t="shared" si="2376"/>
        <v/>
      </c>
      <c r="S2611" s="32"/>
      <c r="T2611" s="102" t="str">
        <f t="shared" si="2484"/>
        <v/>
      </c>
      <c r="U2611" s="18"/>
      <c r="V2611" s="75" t="s">
        <v>29</v>
      </c>
      <c r="W2611" s="104" t="str">
        <f t="shared" si="2024"/>
        <v>/</v>
      </c>
      <c r="X2611" s="111" t="s">
        <v>312</v>
      </c>
      <c r="Y2611" s="106"/>
      <c r="Z2611" s="26" t="str">
        <f t="shared" si="5"/>
        <v/>
      </c>
      <c r="AA2611" s="26" t="str">
        <f t="shared" si="6"/>
        <v/>
      </c>
      <c r="AB2611" s="32" t="str">
        <f t="shared" si="7"/>
        <v/>
      </c>
      <c r="AC2611" s="32" t="str">
        <f t="shared" ref="AC2611:AG2611" si="2649">IF(J2611&lt;&gt;"", IF(AND($P2611=FALSE, $A2611=FALSE), -J2611, IF(AND($P2611=FALSE, $A2611=TRUE), 0, IF($P2611=TRUE, (J2611 / $R2611) * 100 * ($S2611 / 100)-J2611, ))), )</f>
        <v/>
      </c>
      <c r="AD2611" s="32" t="str">
        <f t="shared" si="2649"/>
        <v/>
      </c>
      <c r="AE2611" s="32" t="str">
        <f t="shared" si="2649"/>
        <v/>
      </c>
      <c r="AF2611" s="32" t="str">
        <f t="shared" si="2649"/>
        <v/>
      </c>
      <c r="AG2611" s="32" t="str">
        <f t="shared" si="2649"/>
        <v/>
      </c>
      <c r="AH2611" s="33"/>
    </row>
    <row r="2612" hidden="1" outlineLevel="3">
      <c r="A2612" s="95" t="b">
        <v>0</v>
      </c>
      <c r="B2612" s="96"/>
      <c r="C2612" s="18"/>
      <c r="D2612" s="107"/>
      <c r="E2612" s="108"/>
      <c r="F2612" s="109"/>
      <c r="G2612" s="97"/>
      <c r="H2612" s="97"/>
      <c r="I2612" s="97"/>
      <c r="J2612" s="98"/>
      <c r="K2612" s="99"/>
      <c r="L2612" s="98"/>
      <c r="M2612" s="99"/>
      <c r="N2612" s="99"/>
      <c r="O2612" s="18"/>
      <c r="P2612" s="100" t="b">
        <v>0</v>
      </c>
      <c r="Q2612" s="18"/>
      <c r="R2612" s="101" t="str">
        <f t="shared" si="2376"/>
        <v/>
      </c>
      <c r="S2612" s="32"/>
      <c r="T2612" s="102" t="str">
        <f t="shared" si="2484"/>
        <v/>
      </c>
      <c r="U2612" s="18"/>
      <c r="V2612" s="75" t="s">
        <v>29</v>
      </c>
      <c r="W2612" s="104" t="str">
        <f t="shared" si="2024"/>
        <v>/</v>
      </c>
      <c r="X2612" s="111" t="s">
        <v>765</v>
      </c>
      <c r="Y2612" s="106"/>
      <c r="Z2612" s="26" t="str">
        <f t="shared" si="5"/>
        <v/>
      </c>
      <c r="AA2612" s="26" t="str">
        <f t="shared" si="6"/>
        <v/>
      </c>
      <c r="AB2612" s="32" t="str">
        <f t="shared" si="7"/>
        <v/>
      </c>
      <c r="AC2612" s="32" t="str">
        <f t="shared" ref="AC2612:AG2612" si="2650">IF(J2612&lt;&gt;"", IF(AND($P2612=FALSE, $A2612=FALSE), -J2612, IF(AND($P2612=FALSE, $A2612=TRUE), 0, IF($P2612=TRUE, (J2612 / $R2612) * 100 * ($S2612 / 100)-J2612, ))), )</f>
        <v/>
      </c>
      <c r="AD2612" s="32" t="str">
        <f t="shared" si="2650"/>
        <v/>
      </c>
      <c r="AE2612" s="32" t="str">
        <f t="shared" si="2650"/>
        <v/>
      </c>
      <c r="AF2612" s="32" t="str">
        <f t="shared" si="2650"/>
        <v/>
      </c>
      <c r="AG2612" s="32" t="str">
        <f t="shared" si="2650"/>
        <v/>
      </c>
      <c r="AH2612" s="33"/>
    </row>
    <row r="2613" hidden="1" outlineLevel="3">
      <c r="A2613" s="95" t="b">
        <v>0</v>
      </c>
      <c r="B2613" s="96"/>
      <c r="C2613" s="18"/>
      <c r="D2613" s="107"/>
      <c r="E2613" s="108"/>
      <c r="F2613" s="109"/>
      <c r="G2613" s="97"/>
      <c r="H2613" s="97"/>
      <c r="I2613" s="97"/>
      <c r="J2613" s="98"/>
      <c r="K2613" s="99"/>
      <c r="L2613" s="98"/>
      <c r="M2613" s="99"/>
      <c r="N2613" s="99"/>
      <c r="O2613" s="18"/>
      <c r="P2613" s="100" t="b">
        <v>0</v>
      </c>
      <c r="Q2613" s="18"/>
      <c r="R2613" s="101" t="str">
        <f t="shared" si="2376"/>
        <v/>
      </c>
      <c r="S2613" s="32"/>
      <c r="T2613" s="102" t="str">
        <f t="shared" si="2484"/>
        <v/>
      </c>
      <c r="U2613" s="18"/>
      <c r="V2613" s="75" t="s">
        <v>29</v>
      </c>
      <c r="W2613" s="104" t="str">
        <f t="shared" si="2024"/>
        <v>/</v>
      </c>
      <c r="X2613" s="111" t="s">
        <v>1239</v>
      </c>
      <c r="Y2613" s="106"/>
      <c r="Z2613" s="26" t="str">
        <f t="shared" si="5"/>
        <v/>
      </c>
      <c r="AA2613" s="26" t="str">
        <f t="shared" si="6"/>
        <v/>
      </c>
      <c r="AB2613" s="32" t="str">
        <f t="shared" si="7"/>
        <v/>
      </c>
      <c r="AC2613" s="32" t="str">
        <f t="shared" ref="AC2613:AG2613" si="2651">IF(J2613&lt;&gt;"", IF(AND($P2613=FALSE, $A2613=FALSE), -J2613, IF(AND($P2613=FALSE, $A2613=TRUE), 0, IF($P2613=TRUE, (J2613 / $R2613) * 100 * ($S2613 / 100)-J2613, ))), )</f>
        <v/>
      </c>
      <c r="AD2613" s="32" t="str">
        <f t="shared" si="2651"/>
        <v/>
      </c>
      <c r="AE2613" s="32" t="str">
        <f t="shared" si="2651"/>
        <v/>
      </c>
      <c r="AF2613" s="32" t="str">
        <f t="shared" si="2651"/>
        <v/>
      </c>
      <c r="AG2613" s="32" t="str">
        <f t="shared" si="2651"/>
        <v/>
      </c>
      <c r="AH2613" s="33"/>
    </row>
    <row r="2614" hidden="1" outlineLevel="2">
      <c r="A2614" s="95" t="b">
        <v>0</v>
      </c>
      <c r="B2614" s="96"/>
      <c r="C2614" s="18"/>
      <c r="D2614" s="42">
        <v>45556.0</v>
      </c>
      <c r="E2614" s="20" t="s">
        <v>24</v>
      </c>
      <c r="F2614" s="53" t="s">
        <v>1581</v>
      </c>
      <c r="G2614" s="97">
        <v>1.0</v>
      </c>
      <c r="H2614" s="97"/>
      <c r="I2614" s="97"/>
      <c r="J2614" s="98"/>
      <c r="K2614" s="99"/>
      <c r="L2614" s="98"/>
      <c r="M2614" s="99"/>
      <c r="N2614" s="99"/>
      <c r="O2614" s="18"/>
      <c r="P2614" s="100" t="b">
        <v>0</v>
      </c>
      <c r="Q2614" s="18"/>
      <c r="R2614" s="101">
        <f t="shared" si="2376"/>
        <v>1</v>
      </c>
      <c r="S2614" s="32">
        <v>24.0</v>
      </c>
      <c r="T2614" s="102" t="str">
        <f t="shared" si="2484"/>
        <v>+2300</v>
      </c>
      <c r="U2614" s="18"/>
      <c r="V2614" s="103" t="str">
        <f t="shared" ref="V2614:V2618" si="2653">IF(ISBLANK($D2614), "0",)</f>
        <v/>
      </c>
      <c r="W2614" s="104" t="str">
        <f t="shared" si="2024"/>
        <v/>
      </c>
      <c r="X2614" s="105"/>
      <c r="Y2614" s="106"/>
      <c r="Z2614" s="26">
        <f t="shared" si="5"/>
        <v>-1</v>
      </c>
      <c r="AA2614" s="26" t="str">
        <f t="shared" si="6"/>
        <v/>
      </c>
      <c r="AB2614" s="32" t="str">
        <f t="shared" si="7"/>
        <v/>
      </c>
      <c r="AC2614" s="32" t="str">
        <f t="shared" ref="AC2614:AG2614" si="2652">IF(J2614&lt;&gt;"", IF(AND($P2614=FALSE, $A2614=FALSE), -J2614, IF(AND($P2614=FALSE, $A2614=TRUE), 0, IF($P2614=TRUE, (J2614 / $R2614) * 100 * ($S2614 / 100)-J2614, ))), )</f>
        <v/>
      </c>
      <c r="AD2614" s="32" t="str">
        <f t="shared" si="2652"/>
        <v/>
      </c>
      <c r="AE2614" s="32" t="str">
        <f t="shared" si="2652"/>
        <v/>
      </c>
      <c r="AF2614" s="32" t="str">
        <f t="shared" si="2652"/>
        <v/>
      </c>
      <c r="AG2614" s="32" t="str">
        <f t="shared" si="2652"/>
        <v/>
      </c>
      <c r="AH2614" s="33"/>
    </row>
    <row r="2615" hidden="1" outlineLevel="3">
      <c r="A2615" s="95" t="b">
        <v>0</v>
      </c>
      <c r="B2615" s="96"/>
      <c r="C2615" s="18"/>
      <c r="D2615" s="107"/>
      <c r="E2615" s="108"/>
      <c r="F2615" s="109"/>
      <c r="G2615" s="97"/>
      <c r="H2615" s="97"/>
      <c r="I2615" s="97"/>
      <c r="J2615" s="98"/>
      <c r="K2615" s="99"/>
      <c r="L2615" s="98"/>
      <c r="M2615" s="99"/>
      <c r="N2615" s="99"/>
      <c r="O2615" s="18"/>
      <c r="P2615" s="100" t="b">
        <v>0</v>
      </c>
      <c r="Q2615" s="18"/>
      <c r="R2615" s="101" t="str">
        <f t="shared" si="2376"/>
        <v/>
      </c>
      <c r="S2615" s="32"/>
      <c r="T2615" s="102" t="str">
        <f t="shared" si="2484"/>
        <v/>
      </c>
      <c r="U2615" s="18"/>
      <c r="V2615" s="103" t="str">
        <f t="shared" si="2653"/>
        <v>0</v>
      </c>
      <c r="W2615" s="104" t="str">
        <f t="shared" si="2024"/>
        <v>/</v>
      </c>
      <c r="X2615" s="111" t="s">
        <v>1616</v>
      </c>
      <c r="Y2615" s="106"/>
      <c r="Z2615" s="26" t="str">
        <f t="shared" si="5"/>
        <v/>
      </c>
      <c r="AA2615" s="26" t="str">
        <f t="shared" si="6"/>
        <v/>
      </c>
      <c r="AB2615" s="32" t="str">
        <f t="shared" si="7"/>
        <v/>
      </c>
      <c r="AC2615" s="32" t="str">
        <f t="shared" ref="AC2615:AG2615" si="2654">IF(J2615&lt;&gt;"", IF(AND($P2615=FALSE, $A2615=FALSE), -J2615, IF(AND($P2615=FALSE, $A2615=TRUE), 0, IF($P2615=TRUE, (J2615 / $R2615) * 100 * ($S2615 / 100)-J2615, ))), )</f>
        <v/>
      </c>
      <c r="AD2615" s="32" t="str">
        <f t="shared" si="2654"/>
        <v/>
      </c>
      <c r="AE2615" s="32" t="str">
        <f t="shared" si="2654"/>
        <v/>
      </c>
      <c r="AF2615" s="32" t="str">
        <f t="shared" si="2654"/>
        <v/>
      </c>
      <c r="AG2615" s="32" t="str">
        <f t="shared" si="2654"/>
        <v/>
      </c>
      <c r="AH2615" s="33"/>
    </row>
    <row r="2616" hidden="1" outlineLevel="3">
      <c r="A2616" s="95" t="b">
        <v>0</v>
      </c>
      <c r="B2616" s="96"/>
      <c r="C2616" s="18"/>
      <c r="D2616" s="107"/>
      <c r="E2616" s="108"/>
      <c r="F2616" s="109"/>
      <c r="G2616" s="97"/>
      <c r="H2616" s="97"/>
      <c r="I2616" s="97"/>
      <c r="J2616" s="98"/>
      <c r="K2616" s="99"/>
      <c r="L2616" s="98"/>
      <c r="M2616" s="99"/>
      <c r="N2616" s="99"/>
      <c r="O2616" s="18"/>
      <c r="P2616" s="100" t="b">
        <v>0</v>
      </c>
      <c r="Q2616" s="18"/>
      <c r="R2616" s="101" t="str">
        <f t="shared" si="2376"/>
        <v/>
      </c>
      <c r="S2616" s="32"/>
      <c r="T2616" s="102" t="str">
        <f t="shared" si="2484"/>
        <v/>
      </c>
      <c r="U2616" s="18"/>
      <c r="V2616" s="103" t="str">
        <f t="shared" si="2653"/>
        <v>0</v>
      </c>
      <c r="W2616" s="104" t="str">
        <f t="shared" si="2024"/>
        <v>/</v>
      </c>
      <c r="X2616" s="111" t="s">
        <v>1617</v>
      </c>
      <c r="Y2616" s="106"/>
      <c r="Z2616" s="26" t="str">
        <f t="shared" si="5"/>
        <v/>
      </c>
      <c r="AA2616" s="26" t="str">
        <f t="shared" si="6"/>
        <v/>
      </c>
      <c r="AB2616" s="32" t="str">
        <f t="shared" si="7"/>
        <v/>
      </c>
      <c r="AC2616" s="32" t="str">
        <f t="shared" ref="AC2616:AG2616" si="2655">IF(J2616&lt;&gt;"", IF(AND($P2616=FALSE, $A2616=FALSE), -J2616, IF(AND($P2616=FALSE, $A2616=TRUE), 0, IF($P2616=TRUE, (J2616 / $R2616) * 100 * ($S2616 / 100)-J2616, ))), )</f>
        <v/>
      </c>
      <c r="AD2616" s="32" t="str">
        <f t="shared" si="2655"/>
        <v/>
      </c>
      <c r="AE2616" s="32" t="str">
        <f t="shared" si="2655"/>
        <v/>
      </c>
      <c r="AF2616" s="32" t="str">
        <f t="shared" si="2655"/>
        <v/>
      </c>
      <c r="AG2616" s="32" t="str">
        <f t="shared" si="2655"/>
        <v/>
      </c>
      <c r="AH2616" s="33"/>
    </row>
    <row r="2617" hidden="1" outlineLevel="3">
      <c r="A2617" s="95" t="b">
        <v>0</v>
      </c>
      <c r="B2617" s="96"/>
      <c r="C2617" s="18"/>
      <c r="D2617" s="107"/>
      <c r="E2617" s="108"/>
      <c r="F2617" s="109"/>
      <c r="G2617" s="97"/>
      <c r="H2617" s="97"/>
      <c r="I2617" s="97"/>
      <c r="J2617" s="98"/>
      <c r="K2617" s="99"/>
      <c r="L2617" s="98"/>
      <c r="M2617" s="99"/>
      <c r="N2617" s="99"/>
      <c r="O2617" s="18"/>
      <c r="P2617" s="100" t="b">
        <v>0</v>
      </c>
      <c r="Q2617" s="18"/>
      <c r="R2617" s="101" t="str">
        <f t="shared" si="2376"/>
        <v/>
      </c>
      <c r="S2617" s="32"/>
      <c r="T2617" s="102" t="str">
        <f t="shared" si="2484"/>
        <v/>
      </c>
      <c r="U2617" s="18"/>
      <c r="V2617" s="103" t="str">
        <f t="shared" si="2653"/>
        <v>0</v>
      </c>
      <c r="W2617" s="104" t="str">
        <f t="shared" si="2024"/>
        <v>/</v>
      </c>
      <c r="X2617" s="111" t="s">
        <v>1618</v>
      </c>
      <c r="Y2617" s="106"/>
      <c r="Z2617" s="26" t="str">
        <f t="shared" si="5"/>
        <v/>
      </c>
      <c r="AA2617" s="26" t="str">
        <f t="shared" si="6"/>
        <v/>
      </c>
      <c r="AB2617" s="32" t="str">
        <f t="shared" si="7"/>
        <v/>
      </c>
      <c r="AC2617" s="32" t="str">
        <f t="shared" ref="AC2617:AG2617" si="2656">IF(J2617&lt;&gt;"", IF(AND($P2617=FALSE, $A2617=FALSE), -J2617, IF(AND($P2617=FALSE, $A2617=TRUE), 0, IF($P2617=TRUE, (J2617 / $R2617) * 100 * ($S2617 / 100)-J2617, ))), )</f>
        <v/>
      </c>
      <c r="AD2617" s="32" t="str">
        <f t="shared" si="2656"/>
        <v/>
      </c>
      <c r="AE2617" s="32" t="str">
        <f t="shared" si="2656"/>
        <v/>
      </c>
      <c r="AF2617" s="32" t="str">
        <f t="shared" si="2656"/>
        <v/>
      </c>
      <c r="AG2617" s="32" t="str">
        <f t="shared" si="2656"/>
        <v/>
      </c>
      <c r="AH2617" s="33"/>
    </row>
    <row r="2618" hidden="1" outlineLevel="3">
      <c r="A2618" s="95" t="b">
        <v>0</v>
      </c>
      <c r="B2618" s="96"/>
      <c r="C2618" s="18"/>
      <c r="D2618" s="107"/>
      <c r="E2618" s="108"/>
      <c r="F2618" s="109"/>
      <c r="G2618" s="97"/>
      <c r="H2618" s="97"/>
      <c r="I2618" s="97"/>
      <c r="J2618" s="98"/>
      <c r="K2618" s="99"/>
      <c r="L2618" s="98"/>
      <c r="M2618" s="99"/>
      <c r="N2618" s="99"/>
      <c r="O2618" s="18"/>
      <c r="P2618" s="100" t="b">
        <v>0</v>
      </c>
      <c r="Q2618" s="18"/>
      <c r="R2618" s="101" t="str">
        <f t="shared" si="2376"/>
        <v/>
      </c>
      <c r="S2618" s="32"/>
      <c r="T2618" s="102" t="str">
        <f t="shared" si="2484"/>
        <v/>
      </c>
      <c r="U2618" s="18"/>
      <c r="V2618" s="103" t="str">
        <f t="shared" si="2653"/>
        <v>0</v>
      </c>
      <c r="W2618" s="104" t="str">
        <f t="shared" si="2024"/>
        <v>/</v>
      </c>
      <c r="X2618" s="111" t="s">
        <v>1619</v>
      </c>
      <c r="Y2618" s="106"/>
      <c r="Z2618" s="26" t="str">
        <f t="shared" si="5"/>
        <v/>
      </c>
      <c r="AA2618" s="26" t="str">
        <f t="shared" si="6"/>
        <v/>
      </c>
      <c r="AB2618" s="32" t="str">
        <f t="shared" si="7"/>
        <v/>
      </c>
      <c r="AC2618" s="32" t="str">
        <f t="shared" ref="AC2618:AG2618" si="2657">IF(J2618&lt;&gt;"", IF(AND($P2618=FALSE, $A2618=FALSE), -J2618, IF(AND($P2618=FALSE, $A2618=TRUE), 0, IF($P2618=TRUE, (J2618 / $R2618) * 100 * ($S2618 / 100)-J2618, ))), )</f>
        <v/>
      </c>
      <c r="AD2618" s="32" t="str">
        <f t="shared" si="2657"/>
        <v/>
      </c>
      <c r="AE2618" s="32" t="str">
        <f t="shared" si="2657"/>
        <v/>
      </c>
      <c r="AF2618" s="32" t="str">
        <f t="shared" si="2657"/>
        <v/>
      </c>
      <c r="AG2618" s="32" t="str">
        <f t="shared" si="2657"/>
        <v/>
      </c>
      <c r="AH2618" s="33"/>
    </row>
    <row r="2619" hidden="1" outlineLevel="3">
      <c r="A2619" s="95" t="b">
        <v>0</v>
      </c>
      <c r="B2619" s="96"/>
      <c r="C2619" s="18"/>
      <c r="D2619" s="107"/>
      <c r="E2619" s="108"/>
      <c r="F2619" s="109"/>
      <c r="G2619" s="97"/>
      <c r="H2619" s="97"/>
      <c r="I2619" s="97"/>
      <c r="J2619" s="98"/>
      <c r="K2619" s="99"/>
      <c r="L2619" s="98"/>
      <c r="M2619" s="99"/>
      <c r="N2619" s="99"/>
      <c r="O2619" s="18"/>
      <c r="P2619" s="100" t="b">
        <v>0</v>
      </c>
      <c r="Q2619" s="18"/>
      <c r="R2619" s="101" t="str">
        <f t="shared" si="2376"/>
        <v/>
      </c>
      <c r="S2619" s="32"/>
      <c r="T2619" s="102" t="str">
        <f t="shared" si="2484"/>
        <v/>
      </c>
      <c r="U2619" s="18"/>
      <c r="V2619" s="75" t="s">
        <v>29</v>
      </c>
      <c r="W2619" s="104" t="str">
        <f t="shared" si="2024"/>
        <v>/</v>
      </c>
      <c r="X2619" s="111" t="s">
        <v>1620</v>
      </c>
      <c r="Y2619" s="106"/>
      <c r="Z2619" s="26" t="str">
        <f t="shared" si="5"/>
        <v/>
      </c>
      <c r="AA2619" s="26" t="str">
        <f t="shared" si="6"/>
        <v/>
      </c>
      <c r="AB2619" s="32" t="str">
        <f t="shared" si="7"/>
        <v/>
      </c>
      <c r="AC2619" s="32" t="str">
        <f t="shared" ref="AC2619:AG2619" si="2658">IF(J2619&lt;&gt;"", IF(AND($P2619=FALSE, $A2619=FALSE), -J2619, IF(AND($P2619=FALSE, $A2619=TRUE), 0, IF($P2619=TRUE, (J2619 / $R2619) * 100 * ($S2619 / 100)-J2619, ))), )</f>
        <v/>
      </c>
      <c r="AD2619" s="32" t="str">
        <f t="shared" si="2658"/>
        <v/>
      </c>
      <c r="AE2619" s="32" t="str">
        <f t="shared" si="2658"/>
        <v/>
      </c>
      <c r="AF2619" s="32" t="str">
        <f t="shared" si="2658"/>
        <v/>
      </c>
      <c r="AG2619" s="32" t="str">
        <f t="shared" si="2658"/>
        <v/>
      </c>
      <c r="AH2619" s="33"/>
    </row>
    <row r="2620" hidden="1" outlineLevel="3">
      <c r="A2620" s="95" t="b">
        <v>0</v>
      </c>
      <c r="B2620" s="96"/>
      <c r="C2620" s="18"/>
      <c r="D2620" s="107"/>
      <c r="E2620" s="108"/>
      <c r="F2620" s="109"/>
      <c r="G2620" s="97"/>
      <c r="H2620" s="97"/>
      <c r="I2620" s="97"/>
      <c r="J2620" s="98"/>
      <c r="K2620" s="99"/>
      <c r="L2620" s="98"/>
      <c r="M2620" s="99"/>
      <c r="N2620" s="99"/>
      <c r="O2620" s="18"/>
      <c r="P2620" s="100" t="b">
        <v>0</v>
      </c>
      <c r="Q2620" s="18"/>
      <c r="R2620" s="101" t="str">
        <f t="shared" si="2376"/>
        <v/>
      </c>
      <c r="S2620" s="32"/>
      <c r="T2620" s="102" t="str">
        <f t="shared" si="2484"/>
        <v/>
      </c>
      <c r="U2620" s="18"/>
      <c r="V2620" s="103" t="str">
        <f>IF(ISBLANK($D2620), "0",)</f>
        <v>0</v>
      </c>
      <c r="W2620" s="104" t="str">
        <f t="shared" si="2024"/>
        <v>/</v>
      </c>
      <c r="X2620" s="111" t="s">
        <v>1621</v>
      </c>
      <c r="Y2620" s="106"/>
      <c r="Z2620" s="26" t="str">
        <f t="shared" si="5"/>
        <v/>
      </c>
      <c r="AA2620" s="26" t="str">
        <f t="shared" si="6"/>
        <v/>
      </c>
      <c r="AB2620" s="32" t="str">
        <f t="shared" si="7"/>
        <v/>
      </c>
      <c r="AC2620" s="32" t="str">
        <f t="shared" ref="AC2620:AG2620" si="2659">IF(J2620&lt;&gt;"", IF(AND($P2620=FALSE, $A2620=FALSE), -J2620, IF(AND($P2620=FALSE, $A2620=TRUE), 0, IF($P2620=TRUE, (J2620 / $R2620) * 100 * ($S2620 / 100)-J2620, ))), )</f>
        <v/>
      </c>
      <c r="AD2620" s="32" t="str">
        <f t="shared" si="2659"/>
        <v/>
      </c>
      <c r="AE2620" s="32" t="str">
        <f t="shared" si="2659"/>
        <v/>
      </c>
      <c r="AF2620" s="32" t="str">
        <f t="shared" si="2659"/>
        <v/>
      </c>
      <c r="AG2620" s="32" t="str">
        <f t="shared" si="2659"/>
        <v/>
      </c>
      <c r="AH2620" s="33"/>
    </row>
    <row r="2621" hidden="1" outlineLevel="3">
      <c r="A2621" s="95" t="b">
        <v>0</v>
      </c>
      <c r="B2621" s="96"/>
      <c r="C2621" s="18"/>
      <c r="D2621" s="107"/>
      <c r="E2621" s="108"/>
      <c r="F2621" s="109"/>
      <c r="G2621" s="97"/>
      <c r="H2621" s="97"/>
      <c r="I2621" s="97"/>
      <c r="J2621" s="98"/>
      <c r="K2621" s="99"/>
      <c r="L2621" s="98"/>
      <c r="M2621" s="99"/>
      <c r="N2621" s="99"/>
      <c r="O2621" s="18"/>
      <c r="P2621" s="100" t="b">
        <v>0</v>
      </c>
      <c r="Q2621" s="18"/>
      <c r="R2621" s="101" t="str">
        <f t="shared" si="2376"/>
        <v/>
      </c>
      <c r="S2621" s="32"/>
      <c r="T2621" s="102" t="str">
        <f t="shared" si="2484"/>
        <v/>
      </c>
      <c r="U2621" s="18"/>
      <c r="V2621" s="75" t="s">
        <v>29</v>
      </c>
      <c r="W2621" s="104" t="str">
        <f t="shared" si="2024"/>
        <v>/</v>
      </c>
      <c r="X2621" s="111" t="s">
        <v>1622</v>
      </c>
      <c r="Y2621" s="106"/>
      <c r="Z2621" s="26" t="str">
        <f t="shared" si="5"/>
        <v/>
      </c>
      <c r="AA2621" s="26" t="str">
        <f t="shared" si="6"/>
        <v/>
      </c>
      <c r="AB2621" s="32" t="str">
        <f t="shared" si="7"/>
        <v/>
      </c>
      <c r="AC2621" s="32" t="str">
        <f t="shared" ref="AC2621:AG2621" si="2660">IF(J2621&lt;&gt;"", IF(AND($P2621=FALSE, $A2621=FALSE), -J2621, IF(AND($P2621=FALSE, $A2621=TRUE), 0, IF($P2621=TRUE, (J2621 / $R2621) * 100 * ($S2621 / 100)-J2621, ))), )</f>
        <v/>
      </c>
      <c r="AD2621" s="32" t="str">
        <f t="shared" si="2660"/>
        <v/>
      </c>
      <c r="AE2621" s="32" t="str">
        <f t="shared" si="2660"/>
        <v/>
      </c>
      <c r="AF2621" s="32" t="str">
        <f t="shared" si="2660"/>
        <v/>
      </c>
      <c r="AG2621" s="32" t="str">
        <f t="shared" si="2660"/>
        <v/>
      </c>
      <c r="AH2621" s="33"/>
    </row>
    <row r="2622" hidden="1" outlineLevel="1" collapsed="1">
      <c r="A2622" s="95" t="b">
        <v>0</v>
      </c>
      <c r="B2622" s="96"/>
      <c r="C2622" s="18"/>
      <c r="D2622" s="42">
        <v>45558.0</v>
      </c>
      <c r="E2622" s="20" t="s">
        <v>24</v>
      </c>
      <c r="F2622" s="53" t="s">
        <v>1581</v>
      </c>
      <c r="G2622" s="97">
        <v>2.0</v>
      </c>
      <c r="H2622" s="97"/>
      <c r="I2622" s="97">
        <v>2.0</v>
      </c>
      <c r="J2622" s="98"/>
      <c r="K2622" s="99"/>
      <c r="L2622" s="98"/>
      <c r="M2622" s="99"/>
      <c r="N2622" s="99"/>
      <c r="O2622" s="18"/>
      <c r="P2622" s="100" t="b">
        <v>0</v>
      </c>
      <c r="Q2622" s="18"/>
      <c r="R2622" s="101">
        <f t="shared" si="2376"/>
        <v>4</v>
      </c>
      <c r="S2622" s="32">
        <v>27.44</v>
      </c>
      <c r="T2622" s="102" t="str">
        <f t="shared" si="2484"/>
        <v>+586</v>
      </c>
      <c r="U2622" s="18"/>
      <c r="V2622" s="103" t="str">
        <f>IF(ISBLANK($D2622), "0",)</f>
        <v/>
      </c>
      <c r="W2622" s="104" t="str">
        <f t="shared" si="2024"/>
        <v/>
      </c>
      <c r="X2622" s="105"/>
      <c r="Y2622" s="106"/>
      <c r="Z2622" s="26">
        <f t="shared" si="5"/>
        <v>-2</v>
      </c>
      <c r="AA2622" s="26">
        <f t="shared" si="6"/>
        <v>-2</v>
      </c>
      <c r="AB2622" s="32" t="str">
        <f t="shared" si="7"/>
        <v/>
      </c>
      <c r="AC2622" s="32" t="str">
        <f t="shared" ref="AC2622:AG2622" si="2661">IF(J2622&lt;&gt;"", IF(AND($P2622=FALSE, $A2622=FALSE), -J2622, IF(AND($P2622=FALSE, $A2622=TRUE), 0, IF($P2622=TRUE, (J2622 / $R2622) * 100 * ($S2622 / 100)-J2622, ))), )</f>
        <v/>
      </c>
      <c r="AD2622" s="32" t="str">
        <f t="shared" si="2661"/>
        <v/>
      </c>
      <c r="AE2622" s="32" t="str">
        <f t="shared" si="2661"/>
        <v/>
      </c>
      <c r="AF2622" s="32" t="str">
        <f t="shared" si="2661"/>
        <v/>
      </c>
      <c r="AG2622" s="32" t="str">
        <f t="shared" si="2661"/>
        <v/>
      </c>
      <c r="AH2622" s="33"/>
    </row>
    <row r="2623" hidden="1" outlineLevel="3">
      <c r="A2623" s="95" t="b">
        <v>0</v>
      </c>
      <c r="B2623" s="96"/>
      <c r="C2623" s="18"/>
      <c r="D2623" s="107"/>
      <c r="E2623" s="108"/>
      <c r="F2623" s="109"/>
      <c r="G2623" s="97"/>
      <c r="H2623" s="97"/>
      <c r="I2623" s="97"/>
      <c r="J2623" s="98"/>
      <c r="K2623" s="99"/>
      <c r="L2623" s="98"/>
      <c r="M2623" s="99"/>
      <c r="N2623" s="99"/>
      <c r="O2623" s="18"/>
      <c r="P2623" s="100" t="b">
        <v>0</v>
      </c>
      <c r="Q2623" s="18"/>
      <c r="R2623" s="101" t="str">
        <f t="shared" si="2376"/>
        <v/>
      </c>
      <c r="S2623" s="32"/>
      <c r="T2623" s="102" t="str">
        <f t="shared" si="2484"/>
        <v/>
      </c>
      <c r="U2623" s="18"/>
      <c r="V2623" s="113">
        <v>48.0</v>
      </c>
      <c r="W2623" s="104" t="str">
        <f t="shared" si="2024"/>
        <v>/</v>
      </c>
      <c r="X2623" s="111" t="s">
        <v>1623</v>
      </c>
      <c r="Y2623" s="106"/>
      <c r="Z2623" s="26" t="str">
        <f t="shared" si="5"/>
        <v/>
      </c>
      <c r="AA2623" s="26" t="str">
        <f t="shared" si="6"/>
        <v/>
      </c>
      <c r="AB2623" s="32" t="str">
        <f t="shared" si="7"/>
        <v/>
      </c>
      <c r="AC2623" s="32" t="str">
        <f t="shared" ref="AC2623:AG2623" si="2662">IF(J2623&lt;&gt;"", IF(AND($P2623=FALSE, $A2623=FALSE), -J2623, IF(AND($P2623=FALSE, $A2623=TRUE), 0, IF($P2623=TRUE, (J2623 / $R2623) * 100 * ($S2623 / 100)-J2623, ))), )</f>
        <v/>
      </c>
      <c r="AD2623" s="32" t="str">
        <f t="shared" si="2662"/>
        <v/>
      </c>
      <c r="AE2623" s="32" t="str">
        <f t="shared" si="2662"/>
        <v/>
      </c>
      <c r="AF2623" s="32" t="str">
        <f t="shared" si="2662"/>
        <v/>
      </c>
      <c r="AG2623" s="32" t="str">
        <f t="shared" si="2662"/>
        <v/>
      </c>
      <c r="AH2623" s="33"/>
    </row>
    <row r="2624" hidden="1" outlineLevel="3">
      <c r="A2624" s="95" t="b">
        <v>0</v>
      </c>
      <c r="B2624" s="96"/>
      <c r="C2624" s="18"/>
      <c r="D2624" s="107"/>
      <c r="E2624" s="108"/>
      <c r="F2624" s="109"/>
      <c r="G2624" s="97"/>
      <c r="H2624" s="97"/>
      <c r="I2624" s="97"/>
      <c r="J2624" s="98"/>
      <c r="K2624" s="99"/>
      <c r="L2624" s="98"/>
      <c r="M2624" s="99"/>
      <c r="N2624" s="99"/>
      <c r="O2624" s="18"/>
      <c r="P2624" s="100" t="b">
        <v>0</v>
      </c>
      <c r="Q2624" s="18"/>
      <c r="R2624" s="101" t="str">
        <f t="shared" si="2376"/>
        <v/>
      </c>
      <c r="S2624" s="32"/>
      <c r="T2624" s="102" t="str">
        <f t="shared" si="2484"/>
        <v/>
      </c>
      <c r="U2624" s="18"/>
      <c r="V2624" s="75" t="s">
        <v>29</v>
      </c>
      <c r="W2624" s="104" t="str">
        <f t="shared" si="2024"/>
        <v>/</v>
      </c>
      <c r="X2624" s="111" t="s">
        <v>1624</v>
      </c>
      <c r="Y2624" s="106"/>
      <c r="Z2624" s="26" t="str">
        <f t="shared" si="5"/>
        <v/>
      </c>
      <c r="AA2624" s="26" t="str">
        <f t="shared" si="6"/>
        <v/>
      </c>
      <c r="AB2624" s="32" t="str">
        <f t="shared" si="7"/>
        <v/>
      </c>
      <c r="AC2624" s="32" t="str">
        <f t="shared" ref="AC2624:AG2624" si="2663">IF(J2624&lt;&gt;"", IF(AND($P2624=FALSE, $A2624=FALSE), -J2624, IF(AND($P2624=FALSE, $A2624=TRUE), 0, IF($P2624=TRUE, (J2624 / $R2624) * 100 * ($S2624 / 100)-J2624, ))), )</f>
        <v/>
      </c>
      <c r="AD2624" s="32" t="str">
        <f t="shared" si="2663"/>
        <v/>
      </c>
      <c r="AE2624" s="32" t="str">
        <f t="shared" si="2663"/>
        <v/>
      </c>
      <c r="AF2624" s="32" t="str">
        <f t="shared" si="2663"/>
        <v/>
      </c>
      <c r="AG2624" s="32" t="str">
        <f t="shared" si="2663"/>
        <v/>
      </c>
      <c r="AH2624" s="33"/>
    </row>
    <row r="2625" hidden="1" outlineLevel="3">
      <c r="A2625" s="95" t="b">
        <v>0</v>
      </c>
      <c r="B2625" s="96"/>
      <c r="C2625" s="18"/>
      <c r="D2625" s="107"/>
      <c r="E2625" s="108"/>
      <c r="F2625" s="109"/>
      <c r="G2625" s="97"/>
      <c r="H2625" s="97"/>
      <c r="I2625" s="97"/>
      <c r="J2625" s="98"/>
      <c r="K2625" s="99"/>
      <c r="L2625" s="98"/>
      <c r="M2625" s="99"/>
      <c r="N2625" s="99"/>
      <c r="O2625" s="18"/>
      <c r="P2625" s="100" t="b">
        <v>0</v>
      </c>
      <c r="Q2625" s="18"/>
      <c r="R2625" s="101" t="str">
        <f t="shared" si="2376"/>
        <v/>
      </c>
      <c r="S2625" s="32"/>
      <c r="T2625" s="102" t="str">
        <f t="shared" si="2484"/>
        <v/>
      </c>
      <c r="U2625" s="18"/>
      <c r="V2625" s="103" t="str">
        <f t="shared" ref="V2625:V2628" si="2665">IF(ISBLANK($D2625), "0",)</f>
        <v>0</v>
      </c>
      <c r="W2625" s="104" t="str">
        <f t="shared" si="2024"/>
        <v>/</v>
      </c>
      <c r="X2625" s="111" t="s">
        <v>1625</v>
      </c>
      <c r="Y2625" s="106"/>
      <c r="Z2625" s="26" t="str">
        <f t="shared" si="5"/>
        <v/>
      </c>
      <c r="AA2625" s="26" t="str">
        <f t="shared" si="6"/>
        <v/>
      </c>
      <c r="AB2625" s="32" t="str">
        <f t="shared" si="7"/>
        <v/>
      </c>
      <c r="AC2625" s="32" t="str">
        <f t="shared" ref="AC2625:AG2625" si="2664">IF(J2625&lt;&gt;"", IF(AND($P2625=FALSE, $A2625=FALSE), -J2625, IF(AND($P2625=FALSE, $A2625=TRUE), 0, IF($P2625=TRUE, (J2625 / $R2625) * 100 * ($S2625 / 100)-J2625, ))), )</f>
        <v/>
      </c>
      <c r="AD2625" s="32" t="str">
        <f t="shared" si="2664"/>
        <v/>
      </c>
      <c r="AE2625" s="32" t="str">
        <f t="shared" si="2664"/>
        <v/>
      </c>
      <c r="AF2625" s="32" t="str">
        <f t="shared" si="2664"/>
        <v/>
      </c>
      <c r="AG2625" s="32" t="str">
        <f t="shared" si="2664"/>
        <v/>
      </c>
      <c r="AH2625" s="33"/>
    </row>
    <row r="2626" hidden="1" outlineLevel="1" collapsed="1">
      <c r="A2626" s="95" t="b">
        <v>0</v>
      </c>
      <c r="B2626" s="96"/>
      <c r="C2626" s="18"/>
      <c r="D2626" s="42">
        <v>45561.0</v>
      </c>
      <c r="E2626" s="20" t="s">
        <v>24</v>
      </c>
      <c r="F2626" s="53" t="s">
        <v>1626</v>
      </c>
      <c r="G2626" s="97">
        <v>1.0</v>
      </c>
      <c r="H2626" s="97"/>
      <c r="I2626" s="97">
        <v>2.0</v>
      </c>
      <c r="J2626" s="98"/>
      <c r="K2626" s="99"/>
      <c r="L2626" s="98"/>
      <c r="M2626" s="99"/>
      <c r="N2626" s="99"/>
      <c r="O2626" s="18"/>
      <c r="P2626" s="100" t="b">
        <v>1</v>
      </c>
      <c r="Q2626" s="18"/>
      <c r="R2626" s="101">
        <f t="shared" si="2376"/>
        <v>3</v>
      </c>
      <c r="S2626" s="32">
        <v>11.4</v>
      </c>
      <c r="T2626" s="102" t="str">
        <f t="shared" si="2484"/>
        <v>+280</v>
      </c>
      <c r="U2626" s="18"/>
      <c r="V2626" s="103" t="str">
        <f t="shared" si="2665"/>
        <v/>
      </c>
      <c r="W2626" s="104" t="str">
        <f t="shared" si="2024"/>
        <v/>
      </c>
      <c r="X2626" s="105"/>
      <c r="Y2626" s="106"/>
      <c r="Z2626" s="26">
        <f t="shared" si="5"/>
        <v>2.8</v>
      </c>
      <c r="AA2626" s="26">
        <f t="shared" si="6"/>
        <v>5.6</v>
      </c>
      <c r="AB2626" s="32" t="str">
        <f t="shared" si="7"/>
        <v/>
      </c>
      <c r="AC2626" s="32" t="str">
        <f t="shared" ref="AC2626:AG2626" si="2666">IF(J2626&lt;&gt;"", IF(AND($P2626=FALSE, $A2626=FALSE), -J2626, IF(AND($P2626=FALSE, $A2626=TRUE), 0, IF($P2626=TRUE, (J2626 / $R2626) * 100 * ($S2626 / 100)-J2626, ))), )</f>
        <v/>
      </c>
      <c r="AD2626" s="32" t="str">
        <f t="shared" si="2666"/>
        <v/>
      </c>
      <c r="AE2626" s="32" t="str">
        <f t="shared" si="2666"/>
        <v/>
      </c>
      <c r="AF2626" s="32" t="str">
        <f t="shared" si="2666"/>
        <v/>
      </c>
      <c r="AG2626" s="32" t="str">
        <f t="shared" si="2666"/>
        <v/>
      </c>
      <c r="AH2626" s="33"/>
    </row>
    <row r="2627" hidden="1" outlineLevel="3">
      <c r="A2627" s="95" t="b">
        <v>0</v>
      </c>
      <c r="B2627" s="96"/>
      <c r="C2627" s="18"/>
      <c r="D2627" s="107"/>
      <c r="E2627" s="108"/>
      <c r="F2627" s="109"/>
      <c r="G2627" s="97"/>
      <c r="H2627" s="97"/>
      <c r="I2627" s="97"/>
      <c r="J2627" s="98"/>
      <c r="K2627" s="99"/>
      <c r="L2627" s="98"/>
      <c r="M2627" s="99"/>
      <c r="N2627" s="99"/>
      <c r="O2627" s="18"/>
      <c r="P2627" s="100" t="b">
        <v>0</v>
      </c>
      <c r="Q2627" s="18"/>
      <c r="R2627" s="101" t="str">
        <f t="shared" si="2376"/>
        <v/>
      </c>
      <c r="S2627" s="32"/>
      <c r="T2627" s="102" t="str">
        <f t="shared" si="2484"/>
        <v/>
      </c>
      <c r="U2627" s="18"/>
      <c r="V2627" s="103" t="str">
        <f t="shared" si="2665"/>
        <v>0</v>
      </c>
      <c r="W2627" s="104" t="str">
        <f t="shared" si="2024"/>
        <v>/</v>
      </c>
      <c r="X2627" s="111" t="s">
        <v>1627</v>
      </c>
      <c r="Y2627" s="106"/>
      <c r="Z2627" s="26" t="str">
        <f t="shared" si="5"/>
        <v/>
      </c>
      <c r="AA2627" s="26" t="str">
        <f t="shared" si="6"/>
        <v/>
      </c>
      <c r="AB2627" s="32" t="str">
        <f t="shared" si="7"/>
        <v/>
      </c>
      <c r="AC2627" s="32" t="str">
        <f t="shared" ref="AC2627:AG2627" si="2667">IF(J2627&lt;&gt;"", IF(AND($P2627=FALSE, $A2627=FALSE), -J2627, IF(AND($P2627=FALSE, $A2627=TRUE), 0, IF($P2627=TRUE, (J2627 / $R2627) * 100 * ($S2627 / 100)-J2627, ))), )</f>
        <v/>
      </c>
      <c r="AD2627" s="32" t="str">
        <f t="shared" si="2667"/>
        <v/>
      </c>
      <c r="AE2627" s="32" t="str">
        <f t="shared" si="2667"/>
        <v/>
      </c>
      <c r="AF2627" s="32" t="str">
        <f t="shared" si="2667"/>
        <v/>
      </c>
      <c r="AG2627" s="32" t="str">
        <f t="shared" si="2667"/>
        <v/>
      </c>
      <c r="AH2627" s="33"/>
    </row>
    <row r="2628" hidden="1" outlineLevel="2" collapsed="1">
      <c r="A2628" s="95" t="b">
        <v>0</v>
      </c>
      <c r="B2628" s="96"/>
      <c r="C2628" s="18"/>
      <c r="D2628" s="42">
        <v>45561.0</v>
      </c>
      <c r="E2628" s="20" t="s">
        <v>24</v>
      </c>
      <c r="F2628" s="53" t="s">
        <v>1626</v>
      </c>
      <c r="G2628" s="97">
        <v>5.0</v>
      </c>
      <c r="H2628" s="97"/>
      <c r="I2628" s="97">
        <v>5.0</v>
      </c>
      <c r="J2628" s="98"/>
      <c r="K2628" s="99"/>
      <c r="L2628" s="98"/>
      <c r="M2628" s="99"/>
      <c r="N2628" s="99"/>
      <c r="O2628" s="18"/>
      <c r="P2628" s="100" t="b">
        <v>0</v>
      </c>
      <c r="Q2628" s="18"/>
      <c r="R2628" s="101">
        <f t="shared" si="2376"/>
        <v>10</v>
      </c>
      <c r="S2628" s="32">
        <v>147.95</v>
      </c>
      <c r="T2628" s="102" t="str">
        <f t="shared" si="2484"/>
        <v>+1380</v>
      </c>
      <c r="U2628" s="18"/>
      <c r="V2628" s="103" t="str">
        <f t="shared" si="2665"/>
        <v/>
      </c>
      <c r="W2628" s="104" t="str">
        <f t="shared" si="2024"/>
        <v/>
      </c>
      <c r="X2628" s="105"/>
      <c r="Y2628" s="106"/>
      <c r="Z2628" s="26">
        <f t="shared" si="5"/>
        <v>-5</v>
      </c>
      <c r="AA2628" s="26">
        <f t="shared" si="6"/>
        <v>-5</v>
      </c>
      <c r="AB2628" s="32" t="str">
        <f t="shared" si="7"/>
        <v/>
      </c>
      <c r="AC2628" s="32" t="str">
        <f t="shared" ref="AC2628:AG2628" si="2668">IF(J2628&lt;&gt;"", IF(AND($P2628=FALSE, $A2628=FALSE), -J2628, IF(AND($P2628=FALSE, $A2628=TRUE), 0, IF($P2628=TRUE, (J2628 / $R2628) * 100 * ($S2628 / 100)-J2628, ))), )</f>
        <v/>
      </c>
      <c r="AD2628" s="32" t="str">
        <f t="shared" si="2668"/>
        <v/>
      </c>
      <c r="AE2628" s="32" t="str">
        <f t="shared" si="2668"/>
        <v/>
      </c>
      <c r="AF2628" s="32" t="str">
        <f t="shared" si="2668"/>
        <v/>
      </c>
      <c r="AG2628" s="32" t="str">
        <f t="shared" si="2668"/>
        <v/>
      </c>
      <c r="AH2628" s="33"/>
    </row>
    <row r="2629" hidden="1" outlineLevel="3">
      <c r="A2629" s="95" t="b">
        <v>0</v>
      </c>
      <c r="B2629" s="96"/>
      <c r="C2629" s="18"/>
      <c r="D2629" s="107"/>
      <c r="E2629" s="108"/>
      <c r="F2629" s="109"/>
      <c r="G2629" s="97"/>
      <c r="H2629" s="97"/>
      <c r="I2629" s="97"/>
      <c r="J2629" s="98"/>
      <c r="K2629" s="99"/>
      <c r="L2629" s="98"/>
      <c r="M2629" s="99"/>
      <c r="N2629" s="99"/>
      <c r="O2629" s="18"/>
      <c r="P2629" s="100" t="b">
        <v>0</v>
      </c>
      <c r="Q2629" s="18"/>
      <c r="R2629" s="101" t="str">
        <f t="shared" si="2376"/>
        <v/>
      </c>
      <c r="S2629" s="32"/>
      <c r="T2629" s="102" t="str">
        <f t="shared" si="2484"/>
        <v/>
      </c>
      <c r="U2629" s="18"/>
      <c r="V2629" s="75" t="s">
        <v>29</v>
      </c>
      <c r="W2629" s="104" t="str">
        <f t="shared" si="2024"/>
        <v>/</v>
      </c>
      <c r="X2629" s="111" t="s">
        <v>1628</v>
      </c>
      <c r="Y2629" s="106"/>
      <c r="Z2629" s="26" t="str">
        <f t="shared" si="5"/>
        <v/>
      </c>
      <c r="AA2629" s="26" t="str">
        <f t="shared" si="6"/>
        <v/>
      </c>
      <c r="AB2629" s="32" t="str">
        <f t="shared" si="7"/>
        <v/>
      </c>
      <c r="AC2629" s="32" t="str">
        <f t="shared" ref="AC2629:AG2629" si="2669">IF(J2629&lt;&gt;"", IF(AND($P2629=FALSE, $A2629=FALSE), -J2629, IF(AND($P2629=FALSE, $A2629=TRUE), 0, IF($P2629=TRUE, (J2629 / $R2629) * 100 * ($S2629 / 100)-J2629, ))), )</f>
        <v/>
      </c>
      <c r="AD2629" s="32" t="str">
        <f t="shared" si="2669"/>
        <v/>
      </c>
      <c r="AE2629" s="32" t="str">
        <f t="shared" si="2669"/>
        <v/>
      </c>
      <c r="AF2629" s="32" t="str">
        <f t="shared" si="2669"/>
        <v/>
      </c>
      <c r="AG2629" s="32" t="str">
        <f t="shared" si="2669"/>
        <v/>
      </c>
      <c r="AH2629" s="33"/>
    </row>
    <row r="2630" hidden="1" outlineLevel="3">
      <c r="A2630" s="95" t="b">
        <v>0</v>
      </c>
      <c r="B2630" s="96"/>
      <c r="C2630" s="18"/>
      <c r="D2630" s="107"/>
      <c r="E2630" s="108"/>
      <c r="F2630" s="109"/>
      <c r="G2630" s="97"/>
      <c r="H2630" s="97"/>
      <c r="I2630" s="97"/>
      <c r="J2630" s="98"/>
      <c r="K2630" s="99"/>
      <c r="L2630" s="98"/>
      <c r="M2630" s="99"/>
      <c r="N2630" s="99"/>
      <c r="O2630" s="18"/>
      <c r="P2630" s="100" t="b">
        <v>0</v>
      </c>
      <c r="Q2630" s="18"/>
      <c r="R2630" s="101" t="str">
        <f t="shared" si="2376"/>
        <v/>
      </c>
      <c r="S2630" s="32"/>
      <c r="T2630" s="102" t="str">
        <f t="shared" si="2484"/>
        <v/>
      </c>
      <c r="U2630" s="18"/>
      <c r="V2630" s="113">
        <v>221.0</v>
      </c>
      <c r="W2630" s="104" t="str">
        <f t="shared" si="2024"/>
        <v>/</v>
      </c>
      <c r="X2630" s="111" t="s">
        <v>375</v>
      </c>
      <c r="Y2630" s="106"/>
      <c r="Z2630" s="26" t="str">
        <f t="shared" si="5"/>
        <v/>
      </c>
      <c r="AA2630" s="26" t="str">
        <f t="shared" si="6"/>
        <v/>
      </c>
      <c r="AB2630" s="32" t="str">
        <f t="shared" si="7"/>
        <v/>
      </c>
      <c r="AC2630" s="32" t="str">
        <f t="shared" ref="AC2630:AG2630" si="2670">IF(J2630&lt;&gt;"", IF(AND($P2630=FALSE, $A2630=FALSE), -J2630, IF(AND($P2630=FALSE, $A2630=TRUE), 0, IF($P2630=TRUE, (J2630 / $R2630) * 100 * ($S2630 / 100)-J2630, ))), )</f>
        <v/>
      </c>
      <c r="AD2630" s="32" t="str">
        <f t="shared" si="2670"/>
        <v/>
      </c>
      <c r="AE2630" s="32" t="str">
        <f t="shared" si="2670"/>
        <v/>
      </c>
      <c r="AF2630" s="32" t="str">
        <f t="shared" si="2670"/>
        <v/>
      </c>
      <c r="AG2630" s="32" t="str">
        <f t="shared" si="2670"/>
        <v/>
      </c>
      <c r="AH2630" s="33"/>
    </row>
    <row r="2631" hidden="1" outlineLevel="3">
      <c r="A2631" s="95" t="b">
        <v>0</v>
      </c>
      <c r="B2631" s="96"/>
      <c r="C2631" s="18"/>
      <c r="D2631" s="107"/>
      <c r="E2631" s="108"/>
      <c r="F2631" s="109"/>
      <c r="G2631" s="97"/>
      <c r="H2631" s="97"/>
      <c r="I2631" s="97"/>
      <c r="J2631" s="98"/>
      <c r="K2631" s="99"/>
      <c r="L2631" s="98"/>
      <c r="M2631" s="99"/>
      <c r="N2631" s="99"/>
      <c r="O2631" s="18"/>
      <c r="P2631" s="100" t="b">
        <v>0</v>
      </c>
      <c r="Q2631" s="18"/>
      <c r="R2631" s="101" t="str">
        <f t="shared" si="2376"/>
        <v/>
      </c>
      <c r="S2631" s="32"/>
      <c r="T2631" s="102" t="str">
        <f t="shared" si="2484"/>
        <v/>
      </c>
      <c r="U2631" s="18"/>
      <c r="V2631" s="103" t="str">
        <f>IF(ISBLANK($D2631), "0",)</f>
        <v>0</v>
      </c>
      <c r="W2631" s="104" t="str">
        <f t="shared" si="2024"/>
        <v>/</v>
      </c>
      <c r="X2631" s="111" t="s">
        <v>1629</v>
      </c>
      <c r="Y2631" s="106"/>
      <c r="Z2631" s="26" t="str">
        <f t="shared" si="5"/>
        <v/>
      </c>
      <c r="AA2631" s="26" t="str">
        <f t="shared" si="6"/>
        <v/>
      </c>
      <c r="AB2631" s="32" t="str">
        <f t="shared" si="7"/>
        <v/>
      </c>
      <c r="AC2631" s="32" t="str">
        <f t="shared" ref="AC2631:AG2631" si="2671">IF(J2631&lt;&gt;"", IF(AND($P2631=FALSE, $A2631=FALSE), -J2631, IF(AND($P2631=FALSE, $A2631=TRUE), 0, IF($P2631=TRUE, (J2631 / $R2631) * 100 * ($S2631 / 100)-J2631, ))), )</f>
        <v/>
      </c>
      <c r="AD2631" s="32" t="str">
        <f t="shared" si="2671"/>
        <v/>
      </c>
      <c r="AE2631" s="32" t="str">
        <f t="shared" si="2671"/>
        <v/>
      </c>
      <c r="AF2631" s="32" t="str">
        <f t="shared" si="2671"/>
        <v/>
      </c>
      <c r="AG2631" s="32" t="str">
        <f t="shared" si="2671"/>
        <v/>
      </c>
      <c r="AH2631" s="33"/>
    </row>
    <row r="2632" hidden="1" outlineLevel="3">
      <c r="A2632" s="95" t="b">
        <v>0</v>
      </c>
      <c r="B2632" s="96"/>
      <c r="C2632" s="18"/>
      <c r="D2632" s="107"/>
      <c r="E2632" s="108"/>
      <c r="F2632" s="109"/>
      <c r="G2632" s="97"/>
      <c r="H2632" s="97"/>
      <c r="I2632" s="97"/>
      <c r="J2632" s="98"/>
      <c r="K2632" s="99"/>
      <c r="L2632" s="98"/>
      <c r="M2632" s="99"/>
      <c r="N2632" s="99"/>
      <c r="O2632" s="18"/>
      <c r="P2632" s="100" t="b">
        <v>0</v>
      </c>
      <c r="Q2632" s="18"/>
      <c r="R2632" s="101" t="str">
        <f t="shared" si="2376"/>
        <v/>
      </c>
      <c r="S2632" s="32"/>
      <c r="T2632" s="102" t="str">
        <f t="shared" si="2484"/>
        <v/>
      </c>
      <c r="U2632" s="18"/>
      <c r="V2632" s="75" t="s">
        <v>29</v>
      </c>
      <c r="W2632" s="104" t="str">
        <f t="shared" si="2024"/>
        <v>/</v>
      </c>
      <c r="X2632" s="111" t="s">
        <v>1630</v>
      </c>
      <c r="Y2632" s="106"/>
      <c r="Z2632" s="26" t="str">
        <f t="shared" si="5"/>
        <v/>
      </c>
      <c r="AA2632" s="26" t="str">
        <f t="shared" si="6"/>
        <v/>
      </c>
      <c r="AB2632" s="32" t="str">
        <f t="shared" si="7"/>
        <v/>
      </c>
      <c r="AC2632" s="32" t="str">
        <f t="shared" ref="AC2632:AG2632" si="2672">IF(J2632&lt;&gt;"", IF(AND($P2632=FALSE, $A2632=FALSE), -J2632, IF(AND($P2632=FALSE, $A2632=TRUE), 0, IF($P2632=TRUE, (J2632 / $R2632) * 100 * ($S2632 / 100)-J2632, ))), )</f>
        <v/>
      </c>
      <c r="AD2632" s="32" t="str">
        <f t="shared" si="2672"/>
        <v/>
      </c>
      <c r="AE2632" s="32" t="str">
        <f t="shared" si="2672"/>
        <v/>
      </c>
      <c r="AF2632" s="32" t="str">
        <f t="shared" si="2672"/>
        <v/>
      </c>
      <c r="AG2632" s="32" t="str">
        <f t="shared" si="2672"/>
        <v/>
      </c>
      <c r="AH2632" s="33"/>
    </row>
    <row r="2633" hidden="1" outlineLevel="3">
      <c r="A2633" s="95" t="b">
        <v>0</v>
      </c>
      <c r="B2633" s="96"/>
      <c r="C2633" s="18"/>
      <c r="D2633" s="107"/>
      <c r="E2633" s="108"/>
      <c r="F2633" s="109"/>
      <c r="G2633" s="97"/>
      <c r="H2633" s="97"/>
      <c r="I2633" s="97"/>
      <c r="J2633" s="98"/>
      <c r="K2633" s="99"/>
      <c r="L2633" s="98"/>
      <c r="M2633" s="99"/>
      <c r="N2633" s="99"/>
      <c r="O2633" s="18"/>
      <c r="P2633" s="100" t="b">
        <v>0</v>
      </c>
      <c r="Q2633" s="18"/>
      <c r="R2633" s="101" t="str">
        <f t="shared" si="2376"/>
        <v/>
      </c>
      <c r="S2633" s="32"/>
      <c r="T2633" s="102" t="str">
        <f t="shared" si="2484"/>
        <v/>
      </c>
      <c r="U2633" s="18"/>
      <c r="V2633" s="75" t="s">
        <v>29</v>
      </c>
      <c r="W2633" s="104" t="str">
        <f t="shared" si="2024"/>
        <v>/</v>
      </c>
      <c r="X2633" s="111" t="s">
        <v>1078</v>
      </c>
      <c r="Y2633" s="106"/>
      <c r="Z2633" s="26" t="str">
        <f t="shared" si="5"/>
        <v/>
      </c>
      <c r="AA2633" s="26" t="str">
        <f t="shared" si="6"/>
        <v/>
      </c>
      <c r="AB2633" s="32" t="str">
        <f t="shared" si="7"/>
        <v/>
      </c>
      <c r="AC2633" s="32" t="str">
        <f t="shared" ref="AC2633:AG2633" si="2673">IF(J2633&lt;&gt;"", IF(AND($P2633=FALSE, $A2633=FALSE), -J2633, IF(AND($P2633=FALSE, $A2633=TRUE), 0, IF($P2633=TRUE, (J2633 / $R2633) * 100 * ($S2633 / 100)-J2633, ))), )</f>
        <v/>
      </c>
      <c r="AD2633" s="32" t="str">
        <f t="shared" si="2673"/>
        <v/>
      </c>
      <c r="AE2633" s="32" t="str">
        <f t="shared" si="2673"/>
        <v/>
      </c>
      <c r="AF2633" s="32" t="str">
        <f t="shared" si="2673"/>
        <v/>
      </c>
      <c r="AG2633" s="32" t="str">
        <f t="shared" si="2673"/>
        <v/>
      </c>
      <c r="AH2633" s="33"/>
    </row>
    <row r="2634" hidden="1" outlineLevel="3">
      <c r="A2634" s="95" t="b">
        <v>0</v>
      </c>
      <c r="B2634" s="96"/>
      <c r="C2634" s="18"/>
      <c r="D2634" s="107"/>
      <c r="E2634" s="108"/>
      <c r="F2634" s="109"/>
      <c r="G2634" s="97"/>
      <c r="H2634" s="97"/>
      <c r="I2634" s="97"/>
      <c r="J2634" s="98"/>
      <c r="K2634" s="99"/>
      <c r="L2634" s="98"/>
      <c r="M2634" s="99"/>
      <c r="N2634" s="99"/>
      <c r="O2634" s="18"/>
      <c r="P2634" s="100" t="b">
        <v>0</v>
      </c>
      <c r="Q2634" s="18"/>
      <c r="R2634" s="101" t="str">
        <f t="shared" si="2376"/>
        <v/>
      </c>
      <c r="S2634" s="32"/>
      <c r="T2634" s="102" t="str">
        <f t="shared" si="2484"/>
        <v/>
      </c>
      <c r="U2634" s="18"/>
      <c r="V2634" s="75" t="s">
        <v>29</v>
      </c>
      <c r="W2634" s="104" t="str">
        <f t="shared" si="2024"/>
        <v>/</v>
      </c>
      <c r="X2634" s="111" t="s">
        <v>1084</v>
      </c>
      <c r="Y2634" s="106"/>
      <c r="Z2634" s="26" t="str">
        <f t="shared" si="5"/>
        <v/>
      </c>
      <c r="AA2634" s="26" t="str">
        <f t="shared" si="6"/>
        <v/>
      </c>
      <c r="AB2634" s="32" t="str">
        <f t="shared" si="7"/>
        <v/>
      </c>
      <c r="AC2634" s="32" t="str">
        <f t="shared" ref="AC2634:AG2634" si="2674">IF(J2634&lt;&gt;"", IF(AND($P2634=FALSE, $A2634=FALSE), -J2634, IF(AND($P2634=FALSE, $A2634=TRUE), 0, IF($P2634=TRUE, (J2634 / $R2634) * 100 * ($S2634 / 100)-J2634, ))), )</f>
        <v/>
      </c>
      <c r="AD2634" s="32" t="str">
        <f t="shared" si="2674"/>
        <v/>
      </c>
      <c r="AE2634" s="32" t="str">
        <f t="shared" si="2674"/>
        <v/>
      </c>
      <c r="AF2634" s="32" t="str">
        <f t="shared" si="2674"/>
        <v/>
      </c>
      <c r="AG2634" s="32" t="str">
        <f t="shared" si="2674"/>
        <v/>
      </c>
      <c r="AH2634" s="33"/>
    </row>
    <row r="2635" hidden="1" outlineLevel="3">
      <c r="A2635" s="95" t="b">
        <v>0</v>
      </c>
      <c r="B2635" s="96"/>
      <c r="C2635" s="18"/>
      <c r="D2635" s="107"/>
      <c r="E2635" s="108"/>
      <c r="F2635" s="109"/>
      <c r="G2635" s="97"/>
      <c r="H2635" s="97"/>
      <c r="I2635" s="97"/>
      <c r="J2635" s="98"/>
      <c r="K2635" s="99"/>
      <c r="L2635" s="98"/>
      <c r="M2635" s="99"/>
      <c r="N2635" s="99"/>
      <c r="O2635" s="18"/>
      <c r="P2635" s="100" t="b">
        <v>0</v>
      </c>
      <c r="Q2635" s="18"/>
      <c r="R2635" s="101" t="str">
        <f t="shared" si="2376"/>
        <v/>
      </c>
      <c r="S2635" s="32"/>
      <c r="T2635" s="102" t="str">
        <f t="shared" si="2484"/>
        <v/>
      </c>
      <c r="U2635" s="18"/>
      <c r="V2635" s="75" t="s">
        <v>29</v>
      </c>
      <c r="W2635" s="104" t="str">
        <f t="shared" si="2024"/>
        <v>/</v>
      </c>
      <c r="X2635" s="111" t="s">
        <v>610</v>
      </c>
      <c r="Y2635" s="106"/>
      <c r="Z2635" s="26" t="str">
        <f t="shared" si="5"/>
        <v/>
      </c>
      <c r="AA2635" s="26" t="str">
        <f t="shared" si="6"/>
        <v/>
      </c>
      <c r="AB2635" s="32" t="str">
        <f t="shared" si="7"/>
        <v/>
      </c>
      <c r="AC2635" s="32" t="str">
        <f t="shared" ref="AC2635:AG2635" si="2675">IF(J2635&lt;&gt;"", IF(AND($P2635=FALSE, $A2635=FALSE), -J2635, IF(AND($P2635=FALSE, $A2635=TRUE), 0, IF($P2635=TRUE, (J2635 / $R2635) * 100 * ($S2635 / 100)-J2635, ))), )</f>
        <v/>
      </c>
      <c r="AD2635" s="32" t="str">
        <f t="shared" si="2675"/>
        <v/>
      </c>
      <c r="AE2635" s="32" t="str">
        <f t="shared" si="2675"/>
        <v/>
      </c>
      <c r="AF2635" s="32" t="str">
        <f t="shared" si="2675"/>
        <v/>
      </c>
      <c r="AG2635" s="32" t="str">
        <f t="shared" si="2675"/>
        <v/>
      </c>
      <c r="AH2635" s="33"/>
    </row>
    <row r="2636" hidden="1" outlineLevel="3">
      <c r="A2636" s="95" t="b">
        <v>0</v>
      </c>
      <c r="B2636" s="96"/>
      <c r="C2636" s="18"/>
      <c r="D2636" s="107"/>
      <c r="E2636" s="108"/>
      <c r="F2636" s="109"/>
      <c r="G2636" s="97"/>
      <c r="H2636" s="97"/>
      <c r="I2636" s="97"/>
      <c r="J2636" s="98"/>
      <c r="K2636" s="99"/>
      <c r="L2636" s="98"/>
      <c r="M2636" s="99"/>
      <c r="N2636" s="99"/>
      <c r="O2636" s="18"/>
      <c r="P2636" s="100" t="b">
        <v>0</v>
      </c>
      <c r="Q2636" s="18"/>
      <c r="R2636" s="101" t="str">
        <f t="shared" si="2376"/>
        <v/>
      </c>
      <c r="S2636" s="32"/>
      <c r="T2636" s="102" t="str">
        <f t="shared" si="2484"/>
        <v/>
      </c>
      <c r="U2636" s="18"/>
      <c r="V2636" s="75" t="s">
        <v>29</v>
      </c>
      <c r="W2636" s="104" t="str">
        <f t="shared" si="2024"/>
        <v>/</v>
      </c>
      <c r="X2636" s="111" t="s">
        <v>1631</v>
      </c>
      <c r="Y2636" s="106"/>
      <c r="Z2636" s="26" t="str">
        <f t="shared" si="5"/>
        <v/>
      </c>
      <c r="AA2636" s="26" t="str">
        <f t="shared" si="6"/>
        <v/>
      </c>
      <c r="AB2636" s="32" t="str">
        <f t="shared" si="7"/>
        <v/>
      </c>
      <c r="AC2636" s="32" t="str">
        <f t="shared" ref="AC2636:AG2636" si="2676">IF(J2636&lt;&gt;"", IF(AND($P2636=FALSE, $A2636=FALSE), -J2636, IF(AND($P2636=FALSE, $A2636=TRUE), 0, IF($P2636=TRUE, (J2636 / $R2636) * 100 * ($S2636 / 100)-J2636, ))), )</f>
        <v/>
      </c>
      <c r="AD2636" s="32" t="str">
        <f t="shared" si="2676"/>
        <v/>
      </c>
      <c r="AE2636" s="32" t="str">
        <f t="shared" si="2676"/>
        <v/>
      </c>
      <c r="AF2636" s="32" t="str">
        <f t="shared" si="2676"/>
        <v/>
      </c>
      <c r="AG2636" s="32" t="str">
        <f t="shared" si="2676"/>
        <v/>
      </c>
      <c r="AH2636" s="33"/>
    </row>
    <row r="2637" hidden="1" outlineLevel="2">
      <c r="A2637" s="95" t="b">
        <v>0</v>
      </c>
      <c r="B2637" s="96"/>
      <c r="C2637" s="18"/>
      <c r="D2637" s="42">
        <v>45561.0</v>
      </c>
      <c r="E2637" s="20" t="s">
        <v>24</v>
      </c>
      <c r="F2637" s="53" t="s">
        <v>1626</v>
      </c>
      <c r="G2637" s="97">
        <v>2.0</v>
      </c>
      <c r="H2637" s="97"/>
      <c r="I2637" s="97">
        <v>10.0</v>
      </c>
      <c r="J2637" s="98"/>
      <c r="K2637" s="99"/>
      <c r="L2637" s="98"/>
      <c r="M2637" s="99"/>
      <c r="N2637" s="99"/>
      <c r="O2637" s="18"/>
      <c r="P2637" s="100" t="b">
        <v>0</v>
      </c>
      <c r="Q2637" s="18"/>
      <c r="R2637" s="101">
        <f t="shared" si="2376"/>
        <v>12</v>
      </c>
      <c r="S2637" s="32">
        <v>36.28</v>
      </c>
      <c r="T2637" s="102" t="str">
        <f t="shared" si="2484"/>
        <v>+202</v>
      </c>
      <c r="U2637" s="18"/>
      <c r="V2637" s="103" t="str">
        <f>IF(ISBLANK($D2637), "0",)</f>
        <v/>
      </c>
      <c r="W2637" s="104" t="str">
        <f t="shared" si="2024"/>
        <v/>
      </c>
      <c r="X2637" s="105"/>
      <c r="Y2637" s="106"/>
      <c r="Z2637" s="26">
        <f t="shared" si="5"/>
        <v>-2</v>
      </c>
      <c r="AA2637" s="26">
        <f t="shared" si="6"/>
        <v>-10</v>
      </c>
      <c r="AB2637" s="32" t="str">
        <f t="shared" si="7"/>
        <v/>
      </c>
      <c r="AC2637" s="32" t="str">
        <f t="shared" ref="AC2637:AG2637" si="2677">IF(J2637&lt;&gt;"", IF(AND($P2637=FALSE, $A2637=FALSE), -J2637, IF(AND($P2637=FALSE, $A2637=TRUE), 0, IF($P2637=TRUE, (J2637 / $R2637) * 100 * ($S2637 / 100)-J2637, ))), )</f>
        <v/>
      </c>
      <c r="AD2637" s="32" t="str">
        <f t="shared" si="2677"/>
        <v/>
      </c>
      <c r="AE2637" s="32" t="str">
        <f t="shared" si="2677"/>
        <v/>
      </c>
      <c r="AF2637" s="32" t="str">
        <f t="shared" si="2677"/>
        <v/>
      </c>
      <c r="AG2637" s="32" t="str">
        <f t="shared" si="2677"/>
        <v/>
      </c>
      <c r="AH2637" s="33"/>
    </row>
    <row r="2638" hidden="1" outlineLevel="3">
      <c r="A2638" s="95" t="b">
        <v>0</v>
      </c>
      <c r="B2638" s="96"/>
      <c r="C2638" s="18"/>
      <c r="D2638" s="107"/>
      <c r="E2638" s="108"/>
      <c r="F2638" s="109"/>
      <c r="G2638" s="97"/>
      <c r="H2638" s="97"/>
      <c r="I2638" s="97"/>
      <c r="J2638" s="98"/>
      <c r="K2638" s="99"/>
      <c r="L2638" s="98"/>
      <c r="M2638" s="99"/>
      <c r="N2638" s="99"/>
      <c r="O2638" s="18"/>
      <c r="P2638" s="100" t="b">
        <v>0</v>
      </c>
      <c r="Q2638" s="18"/>
      <c r="R2638" s="101" t="str">
        <f t="shared" si="2376"/>
        <v/>
      </c>
      <c r="S2638" s="32"/>
      <c r="T2638" s="102" t="str">
        <f t="shared" si="2484"/>
        <v/>
      </c>
      <c r="U2638" s="18"/>
      <c r="V2638" s="75" t="s">
        <v>29</v>
      </c>
      <c r="W2638" s="104" t="str">
        <f t="shared" si="2024"/>
        <v>/</v>
      </c>
      <c r="X2638" s="111" t="s">
        <v>1632</v>
      </c>
      <c r="Y2638" s="106"/>
      <c r="Z2638" s="26" t="str">
        <f t="shared" si="5"/>
        <v/>
      </c>
      <c r="AA2638" s="26" t="str">
        <f t="shared" si="6"/>
        <v/>
      </c>
      <c r="AB2638" s="32" t="str">
        <f t="shared" si="7"/>
        <v/>
      </c>
      <c r="AC2638" s="32" t="str">
        <f t="shared" ref="AC2638:AG2638" si="2678">IF(J2638&lt;&gt;"", IF(AND($P2638=FALSE, $A2638=FALSE), -J2638, IF(AND($P2638=FALSE, $A2638=TRUE), 0, IF($P2638=TRUE, (J2638 / $R2638) * 100 * ($S2638 / 100)-J2638, ))), )</f>
        <v/>
      </c>
      <c r="AD2638" s="32" t="str">
        <f t="shared" si="2678"/>
        <v/>
      </c>
      <c r="AE2638" s="32" t="str">
        <f t="shared" si="2678"/>
        <v/>
      </c>
      <c r="AF2638" s="32" t="str">
        <f t="shared" si="2678"/>
        <v/>
      </c>
      <c r="AG2638" s="32" t="str">
        <f t="shared" si="2678"/>
        <v/>
      </c>
      <c r="AH2638" s="33"/>
    </row>
    <row r="2639" hidden="1" outlineLevel="3">
      <c r="A2639" s="95" t="b">
        <v>0</v>
      </c>
      <c r="B2639" s="96"/>
      <c r="C2639" s="18"/>
      <c r="D2639" s="107"/>
      <c r="E2639" s="108"/>
      <c r="F2639" s="109"/>
      <c r="G2639" s="97"/>
      <c r="H2639" s="97"/>
      <c r="I2639" s="97"/>
      <c r="J2639" s="98"/>
      <c r="K2639" s="99"/>
      <c r="L2639" s="98"/>
      <c r="M2639" s="99"/>
      <c r="N2639" s="99"/>
      <c r="O2639" s="18"/>
      <c r="P2639" s="100" t="b">
        <v>0</v>
      </c>
      <c r="Q2639" s="18"/>
      <c r="R2639" s="101" t="str">
        <f t="shared" si="2376"/>
        <v/>
      </c>
      <c r="S2639" s="32"/>
      <c r="T2639" s="102" t="str">
        <f t="shared" si="2484"/>
        <v/>
      </c>
      <c r="U2639" s="18"/>
      <c r="V2639" s="75" t="s">
        <v>29</v>
      </c>
      <c r="W2639" s="104" t="str">
        <f t="shared" si="2024"/>
        <v>/</v>
      </c>
      <c r="X2639" s="111" t="s">
        <v>376</v>
      </c>
      <c r="Y2639" s="106"/>
      <c r="Z2639" s="26" t="str">
        <f t="shared" si="5"/>
        <v/>
      </c>
      <c r="AA2639" s="26" t="str">
        <f t="shared" si="6"/>
        <v/>
      </c>
      <c r="AB2639" s="32" t="str">
        <f t="shared" si="7"/>
        <v/>
      </c>
      <c r="AC2639" s="32" t="str">
        <f t="shared" ref="AC2639:AG2639" si="2679">IF(J2639&lt;&gt;"", IF(AND($P2639=FALSE, $A2639=FALSE), -J2639, IF(AND($P2639=FALSE, $A2639=TRUE), 0, IF($P2639=TRUE, (J2639 / $R2639) * 100 * ($S2639 / 100)-J2639, ))), )</f>
        <v/>
      </c>
      <c r="AD2639" s="32" t="str">
        <f t="shared" si="2679"/>
        <v/>
      </c>
      <c r="AE2639" s="32" t="str">
        <f t="shared" si="2679"/>
        <v/>
      </c>
      <c r="AF2639" s="32" t="str">
        <f t="shared" si="2679"/>
        <v/>
      </c>
      <c r="AG2639" s="32" t="str">
        <f t="shared" si="2679"/>
        <v/>
      </c>
      <c r="AH2639" s="33"/>
    </row>
    <row r="2640" hidden="1" outlineLevel="3">
      <c r="A2640" s="95" t="b">
        <v>0</v>
      </c>
      <c r="B2640" s="96"/>
      <c r="C2640" s="18"/>
      <c r="D2640" s="107"/>
      <c r="E2640" s="108"/>
      <c r="F2640" s="109"/>
      <c r="G2640" s="97"/>
      <c r="H2640" s="97"/>
      <c r="I2640" s="97"/>
      <c r="J2640" s="98"/>
      <c r="K2640" s="99"/>
      <c r="L2640" s="98"/>
      <c r="M2640" s="99"/>
      <c r="N2640" s="99"/>
      <c r="O2640" s="18"/>
      <c r="P2640" s="100" t="b">
        <v>0</v>
      </c>
      <c r="Q2640" s="18"/>
      <c r="R2640" s="101" t="str">
        <f t="shared" si="2376"/>
        <v/>
      </c>
      <c r="S2640" s="32"/>
      <c r="T2640" s="102" t="str">
        <f t="shared" si="2484"/>
        <v/>
      </c>
      <c r="U2640" s="18"/>
      <c r="V2640" s="113">
        <v>24.0</v>
      </c>
      <c r="W2640" s="104" t="str">
        <f t="shared" si="2024"/>
        <v>/</v>
      </c>
      <c r="X2640" s="111" t="s">
        <v>1035</v>
      </c>
      <c r="Y2640" s="106"/>
      <c r="Z2640" s="26" t="str">
        <f t="shared" si="5"/>
        <v/>
      </c>
      <c r="AA2640" s="26" t="str">
        <f t="shared" si="6"/>
        <v/>
      </c>
      <c r="AB2640" s="32" t="str">
        <f t="shared" si="7"/>
        <v/>
      </c>
      <c r="AC2640" s="32" t="str">
        <f t="shared" ref="AC2640:AG2640" si="2680">IF(J2640&lt;&gt;"", IF(AND($P2640=FALSE, $A2640=FALSE), -J2640, IF(AND($P2640=FALSE, $A2640=TRUE), 0, IF($P2640=TRUE, (J2640 / $R2640) * 100 * ($S2640 / 100)-J2640, ))), )</f>
        <v/>
      </c>
      <c r="AD2640" s="32" t="str">
        <f t="shared" si="2680"/>
        <v/>
      </c>
      <c r="AE2640" s="32" t="str">
        <f t="shared" si="2680"/>
        <v/>
      </c>
      <c r="AF2640" s="32" t="str">
        <f t="shared" si="2680"/>
        <v/>
      </c>
      <c r="AG2640" s="32" t="str">
        <f t="shared" si="2680"/>
        <v/>
      </c>
      <c r="AH2640" s="33"/>
    </row>
    <row r="2641" hidden="1" outlineLevel="1" collapsed="1">
      <c r="A2641" s="95" t="b">
        <v>0</v>
      </c>
      <c r="B2641" s="96"/>
      <c r="C2641" s="18"/>
      <c r="D2641" s="42">
        <v>45564.0</v>
      </c>
      <c r="E2641" s="20" t="s">
        <v>24</v>
      </c>
      <c r="F2641" s="53" t="s">
        <v>1626</v>
      </c>
      <c r="G2641" s="97">
        <v>5.0</v>
      </c>
      <c r="H2641" s="97"/>
      <c r="I2641" s="97">
        <v>5.0</v>
      </c>
      <c r="J2641" s="98"/>
      <c r="K2641" s="99"/>
      <c r="L2641" s="98"/>
      <c r="M2641" s="99"/>
      <c r="N2641" s="99"/>
      <c r="O2641" s="18"/>
      <c r="P2641" s="100" t="b">
        <v>0</v>
      </c>
      <c r="Q2641" s="18"/>
      <c r="R2641" s="101">
        <f t="shared" si="2376"/>
        <v>10</v>
      </c>
      <c r="S2641" s="32">
        <v>8.2</v>
      </c>
      <c r="T2641" s="102">
        <f t="shared" si="2484"/>
        <v>556</v>
      </c>
      <c r="U2641" s="18"/>
      <c r="V2641" s="103" t="str">
        <f>IF(ISBLANK($D2641), "0",)</f>
        <v/>
      </c>
      <c r="W2641" s="104" t="str">
        <f t="shared" si="2024"/>
        <v/>
      </c>
      <c r="X2641" s="105"/>
      <c r="Y2641" s="106"/>
      <c r="Z2641" s="26">
        <f t="shared" si="5"/>
        <v>-5</v>
      </c>
      <c r="AA2641" s="26">
        <f t="shared" si="6"/>
        <v>-5</v>
      </c>
      <c r="AB2641" s="32" t="str">
        <f t="shared" si="7"/>
        <v/>
      </c>
      <c r="AC2641" s="32" t="str">
        <f t="shared" ref="AC2641:AG2641" si="2681">IF(J2641&lt;&gt;"", IF(AND($P2641=FALSE, $A2641=FALSE), -J2641, IF(AND($P2641=FALSE, $A2641=TRUE), 0, IF($P2641=TRUE, (J2641 / $R2641) * 100 * ($S2641 / 100)-J2641, ))), )</f>
        <v/>
      </c>
      <c r="AD2641" s="32" t="str">
        <f t="shared" si="2681"/>
        <v/>
      </c>
      <c r="AE2641" s="32" t="str">
        <f t="shared" si="2681"/>
        <v/>
      </c>
      <c r="AF2641" s="32" t="str">
        <f t="shared" si="2681"/>
        <v/>
      </c>
      <c r="AG2641" s="32" t="str">
        <f t="shared" si="2681"/>
        <v/>
      </c>
      <c r="AH2641" s="33"/>
    </row>
    <row r="2642" hidden="1" outlineLevel="3">
      <c r="A2642" s="95" t="b">
        <v>0</v>
      </c>
      <c r="B2642" s="96"/>
      <c r="C2642" s="18"/>
      <c r="D2642" s="107"/>
      <c r="E2642" s="108"/>
      <c r="F2642" s="109"/>
      <c r="G2642" s="97"/>
      <c r="H2642" s="97"/>
      <c r="I2642" s="97"/>
      <c r="J2642" s="98"/>
      <c r="K2642" s="99"/>
      <c r="L2642" s="98"/>
      <c r="M2642" s="99"/>
      <c r="N2642" s="99"/>
      <c r="O2642" s="18"/>
      <c r="P2642" s="100" t="b">
        <v>0</v>
      </c>
      <c r="Q2642" s="18"/>
      <c r="R2642" s="101" t="str">
        <f t="shared" si="2376"/>
        <v/>
      </c>
      <c r="S2642" s="32"/>
      <c r="T2642" s="102" t="str">
        <f t="shared" si="2484"/>
        <v/>
      </c>
      <c r="U2642" s="18"/>
      <c r="V2642" s="113">
        <v>-2.0</v>
      </c>
      <c r="W2642" s="104" t="str">
        <f t="shared" si="2024"/>
        <v>/</v>
      </c>
      <c r="X2642" s="111" t="s">
        <v>1633</v>
      </c>
      <c r="Y2642" s="106"/>
      <c r="Z2642" s="26" t="str">
        <f t="shared" si="5"/>
        <v/>
      </c>
      <c r="AA2642" s="26" t="str">
        <f t="shared" si="6"/>
        <v/>
      </c>
      <c r="AB2642" s="32" t="str">
        <f t="shared" si="7"/>
        <v/>
      </c>
      <c r="AC2642" s="32" t="str">
        <f t="shared" ref="AC2642:AG2642" si="2682">IF(J2642&lt;&gt;"", IF(AND($P2642=FALSE, $A2642=FALSE), -J2642, IF(AND($P2642=FALSE, $A2642=TRUE), 0, IF($P2642=TRUE, (J2642 / $R2642) * 100 * ($S2642 / 100)-J2642, ))), )</f>
        <v/>
      </c>
      <c r="AD2642" s="32" t="str">
        <f t="shared" si="2682"/>
        <v/>
      </c>
      <c r="AE2642" s="32" t="str">
        <f t="shared" si="2682"/>
        <v/>
      </c>
      <c r="AF2642" s="32" t="str">
        <f t="shared" si="2682"/>
        <v/>
      </c>
      <c r="AG2642" s="32" t="str">
        <f t="shared" si="2682"/>
        <v/>
      </c>
      <c r="AH2642" s="33"/>
    </row>
    <row r="2643" hidden="1" outlineLevel="2">
      <c r="A2643" s="95" t="b">
        <v>0</v>
      </c>
      <c r="B2643" s="96"/>
      <c r="C2643" s="18"/>
      <c r="D2643" s="42">
        <v>45564.0</v>
      </c>
      <c r="E2643" s="20" t="s">
        <v>24</v>
      </c>
      <c r="F2643" s="53" t="s">
        <v>1626</v>
      </c>
      <c r="G2643" s="97">
        <v>1.0</v>
      </c>
      <c r="H2643" s="97"/>
      <c r="I2643" s="97">
        <v>2.0</v>
      </c>
      <c r="J2643" s="98"/>
      <c r="K2643" s="99"/>
      <c r="L2643" s="98"/>
      <c r="M2643" s="99"/>
      <c r="N2643" s="99"/>
      <c r="O2643" s="18"/>
      <c r="P2643" s="100" t="b">
        <v>0</v>
      </c>
      <c r="Q2643" s="18"/>
      <c r="R2643" s="101">
        <f t="shared" si="2376"/>
        <v>3</v>
      </c>
      <c r="S2643" s="32">
        <v>83.87</v>
      </c>
      <c r="T2643" s="102" t="str">
        <f t="shared" si="2484"/>
        <v>+2696</v>
      </c>
      <c r="U2643" s="18"/>
      <c r="V2643" s="103" t="str">
        <f>IF(ISBLANK($D2643), "0",)</f>
        <v/>
      </c>
      <c r="W2643" s="104" t="str">
        <f t="shared" si="2024"/>
        <v/>
      </c>
      <c r="X2643" s="105"/>
      <c r="Y2643" s="106"/>
      <c r="Z2643" s="26">
        <f t="shared" si="5"/>
        <v>-1</v>
      </c>
      <c r="AA2643" s="26">
        <f t="shared" si="6"/>
        <v>-2</v>
      </c>
      <c r="AB2643" s="32" t="str">
        <f t="shared" si="7"/>
        <v/>
      </c>
      <c r="AC2643" s="32" t="str">
        <f t="shared" ref="AC2643:AG2643" si="2683">IF(J2643&lt;&gt;"", IF(AND($P2643=FALSE, $A2643=FALSE), -J2643, IF(AND($P2643=FALSE, $A2643=TRUE), 0, IF($P2643=TRUE, (J2643 / $R2643) * 100 * ($S2643 / 100)-J2643, ))), )</f>
        <v/>
      </c>
      <c r="AD2643" s="32" t="str">
        <f t="shared" si="2683"/>
        <v/>
      </c>
      <c r="AE2643" s="32" t="str">
        <f t="shared" si="2683"/>
        <v/>
      </c>
      <c r="AF2643" s="32" t="str">
        <f t="shared" si="2683"/>
        <v/>
      </c>
      <c r="AG2643" s="32" t="str">
        <f t="shared" si="2683"/>
        <v/>
      </c>
      <c r="AH2643" s="33"/>
    </row>
    <row r="2644" hidden="1" outlineLevel="3">
      <c r="A2644" s="95" t="b">
        <v>0</v>
      </c>
      <c r="B2644" s="96"/>
      <c r="C2644" s="18"/>
      <c r="D2644" s="107"/>
      <c r="E2644" s="108"/>
      <c r="F2644" s="109"/>
      <c r="G2644" s="97"/>
      <c r="H2644" s="97"/>
      <c r="I2644" s="97"/>
      <c r="J2644" s="98"/>
      <c r="K2644" s="99"/>
      <c r="L2644" s="98"/>
      <c r="M2644" s="99"/>
      <c r="N2644" s="99"/>
      <c r="O2644" s="18"/>
      <c r="P2644" s="100" t="b">
        <v>0</v>
      </c>
      <c r="Q2644" s="18"/>
      <c r="R2644" s="101" t="str">
        <f t="shared" si="2376"/>
        <v/>
      </c>
      <c r="S2644" s="32"/>
      <c r="T2644" s="102" t="str">
        <f t="shared" si="2484"/>
        <v/>
      </c>
      <c r="U2644" s="18"/>
      <c r="V2644" s="75" t="s">
        <v>29</v>
      </c>
      <c r="W2644" s="104" t="str">
        <f t="shared" si="2024"/>
        <v>/</v>
      </c>
      <c r="X2644" s="111" t="s">
        <v>1634</v>
      </c>
      <c r="Y2644" s="106"/>
      <c r="Z2644" s="26" t="str">
        <f t="shared" si="5"/>
        <v/>
      </c>
      <c r="AA2644" s="26" t="str">
        <f t="shared" si="6"/>
        <v/>
      </c>
      <c r="AB2644" s="32" t="str">
        <f t="shared" si="7"/>
        <v/>
      </c>
      <c r="AC2644" s="32" t="str">
        <f t="shared" ref="AC2644:AG2644" si="2684">IF(J2644&lt;&gt;"", IF(AND($P2644=FALSE, $A2644=FALSE), -J2644, IF(AND($P2644=FALSE, $A2644=TRUE), 0, IF($P2644=TRUE, (J2644 / $R2644) * 100 * ($S2644 / 100)-J2644, ))), )</f>
        <v/>
      </c>
      <c r="AD2644" s="32" t="str">
        <f t="shared" si="2684"/>
        <v/>
      </c>
      <c r="AE2644" s="32" t="str">
        <f t="shared" si="2684"/>
        <v/>
      </c>
      <c r="AF2644" s="32" t="str">
        <f t="shared" si="2684"/>
        <v/>
      </c>
      <c r="AG2644" s="32" t="str">
        <f t="shared" si="2684"/>
        <v/>
      </c>
      <c r="AH2644" s="33"/>
    </row>
    <row r="2645" hidden="1" outlineLevel="3">
      <c r="A2645" s="95" t="b">
        <v>0</v>
      </c>
      <c r="B2645" s="96"/>
      <c r="C2645" s="18"/>
      <c r="D2645" s="107"/>
      <c r="E2645" s="108"/>
      <c r="F2645" s="109"/>
      <c r="G2645" s="97"/>
      <c r="H2645" s="97"/>
      <c r="I2645" s="97"/>
      <c r="J2645" s="98"/>
      <c r="K2645" s="99"/>
      <c r="L2645" s="98"/>
      <c r="M2645" s="99"/>
      <c r="N2645" s="99"/>
      <c r="O2645" s="18"/>
      <c r="P2645" s="100" t="b">
        <v>0</v>
      </c>
      <c r="Q2645" s="18"/>
      <c r="R2645" s="101" t="str">
        <f t="shared" si="2376"/>
        <v/>
      </c>
      <c r="S2645" s="32"/>
      <c r="T2645" s="102" t="str">
        <f t="shared" si="2484"/>
        <v/>
      </c>
      <c r="U2645" s="18"/>
      <c r="V2645" s="103" t="str">
        <f>IF(ISBLANK($D2645), "0",)</f>
        <v>0</v>
      </c>
      <c r="W2645" s="104" t="str">
        <f t="shared" si="2024"/>
        <v>/</v>
      </c>
      <c r="X2645" s="111" t="s">
        <v>107</v>
      </c>
      <c r="Y2645" s="106"/>
      <c r="Z2645" s="26" t="str">
        <f t="shared" si="5"/>
        <v/>
      </c>
      <c r="AA2645" s="26" t="str">
        <f t="shared" si="6"/>
        <v/>
      </c>
      <c r="AB2645" s="32" t="str">
        <f t="shared" si="7"/>
        <v/>
      </c>
      <c r="AC2645" s="32" t="str">
        <f t="shared" ref="AC2645:AG2645" si="2685">IF(J2645&lt;&gt;"", IF(AND($P2645=FALSE, $A2645=FALSE), -J2645, IF(AND($P2645=FALSE, $A2645=TRUE), 0, IF($P2645=TRUE, (J2645 / $R2645) * 100 * ($S2645 / 100)-J2645, ))), )</f>
        <v/>
      </c>
      <c r="AD2645" s="32" t="str">
        <f t="shared" si="2685"/>
        <v/>
      </c>
      <c r="AE2645" s="32" t="str">
        <f t="shared" si="2685"/>
        <v/>
      </c>
      <c r="AF2645" s="32" t="str">
        <f t="shared" si="2685"/>
        <v/>
      </c>
      <c r="AG2645" s="32" t="str">
        <f t="shared" si="2685"/>
        <v/>
      </c>
      <c r="AH2645" s="33"/>
    </row>
    <row r="2646" hidden="1" outlineLevel="3">
      <c r="A2646" s="95" t="b">
        <v>0</v>
      </c>
      <c r="B2646" s="96"/>
      <c r="C2646" s="18"/>
      <c r="D2646" s="107"/>
      <c r="E2646" s="108"/>
      <c r="F2646" s="109"/>
      <c r="G2646" s="97"/>
      <c r="H2646" s="97"/>
      <c r="I2646" s="97"/>
      <c r="J2646" s="98"/>
      <c r="K2646" s="99"/>
      <c r="L2646" s="98"/>
      <c r="M2646" s="99"/>
      <c r="N2646" s="99"/>
      <c r="O2646" s="18"/>
      <c r="P2646" s="100" t="b">
        <v>0</v>
      </c>
      <c r="Q2646" s="18"/>
      <c r="R2646" s="101" t="str">
        <f t="shared" si="2376"/>
        <v/>
      </c>
      <c r="S2646" s="32"/>
      <c r="T2646" s="102" t="str">
        <f t="shared" si="2484"/>
        <v/>
      </c>
      <c r="U2646" s="18"/>
      <c r="V2646" s="75" t="s">
        <v>29</v>
      </c>
      <c r="W2646" s="104" t="str">
        <f t="shared" si="2024"/>
        <v>/</v>
      </c>
      <c r="X2646" s="111" t="s">
        <v>1635</v>
      </c>
      <c r="Y2646" s="106"/>
      <c r="Z2646" s="26" t="str">
        <f t="shared" si="5"/>
        <v/>
      </c>
      <c r="AA2646" s="26" t="str">
        <f t="shared" si="6"/>
        <v/>
      </c>
      <c r="AB2646" s="32" t="str">
        <f t="shared" si="7"/>
        <v/>
      </c>
      <c r="AC2646" s="32" t="str">
        <f t="shared" ref="AC2646:AG2646" si="2686">IF(J2646&lt;&gt;"", IF(AND($P2646=FALSE, $A2646=FALSE), -J2646, IF(AND($P2646=FALSE, $A2646=TRUE), 0, IF($P2646=TRUE, (J2646 / $R2646) * 100 * ($S2646 / 100)-J2646, ))), )</f>
        <v/>
      </c>
      <c r="AD2646" s="32" t="str">
        <f t="shared" si="2686"/>
        <v/>
      </c>
      <c r="AE2646" s="32" t="str">
        <f t="shared" si="2686"/>
        <v/>
      </c>
      <c r="AF2646" s="32" t="str">
        <f t="shared" si="2686"/>
        <v/>
      </c>
      <c r="AG2646" s="32" t="str">
        <f t="shared" si="2686"/>
        <v/>
      </c>
      <c r="AH2646" s="33"/>
    </row>
    <row r="2647" hidden="1" outlineLevel="3">
      <c r="A2647" s="95" t="b">
        <v>0</v>
      </c>
      <c r="B2647" s="96"/>
      <c r="C2647" s="18"/>
      <c r="D2647" s="107"/>
      <c r="E2647" s="108"/>
      <c r="F2647" s="109"/>
      <c r="G2647" s="97"/>
      <c r="H2647" s="97"/>
      <c r="I2647" s="97"/>
      <c r="J2647" s="98"/>
      <c r="K2647" s="99"/>
      <c r="L2647" s="98"/>
      <c r="M2647" s="99"/>
      <c r="N2647" s="99"/>
      <c r="O2647" s="18"/>
      <c r="P2647" s="100" t="b">
        <v>0</v>
      </c>
      <c r="Q2647" s="18"/>
      <c r="R2647" s="101" t="str">
        <f t="shared" si="2376"/>
        <v/>
      </c>
      <c r="S2647" s="32"/>
      <c r="T2647" s="102" t="str">
        <f t="shared" si="2484"/>
        <v/>
      </c>
      <c r="U2647" s="18"/>
      <c r="V2647" s="75" t="s">
        <v>29</v>
      </c>
      <c r="W2647" s="104" t="str">
        <f t="shared" si="2024"/>
        <v>/</v>
      </c>
      <c r="X2647" s="111" t="s">
        <v>870</v>
      </c>
      <c r="Y2647" s="106"/>
      <c r="Z2647" s="26" t="str">
        <f t="shared" si="5"/>
        <v/>
      </c>
      <c r="AA2647" s="26" t="str">
        <f t="shared" si="6"/>
        <v/>
      </c>
      <c r="AB2647" s="32" t="str">
        <f t="shared" si="7"/>
        <v/>
      </c>
      <c r="AC2647" s="32" t="str">
        <f t="shared" ref="AC2647:AG2647" si="2687">IF(J2647&lt;&gt;"", IF(AND($P2647=FALSE, $A2647=FALSE), -J2647, IF(AND($P2647=FALSE, $A2647=TRUE), 0, IF($P2647=TRUE, (J2647 / $R2647) * 100 * ($S2647 / 100)-J2647, ))), )</f>
        <v/>
      </c>
      <c r="AD2647" s="32" t="str">
        <f t="shared" si="2687"/>
        <v/>
      </c>
      <c r="AE2647" s="32" t="str">
        <f t="shared" si="2687"/>
        <v/>
      </c>
      <c r="AF2647" s="32" t="str">
        <f t="shared" si="2687"/>
        <v/>
      </c>
      <c r="AG2647" s="32" t="str">
        <f t="shared" si="2687"/>
        <v/>
      </c>
      <c r="AH2647" s="33"/>
    </row>
    <row r="2648" hidden="1" outlineLevel="3">
      <c r="A2648" s="95" t="b">
        <v>0</v>
      </c>
      <c r="B2648" s="96"/>
      <c r="C2648" s="18"/>
      <c r="D2648" s="107"/>
      <c r="E2648" s="108"/>
      <c r="F2648" s="109"/>
      <c r="G2648" s="97"/>
      <c r="H2648" s="97"/>
      <c r="I2648" s="97"/>
      <c r="J2648" s="98"/>
      <c r="K2648" s="99"/>
      <c r="L2648" s="98"/>
      <c r="M2648" s="99"/>
      <c r="N2648" s="99"/>
      <c r="O2648" s="18"/>
      <c r="P2648" s="100" t="b">
        <v>0</v>
      </c>
      <c r="Q2648" s="18"/>
      <c r="R2648" s="101" t="str">
        <f t="shared" si="2376"/>
        <v/>
      </c>
      <c r="S2648" s="32"/>
      <c r="T2648" s="102" t="str">
        <f t="shared" si="2484"/>
        <v/>
      </c>
      <c r="U2648" s="18"/>
      <c r="V2648" s="75" t="s">
        <v>29</v>
      </c>
      <c r="W2648" s="104" t="str">
        <f t="shared" si="2024"/>
        <v>/</v>
      </c>
      <c r="X2648" s="111" t="s">
        <v>1636</v>
      </c>
      <c r="Y2648" s="106"/>
      <c r="Z2648" s="26" t="str">
        <f t="shared" si="5"/>
        <v/>
      </c>
      <c r="AA2648" s="26" t="str">
        <f t="shared" si="6"/>
        <v/>
      </c>
      <c r="AB2648" s="32" t="str">
        <f t="shared" si="7"/>
        <v/>
      </c>
      <c r="AC2648" s="32" t="str">
        <f t="shared" ref="AC2648:AG2648" si="2688">IF(J2648&lt;&gt;"", IF(AND($P2648=FALSE, $A2648=FALSE), -J2648, IF(AND($P2648=FALSE, $A2648=TRUE), 0, IF($P2648=TRUE, (J2648 / $R2648) * 100 * ($S2648 / 100)-J2648, ))), )</f>
        <v/>
      </c>
      <c r="AD2648" s="32" t="str">
        <f t="shared" si="2688"/>
        <v/>
      </c>
      <c r="AE2648" s="32" t="str">
        <f t="shared" si="2688"/>
        <v/>
      </c>
      <c r="AF2648" s="32" t="str">
        <f t="shared" si="2688"/>
        <v/>
      </c>
      <c r="AG2648" s="32" t="str">
        <f t="shared" si="2688"/>
        <v/>
      </c>
      <c r="AH2648" s="33"/>
    </row>
    <row r="2649" hidden="1" outlineLevel="3">
      <c r="A2649" s="95" t="b">
        <v>0</v>
      </c>
      <c r="B2649" s="96"/>
      <c r="C2649" s="18"/>
      <c r="D2649" s="107"/>
      <c r="E2649" s="108"/>
      <c r="F2649" s="109"/>
      <c r="G2649" s="97"/>
      <c r="H2649" s="97"/>
      <c r="I2649" s="97"/>
      <c r="J2649" s="98"/>
      <c r="K2649" s="99"/>
      <c r="L2649" s="98"/>
      <c r="M2649" s="99"/>
      <c r="N2649" s="99"/>
      <c r="O2649" s="18"/>
      <c r="P2649" s="100" t="b">
        <v>0</v>
      </c>
      <c r="Q2649" s="18"/>
      <c r="R2649" s="101" t="str">
        <f t="shared" si="2376"/>
        <v/>
      </c>
      <c r="S2649" s="32"/>
      <c r="T2649" s="102" t="str">
        <f t="shared" si="2484"/>
        <v/>
      </c>
      <c r="U2649" s="18"/>
      <c r="V2649" s="75" t="s">
        <v>29</v>
      </c>
      <c r="W2649" s="104" t="str">
        <f t="shared" si="2024"/>
        <v>/</v>
      </c>
      <c r="X2649" s="111" t="s">
        <v>1163</v>
      </c>
      <c r="Y2649" s="106"/>
      <c r="Z2649" s="26" t="str">
        <f t="shared" si="5"/>
        <v/>
      </c>
      <c r="AA2649" s="26" t="str">
        <f t="shared" si="6"/>
        <v/>
      </c>
      <c r="AB2649" s="32" t="str">
        <f t="shared" si="7"/>
        <v/>
      </c>
      <c r="AC2649" s="32" t="str">
        <f t="shared" ref="AC2649:AG2649" si="2689">IF(J2649&lt;&gt;"", IF(AND($P2649=FALSE, $A2649=FALSE), -J2649, IF(AND($P2649=FALSE, $A2649=TRUE), 0, IF($P2649=TRUE, (J2649 / $R2649) * 100 * ($S2649 / 100)-J2649, ))), )</f>
        <v/>
      </c>
      <c r="AD2649" s="32" t="str">
        <f t="shared" si="2689"/>
        <v/>
      </c>
      <c r="AE2649" s="32" t="str">
        <f t="shared" si="2689"/>
        <v/>
      </c>
      <c r="AF2649" s="32" t="str">
        <f t="shared" si="2689"/>
        <v/>
      </c>
      <c r="AG2649" s="32" t="str">
        <f t="shared" si="2689"/>
        <v/>
      </c>
      <c r="AH2649" s="33"/>
    </row>
    <row r="2650" hidden="1" outlineLevel="3">
      <c r="A2650" s="95" t="b">
        <v>0</v>
      </c>
      <c r="B2650" s="96"/>
      <c r="C2650" s="18"/>
      <c r="D2650" s="107"/>
      <c r="E2650" s="108"/>
      <c r="F2650" s="109"/>
      <c r="G2650" s="97"/>
      <c r="H2650" s="97"/>
      <c r="I2650" s="97"/>
      <c r="J2650" s="98"/>
      <c r="K2650" s="99"/>
      <c r="L2650" s="98"/>
      <c r="M2650" s="99"/>
      <c r="N2650" s="99"/>
      <c r="O2650" s="18"/>
      <c r="P2650" s="100" t="b">
        <v>0</v>
      </c>
      <c r="Q2650" s="18"/>
      <c r="R2650" s="101" t="str">
        <f t="shared" si="2376"/>
        <v/>
      </c>
      <c r="S2650" s="32"/>
      <c r="T2650" s="102" t="str">
        <f t="shared" si="2484"/>
        <v/>
      </c>
      <c r="U2650" s="18"/>
      <c r="V2650" s="75" t="s">
        <v>29</v>
      </c>
      <c r="W2650" s="104" t="str">
        <f t="shared" si="2024"/>
        <v>/</v>
      </c>
      <c r="X2650" s="111" t="s">
        <v>1637</v>
      </c>
      <c r="Y2650" s="106"/>
      <c r="Z2650" s="26" t="str">
        <f t="shared" si="5"/>
        <v/>
      </c>
      <c r="AA2650" s="26" t="str">
        <f t="shared" si="6"/>
        <v/>
      </c>
      <c r="AB2650" s="32" t="str">
        <f t="shared" si="7"/>
        <v/>
      </c>
      <c r="AC2650" s="32" t="str">
        <f t="shared" ref="AC2650:AG2650" si="2690">IF(J2650&lt;&gt;"", IF(AND($P2650=FALSE, $A2650=FALSE), -J2650, IF(AND($P2650=FALSE, $A2650=TRUE), 0, IF($P2650=TRUE, (J2650 / $R2650) * 100 * ($S2650 / 100)-J2650, ))), )</f>
        <v/>
      </c>
      <c r="AD2650" s="32" t="str">
        <f t="shared" si="2690"/>
        <v/>
      </c>
      <c r="AE2650" s="32" t="str">
        <f t="shared" si="2690"/>
        <v/>
      </c>
      <c r="AF2650" s="32" t="str">
        <f t="shared" si="2690"/>
        <v/>
      </c>
      <c r="AG2650" s="32" t="str">
        <f t="shared" si="2690"/>
        <v/>
      </c>
      <c r="AH2650" s="33"/>
    </row>
    <row r="2651" hidden="1" outlineLevel="3">
      <c r="A2651" s="95" t="b">
        <v>0</v>
      </c>
      <c r="B2651" s="96"/>
      <c r="C2651" s="18"/>
      <c r="D2651" s="107"/>
      <c r="E2651" s="108"/>
      <c r="F2651" s="109"/>
      <c r="G2651" s="97"/>
      <c r="H2651" s="97"/>
      <c r="I2651" s="97"/>
      <c r="J2651" s="98"/>
      <c r="K2651" s="99"/>
      <c r="L2651" s="98"/>
      <c r="M2651" s="99"/>
      <c r="N2651" s="99"/>
      <c r="O2651" s="18"/>
      <c r="P2651" s="100" t="b">
        <v>0</v>
      </c>
      <c r="Q2651" s="18"/>
      <c r="R2651" s="101" t="str">
        <f t="shared" si="2376"/>
        <v/>
      </c>
      <c r="S2651" s="32"/>
      <c r="T2651" s="102" t="str">
        <f t="shared" si="2484"/>
        <v/>
      </c>
      <c r="U2651" s="18"/>
      <c r="V2651" s="75" t="s">
        <v>29</v>
      </c>
      <c r="W2651" s="104" t="str">
        <f t="shared" si="2024"/>
        <v>/</v>
      </c>
      <c r="X2651" s="111" t="s">
        <v>537</v>
      </c>
      <c r="Y2651" s="106"/>
      <c r="Z2651" s="26" t="str">
        <f t="shared" si="5"/>
        <v/>
      </c>
      <c r="AA2651" s="26" t="str">
        <f t="shared" si="6"/>
        <v/>
      </c>
      <c r="AB2651" s="32" t="str">
        <f t="shared" si="7"/>
        <v/>
      </c>
      <c r="AC2651" s="32" t="str">
        <f t="shared" ref="AC2651:AG2651" si="2691">IF(J2651&lt;&gt;"", IF(AND($P2651=FALSE, $A2651=FALSE), -J2651, IF(AND($P2651=FALSE, $A2651=TRUE), 0, IF($P2651=TRUE, (J2651 / $R2651) * 100 * ($S2651 / 100)-J2651, ))), )</f>
        <v/>
      </c>
      <c r="AD2651" s="32" t="str">
        <f t="shared" si="2691"/>
        <v/>
      </c>
      <c r="AE2651" s="32" t="str">
        <f t="shared" si="2691"/>
        <v/>
      </c>
      <c r="AF2651" s="32" t="str">
        <f t="shared" si="2691"/>
        <v/>
      </c>
      <c r="AG2651" s="32" t="str">
        <f t="shared" si="2691"/>
        <v/>
      </c>
      <c r="AH2651" s="33"/>
    </row>
    <row r="2652" hidden="1" outlineLevel="3">
      <c r="A2652" s="95" t="b">
        <v>0</v>
      </c>
      <c r="B2652" s="96"/>
      <c r="C2652" s="18"/>
      <c r="D2652" s="107"/>
      <c r="E2652" s="108"/>
      <c r="F2652" s="109"/>
      <c r="G2652" s="97"/>
      <c r="H2652" s="97"/>
      <c r="I2652" s="97"/>
      <c r="J2652" s="98"/>
      <c r="K2652" s="99"/>
      <c r="L2652" s="98"/>
      <c r="M2652" s="99"/>
      <c r="N2652" s="99"/>
      <c r="O2652" s="18"/>
      <c r="P2652" s="100" t="b">
        <v>0</v>
      </c>
      <c r="Q2652" s="18"/>
      <c r="R2652" s="101" t="str">
        <f t="shared" si="2376"/>
        <v/>
      </c>
      <c r="S2652" s="32"/>
      <c r="T2652" s="102" t="str">
        <f t="shared" si="2484"/>
        <v/>
      </c>
      <c r="U2652" s="18"/>
      <c r="V2652" s="75" t="s">
        <v>29</v>
      </c>
      <c r="W2652" s="104" t="str">
        <f t="shared" si="2024"/>
        <v>/</v>
      </c>
      <c r="X2652" s="111" t="s">
        <v>1638</v>
      </c>
      <c r="Y2652" s="106"/>
      <c r="Z2652" s="26" t="str">
        <f t="shared" si="5"/>
        <v/>
      </c>
      <c r="AA2652" s="26" t="str">
        <f t="shared" si="6"/>
        <v/>
      </c>
      <c r="AB2652" s="32" t="str">
        <f t="shared" si="7"/>
        <v/>
      </c>
      <c r="AC2652" s="32" t="str">
        <f t="shared" ref="AC2652:AG2652" si="2692">IF(J2652&lt;&gt;"", IF(AND($P2652=FALSE, $A2652=FALSE), -J2652, IF(AND($P2652=FALSE, $A2652=TRUE), 0, IF($P2652=TRUE, (J2652 / $R2652) * 100 * ($S2652 / 100)-J2652, ))), )</f>
        <v/>
      </c>
      <c r="AD2652" s="32" t="str">
        <f t="shared" si="2692"/>
        <v/>
      </c>
      <c r="AE2652" s="32" t="str">
        <f t="shared" si="2692"/>
        <v/>
      </c>
      <c r="AF2652" s="32" t="str">
        <f t="shared" si="2692"/>
        <v/>
      </c>
      <c r="AG2652" s="32" t="str">
        <f t="shared" si="2692"/>
        <v/>
      </c>
      <c r="AH2652" s="33"/>
    </row>
    <row r="2653" hidden="1" outlineLevel="3">
      <c r="A2653" s="95" t="b">
        <v>0</v>
      </c>
      <c r="B2653" s="96"/>
      <c r="C2653" s="18"/>
      <c r="D2653" s="107"/>
      <c r="E2653" s="108"/>
      <c r="F2653" s="109"/>
      <c r="G2653" s="97"/>
      <c r="H2653" s="97"/>
      <c r="I2653" s="97"/>
      <c r="J2653" s="98"/>
      <c r="K2653" s="99"/>
      <c r="L2653" s="98"/>
      <c r="M2653" s="99"/>
      <c r="N2653" s="99"/>
      <c r="O2653" s="18"/>
      <c r="P2653" s="100" t="b">
        <v>0</v>
      </c>
      <c r="Q2653" s="18"/>
      <c r="R2653" s="101" t="str">
        <f t="shared" si="2376"/>
        <v/>
      </c>
      <c r="S2653" s="32"/>
      <c r="T2653" s="102" t="str">
        <f t="shared" si="2484"/>
        <v/>
      </c>
      <c r="U2653" s="18"/>
      <c r="V2653" s="113">
        <v>45.0</v>
      </c>
      <c r="W2653" s="104" t="str">
        <f t="shared" si="2024"/>
        <v>/</v>
      </c>
      <c r="X2653" s="111" t="s">
        <v>1095</v>
      </c>
      <c r="Y2653" s="106"/>
      <c r="Z2653" s="26" t="str">
        <f t="shared" si="5"/>
        <v/>
      </c>
      <c r="AA2653" s="26" t="str">
        <f t="shared" si="6"/>
        <v/>
      </c>
      <c r="AB2653" s="32" t="str">
        <f t="shared" si="7"/>
        <v/>
      </c>
      <c r="AC2653" s="32" t="str">
        <f t="shared" ref="AC2653:AG2653" si="2693">IF(J2653&lt;&gt;"", IF(AND($P2653=FALSE, $A2653=FALSE), -J2653, IF(AND($P2653=FALSE, $A2653=TRUE), 0, IF($P2653=TRUE, (J2653 / $R2653) * 100 * ($S2653 / 100)-J2653, ))), )</f>
        <v/>
      </c>
      <c r="AD2653" s="32" t="str">
        <f t="shared" si="2693"/>
        <v/>
      </c>
      <c r="AE2653" s="32" t="str">
        <f t="shared" si="2693"/>
        <v/>
      </c>
      <c r="AF2653" s="32" t="str">
        <f t="shared" si="2693"/>
        <v/>
      </c>
      <c r="AG2653" s="32" t="str">
        <f t="shared" si="2693"/>
        <v/>
      </c>
      <c r="AH2653" s="33"/>
    </row>
    <row r="2654" hidden="1" outlineLevel="1" collapsed="1">
      <c r="A2654" s="95" t="b">
        <v>0</v>
      </c>
      <c r="B2654" s="96"/>
      <c r="C2654" s="18"/>
      <c r="D2654" s="42">
        <v>45568.0</v>
      </c>
      <c r="E2654" s="20" t="s">
        <v>24</v>
      </c>
      <c r="F2654" s="53" t="s">
        <v>1639</v>
      </c>
      <c r="G2654" s="97">
        <v>2.0</v>
      </c>
      <c r="H2654" s="97"/>
      <c r="I2654" s="97">
        <v>2.0</v>
      </c>
      <c r="J2654" s="98"/>
      <c r="K2654" s="99"/>
      <c r="L2654" s="98"/>
      <c r="M2654" s="99"/>
      <c r="N2654" s="99"/>
      <c r="O2654" s="18"/>
      <c r="P2654" s="100" t="b">
        <v>1</v>
      </c>
      <c r="Q2654" s="18"/>
      <c r="R2654" s="101">
        <f t="shared" si="2376"/>
        <v>4</v>
      </c>
      <c r="S2654" s="32">
        <v>14.21</v>
      </c>
      <c r="T2654" s="102" t="str">
        <f t="shared" si="2484"/>
        <v>+255</v>
      </c>
      <c r="U2654" s="18"/>
      <c r="V2654" s="103" t="str">
        <f>IF(ISBLANK($D2654), "0",)</f>
        <v/>
      </c>
      <c r="W2654" s="104" t="str">
        <f t="shared" si="2024"/>
        <v/>
      </c>
      <c r="X2654" s="105"/>
      <c r="Y2654" s="106"/>
      <c r="Z2654" s="26">
        <f t="shared" si="5"/>
        <v>5.105</v>
      </c>
      <c r="AA2654" s="26">
        <f t="shared" si="6"/>
        <v>5.105</v>
      </c>
      <c r="AB2654" s="32" t="str">
        <f t="shared" si="7"/>
        <v/>
      </c>
      <c r="AC2654" s="32" t="str">
        <f t="shared" ref="AC2654:AG2654" si="2694">IF(J2654&lt;&gt;"", IF(AND($P2654=FALSE, $A2654=FALSE), -J2654, IF(AND($P2654=FALSE, $A2654=TRUE), 0, IF($P2654=TRUE, (J2654 / $R2654) * 100 * ($S2654 / 100)-J2654, ))), )</f>
        <v/>
      </c>
      <c r="AD2654" s="32" t="str">
        <f t="shared" si="2694"/>
        <v/>
      </c>
      <c r="AE2654" s="32" t="str">
        <f t="shared" si="2694"/>
        <v/>
      </c>
      <c r="AF2654" s="32" t="str">
        <f t="shared" si="2694"/>
        <v/>
      </c>
      <c r="AG2654" s="32" t="str">
        <f t="shared" si="2694"/>
        <v/>
      </c>
      <c r="AH2654" s="33"/>
    </row>
    <row r="2655" hidden="1" outlineLevel="3">
      <c r="A2655" s="95" t="b">
        <v>0</v>
      </c>
      <c r="B2655" s="96"/>
      <c r="C2655" s="18"/>
      <c r="D2655" s="107"/>
      <c r="E2655" s="108"/>
      <c r="F2655" s="109"/>
      <c r="G2655" s="97"/>
      <c r="H2655" s="97"/>
      <c r="I2655" s="97"/>
      <c r="J2655" s="98"/>
      <c r="K2655" s="99"/>
      <c r="L2655" s="98"/>
      <c r="M2655" s="99"/>
      <c r="N2655" s="99"/>
      <c r="O2655" s="18"/>
      <c r="P2655" s="100" t="b">
        <v>0</v>
      </c>
      <c r="Q2655" s="18"/>
      <c r="R2655" s="101" t="str">
        <f t="shared" si="2376"/>
        <v/>
      </c>
      <c r="S2655" s="32"/>
      <c r="T2655" s="102" t="str">
        <f t="shared" si="2484"/>
        <v/>
      </c>
      <c r="U2655" s="18"/>
      <c r="V2655" s="75" t="s">
        <v>29</v>
      </c>
      <c r="W2655" s="104" t="str">
        <f t="shared" si="2024"/>
        <v>/</v>
      </c>
      <c r="X2655" s="111" t="s">
        <v>1640</v>
      </c>
      <c r="Y2655" s="106"/>
      <c r="Z2655" s="26" t="str">
        <f t="shared" si="5"/>
        <v/>
      </c>
      <c r="AA2655" s="26" t="str">
        <f t="shared" si="6"/>
        <v/>
      </c>
      <c r="AB2655" s="32" t="str">
        <f t="shared" si="7"/>
        <v/>
      </c>
      <c r="AC2655" s="32" t="str">
        <f t="shared" ref="AC2655:AG2655" si="2695">IF(J2655&lt;&gt;"", IF(AND($P2655=FALSE, $A2655=FALSE), -J2655, IF(AND($P2655=FALSE, $A2655=TRUE), 0, IF($P2655=TRUE, (J2655 / $R2655) * 100 * ($S2655 / 100)-J2655, ))), )</f>
        <v/>
      </c>
      <c r="AD2655" s="32" t="str">
        <f t="shared" si="2695"/>
        <v/>
      </c>
      <c r="AE2655" s="32" t="str">
        <f t="shared" si="2695"/>
        <v/>
      </c>
      <c r="AF2655" s="32" t="str">
        <f t="shared" si="2695"/>
        <v/>
      </c>
      <c r="AG2655" s="32" t="str">
        <f t="shared" si="2695"/>
        <v/>
      </c>
      <c r="AH2655" s="33"/>
    </row>
    <row r="2656" hidden="1" outlineLevel="3">
      <c r="A2656" s="95" t="b">
        <v>0</v>
      </c>
      <c r="B2656" s="96"/>
      <c r="C2656" s="18"/>
      <c r="D2656" s="107"/>
      <c r="E2656" s="108"/>
      <c r="F2656" s="109"/>
      <c r="G2656" s="97"/>
      <c r="H2656" s="97"/>
      <c r="I2656" s="97"/>
      <c r="J2656" s="98"/>
      <c r="K2656" s="99"/>
      <c r="L2656" s="98"/>
      <c r="M2656" s="99"/>
      <c r="N2656" s="99"/>
      <c r="O2656" s="18"/>
      <c r="P2656" s="100" t="b">
        <v>0</v>
      </c>
      <c r="Q2656" s="18"/>
      <c r="R2656" s="101" t="str">
        <f t="shared" si="2376"/>
        <v/>
      </c>
      <c r="S2656" s="32"/>
      <c r="T2656" s="102" t="str">
        <f t="shared" si="2484"/>
        <v/>
      </c>
      <c r="U2656" s="18"/>
      <c r="V2656" s="75" t="s">
        <v>29</v>
      </c>
      <c r="W2656" s="104" t="str">
        <f t="shared" si="2024"/>
        <v>/</v>
      </c>
      <c r="X2656" s="111" t="s">
        <v>1641</v>
      </c>
      <c r="Y2656" s="106"/>
      <c r="Z2656" s="26" t="str">
        <f t="shared" si="5"/>
        <v/>
      </c>
      <c r="AA2656" s="26" t="str">
        <f t="shared" si="6"/>
        <v/>
      </c>
      <c r="AB2656" s="32" t="str">
        <f t="shared" si="7"/>
        <v/>
      </c>
      <c r="AC2656" s="32" t="str">
        <f t="shared" ref="AC2656:AG2656" si="2696">IF(J2656&lt;&gt;"", IF(AND($P2656=FALSE, $A2656=FALSE), -J2656, IF(AND($P2656=FALSE, $A2656=TRUE), 0, IF($P2656=TRUE, (J2656 / $R2656) * 100 * ($S2656 / 100)-J2656, ))), )</f>
        <v/>
      </c>
      <c r="AD2656" s="32" t="str">
        <f t="shared" si="2696"/>
        <v/>
      </c>
      <c r="AE2656" s="32" t="str">
        <f t="shared" si="2696"/>
        <v/>
      </c>
      <c r="AF2656" s="32" t="str">
        <f t="shared" si="2696"/>
        <v/>
      </c>
      <c r="AG2656" s="32" t="str">
        <f t="shared" si="2696"/>
        <v/>
      </c>
      <c r="AH2656" s="33"/>
    </row>
    <row r="2657" hidden="1" outlineLevel="2" collapsed="1">
      <c r="A2657" s="95" t="b">
        <v>0</v>
      </c>
      <c r="B2657" s="96"/>
      <c r="C2657" s="18"/>
      <c r="D2657" s="42">
        <v>45568.0</v>
      </c>
      <c r="E2657" s="20" t="s">
        <v>24</v>
      </c>
      <c r="F2657" s="53" t="s">
        <v>1639</v>
      </c>
      <c r="G2657" s="97">
        <v>2.0</v>
      </c>
      <c r="H2657" s="97"/>
      <c r="I2657" s="97">
        <v>2.0</v>
      </c>
      <c r="J2657" s="98"/>
      <c r="K2657" s="99"/>
      <c r="L2657" s="98"/>
      <c r="M2657" s="99"/>
      <c r="N2657" s="99"/>
      <c r="O2657" s="18"/>
      <c r="P2657" s="100" t="b">
        <v>0</v>
      </c>
      <c r="Q2657" s="18"/>
      <c r="R2657" s="101">
        <f t="shared" si="2376"/>
        <v>4</v>
      </c>
      <c r="S2657" s="32">
        <v>8.48</v>
      </c>
      <c r="T2657" s="102" t="str">
        <f t="shared" si="2484"/>
        <v>+112</v>
      </c>
      <c r="U2657" s="18"/>
      <c r="V2657" s="103" t="str">
        <f>IF(ISBLANK($D2657), "0",)</f>
        <v/>
      </c>
      <c r="W2657" s="104" t="str">
        <f t="shared" si="2024"/>
        <v/>
      </c>
      <c r="X2657" s="105"/>
      <c r="Y2657" s="106"/>
      <c r="Z2657" s="26">
        <f t="shared" si="5"/>
        <v>-2</v>
      </c>
      <c r="AA2657" s="26">
        <f t="shared" si="6"/>
        <v>-2</v>
      </c>
      <c r="AB2657" s="32" t="str">
        <f t="shared" si="7"/>
        <v/>
      </c>
      <c r="AC2657" s="32" t="str">
        <f t="shared" ref="AC2657:AG2657" si="2697">IF(J2657&lt;&gt;"", IF(AND($P2657=FALSE, $A2657=FALSE), -J2657, IF(AND($P2657=FALSE, $A2657=TRUE), 0, IF($P2657=TRUE, (J2657 / $R2657) * 100 * ($S2657 / 100)-J2657, ))), )</f>
        <v/>
      </c>
      <c r="AD2657" s="32" t="str">
        <f t="shared" si="2697"/>
        <v/>
      </c>
      <c r="AE2657" s="32" t="str">
        <f t="shared" si="2697"/>
        <v/>
      </c>
      <c r="AF2657" s="32" t="str">
        <f t="shared" si="2697"/>
        <v/>
      </c>
      <c r="AG2657" s="32" t="str">
        <f t="shared" si="2697"/>
        <v/>
      </c>
      <c r="AH2657" s="33"/>
    </row>
    <row r="2658" hidden="1" outlineLevel="3">
      <c r="A2658" s="95" t="b">
        <v>0</v>
      </c>
      <c r="B2658" s="96"/>
      <c r="C2658" s="18"/>
      <c r="D2658" s="107"/>
      <c r="E2658" s="108"/>
      <c r="F2658" s="109"/>
      <c r="G2658" s="97"/>
      <c r="H2658" s="97"/>
      <c r="I2658" s="97"/>
      <c r="J2658" s="98"/>
      <c r="K2658" s="99"/>
      <c r="L2658" s="98"/>
      <c r="M2658" s="99"/>
      <c r="N2658" s="99"/>
      <c r="O2658" s="18"/>
      <c r="P2658" s="100" t="b">
        <v>0</v>
      </c>
      <c r="Q2658" s="18"/>
      <c r="R2658" s="101" t="str">
        <f t="shared" si="2376"/>
        <v/>
      </c>
      <c r="S2658" s="32"/>
      <c r="T2658" s="102" t="str">
        <f t="shared" si="2484"/>
        <v/>
      </c>
      <c r="U2658" s="18"/>
      <c r="V2658" s="113">
        <v>6.0</v>
      </c>
      <c r="W2658" s="104" t="str">
        <f t="shared" si="2024"/>
        <v>/</v>
      </c>
      <c r="X2658" s="111" t="s">
        <v>1642</v>
      </c>
      <c r="Y2658" s="106"/>
      <c r="Z2658" s="26" t="str">
        <f t="shared" si="5"/>
        <v/>
      </c>
      <c r="AA2658" s="26" t="str">
        <f t="shared" si="6"/>
        <v/>
      </c>
      <c r="AB2658" s="32" t="str">
        <f t="shared" si="7"/>
        <v/>
      </c>
      <c r="AC2658" s="32" t="str">
        <f t="shared" ref="AC2658:AG2658" si="2698">IF(J2658&lt;&gt;"", IF(AND($P2658=FALSE, $A2658=FALSE), -J2658, IF(AND($P2658=FALSE, $A2658=TRUE), 0, IF($P2658=TRUE, (J2658 / $R2658) * 100 * ($S2658 / 100)-J2658, ))), )</f>
        <v/>
      </c>
      <c r="AD2658" s="32" t="str">
        <f t="shared" si="2698"/>
        <v/>
      </c>
      <c r="AE2658" s="32" t="str">
        <f t="shared" si="2698"/>
        <v/>
      </c>
      <c r="AF2658" s="32" t="str">
        <f t="shared" si="2698"/>
        <v/>
      </c>
      <c r="AG2658" s="32" t="str">
        <f t="shared" si="2698"/>
        <v/>
      </c>
      <c r="AH2658" s="33"/>
    </row>
    <row r="2659" hidden="1" outlineLevel="2" collapsed="1">
      <c r="A2659" s="95" t="b">
        <v>0</v>
      </c>
      <c r="B2659" s="96"/>
      <c r="C2659" s="18"/>
      <c r="D2659" s="42">
        <v>45568.0</v>
      </c>
      <c r="E2659" s="20" t="s">
        <v>24</v>
      </c>
      <c r="F2659" s="53" t="s">
        <v>1639</v>
      </c>
      <c r="G2659" s="97">
        <v>5.0</v>
      </c>
      <c r="H2659" s="97"/>
      <c r="I2659" s="97">
        <v>5.0</v>
      </c>
      <c r="J2659" s="98"/>
      <c r="K2659" s="99"/>
      <c r="L2659" s="98"/>
      <c r="M2659" s="99"/>
      <c r="N2659" s="99"/>
      <c r="O2659" s="18"/>
      <c r="P2659" s="100" t="b">
        <v>0</v>
      </c>
      <c r="Q2659" s="18"/>
      <c r="R2659" s="101">
        <f t="shared" si="2376"/>
        <v>10</v>
      </c>
      <c r="S2659" s="32">
        <v>222.96</v>
      </c>
      <c r="T2659" s="102" t="str">
        <f t="shared" si="2484"/>
        <v>+2130</v>
      </c>
      <c r="U2659" s="18"/>
      <c r="V2659" s="103" t="str">
        <f>IF(ISBLANK($D2659), "0",)</f>
        <v/>
      </c>
      <c r="W2659" s="104" t="str">
        <f t="shared" si="2024"/>
        <v/>
      </c>
      <c r="X2659" s="105"/>
      <c r="Y2659" s="106"/>
      <c r="Z2659" s="26">
        <f t="shared" si="5"/>
        <v>-5</v>
      </c>
      <c r="AA2659" s="26">
        <f t="shared" si="6"/>
        <v>-5</v>
      </c>
      <c r="AB2659" s="32" t="str">
        <f t="shared" si="7"/>
        <v/>
      </c>
      <c r="AC2659" s="32" t="str">
        <f t="shared" ref="AC2659:AG2659" si="2699">IF(J2659&lt;&gt;"", IF(AND($P2659=FALSE, $A2659=FALSE), -J2659, IF(AND($P2659=FALSE, $A2659=TRUE), 0, IF($P2659=TRUE, (J2659 / $R2659) * 100 * ($S2659 / 100)-J2659, ))), )</f>
        <v/>
      </c>
      <c r="AD2659" s="32" t="str">
        <f t="shared" si="2699"/>
        <v/>
      </c>
      <c r="AE2659" s="32" t="str">
        <f t="shared" si="2699"/>
        <v/>
      </c>
      <c r="AF2659" s="32" t="str">
        <f t="shared" si="2699"/>
        <v/>
      </c>
      <c r="AG2659" s="32" t="str">
        <f t="shared" si="2699"/>
        <v/>
      </c>
      <c r="AH2659" s="33"/>
    </row>
    <row r="2660" hidden="1" outlineLevel="3">
      <c r="A2660" s="95" t="b">
        <v>0</v>
      </c>
      <c r="B2660" s="96"/>
      <c r="C2660" s="18"/>
      <c r="D2660" s="107"/>
      <c r="E2660" s="108"/>
      <c r="F2660" s="109"/>
      <c r="G2660" s="97"/>
      <c r="H2660" s="97"/>
      <c r="I2660" s="97"/>
      <c r="J2660" s="98"/>
      <c r="K2660" s="99"/>
      <c r="L2660" s="98"/>
      <c r="M2660" s="99"/>
      <c r="N2660" s="99"/>
      <c r="O2660" s="18"/>
      <c r="P2660" s="100" t="b">
        <v>0</v>
      </c>
      <c r="Q2660" s="18"/>
      <c r="R2660" s="101" t="str">
        <f t="shared" si="2376"/>
        <v/>
      </c>
      <c r="S2660" s="32"/>
      <c r="T2660" s="102" t="str">
        <f t="shared" si="2484"/>
        <v/>
      </c>
      <c r="U2660" s="18"/>
      <c r="V2660" s="75" t="s">
        <v>29</v>
      </c>
      <c r="W2660" s="104" t="str">
        <f t="shared" si="2024"/>
        <v>/</v>
      </c>
      <c r="X2660" s="111" t="s">
        <v>1634</v>
      </c>
      <c r="Y2660" s="106"/>
      <c r="Z2660" s="26" t="str">
        <f t="shared" si="5"/>
        <v/>
      </c>
      <c r="AA2660" s="26" t="str">
        <f t="shared" si="6"/>
        <v/>
      </c>
      <c r="AB2660" s="32" t="str">
        <f t="shared" si="7"/>
        <v/>
      </c>
      <c r="AC2660" s="32" t="str">
        <f t="shared" ref="AC2660:AG2660" si="2700">IF(J2660&lt;&gt;"", IF(AND($P2660=FALSE, $A2660=FALSE), -J2660, IF(AND($P2660=FALSE, $A2660=TRUE), 0, IF($P2660=TRUE, (J2660 / $R2660) * 100 * ($S2660 / 100)-J2660, ))), )</f>
        <v/>
      </c>
      <c r="AD2660" s="32" t="str">
        <f t="shared" si="2700"/>
        <v/>
      </c>
      <c r="AE2660" s="32" t="str">
        <f t="shared" si="2700"/>
        <v/>
      </c>
      <c r="AF2660" s="32" t="str">
        <f t="shared" si="2700"/>
        <v/>
      </c>
      <c r="AG2660" s="32" t="str">
        <f t="shared" si="2700"/>
        <v/>
      </c>
      <c r="AH2660" s="33"/>
    </row>
    <row r="2661" hidden="1" outlineLevel="3">
      <c r="A2661" s="95" t="b">
        <v>0</v>
      </c>
      <c r="B2661" s="96"/>
      <c r="C2661" s="18"/>
      <c r="D2661" s="107"/>
      <c r="E2661" s="108"/>
      <c r="F2661" s="109"/>
      <c r="G2661" s="97"/>
      <c r="H2661" s="97"/>
      <c r="I2661" s="97"/>
      <c r="J2661" s="98"/>
      <c r="K2661" s="99"/>
      <c r="L2661" s="98"/>
      <c r="M2661" s="99"/>
      <c r="N2661" s="99"/>
      <c r="O2661" s="18"/>
      <c r="P2661" s="100" t="b">
        <v>0</v>
      </c>
      <c r="Q2661" s="18"/>
      <c r="R2661" s="101" t="str">
        <f t="shared" si="2376"/>
        <v/>
      </c>
      <c r="S2661" s="32"/>
      <c r="T2661" s="102" t="str">
        <f t="shared" si="2484"/>
        <v/>
      </c>
      <c r="U2661" s="18"/>
      <c r="V2661" s="113">
        <v>182.0</v>
      </c>
      <c r="W2661" s="104" t="str">
        <f t="shared" si="2024"/>
        <v>/</v>
      </c>
      <c r="X2661" s="111" t="s">
        <v>1643</v>
      </c>
      <c r="Y2661" s="106"/>
      <c r="Z2661" s="26" t="str">
        <f t="shared" si="5"/>
        <v/>
      </c>
      <c r="AA2661" s="26" t="str">
        <f t="shared" si="6"/>
        <v/>
      </c>
      <c r="AB2661" s="32" t="str">
        <f t="shared" si="7"/>
        <v/>
      </c>
      <c r="AC2661" s="32" t="str">
        <f t="shared" ref="AC2661:AG2661" si="2701">IF(J2661&lt;&gt;"", IF(AND($P2661=FALSE, $A2661=FALSE), -J2661, IF(AND($P2661=FALSE, $A2661=TRUE), 0, IF($P2661=TRUE, (J2661 / $R2661) * 100 * ($S2661 / 100)-J2661, ))), )</f>
        <v/>
      </c>
      <c r="AD2661" s="32" t="str">
        <f t="shared" si="2701"/>
        <v/>
      </c>
      <c r="AE2661" s="32" t="str">
        <f t="shared" si="2701"/>
        <v/>
      </c>
      <c r="AF2661" s="32" t="str">
        <f t="shared" si="2701"/>
        <v/>
      </c>
      <c r="AG2661" s="32" t="str">
        <f t="shared" si="2701"/>
        <v/>
      </c>
      <c r="AH2661" s="33"/>
    </row>
    <row r="2662" hidden="1" outlineLevel="3">
      <c r="A2662" s="95" t="b">
        <v>0</v>
      </c>
      <c r="B2662" s="96"/>
      <c r="C2662" s="18"/>
      <c r="D2662" s="107"/>
      <c r="E2662" s="108"/>
      <c r="F2662" s="109"/>
      <c r="G2662" s="97"/>
      <c r="H2662" s="97"/>
      <c r="I2662" s="97"/>
      <c r="J2662" s="98"/>
      <c r="K2662" s="99"/>
      <c r="L2662" s="98"/>
      <c r="M2662" s="99"/>
      <c r="N2662" s="99"/>
      <c r="O2662" s="18"/>
      <c r="P2662" s="100" t="b">
        <v>0</v>
      </c>
      <c r="Q2662" s="18"/>
      <c r="R2662" s="101" t="str">
        <f t="shared" si="2376"/>
        <v/>
      </c>
      <c r="S2662" s="32"/>
      <c r="T2662" s="102" t="str">
        <f t="shared" si="2484"/>
        <v/>
      </c>
      <c r="U2662" s="18"/>
      <c r="V2662" s="75" t="s">
        <v>29</v>
      </c>
      <c r="W2662" s="104" t="str">
        <f t="shared" si="2024"/>
        <v>/</v>
      </c>
      <c r="X2662" s="111" t="s">
        <v>1644</v>
      </c>
      <c r="Y2662" s="106"/>
      <c r="Z2662" s="26" t="str">
        <f t="shared" si="5"/>
        <v/>
      </c>
      <c r="AA2662" s="26" t="str">
        <f t="shared" si="6"/>
        <v/>
      </c>
      <c r="AB2662" s="32" t="str">
        <f t="shared" si="7"/>
        <v/>
      </c>
      <c r="AC2662" s="32" t="str">
        <f t="shared" ref="AC2662:AG2662" si="2702">IF(J2662&lt;&gt;"", IF(AND($P2662=FALSE, $A2662=FALSE), -J2662, IF(AND($P2662=FALSE, $A2662=TRUE), 0, IF($P2662=TRUE, (J2662 / $R2662) * 100 * ($S2662 / 100)-J2662, ))), )</f>
        <v/>
      </c>
      <c r="AD2662" s="32" t="str">
        <f t="shared" si="2702"/>
        <v/>
      </c>
      <c r="AE2662" s="32" t="str">
        <f t="shared" si="2702"/>
        <v/>
      </c>
      <c r="AF2662" s="32" t="str">
        <f t="shared" si="2702"/>
        <v/>
      </c>
      <c r="AG2662" s="32" t="str">
        <f t="shared" si="2702"/>
        <v/>
      </c>
      <c r="AH2662" s="33"/>
    </row>
    <row r="2663" hidden="1" outlineLevel="3">
      <c r="A2663" s="95" t="b">
        <v>0</v>
      </c>
      <c r="B2663" s="96"/>
      <c r="C2663" s="18"/>
      <c r="D2663" s="107"/>
      <c r="E2663" s="108"/>
      <c r="F2663" s="109"/>
      <c r="G2663" s="97"/>
      <c r="H2663" s="97"/>
      <c r="I2663" s="97"/>
      <c r="J2663" s="98"/>
      <c r="K2663" s="99"/>
      <c r="L2663" s="98"/>
      <c r="M2663" s="99"/>
      <c r="N2663" s="99"/>
      <c r="O2663" s="18"/>
      <c r="P2663" s="100" t="b">
        <v>0</v>
      </c>
      <c r="Q2663" s="18"/>
      <c r="R2663" s="101" t="str">
        <f t="shared" si="2376"/>
        <v/>
      </c>
      <c r="S2663" s="32"/>
      <c r="T2663" s="102" t="str">
        <f t="shared" si="2484"/>
        <v/>
      </c>
      <c r="U2663" s="18"/>
      <c r="V2663" s="113">
        <v>16.0</v>
      </c>
      <c r="W2663" s="104" t="str">
        <f t="shared" si="2024"/>
        <v>/</v>
      </c>
      <c r="X2663" s="111" t="s">
        <v>1645</v>
      </c>
      <c r="Y2663" s="106"/>
      <c r="Z2663" s="26" t="str">
        <f t="shared" si="5"/>
        <v/>
      </c>
      <c r="AA2663" s="26" t="str">
        <f t="shared" si="6"/>
        <v/>
      </c>
      <c r="AB2663" s="32" t="str">
        <f t="shared" si="7"/>
        <v/>
      </c>
      <c r="AC2663" s="32" t="str">
        <f t="shared" ref="AC2663:AG2663" si="2703">IF(J2663&lt;&gt;"", IF(AND($P2663=FALSE, $A2663=FALSE), -J2663, IF(AND($P2663=FALSE, $A2663=TRUE), 0, IF($P2663=TRUE, (J2663 / $R2663) * 100 * ($S2663 / 100)-J2663, ))), )</f>
        <v/>
      </c>
      <c r="AD2663" s="32" t="str">
        <f t="shared" si="2703"/>
        <v/>
      </c>
      <c r="AE2663" s="32" t="str">
        <f t="shared" si="2703"/>
        <v/>
      </c>
      <c r="AF2663" s="32" t="str">
        <f t="shared" si="2703"/>
        <v/>
      </c>
      <c r="AG2663" s="32" t="str">
        <f t="shared" si="2703"/>
        <v/>
      </c>
      <c r="AH2663" s="33"/>
    </row>
    <row r="2664" hidden="1" outlineLevel="3">
      <c r="A2664" s="95" t="b">
        <v>0</v>
      </c>
      <c r="B2664" s="96"/>
      <c r="C2664" s="18"/>
      <c r="D2664" s="107"/>
      <c r="E2664" s="108"/>
      <c r="F2664" s="109"/>
      <c r="G2664" s="97"/>
      <c r="H2664" s="97"/>
      <c r="I2664" s="97"/>
      <c r="J2664" s="98"/>
      <c r="K2664" s="99"/>
      <c r="L2664" s="98"/>
      <c r="M2664" s="99"/>
      <c r="N2664" s="99"/>
      <c r="O2664" s="18"/>
      <c r="P2664" s="100" t="b">
        <v>0</v>
      </c>
      <c r="Q2664" s="18"/>
      <c r="R2664" s="101" t="str">
        <f t="shared" si="2376"/>
        <v/>
      </c>
      <c r="S2664" s="32"/>
      <c r="T2664" s="102" t="str">
        <f t="shared" si="2484"/>
        <v/>
      </c>
      <c r="U2664" s="18"/>
      <c r="V2664" s="75" t="s">
        <v>29</v>
      </c>
      <c r="W2664" s="104" t="str">
        <f t="shared" si="2024"/>
        <v>/</v>
      </c>
      <c r="X2664" s="111" t="s">
        <v>1646</v>
      </c>
      <c r="Y2664" s="106"/>
      <c r="Z2664" s="26" t="str">
        <f t="shared" si="5"/>
        <v/>
      </c>
      <c r="AA2664" s="26" t="str">
        <f t="shared" si="6"/>
        <v/>
      </c>
      <c r="AB2664" s="32" t="str">
        <f t="shared" si="7"/>
        <v/>
      </c>
      <c r="AC2664" s="32" t="str">
        <f t="shared" ref="AC2664:AG2664" si="2704">IF(J2664&lt;&gt;"", IF(AND($P2664=FALSE, $A2664=FALSE), -J2664, IF(AND($P2664=FALSE, $A2664=TRUE), 0, IF($P2664=TRUE, (J2664 / $R2664) * 100 * ($S2664 / 100)-J2664, ))), )</f>
        <v/>
      </c>
      <c r="AD2664" s="32" t="str">
        <f t="shared" si="2704"/>
        <v/>
      </c>
      <c r="AE2664" s="32" t="str">
        <f t="shared" si="2704"/>
        <v/>
      </c>
      <c r="AF2664" s="32" t="str">
        <f t="shared" si="2704"/>
        <v/>
      </c>
      <c r="AG2664" s="32" t="str">
        <f t="shared" si="2704"/>
        <v/>
      </c>
      <c r="AH2664" s="33"/>
    </row>
    <row r="2665" hidden="1" outlineLevel="3">
      <c r="A2665" s="95" t="b">
        <v>0</v>
      </c>
      <c r="B2665" s="96"/>
      <c r="C2665" s="18"/>
      <c r="D2665" s="107"/>
      <c r="E2665" s="108"/>
      <c r="F2665" s="109"/>
      <c r="G2665" s="97"/>
      <c r="H2665" s="97"/>
      <c r="I2665" s="97"/>
      <c r="J2665" s="98"/>
      <c r="K2665" s="99"/>
      <c r="L2665" s="98"/>
      <c r="M2665" s="99"/>
      <c r="N2665" s="99"/>
      <c r="O2665" s="18"/>
      <c r="P2665" s="100" t="b">
        <v>0</v>
      </c>
      <c r="Q2665" s="18"/>
      <c r="R2665" s="101" t="str">
        <f t="shared" si="2376"/>
        <v/>
      </c>
      <c r="S2665" s="32"/>
      <c r="T2665" s="102" t="str">
        <f t="shared" si="2484"/>
        <v/>
      </c>
      <c r="U2665" s="18"/>
      <c r="V2665" s="75" t="s">
        <v>29</v>
      </c>
      <c r="W2665" s="104" t="str">
        <f t="shared" si="2024"/>
        <v>/</v>
      </c>
      <c r="X2665" s="111" t="s">
        <v>1647</v>
      </c>
      <c r="Y2665" s="106"/>
      <c r="Z2665" s="26" t="str">
        <f t="shared" si="5"/>
        <v/>
      </c>
      <c r="AA2665" s="26" t="str">
        <f t="shared" si="6"/>
        <v/>
      </c>
      <c r="AB2665" s="32" t="str">
        <f t="shared" si="7"/>
        <v/>
      </c>
      <c r="AC2665" s="32" t="str">
        <f t="shared" ref="AC2665:AG2665" si="2705">IF(J2665&lt;&gt;"", IF(AND($P2665=FALSE, $A2665=FALSE), -J2665, IF(AND($P2665=FALSE, $A2665=TRUE), 0, IF($P2665=TRUE, (J2665 / $R2665) * 100 * ($S2665 / 100)-J2665, ))), )</f>
        <v/>
      </c>
      <c r="AD2665" s="32" t="str">
        <f t="shared" si="2705"/>
        <v/>
      </c>
      <c r="AE2665" s="32" t="str">
        <f t="shared" si="2705"/>
        <v/>
      </c>
      <c r="AF2665" s="32" t="str">
        <f t="shared" si="2705"/>
        <v/>
      </c>
      <c r="AG2665" s="32" t="str">
        <f t="shared" si="2705"/>
        <v/>
      </c>
      <c r="AH2665" s="33"/>
    </row>
    <row r="2666" hidden="1" outlineLevel="2" collapsed="1">
      <c r="A2666" s="95" t="b">
        <v>0</v>
      </c>
      <c r="B2666" s="96"/>
      <c r="C2666" s="18"/>
      <c r="D2666" s="42">
        <v>45568.0</v>
      </c>
      <c r="E2666" s="20" t="s">
        <v>24</v>
      </c>
      <c r="F2666" s="53" t="s">
        <v>1639</v>
      </c>
      <c r="G2666" s="97">
        <v>1.0</v>
      </c>
      <c r="H2666" s="97"/>
      <c r="I2666" s="97">
        <v>1.5</v>
      </c>
      <c r="J2666" s="98"/>
      <c r="K2666" s="99"/>
      <c r="L2666" s="98"/>
      <c r="M2666" s="99"/>
      <c r="N2666" s="99"/>
      <c r="O2666" s="18"/>
      <c r="P2666" s="100" t="b">
        <v>0</v>
      </c>
      <c r="Q2666" s="18"/>
      <c r="R2666" s="101">
        <f t="shared" si="2376"/>
        <v>2.5</v>
      </c>
      <c r="S2666" s="32">
        <v>30.67</v>
      </c>
      <c r="T2666" s="102" t="str">
        <f t="shared" si="2484"/>
        <v>+1127</v>
      </c>
      <c r="U2666" s="18"/>
      <c r="V2666" s="103" t="str">
        <f>IF(ISBLANK($D2666), "0",)</f>
        <v/>
      </c>
      <c r="W2666" s="104" t="str">
        <f t="shared" si="2024"/>
        <v/>
      </c>
      <c r="X2666" s="105"/>
      <c r="Y2666" s="106"/>
      <c r="Z2666" s="26">
        <f t="shared" si="5"/>
        <v>-1</v>
      </c>
      <c r="AA2666" s="26">
        <f t="shared" si="6"/>
        <v>-1.5</v>
      </c>
      <c r="AB2666" s="32" t="str">
        <f t="shared" si="7"/>
        <v/>
      </c>
      <c r="AC2666" s="32" t="str">
        <f t="shared" ref="AC2666:AG2666" si="2706">IF(J2666&lt;&gt;"", IF(AND($P2666=FALSE, $A2666=FALSE), -J2666, IF(AND($P2666=FALSE, $A2666=TRUE), 0, IF($P2666=TRUE, (J2666 / $R2666) * 100 * ($S2666 / 100)-J2666, ))), )</f>
        <v/>
      </c>
      <c r="AD2666" s="32" t="str">
        <f t="shared" si="2706"/>
        <v/>
      </c>
      <c r="AE2666" s="32" t="str">
        <f t="shared" si="2706"/>
        <v/>
      </c>
      <c r="AF2666" s="32" t="str">
        <f t="shared" si="2706"/>
        <v/>
      </c>
      <c r="AG2666" s="32" t="str">
        <f t="shared" si="2706"/>
        <v/>
      </c>
      <c r="AH2666" s="33"/>
    </row>
    <row r="2667" hidden="1" outlineLevel="3">
      <c r="A2667" s="95" t="b">
        <v>0</v>
      </c>
      <c r="B2667" s="96"/>
      <c r="C2667" s="18"/>
      <c r="D2667" s="107"/>
      <c r="E2667" s="108"/>
      <c r="F2667" s="109"/>
      <c r="G2667" s="97"/>
      <c r="H2667" s="97"/>
      <c r="I2667" s="97"/>
      <c r="J2667" s="98"/>
      <c r="K2667" s="99"/>
      <c r="L2667" s="98"/>
      <c r="M2667" s="99"/>
      <c r="N2667" s="99"/>
      <c r="O2667" s="18"/>
      <c r="P2667" s="100" t="b">
        <v>0</v>
      </c>
      <c r="Q2667" s="18"/>
      <c r="R2667" s="101" t="str">
        <f t="shared" si="2376"/>
        <v/>
      </c>
      <c r="S2667" s="32"/>
      <c r="T2667" s="102" t="str">
        <f t="shared" si="2484"/>
        <v/>
      </c>
      <c r="U2667" s="18"/>
      <c r="V2667" s="75" t="s">
        <v>29</v>
      </c>
      <c r="W2667" s="104" t="str">
        <f t="shared" si="2024"/>
        <v>/</v>
      </c>
      <c r="X2667" s="111" t="s">
        <v>1648</v>
      </c>
      <c r="Y2667" s="106"/>
      <c r="Z2667" s="26" t="str">
        <f t="shared" si="5"/>
        <v/>
      </c>
      <c r="AA2667" s="26" t="str">
        <f t="shared" si="6"/>
        <v/>
      </c>
      <c r="AB2667" s="32" t="str">
        <f t="shared" si="7"/>
        <v/>
      </c>
      <c r="AC2667" s="32" t="str">
        <f t="shared" ref="AC2667:AG2667" si="2707">IF(J2667&lt;&gt;"", IF(AND($P2667=FALSE, $A2667=FALSE), -J2667, IF(AND($P2667=FALSE, $A2667=TRUE), 0, IF($P2667=TRUE, (J2667 / $R2667) * 100 * ($S2667 / 100)-J2667, ))), )</f>
        <v/>
      </c>
      <c r="AD2667" s="32" t="str">
        <f t="shared" si="2707"/>
        <v/>
      </c>
      <c r="AE2667" s="32" t="str">
        <f t="shared" si="2707"/>
        <v/>
      </c>
      <c r="AF2667" s="32" t="str">
        <f t="shared" si="2707"/>
        <v/>
      </c>
      <c r="AG2667" s="32" t="str">
        <f t="shared" si="2707"/>
        <v/>
      </c>
      <c r="AH2667" s="33"/>
    </row>
    <row r="2668" hidden="1" outlineLevel="3">
      <c r="A2668" s="95" t="b">
        <v>0</v>
      </c>
      <c r="B2668" s="96"/>
      <c r="C2668" s="18"/>
      <c r="D2668" s="107"/>
      <c r="E2668" s="108"/>
      <c r="F2668" s="109"/>
      <c r="G2668" s="97"/>
      <c r="H2668" s="97"/>
      <c r="I2668" s="97"/>
      <c r="J2668" s="98"/>
      <c r="K2668" s="99"/>
      <c r="L2668" s="98"/>
      <c r="M2668" s="99"/>
      <c r="N2668" s="99"/>
      <c r="O2668" s="18"/>
      <c r="P2668" s="100" t="b">
        <v>0</v>
      </c>
      <c r="Q2668" s="18"/>
      <c r="R2668" s="101" t="str">
        <f t="shared" si="2376"/>
        <v/>
      </c>
      <c r="S2668" s="32"/>
      <c r="T2668" s="102" t="str">
        <f t="shared" si="2484"/>
        <v/>
      </c>
      <c r="U2668" s="18"/>
      <c r="V2668" s="113">
        <v>12.0</v>
      </c>
      <c r="W2668" s="104" t="str">
        <f t="shared" si="2024"/>
        <v>/</v>
      </c>
      <c r="X2668" s="111" t="s">
        <v>1649</v>
      </c>
      <c r="Y2668" s="106"/>
      <c r="Z2668" s="26" t="str">
        <f t="shared" si="5"/>
        <v/>
      </c>
      <c r="AA2668" s="26" t="str">
        <f t="shared" si="6"/>
        <v/>
      </c>
      <c r="AB2668" s="32" t="str">
        <f t="shared" si="7"/>
        <v/>
      </c>
      <c r="AC2668" s="32" t="str">
        <f t="shared" ref="AC2668:AG2668" si="2708">IF(J2668&lt;&gt;"", IF(AND($P2668=FALSE, $A2668=FALSE), -J2668, IF(AND($P2668=FALSE, $A2668=TRUE), 0, IF($P2668=TRUE, (J2668 / $R2668) * 100 * ($S2668 / 100)-J2668, ))), )</f>
        <v/>
      </c>
      <c r="AD2668" s="32" t="str">
        <f t="shared" si="2708"/>
        <v/>
      </c>
      <c r="AE2668" s="32" t="str">
        <f t="shared" si="2708"/>
        <v/>
      </c>
      <c r="AF2668" s="32" t="str">
        <f t="shared" si="2708"/>
        <v/>
      </c>
      <c r="AG2668" s="32" t="str">
        <f t="shared" si="2708"/>
        <v/>
      </c>
      <c r="AH2668" s="33"/>
    </row>
    <row r="2669" hidden="1" outlineLevel="2">
      <c r="A2669" s="95" t="b">
        <v>0</v>
      </c>
      <c r="B2669" s="96"/>
      <c r="C2669" s="18"/>
      <c r="D2669" s="42">
        <v>45568.0</v>
      </c>
      <c r="E2669" s="20" t="s">
        <v>24</v>
      </c>
      <c r="F2669" s="53" t="s">
        <v>1639</v>
      </c>
      <c r="G2669" s="97">
        <v>2.0</v>
      </c>
      <c r="H2669" s="97"/>
      <c r="I2669" s="97">
        <v>3.0</v>
      </c>
      <c r="J2669" s="98"/>
      <c r="K2669" s="99"/>
      <c r="L2669" s="98"/>
      <c r="M2669" s="99"/>
      <c r="N2669" s="99"/>
      <c r="O2669" s="18"/>
      <c r="P2669" s="100" t="b">
        <v>1</v>
      </c>
      <c r="Q2669" s="18"/>
      <c r="R2669" s="101">
        <f t="shared" si="2376"/>
        <v>5</v>
      </c>
      <c r="S2669" s="32">
        <v>17.8</v>
      </c>
      <c r="T2669" s="102" t="str">
        <f t="shared" si="2484"/>
        <v>+256</v>
      </c>
      <c r="U2669" s="18"/>
      <c r="V2669" s="103" t="str">
        <f>IF(ISBLANK($D2669), "0",)</f>
        <v/>
      </c>
      <c r="W2669" s="104" t="str">
        <f t="shared" si="2024"/>
        <v/>
      </c>
      <c r="X2669" s="105"/>
      <c r="Y2669" s="106"/>
      <c r="Z2669" s="26">
        <f t="shared" si="5"/>
        <v>5.12</v>
      </c>
      <c r="AA2669" s="26">
        <f t="shared" si="6"/>
        <v>7.68</v>
      </c>
      <c r="AB2669" s="32" t="str">
        <f t="shared" si="7"/>
        <v/>
      </c>
      <c r="AC2669" s="32" t="str">
        <f t="shared" ref="AC2669:AG2669" si="2709">IF(J2669&lt;&gt;"", IF(AND($P2669=FALSE, $A2669=FALSE), -J2669, IF(AND($P2669=FALSE, $A2669=TRUE), 0, IF($P2669=TRUE, (J2669 / $R2669) * 100 * ($S2669 / 100)-J2669, ))), )</f>
        <v/>
      </c>
      <c r="AD2669" s="32" t="str">
        <f t="shared" si="2709"/>
        <v/>
      </c>
      <c r="AE2669" s="32" t="str">
        <f t="shared" si="2709"/>
        <v/>
      </c>
      <c r="AF2669" s="32" t="str">
        <f t="shared" si="2709"/>
        <v/>
      </c>
      <c r="AG2669" s="32" t="str">
        <f t="shared" si="2709"/>
        <v/>
      </c>
      <c r="AH2669" s="33"/>
    </row>
    <row r="2670" hidden="1" outlineLevel="3">
      <c r="A2670" s="95" t="b">
        <v>0</v>
      </c>
      <c r="B2670" s="96"/>
      <c r="C2670" s="18"/>
      <c r="D2670" s="107"/>
      <c r="E2670" s="108"/>
      <c r="F2670" s="109"/>
      <c r="G2670" s="97"/>
      <c r="H2670" s="97"/>
      <c r="I2670" s="97"/>
      <c r="J2670" s="98"/>
      <c r="K2670" s="99"/>
      <c r="L2670" s="98"/>
      <c r="M2670" s="99"/>
      <c r="N2670" s="99"/>
      <c r="O2670" s="18"/>
      <c r="P2670" s="100" t="b">
        <v>0</v>
      </c>
      <c r="Q2670" s="18"/>
      <c r="R2670" s="101" t="str">
        <f t="shared" si="2376"/>
        <v/>
      </c>
      <c r="S2670" s="32"/>
      <c r="T2670" s="102" t="str">
        <f t="shared" si="2484"/>
        <v/>
      </c>
      <c r="U2670" s="18"/>
      <c r="V2670" s="75" t="s">
        <v>29</v>
      </c>
      <c r="W2670" s="104" t="str">
        <f t="shared" si="2024"/>
        <v>/</v>
      </c>
      <c r="X2670" s="111" t="s">
        <v>1634</v>
      </c>
      <c r="Y2670" s="106"/>
      <c r="Z2670" s="26" t="str">
        <f t="shared" si="5"/>
        <v/>
      </c>
      <c r="AA2670" s="26" t="str">
        <f t="shared" si="6"/>
        <v/>
      </c>
      <c r="AB2670" s="32" t="str">
        <f t="shared" si="7"/>
        <v/>
      </c>
      <c r="AC2670" s="32" t="str">
        <f t="shared" ref="AC2670:AG2670" si="2710">IF(J2670&lt;&gt;"", IF(AND($P2670=FALSE, $A2670=FALSE), -J2670, IF(AND($P2670=FALSE, $A2670=TRUE), 0, IF($P2670=TRUE, (J2670 / $R2670) * 100 * ($S2670 / 100)-J2670, ))), )</f>
        <v/>
      </c>
      <c r="AD2670" s="32" t="str">
        <f t="shared" si="2710"/>
        <v/>
      </c>
      <c r="AE2670" s="32" t="str">
        <f t="shared" si="2710"/>
        <v/>
      </c>
      <c r="AF2670" s="32" t="str">
        <f t="shared" si="2710"/>
        <v/>
      </c>
      <c r="AG2670" s="32" t="str">
        <f t="shared" si="2710"/>
        <v/>
      </c>
      <c r="AH2670" s="33"/>
    </row>
    <row r="2671" hidden="1" outlineLevel="3">
      <c r="A2671" s="95" t="b">
        <v>0</v>
      </c>
      <c r="B2671" s="96"/>
      <c r="C2671" s="18"/>
      <c r="D2671" s="107"/>
      <c r="E2671" s="108"/>
      <c r="F2671" s="109"/>
      <c r="G2671" s="97"/>
      <c r="H2671" s="97"/>
      <c r="I2671" s="97"/>
      <c r="J2671" s="98"/>
      <c r="K2671" s="99"/>
      <c r="L2671" s="98"/>
      <c r="M2671" s="99"/>
      <c r="N2671" s="99"/>
      <c r="O2671" s="18"/>
      <c r="P2671" s="100" t="b">
        <v>0</v>
      </c>
      <c r="Q2671" s="18"/>
      <c r="R2671" s="101" t="str">
        <f t="shared" si="2376"/>
        <v/>
      </c>
      <c r="S2671" s="32"/>
      <c r="T2671" s="102" t="str">
        <f t="shared" si="2484"/>
        <v/>
      </c>
      <c r="U2671" s="18"/>
      <c r="V2671" s="75" t="s">
        <v>29</v>
      </c>
      <c r="W2671" s="104" t="str">
        <f t="shared" si="2024"/>
        <v>/</v>
      </c>
      <c r="X2671" s="111" t="s">
        <v>1650</v>
      </c>
      <c r="Y2671" s="106"/>
      <c r="Z2671" s="26" t="str">
        <f t="shared" si="5"/>
        <v/>
      </c>
      <c r="AA2671" s="26" t="str">
        <f t="shared" si="6"/>
        <v/>
      </c>
      <c r="AB2671" s="32" t="str">
        <f t="shared" si="7"/>
        <v/>
      </c>
      <c r="AC2671" s="32" t="str">
        <f t="shared" ref="AC2671:AG2671" si="2711">IF(J2671&lt;&gt;"", IF(AND($P2671=FALSE, $A2671=FALSE), -J2671, IF(AND($P2671=FALSE, $A2671=TRUE), 0, IF($P2671=TRUE, (J2671 / $R2671) * 100 * ($S2671 / 100)-J2671, ))), )</f>
        <v/>
      </c>
      <c r="AD2671" s="32" t="str">
        <f t="shared" si="2711"/>
        <v/>
      </c>
      <c r="AE2671" s="32" t="str">
        <f t="shared" si="2711"/>
        <v/>
      </c>
      <c r="AF2671" s="32" t="str">
        <f t="shared" si="2711"/>
        <v/>
      </c>
      <c r="AG2671" s="32" t="str">
        <f t="shared" si="2711"/>
        <v/>
      </c>
      <c r="AH2671" s="33"/>
    </row>
    <row r="2672" hidden="1" outlineLevel="3">
      <c r="A2672" s="95" t="b">
        <v>0</v>
      </c>
      <c r="B2672" s="96"/>
      <c r="C2672" s="18"/>
      <c r="D2672" s="107"/>
      <c r="E2672" s="108"/>
      <c r="F2672" s="109"/>
      <c r="G2672" s="97"/>
      <c r="H2672" s="97"/>
      <c r="I2672" s="97"/>
      <c r="J2672" s="98"/>
      <c r="K2672" s="99"/>
      <c r="L2672" s="98"/>
      <c r="M2672" s="99"/>
      <c r="N2672" s="99"/>
      <c r="O2672" s="18"/>
      <c r="P2672" s="100" t="b">
        <v>0</v>
      </c>
      <c r="Q2672" s="18"/>
      <c r="R2672" s="101" t="str">
        <f t="shared" si="2376"/>
        <v/>
      </c>
      <c r="S2672" s="32"/>
      <c r="T2672" s="102" t="str">
        <f t="shared" si="2484"/>
        <v/>
      </c>
      <c r="U2672" s="18"/>
      <c r="V2672" s="75" t="s">
        <v>29</v>
      </c>
      <c r="W2672" s="104" t="str">
        <f t="shared" si="2024"/>
        <v>/</v>
      </c>
      <c r="X2672" s="111" t="s">
        <v>1651</v>
      </c>
      <c r="Y2672" s="106"/>
      <c r="Z2672" s="26" t="str">
        <f t="shared" si="5"/>
        <v/>
      </c>
      <c r="AA2672" s="26" t="str">
        <f t="shared" si="6"/>
        <v/>
      </c>
      <c r="AB2672" s="32" t="str">
        <f t="shared" si="7"/>
        <v/>
      </c>
      <c r="AC2672" s="32" t="str">
        <f t="shared" ref="AC2672:AG2672" si="2712">IF(J2672&lt;&gt;"", IF(AND($P2672=FALSE, $A2672=FALSE), -J2672, IF(AND($P2672=FALSE, $A2672=TRUE), 0, IF($P2672=TRUE, (J2672 / $R2672) * 100 * ($S2672 / 100)-J2672, ))), )</f>
        <v/>
      </c>
      <c r="AD2672" s="32" t="str">
        <f t="shared" si="2712"/>
        <v/>
      </c>
      <c r="AE2672" s="32" t="str">
        <f t="shared" si="2712"/>
        <v/>
      </c>
      <c r="AF2672" s="32" t="str">
        <f t="shared" si="2712"/>
        <v/>
      </c>
      <c r="AG2672" s="32" t="str">
        <f t="shared" si="2712"/>
        <v/>
      </c>
      <c r="AH2672" s="33"/>
    </row>
    <row r="2673" hidden="1" outlineLevel="3">
      <c r="A2673" s="95" t="b">
        <v>0</v>
      </c>
      <c r="B2673" s="96"/>
      <c r="C2673" s="18"/>
      <c r="D2673" s="107"/>
      <c r="E2673" s="108"/>
      <c r="F2673" s="109"/>
      <c r="G2673" s="97"/>
      <c r="H2673" s="97"/>
      <c r="I2673" s="97"/>
      <c r="J2673" s="98"/>
      <c r="K2673" s="99"/>
      <c r="L2673" s="98"/>
      <c r="M2673" s="99"/>
      <c r="N2673" s="99"/>
      <c r="O2673" s="18"/>
      <c r="P2673" s="100" t="b">
        <v>0</v>
      </c>
      <c r="Q2673" s="18"/>
      <c r="R2673" s="101" t="str">
        <f t="shared" si="2376"/>
        <v/>
      </c>
      <c r="S2673" s="32"/>
      <c r="T2673" s="102" t="str">
        <f t="shared" si="2484"/>
        <v/>
      </c>
      <c r="U2673" s="18"/>
      <c r="V2673" s="75" t="s">
        <v>29</v>
      </c>
      <c r="W2673" s="104" t="str">
        <f t="shared" si="2024"/>
        <v>/</v>
      </c>
      <c r="X2673" s="111" t="s">
        <v>1652</v>
      </c>
      <c r="Y2673" s="106"/>
      <c r="Z2673" s="26" t="str">
        <f t="shared" si="5"/>
        <v/>
      </c>
      <c r="AA2673" s="26" t="str">
        <f t="shared" si="6"/>
        <v/>
      </c>
      <c r="AB2673" s="32" t="str">
        <f t="shared" si="7"/>
        <v/>
      </c>
      <c r="AC2673" s="32" t="str">
        <f t="shared" ref="AC2673:AG2673" si="2713">IF(J2673&lt;&gt;"", IF(AND($P2673=FALSE, $A2673=FALSE), -J2673, IF(AND($P2673=FALSE, $A2673=TRUE), 0, IF($P2673=TRUE, (J2673 / $R2673) * 100 * ($S2673 / 100)-J2673, ))), )</f>
        <v/>
      </c>
      <c r="AD2673" s="32" t="str">
        <f t="shared" si="2713"/>
        <v/>
      </c>
      <c r="AE2673" s="32" t="str">
        <f t="shared" si="2713"/>
        <v/>
      </c>
      <c r="AF2673" s="32" t="str">
        <f t="shared" si="2713"/>
        <v/>
      </c>
      <c r="AG2673" s="32" t="str">
        <f t="shared" si="2713"/>
        <v/>
      </c>
      <c r="AH2673" s="33"/>
    </row>
    <row r="2674" hidden="1" outlineLevel="1" collapsed="1">
      <c r="A2674" s="95" t="b">
        <v>0</v>
      </c>
      <c r="B2674" s="96"/>
      <c r="C2674" s="18"/>
      <c r="D2674" s="42">
        <v>45571.0</v>
      </c>
      <c r="E2674" s="20" t="s">
        <v>24</v>
      </c>
      <c r="F2674" s="53" t="s">
        <v>1639</v>
      </c>
      <c r="G2674" s="97">
        <v>2.0</v>
      </c>
      <c r="H2674" s="97"/>
      <c r="I2674" s="97">
        <v>2.0</v>
      </c>
      <c r="J2674" s="98"/>
      <c r="K2674" s="99"/>
      <c r="L2674" s="98"/>
      <c r="M2674" s="99"/>
      <c r="N2674" s="99"/>
      <c r="O2674" s="18"/>
      <c r="P2674" s="100" t="b">
        <v>1</v>
      </c>
      <c r="Q2674" s="18"/>
      <c r="R2674" s="101">
        <f t="shared" si="2376"/>
        <v>4</v>
      </c>
      <c r="S2674" s="32">
        <v>9.17</v>
      </c>
      <c r="T2674" s="102" t="str">
        <f t="shared" si="2484"/>
        <v>+129</v>
      </c>
      <c r="U2674" s="18"/>
      <c r="V2674" s="103" t="str">
        <f>IF(ISBLANK($D2674), "0",)</f>
        <v/>
      </c>
      <c r="W2674" s="104" t="str">
        <f t="shared" si="2024"/>
        <v/>
      </c>
      <c r="X2674" s="105"/>
      <c r="Y2674" s="106"/>
      <c r="Z2674" s="26">
        <f t="shared" si="5"/>
        <v>2.585</v>
      </c>
      <c r="AA2674" s="26">
        <f t="shared" si="6"/>
        <v>2.585</v>
      </c>
      <c r="AB2674" s="32" t="str">
        <f t="shared" si="7"/>
        <v/>
      </c>
      <c r="AC2674" s="32" t="str">
        <f t="shared" ref="AC2674:AG2674" si="2714">IF(J2674&lt;&gt;"", IF(AND($P2674=FALSE, $A2674=FALSE), -J2674, IF(AND($P2674=FALSE, $A2674=TRUE), 0, IF($P2674=TRUE, (J2674 / $R2674) * 100 * ($S2674 / 100)-J2674, ))), )</f>
        <v/>
      </c>
      <c r="AD2674" s="32" t="str">
        <f t="shared" si="2714"/>
        <v/>
      </c>
      <c r="AE2674" s="32" t="str">
        <f t="shared" si="2714"/>
        <v/>
      </c>
      <c r="AF2674" s="32" t="str">
        <f t="shared" si="2714"/>
        <v/>
      </c>
      <c r="AG2674" s="32" t="str">
        <f t="shared" si="2714"/>
        <v/>
      </c>
      <c r="AH2674" s="33"/>
    </row>
    <row r="2675" hidden="1" outlineLevel="3">
      <c r="A2675" s="95" t="b">
        <v>0</v>
      </c>
      <c r="B2675" s="96"/>
      <c r="C2675" s="18"/>
      <c r="D2675" s="107"/>
      <c r="E2675" s="108"/>
      <c r="F2675" s="109"/>
      <c r="G2675" s="97"/>
      <c r="H2675" s="97"/>
      <c r="I2675" s="97"/>
      <c r="J2675" s="98"/>
      <c r="K2675" s="99"/>
      <c r="L2675" s="98"/>
      <c r="M2675" s="99"/>
      <c r="N2675" s="99"/>
      <c r="O2675" s="18"/>
      <c r="P2675" s="100" t="b">
        <v>0</v>
      </c>
      <c r="Q2675" s="18"/>
      <c r="R2675" s="101" t="str">
        <f t="shared" si="2376"/>
        <v/>
      </c>
      <c r="S2675" s="32"/>
      <c r="T2675" s="102" t="str">
        <f t="shared" si="2484"/>
        <v/>
      </c>
      <c r="U2675" s="18"/>
      <c r="V2675" s="75" t="s">
        <v>29</v>
      </c>
      <c r="W2675" s="104" t="str">
        <f t="shared" si="2024"/>
        <v>/</v>
      </c>
      <c r="X2675" s="111" t="s">
        <v>1653</v>
      </c>
      <c r="Y2675" s="106"/>
      <c r="Z2675" s="26" t="str">
        <f t="shared" si="5"/>
        <v/>
      </c>
      <c r="AA2675" s="26" t="str">
        <f t="shared" si="6"/>
        <v/>
      </c>
      <c r="AB2675" s="32" t="str">
        <f t="shared" si="7"/>
        <v/>
      </c>
      <c r="AC2675" s="32" t="str">
        <f t="shared" ref="AC2675:AG2675" si="2715">IF(J2675&lt;&gt;"", IF(AND($P2675=FALSE, $A2675=FALSE), -J2675, IF(AND($P2675=FALSE, $A2675=TRUE), 0, IF($P2675=TRUE, (J2675 / $R2675) * 100 * ($S2675 / 100)-J2675, ))), )</f>
        <v/>
      </c>
      <c r="AD2675" s="32" t="str">
        <f t="shared" si="2715"/>
        <v/>
      </c>
      <c r="AE2675" s="32" t="str">
        <f t="shared" si="2715"/>
        <v/>
      </c>
      <c r="AF2675" s="32" t="str">
        <f t="shared" si="2715"/>
        <v/>
      </c>
      <c r="AG2675" s="32" t="str">
        <f t="shared" si="2715"/>
        <v/>
      </c>
      <c r="AH2675" s="33"/>
    </row>
    <row r="2676" hidden="1" outlineLevel="3">
      <c r="A2676" s="95" t="b">
        <v>0</v>
      </c>
      <c r="B2676" s="96"/>
      <c r="C2676" s="18"/>
      <c r="D2676" s="107"/>
      <c r="E2676" s="108"/>
      <c r="F2676" s="109"/>
      <c r="G2676" s="97"/>
      <c r="H2676" s="97"/>
      <c r="I2676" s="97"/>
      <c r="J2676" s="98"/>
      <c r="K2676" s="99"/>
      <c r="L2676" s="98"/>
      <c r="M2676" s="99"/>
      <c r="N2676" s="99"/>
      <c r="O2676" s="18"/>
      <c r="P2676" s="100" t="b">
        <v>0</v>
      </c>
      <c r="Q2676" s="18"/>
      <c r="R2676" s="101" t="str">
        <f t="shared" si="2376"/>
        <v/>
      </c>
      <c r="S2676" s="32"/>
      <c r="T2676" s="102" t="str">
        <f t="shared" si="2484"/>
        <v/>
      </c>
      <c r="U2676" s="18"/>
      <c r="V2676" s="75" t="s">
        <v>29</v>
      </c>
      <c r="W2676" s="104" t="str">
        <f t="shared" si="2024"/>
        <v>/</v>
      </c>
      <c r="X2676" s="111" t="s">
        <v>1654</v>
      </c>
      <c r="Y2676" s="106"/>
      <c r="Z2676" s="26" t="str">
        <f t="shared" si="5"/>
        <v/>
      </c>
      <c r="AA2676" s="26" t="str">
        <f t="shared" si="6"/>
        <v/>
      </c>
      <c r="AB2676" s="32" t="str">
        <f t="shared" si="7"/>
        <v/>
      </c>
      <c r="AC2676" s="32" t="str">
        <f t="shared" ref="AC2676:AG2676" si="2716">IF(J2676&lt;&gt;"", IF(AND($P2676=FALSE, $A2676=FALSE), -J2676, IF(AND($P2676=FALSE, $A2676=TRUE), 0, IF($P2676=TRUE, (J2676 / $R2676) * 100 * ($S2676 / 100)-J2676, ))), )</f>
        <v/>
      </c>
      <c r="AD2676" s="32" t="str">
        <f t="shared" si="2716"/>
        <v/>
      </c>
      <c r="AE2676" s="32" t="str">
        <f t="shared" si="2716"/>
        <v/>
      </c>
      <c r="AF2676" s="32" t="str">
        <f t="shared" si="2716"/>
        <v/>
      </c>
      <c r="AG2676" s="32" t="str">
        <f t="shared" si="2716"/>
        <v/>
      </c>
      <c r="AH2676" s="33"/>
    </row>
    <row r="2677" hidden="1" outlineLevel="3">
      <c r="A2677" s="95" t="b">
        <v>0</v>
      </c>
      <c r="B2677" s="96"/>
      <c r="C2677" s="18"/>
      <c r="D2677" s="107"/>
      <c r="E2677" s="108"/>
      <c r="F2677" s="109"/>
      <c r="G2677" s="97"/>
      <c r="H2677" s="97"/>
      <c r="I2677" s="97"/>
      <c r="J2677" s="98"/>
      <c r="K2677" s="99"/>
      <c r="L2677" s="98"/>
      <c r="M2677" s="99"/>
      <c r="N2677" s="99"/>
      <c r="O2677" s="18"/>
      <c r="P2677" s="100" t="b">
        <v>0</v>
      </c>
      <c r="Q2677" s="18"/>
      <c r="R2677" s="101" t="str">
        <f t="shared" si="2376"/>
        <v/>
      </c>
      <c r="S2677" s="32"/>
      <c r="T2677" s="102" t="str">
        <f t="shared" si="2484"/>
        <v/>
      </c>
      <c r="U2677" s="18"/>
      <c r="V2677" s="75" t="s">
        <v>29</v>
      </c>
      <c r="W2677" s="104" t="str">
        <f t="shared" si="2024"/>
        <v>/</v>
      </c>
      <c r="X2677" s="111" t="s">
        <v>1655</v>
      </c>
      <c r="Y2677" s="106"/>
      <c r="Z2677" s="26" t="str">
        <f t="shared" si="5"/>
        <v/>
      </c>
      <c r="AA2677" s="26" t="str">
        <f t="shared" si="6"/>
        <v/>
      </c>
      <c r="AB2677" s="32" t="str">
        <f t="shared" si="7"/>
        <v/>
      </c>
      <c r="AC2677" s="32" t="str">
        <f t="shared" ref="AC2677:AG2677" si="2717">IF(J2677&lt;&gt;"", IF(AND($P2677=FALSE, $A2677=FALSE), -J2677, IF(AND($P2677=FALSE, $A2677=TRUE), 0, IF($P2677=TRUE, (J2677 / $R2677) * 100 * ($S2677 / 100)-J2677, ))), )</f>
        <v/>
      </c>
      <c r="AD2677" s="32" t="str">
        <f t="shared" si="2717"/>
        <v/>
      </c>
      <c r="AE2677" s="32" t="str">
        <f t="shared" si="2717"/>
        <v/>
      </c>
      <c r="AF2677" s="32" t="str">
        <f t="shared" si="2717"/>
        <v/>
      </c>
      <c r="AG2677" s="32" t="str">
        <f t="shared" si="2717"/>
        <v/>
      </c>
      <c r="AH2677" s="33"/>
    </row>
    <row r="2678" hidden="1" outlineLevel="2" collapsed="1">
      <c r="A2678" s="95" t="b">
        <v>0</v>
      </c>
      <c r="B2678" s="96"/>
      <c r="C2678" s="18"/>
      <c r="D2678" s="42">
        <v>45571.0</v>
      </c>
      <c r="E2678" s="20" t="s">
        <v>24</v>
      </c>
      <c r="F2678" s="53" t="s">
        <v>1639</v>
      </c>
      <c r="G2678" s="97">
        <v>2.0</v>
      </c>
      <c r="H2678" s="97"/>
      <c r="I2678" s="97">
        <v>3.0</v>
      </c>
      <c r="J2678" s="98"/>
      <c r="K2678" s="99"/>
      <c r="L2678" s="98"/>
      <c r="M2678" s="99"/>
      <c r="N2678" s="99"/>
      <c r="O2678" s="18"/>
      <c r="P2678" s="100" t="b">
        <v>1</v>
      </c>
      <c r="Q2678" s="18"/>
      <c r="R2678" s="101">
        <f t="shared" si="2376"/>
        <v>5</v>
      </c>
      <c r="S2678" s="32">
        <v>13.46</v>
      </c>
      <c r="T2678" s="102" t="str">
        <f t="shared" si="2484"/>
        <v>+169</v>
      </c>
      <c r="U2678" s="18"/>
      <c r="V2678" s="103" t="str">
        <f>IF(ISBLANK($D2678), "0",)</f>
        <v/>
      </c>
      <c r="W2678" s="104" t="str">
        <f t="shared" si="2024"/>
        <v/>
      </c>
      <c r="X2678" s="105"/>
      <c r="Y2678" s="106"/>
      <c r="Z2678" s="26">
        <f t="shared" si="5"/>
        <v>3.384</v>
      </c>
      <c r="AA2678" s="26">
        <f t="shared" si="6"/>
        <v>5.076</v>
      </c>
      <c r="AB2678" s="32" t="str">
        <f t="shared" si="7"/>
        <v/>
      </c>
      <c r="AC2678" s="32" t="str">
        <f t="shared" ref="AC2678:AG2678" si="2718">IF(J2678&lt;&gt;"", IF(AND($P2678=FALSE, $A2678=FALSE), -J2678, IF(AND($P2678=FALSE, $A2678=TRUE), 0, IF($P2678=TRUE, (J2678 / $R2678) * 100 * ($S2678 / 100)-J2678, ))), )</f>
        <v/>
      </c>
      <c r="AD2678" s="32" t="str">
        <f t="shared" si="2718"/>
        <v/>
      </c>
      <c r="AE2678" s="32" t="str">
        <f t="shared" si="2718"/>
        <v/>
      </c>
      <c r="AF2678" s="32" t="str">
        <f t="shared" si="2718"/>
        <v/>
      </c>
      <c r="AG2678" s="32" t="str">
        <f t="shared" si="2718"/>
        <v/>
      </c>
      <c r="AH2678" s="33"/>
    </row>
    <row r="2679" hidden="1" outlineLevel="3">
      <c r="A2679" s="95" t="b">
        <v>0</v>
      </c>
      <c r="B2679" s="96"/>
      <c r="C2679" s="18"/>
      <c r="D2679" s="107"/>
      <c r="E2679" s="108"/>
      <c r="F2679" s="109"/>
      <c r="G2679" s="97"/>
      <c r="H2679" s="97"/>
      <c r="I2679" s="97"/>
      <c r="J2679" s="98"/>
      <c r="K2679" s="99"/>
      <c r="L2679" s="98"/>
      <c r="M2679" s="99"/>
      <c r="N2679" s="99"/>
      <c r="O2679" s="18"/>
      <c r="P2679" s="100" t="b">
        <v>0</v>
      </c>
      <c r="Q2679" s="18"/>
      <c r="R2679" s="101" t="str">
        <f t="shared" si="2376"/>
        <v/>
      </c>
      <c r="S2679" s="32"/>
      <c r="T2679" s="102" t="str">
        <f t="shared" si="2484"/>
        <v/>
      </c>
      <c r="U2679" s="18"/>
      <c r="V2679" s="75" t="s">
        <v>29</v>
      </c>
      <c r="W2679" s="104" t="str">
        <f t="shared" si="2024"/>
        <v>/</v>
      </c>
      <c r="X2679" s="111" t="s">
        <v>908</v>
      </c>
      <c r="Y2679" s="106"/>
      <c r="Z2679" s="26" t="str">
        <f t="shared" si="5"/>
        <v/>
      </c>
      <c r="AA2679" s="26" t="str">
        <f t="shared" si="6"/>
        <v/>
      </c>
      <c r="AB2679" s="32" t="str">
        <f t="shared" si="7"/>
        <v/>
      </c>
      <c r="AC2679" s="32" t="str">
        <f t="shared" ref="AC2679:AG2679" si="2719">IF(J2679&lt;&gt;"", IF(AND($P2679=FALSE, $A2679=FALSE), -J2679, IF(AND($P2679=FALSE, $A2679=TRUE), 0, IF($P2679=TRUE, (J2679 / $R2679) * 100 * ($S2679 / 100)-J2679, ))), )</f>
        <v/>
      </c>
      <c r="AD2679" s="32" t="str">
        <f t="shared" si="2719"/>
        <v/>
      </c>
      <c r="AE2679" s="32" t="str">
        <f t="shared" si="2719"/>
        <v/>
      </c>
      <c r="AF2679" s="32" t="str">
        <f t="shared" si="2719"/>
        <v/>
      </c>
      <c r="AG2679" s="32" t="str">
        <f t="shared" si="2719"/>
        <v/>
      </c>
      <c r="AH2679" s="33"/>
    </row>
    <row r="2680" hidden="1" outlineLevel="3">
      <c r="A2680" s="95" t="b">
        <v>0</v>
      </c>
      <c r="B2680" s="96"/>
      <c r="C2680" s="18"/>
      <c r="D2680" s="107"/>
      <c r="E2680" s="108"/>
      <c r="F2680" s="109"/>
      <c r="G2680" s="97"/>
      <c r="H2680" s="97"/>
      <c r="I2680" s="97"/>
      <c r="J2680" s="98"/>
      <c r="K2680" s="99"/>
      <c r="L2680" s="98"/>
      <c r="M2680" s="99"/>
      <c r="N2680" s="99"/>
      <c r="O2680" s="18"/>
      <c r="P2680" s="100" t="b">
        <v>0</v>
      </c>
      <c r="Q2680" s="18"/>
      <c r="R2680" s="101" t="str">
        <f t="shared" si="2376"/>
        <v/>
      </c>
      <c r="S2680" s="32"/>
      <c r="T2680" s="102" t="str">
        <f t="shared" si="2484"/>
        <v/>
      </c>
      <c r="U2680" s="18"/>
      <c r="V2680" s="75" t="s">
        <v>29</v>
      </c>
      <c r="W2680" s="104" t="str">
        <f t="shared" si="2024"/>
        <v>/</v>
      </c>
      <c r="X2680" s="111" t="s">
        <v>1656</v>
      </c>
      <c r="Y2680" s="106"/>
      <c r="Z2680" s="26" t="str">
        <f t="shared" si="5"/>
        <v/>
      </c>
      <c r="AA2680" s="26" t="str">
        <f t="shared" si="6"/>
        <v/>
      </c>
      <c r="AB2680" s="32" t="str">
        <f t="shared" si="7"/>
        <v/>
      </c>
      <c r="AC2680" s="32" t="str">
        <f t="shared" ref="AC2680:AG2680" si="2720">IF(J2680&lt;&gt;"", IF(AND($P2680=FALSE, $A2680=FALSE), -J2680, IF(AND($P2680=FALSE, $A2680=TRUE), 0, IF($P2680=TRUE, (J2680 / $R2680) * 100 * ($S2680 / 100)-J2680, ))), )</f>
        <v/>
      </c>
      <c r="AD2680" s="32" t="str">
        <f t="shared" si="2720"/>
        <v/>
      </c>
      <c r="AE2680" s="32" t="str">
        <f t="shared" si="2720"/>
        <v/>
      </c>
      <c r="AF2680" s="32" t="str">
        <f t="shared" si="2720"/>
        <v/>
      </c>
      <c r="AG2680" s="32" t="str">
        <f t="shared" si="2720"/>
        <v/>
      </c>
      <c r="AH2680" s="33"/>
    </row>
    <row r="2681" hidden="1" outlineLevel="3">
      <c r="A2681" s="95" t="b">
        <v>0</v>
      </c>
      <c r="B2681" s="96"/>
      <c r="C2681" s="18"/>
      <c r="D2681" s="107"/>
      <c r="E2681" s="108"/>
      <c r="F2681" s="109"/>
      <c r="G2681" s="97"/>
      <c r="H2681" s="97"/>
      <c r="I2681" s="97"/>
      <c r="J2681" s="98"/>
      <c r="K2681" s="99"/>
      <c r="L2681" s="98"/>
      <c r="M2681" s="99"/>
      <c r="N2681" s="99"/>
      <c r="O2681" s="18"/>
      <c r="P2681" s="100" t="b">
        <v>0</v>
      </c>
      <c r="Q2681" s="18"/>
      <c r="R2681" s="101" t="str">
        <f t="shared" si="2376"/>
        <v/>
      </c>
      <c r="S2681" s="32"/>
      <c r="T2681" s="102" t="str">
        <f t="shared" si="2484"/>
        <v/>
      </c>
      <c r="U2681" s="18"/>
      <c r="V2681" s="75" t="s">
        <v>29</v>
      </c>
      <c r="W2681" s="104" t="str">
        <f t="shared" si="2024"/>
        <v>/</v>
      </c>
      <c r="X2681" s="111" t="s">
        <v>1657</v>
      </c>
      <c r="Y2681" s="106"/>
      <c r="Z2681" s="26" t="str">
        <f t="shared" si="5"/>
        <v/>
      </c>
      <c r="AA2681" s="26" t="str">
        <f t="shared" si="6"/>
        <v/>
      </c>
      <c r="AB2681" s="32" t="str">
        <f t="shared" si="7"/>
        <v/>
      </c>
      <c r="AC2681" s="32" t="str">
        <f t="shared" ref="AC2681:AG2681" si="2721">IF(J2681&lt;&gt;"", IF(AND($P2681=FALSE, $A2681=FALSE), -J2681, IF(AND($P2681=FALSE, $A2681=TRUE), 0, IF($P2681=TRUE, (J2681 / $R2681) * 100 * ($S2681 / 100)-J2681, ))), )</f>
        <v/>
      </c>
      <c r="AD2681" s="32" t="str">
        <f t="shared" si="2721"/>
        <v/>
      </c>
      <c r="AE2681" s="32" t="str">
        <f t="shared" si="2721"/>
        <v/>
      </c>
      <c r="AF2681" s="32" t="str">
        <f t="shared" si="2721"/>
        <v/>
      </c>
      <c r="AG2681" s="32" t="str">
        <f t="shared" si="2721"/>
        <v/>
      </c>
      <c r="AH2681" s="33"/>
    </row>
    <row r="2682" hidden="1" outlineLevel="2" collapsed="1">
      <c r="A2682" s="95" t="b">
        <v>0</v>
      </c>
      <c r="B2682" s="96"/>
      <c r="C2682" s="18"/>
      <c r="D2682" s="42">
        <v>45571.0</v>
      </c>
      <c r="E2682" s="20" t="s">
        <v>24</v>
      </c>
      <c r="F2682" s="53" t="s">
        <v>1639</v>
      </c>
      <c r="G2682" s="97">
        <v>1.0</v>
      </c>
      <c r="H2682" s="97"/>
      <c r="I2682" s="97">
        <v>1.0</v>
      </c>
      <c r="J2682" s="98"/>
      <c r="K2682" s="99"/>
      <c r="L2682" s="98"/>
      <c r="M2682" s="99"/>
      <c r="N2682" s="99"/>
      <c r="O2682" s="18"/>
      <c r="P2682" s="100" t="b">
        <v>0</v>
      </c>
      <c r="Q2682" s="18"/>
      <c r="R2682" s="101">
        <f t="shared" si="2376"/>
        <v>2</v>
      </c>
      <c r="S2682" s="32">
        <v>4.2</v>
      </c>
      <c r="T2682" s="102" t="str">
        <f t="shared" si="2484"/>
        <v>+110</v>
      </c>
      <c r="U2682" s="18"/>
      <c r="V2682" s="103" t="str">
        <f t="shared" ref="V2682:V2684" si="2723">IF(ISBLANK($D2682), "0",)</f>
        <v/>
      </c>
      <c r="W2682" s="104" t="str">
        <f t="shared" si="2024"/>
        <v/>
      </c>
      <c r="X2682" s="105"/>
      <c r="Y2682" s="106"/>
      <c r="Z2682" s="26">
        <f t="shared" si="5"/>
        <v>-1</v>
      </c>
      <c r="AA2682" s="26">
        <f t="shared" si="6"/>
        <v>-1</v>
      </c>
      <c r="AB2682" s="32" t="str">
        <f t="shared" si="7"/>
        <v/>
      </c>
      <c r="AC2682" s="32" t="str">
        <f t="shared" ref="AC2682:AG2682" si="2722">IF(J2682&lt;&gt;"", IF(AND($P2682=FALSE, $A2682=FALSE), -J2682, IF(AND($P2682=FALSE, $A2682=TRUE), 0, IF($P2682=TRUE, (J2682 / $R2682) * 100 * ($S2682 / 100)-J2682, ))), )</f>
        <v/>
      </c>
      <c r="AD2682" s="32" t="str">
        <f t="shared" si="2722"/>
        <v/>
      </c>
      <c r="AE2682" s="32" t="str">
        <f t="shared" si="2722"/>
        <v/>
      </c>
      <c r="AF2682" s="32" t="str">
        <f t="shared" si="2722"/>
        <v/>
      </c>
      <c r="AG2682" s="32" t="str">
        <f t="shared" si="2722"/>
        <v/>
      </c>
      <c r="AH2682" s="33"/>
    </row>
    <row r="2683" hidden="1" outlineLevel="3">
      <c r="A2683" s="95" t="b">
        <v>0</v>
      </c>
      <c r="B2683" s="96"/>
      <c r="C2683" s="18"/>
      <c r="D2683" s="107"/>
      <c r="E2683" s="108"/>
      <c r="F2683" s="109"/>
      <c r="G2683" s="97"/>
      <c r="H2683" s="97"/>
      <c r="I2683" s="97"/>
      <c r="J2683" s="98"/>
      <c r="K2683" s="99"/>
      <c r="L2683" s="98"/>
      <c r="M2683" s="99"/>
      <c r="N2683" s="99"/>
      <c r="O2683" s="18"/>
      <c r="P2683" s="100" t="b">
        <v>0</v>
      </c>
      <c r="Q2683" s="18"/>
      <c r="R2683" s="101" t="str">
        <f t="shared" si="2376"/>
        <v/>
      </c>
      <c r="S2683" s="32"/>
      <c r="T2683" s="102" t="str">
        <f t="shared" si="2484"/>
        <v/>
      </c>
      <c r="U2683" s="18"/>
      <c r="V2683" s="103" t="str">
        <f t="shared" si="2723"/>
        <v>0</v>
      </c>
      <c r="W2683" s="104" t="str">
        <f t="shared" si="2024"/>
        <v>/</v>
      </c>
      <c r="X2683" s="111" t="s">
        <v>778</v>
      </c>
      <c r="Y2683" s="106"/>
      <c r="Z2683" s="26" t="str">
        <f t="shared" si="5"/>
        <v/>
      </c>
      <c r="AA2683" s="26" t="str">
        <f t="shared" si="6"/>
        <v/>
      </c>
      <c r="AB2683" s="32" t="str">
        <f t="shared" si="7"/>
        <v/>
      </c>
      <c r="AC2683" s="32" t="str">
        <f t="shared" ref="AC2683:AG2683" si="2724">IF(J2683&lt;&gt;"", IF(AND($P2683=FALSE, $A2683=FALSE), -J2683, IF(AND($P2683=FALSE, $A2683=TRUE), 0, IF($P2683=TRUE, (J2683 / $R2683) * 100 * ($S2683 / 100)-J2683, ))), )</f>
        <v/>
      </c>
      <c r="AD2683" s="32" t="str">
        <f t="shared" si="2724"/>
        <v/>
      </c>
      <c r="AE2683" s="32" t="str">
        <f t="shared" si="2724"/>
        <v/>
      </c>
      <c r="AF2683" s="32" t="str">
        <f t="shared" si="2724"/>
        <v/>
      </c>
      <c r="AG2683" s="32" t="str">
        <f t="shared" si="2724"/>
        <v/>
      </c>
      <c r="AH2683" s="33"/>
    </row>
    <row r="2684" hidden="1" outlineLevel="2" collapsed="1">
      <c r="A2684" s="95" t="b">
        <v>0</v>
      </c>
      <c r="B2684" s="96"/>
      <c r="C2684" s="18"/>
      <c r="D2684" s="42">
        <v>45571.0</v>
      </c>
      <c r="E2684" s="20" t="s">
        <v>24</v>
      </c>
      <c r="F2684" s="53" t="s">
        <v>1639</v>
      </c>
      <c r="G2684" s="97">
        <v>3.0</v>
      </c>
      <c r="H2684" s="97"/>
      <c r="I2684" s="97">
        <v>12.0</v>
      </c>
      <c r="J2684" s="98"/>
      <c r="K2684" s="99"/>
      <c r="L2684" s="98"/>
      <c r="M2684" s="99"/>
      <c r="N2684" s="99"/>
      <c r="O2684" s="18"/>
      <c r="P2684" s="100" t="b">
        <v>1</v>
      </c>
      <c r="Q2684" s="18"/>
      <c r="R2684" s="101">
        <f t="shared" si="2376"/>
        <v>15</v>
      </c>
      <c r="S2684" s="32">
        <v>54.0</v>
      </c>
      <c r="T2684" s="102" t="str">
        <f t="shared" si="2484"/>
        <v>+260</v>
      </c>
      <c r="U2684" s="18"/>
      <c r="V2684" s="103" t="str">
        <f t="shared" si="2723"/>
        <v/>
      </c>
      <c r="W2684" s="104" t="str">
        <f t="shared" si="2024"/>
        <v/>
      </c>
      <c r="X2684" s="105"/>
      <c r="Y2684" s="106"/>
      <c r="Z2684" s="26">
        <f t="shared" si="5"/>
        <v>7.8</v>
      </c>
      <c r="AA2684" s="26">
        <f t="shared" si="6"/>
        <v>31.2</v>
      </c>
      <c r="AB2684" s="32" t="str">
        <f t="shared" si="7"/>
        <v/>
      </c>
      <c r="AC2684" s="32" t="str">
        <f t="shared" ref="AC2684:AG2684" si="2725">IF(J2684&lt;&gt;"", IF(AND($P2684=FALSE, $A2684=FALSE), -J2684, IF(AND($P2684=FALSE, $A2684=TRUE), 0, IF($P2684=TRUE, (J2684 / $R2684) * 100 * ($S2684 / 100)-J2684, ))), )</f>
        <v/>
      </c>
      <c r="AD2684" s="32" t="str">
        <f t="shared" si="2725"/>
        <v/>
      </c>
      <c r="AE2684" s="32" t="str">
        <f t="shared" si="2725"/>
        <v/>
      </c>
      <c r="AF2684" s="32" t="str">
        <f t="shared" si="2725"/>
        <v/>
      </c>
      <c r="AG2684" s="32" t="str">
        <f t="shared" si="2725"/>
        <v/>
      </c>
      <c r="AH2684" s="33"/>
    </row>
    <row r="2685" hidden="1" outlineLevel="3">
      <c r="A2685" s="95" t="b">
        <v>0</v>
      </c>
      <c r="B2685" s="96"/>
      <c r="C2685" s="18"/>
      <c r="D2685" s="107"/>
      <c r="E2685" s="108"/>
      <c r="F2685" s="109"/>
      <c r="G2685" s="97"/>
      <c r="H2685" s="97"/>
      <c r="I2685" s="97"/>
      <c r="J2685" s="98"/>
      <c r="K2685" s="99"/>
      <c r="L2685" s="98"/>
      <c r="M2685" s="99"/>
      <c r="N2685" s="99"/>
      <c r="O2685" s="18"/>
      <c r="P2685" s="100" t="b">
        <v>0</v>
      </c>
      <c r="Q2685" s="18"/>
      <c r="R2685" s="101" t="str">
        <f t="shared" si="2376"/>
        <v/>
      </c>
      <c r="S2685" s="32"/>
      <c r="T2685" s="102" t="str">
        <f t="shared" si="2484"/>
        <v/>
      </c>
      <c r="U2685" s="18"/>
      <c r="V2685" s="75" t="s">
        <v>29</v>
      </c>
      <c r="W2685" s="104" t="str">
        <f t="shared" si="2024"/>
        <v>/</v>
      </c>
      <c r="X2685" s="111" t="s">
        <v>1658</v>
      </c>
      <c r="Y2685" s="106"/>
      <c r="Z2685" s="26" t="str">
        <f t="shared" si="5"/>
        <v/>
      </c>
      <c r="AA2685" s="26" t="str">
        <f t="shared" si="6"/>
        <v/>
      </c>
      <c r="AB2685" s="32" t="str">
        <f t="shared" si="7"/>
        <v/>
      </c>
      <c r="AC2685" s="32" t="str">
        <f t="shared" ref="AC2685:AG2685" si="2726">IF(J2685&lt;&gt;"", IF(AND($P2685=FALSE, $A2685=FALSE), -J2685, IF(AND($P2685=FALSE, $A2685=TRUE), 0, IF($P2685=TRUE, (J2685 / $R2685) * 100 * ($S2685 / 100)-J2685, ))), )</f>
        <v/>
      </c>
      <c r="AD2685" s="32" t="str">
        <f t="shared" si="2726"/>
        <v/>
      </c>
      <c r="AE2685" s="32" t="str">
        <f t="shared" si="2726"/>
        <v/>
      </c>
      <c r="AF2685" s="32" t="str">
        <f t="shared" si="2726"/>
        <v/>
      </c>
      <c r="AG2685" s="32" t="str">
        <f t="shared" si="2726"/>
        <v/>
      </c>
      <c r="AH2685" s="33"/>
    </row>
    <row r="2686" hidden="1" outlineLevel="3">
      <c r="A2686" s="95" t="b">
        <v>0</v>
      </c>
      <c r="B2686" s="96"/>
      <c r="C2686" s="18"/>
      <c r="D2686" s="107"/>
      <c r="E2686" s="108"/>
      <c r="F2686" s="109"/>
      <c r="G2686" s="97"/>
      <c r="H2686" s="97"/>
      <c r="I2686" s="97"/>
      <c r="J2686" s="98"/>
      <c r="K2686" s="99"/>
      <c r="L2686" s="98"/>
      <c r="M2686" s="99"/>
      <c r="N2686" s="99"/>
      <c r="O2686" s="18"/>
      <c r="P2686" s="100" t="b">
        <v>0</v>
      </c>
      <c r="Q2686" s="18"/>
      <c r="R2686" s="101" t="str">
        <f t="shared" si="2376"/>
        <v/>
      </c>
      <c r="S2686" s="32"/>
      <c r="T2686" s="102" t="str">
        <f t="shared" si="2484"/>
        <v/>
      </c>
      <c r="U2686" s="18"/>
      <c r="V2686" s="75" t="s">
        <v>29</v>
      </c>
      <c r="W2686" s="104" t="str">
        <f t="shared" si="2024"/>
        <v>/</v>
      </c>
      <c r="X2686" s="111" t="s">
        <v>1659</v>
      </c>
      <c r="Y2686" s="106"/>
      <c r="Z2686" s="26" t="str">
        <f t="shared" si="5"/>
        <v/>
      </c>
      <c r="AA2686" s="26" t="str">
        <f t="shared" si="6"/>
        <v/>
      </c>
      <c r="AB2686" s="32" t="str">
        <f t="shared" si="7"/>
        <v/>
      </c>
      <c r="AC2686" s="32" t="str">
        <f t="shared" ref="AC2686:AG2686" si="2727">IF(J2686&lt;&gt;"", IF(AND($P2686=FALSE, $A2686=FALSE), -J2686, IF(AND($P2686=FALSE, $A2686=TRUE), 0, IF($P2686=TRUE, (J2686 / $R2686) * 100 * ($S2686 / 100)-J2686, ))), )</f>
        <v/>
      </c>
      <c r="AD2686" s="32" t="str">
        <f t="shared" si="2727"/>
        <v/>
      </c>
      <c r="AE2686" s="32" t="str">
        <f t="shared" si="2727"/>
        <v/>
      </c>
      <c r="AF2686" s="32" t="str">
        <f t="shared" si="2727"/>
        <v/>
      </c>
      <c r="AG2686" s="32" t="str">
        <f t="shared" si="2727"/>
        <v/>
      </c>
      <c r="AH2686" s="33"/>
    </row>
    <row r="2687" hidden="1" outlineLevel="2" collapsed="1">
      <c r="A2687" s="95" t="b">
        <v>0</v>
      </c>
      <c r="B2687" s="96"/>
      <c r="C2687" s="18"/>
      <c r="D2687" s="42">
        <v>45571.0</v>
      </c>
      <c r="E2687" s="20" t="s">
        <v>24</v>
      </c>
      <c r="F2687" s="53" t="s">
        <v>1639</v>
      </c>
      <c r="G2687" s="97">
        <v>2.0</v>
      </c>
      <c r="H2687" s="97"/>
      <c r="I2687" s="97">
        <v>4.0</v>
      </c>
      <c r="J2687" s="98"/>
      <c r="K2687" s="99"/>
      <c r="L2687" s="98"/>
      <c r="M2687" s="99"/>
      <c r="N2687" s="99"/>
      <c r="O2687" s="18"/>
      <c r="P2687" s="100" t="b">
        <v>1</v>
      </c>
      <c r="Q2687" s="18"/>
      <c r="R2687" s="101">
        <f t="shared" si="2376"/>
        <v>6</v>
      </c>
      <c r="S2687" s="32">
        <v>106.48</v>
      </c>
      <c r="T2687" s="102" t="str">
        <f t="shared" si="2484"/>
        <v>+1675</v>
      </c>
      <c r="U2687" s="18"/>
      <c r="V2687" s="103" t="str">
        <f>IF(ISBLANK($D2687), "0",)</f>
        <v/>
      </c>
      <c r="W2687" s="104" t="str">
        <f t="shared" si="2024"/>
        <v/>
      </c>
      <c r="X2687" s="105"/>
      <c r="Y2687" s="106"/>
      <c r="Z2687" s="26">
        <f t="shared" si="5"/>
        <v>33.49333333</v>
      </c>
      <c r="AA2687" s="26">
        <f t="shared" si="6"/>
        <v>66.98666667</v>
      </c>
      <c r="AB2687" s="32" t="str">
        <f t="shared" si="7"/>
        <v/>
      </c>
      <c r="AC2687" s="32" t="str">
        <f t="shared" ref="AC2687:AG2687" si="2728">IF(J2687&lt;&gt;"", IF(AND($P2687=FALSE, $A2687=FALSE), -J2687, IF(AND($P2687=FALSE, $A2687=TRUE), 0, IF($P2687=TRUE, (J2687 / $R2687) * 100 * ($S2687 / 100)-J2687, ))), )</f>
        <v/>
      </c>
      <c r="AD2687" s="32" t="str">
        <f t="shared" si="2728"/>
        <v/>
      </c>
      <c r="AE2687" s="32" t="str">
        <f t="shared" si="2728"/>
        <v/>
      </c>
      <c r="AF2687" s="32" t="str">
        <f t="shared" si="2728"/>
        <v/>
      </c>
      <c r="AG2687" s="32" t="str">
        <f t="shared" si="2728"/>
        <v/>
      </c>
      <c r="AH2687" s="33"/>
    </row>
    <row r="2688" hidden="1" outlineLevel="3">
      <c r="A2688" s="95" t="b">
        <v>0</v>
      </c>
      <c r="B2688" s="96"/>
      <c r="C2688" s="18"/>
      <c r="D2688" s="107"/>
      <c r="E2688" s="108"/>
      <c r="F2688" s="109"/>
      <c r="G2688" s="97"/>
      <c r="H2688" s="97"/>
      <c r="I2688" s="97"/>
      <c r="J2688" s="98"/>
      <c r="K2688" s="99"/>
      <c r="L2688" s="98"/>
      <c r="M2688" s="99"/>
      <c r="N2688" s="99"/>
      <c r="O2688" s="18"/>
      <c r="P2688" s="100" t="b">
        <v>0</v>
      </c>
      <c r="Q2688" s="18"/>
      <c r="R2688" s="101" t="str">
        <f t="shared" si="2376"/>
        <v/>
      </c>
      <c r="S2688" s="32"/>
      <c r="T2688" s="102" t="str">
        <f t="shared" si="2484"/>
        <v/>
      </c>
      <c r="U2688" s="18"/>
      <c r="V2688" s="75" t="s">
        <v>29</v>
      </c>
      <c r="W2688" s="104" t="str">
        <f t="shared" si="2024"/>
        <v>/</v>
      </c>
      <c r="X2688" s="111" t="s">
        <v>1660</v>
      </c>
      <c r="Y2688" s="106"/>
      <c r="Z2688" s="26" t="str">
        <f t="shared" si="5"/>
        <v/>
      </c>
      <c r="AA2688" s="26" t="str">
        <f t="shared" si="6"/>
        <v/>
      </c>
      <c r="AB2688" s="32" t="str">
        <f t="shared" si="7"/>
        <v/>
      </c>
      <c r="AC2688" s="32" t="str">
        <f t="shared" ref="AC2688:AG2688" si="2729">IF(J2688&lt;&gt;"", IF(AND($P2688=FALSE, $A2688=FALSE), -J2688, IF(AND($P2688=FALSE, $A2688=TRUE), 0, IF($P2688=TRUE, (J2688 / $R2688) * 100 * ($S2688 / 100)-J2688, ))), )</f>
        <v/>
      </c>
      <c r="AD2688" s="32" t="str">
        <f t="shared" si="2729"/>
        <v/>
      </c>
      <c r="AE2688" s="32" t="str">
        <f t="shared" si="2729"/>
        <v/>
      </c>
      <c r="AF2688" s="32" t="str">
        <f t="shared" si="2729"/>
        <v/>
      </c>
      <c r="AG2688" s="32" t="str">
        <f t="shared" si="2729"/>
        <v/>
      </c>
      <c r="AH2688" s="33"/>
    </row>
    <row r="2689" hidden="1" outlineLevel="3">
      <c r="A2689" s="95" t="b">
        <v>0</v>
      </c>
      <c r="B2689" s="96"/>
      <c r="C2689" s="18"/>
      <c r="D2689" s="107"/>
      <c r="E2689" s="108"/>
      <c r="F2689" s="109"/>
      <c r="G2689" s="97"/>
      <c r="H2689" s="97"/>
      <c r="I2689" s="97"/>
      <c r="J2689" s="98"/>
      <c r="K2689" s="99"/>
      <c r="L2689" s="98"/>
      <c r="M2689" s="99"/>
      <c r="N2689" s="99"/>
      <c r="O2689" s="18"/>
      <c r="P2689" s="100" t="b">
        <v>0</v>
      </c>
      <c r="Q2689" s="18"/>
      <c r="R2689" s="101" t="str">
        <f t="shared" si="2376"/>
        <v/>
      </c>
      <c r="S2689" s="32"/>
      <c r="T2689" s="102" t="str">
        <f t="shared" si="2484"/>
        <v/>
      </c>
      <c r="U2689" s="18"/>
      <c r="V2689" s="75" t="s">
        <v>29</v>
      </c>
      <c r="W2689" s="104" t="str">
        <f t="shared" si="2024"/>
        <v>/</v>
      </c>
      <c r="X2689" s="111" t="s">
        <v>1661</v>
      </c>
      <c r="Y2689" s="106"/>
      <c r="Z2689" s="26" t="str">
        <f t="shared" si="5"/>
        <v/>
      </c>
      <c r="AA2689" s="26" t="str">
        <f t="shared" si="6"/>
        <v/>
      </c>
      <c r="AB2689" s="32" t="str">
        <f t="shared" si="7"/>
        <v/>
      </c>
      <c r="AC2689" s="32" t="str">
        <f t="shared" ref="AC2689:AG2689" si="2730">IF(J2689&lt;&gt;"", IF(AND($P2689=FALSE, $A2689=FALSE), -J2689, IF(AND($P2689=FALSE, $A2689=TRUE), 0, IF($P2689=TRUE, (J2689 / $R2689) * 100 * ($S2689 / 100)-J2689, ))), )</f>
        <v/>
      </c>
      <c r="AD2689" s="32" t="str">
        <f t="shared" si="2730"/>
        <v/>
      </c>
      <c r="AE2689" s="32" t="str">
        <f t="shared" si="2730"/>
        <v/>
      </c>
      <c r="AF2689" s="32" t="str">
        <f t="shared" si="2730"/>
        <v/>
      </c>
      <c r="AG2689" s="32" t="str">
        <f t="shared" si="2730"/>
        <v/>
      </c>
      <c r="AH2689" s="33"/>
    </row>
    <row r="2690" hidden="1" outlineLevel="3">
      <c r="A2690" s="95" t="b">
        <v>0</v>
      </c>
      <c r="B2690" s="96"/>
      <c r="C2690" s="18"/>
      <c r="D2690" s="107"/>
      <c r="E2690" s="108"/>
      <c r="F2690" s="109"/>
      <c r="G2690" s="97"/>
      <c r="H2690" s="97"/>
      <c r="I2690" s="97"/>
      <c r="J2690" s="98"/>
      <c r="K2690" s="99"/>
      <c r="L2690" s="98"/>
      <c r="M2690" s="99"/>
      <c r="N2690" s="99"/>
      <c r="O2690" s="18"/>
      <c r="P2690" s="100" t="b">
        <v>0</v>
      </c>
      <c r="Q2690" s="18"/>
      <c r="R2690" s="101" t="str">
        <f t="shared" si="2376"/>
        <v/>
      </c>
      <c r="S2690" s="32"/>
      <c r="T2690" s="102" t="str">
        <f t="shared" si="2484"/>
        <v/>
      </c>
      <c r="U2690" s="18"/>
      <c r="V2690" s="75" t="s">
        <v>29</v>
      </c>
      <c r="W2690" s="104" t="str">
        <f t="shared" si="2024"/>
        <v>/</v>
      </c>
      <c r="X2690" s="111" t="s">
        <v>1662</v>
      </c>
      <c r="Y2690" s="106"/>
      <c r="Z2690" s="26" t="str">
        <f t="shared" si="5"/>
        <v/>
      </c>
      <c r="AA2690" s="26" t="str">
        <f t="shared" si="6"/>
        <v/>
      </c>
      <c r="AB2690" s="32" t="str">
        <f t="shared" si="7"/>
        <v/>
      </c>
      <c r="AC2690" s="32" t="str">
        <f t="shared" ref="AC2690:AG2690" si="2731">IF(J2690&lt;&gt;"", IF(AND($P2690=FALSE, $A2690=FALSE), -J2690, IF(AND($P2690=FALSE, $A2690=TRUE), 0, IF($P2690=TRUE, (J2690 / $R2690) * 100 * ($S2690 / 100)-J2690, ))), )</f>
        <v/>
      </c>
      <c r="AD2690" s="32" t="str">
        <f t="shared" si="2731"/>
        <v/>
      </c>
      <c r="AE2690" s="32" t="str">
        <f t="shared" si="2731"/>
        <v/>
      </c>
      <c r="AF2690" s="32" t="str">
        <f t="shared" si="2731"/>
        <v/>
      </c>
      <c r="AG2690" s="32" t="str">
        <f t="shared" si="2731"/>
        <v/>
      </c>
      <c r="AH2690" s="33"/>
    </row>
    <row r="2691" hidden="1" outlineLevel="3">
      <c r="A2691" s="95" t="b">
        <v>0</v>
      </c>
      <c r="B2691" s="96"/>
      <c r="C2691" s="18"/>
      <c r="D2691" s="107"/>
      <c r="E2691" s="108"/>
      <c r="F2691" s="109"/>
      <c r="G2691" s="97"/>
      <c r="H2691" s="97"/>
      <c r="I2691" s="97"/>
      <c r="J2691" s="98"/>
      <c r="K2691" s="99"/>
      <c r="L2691" s="98"/>
      <c r="M2691" s="99"/>
      <c r="N2691" s="99"/>
      <c r="O2691" s="18"/>
      <c r="P2691" s="100" t="b">
        <v>0</v>
      </c>
      <c r="Q2691" s="18"/>
      <c r="R2691" s="101" t="str">
        <f t="shared" si="2376"/>
        <v/>
      </c>
      <c r="S2691" s="32"/>
      <c r="T2691" s="102" t="str">
        <f t="shared" si="2484"/>
        <v/>
      </c>
      <c r="U2691" s="18"/>
      <c r="V2691" s="75" t="s">
        <v>29</v>
      </c>
      <c r="W2691" s="104" t="str">
        <f t="shared" si="2024"/>
        <v>/</v>
      </c>
      <c r="X2691" s="111" t="s">
        <v>1663</v>
      </c>
      <c r="Y2691" s="106"/>
      <c r="Z2691" s="26" t="str">
        <f t="shared" si="5"/>
        <v/>
      </c>
      <c r="AA2691" s="26" t="str">
        <f t="shared" si="6"/>
        <v/>
      </c>
      <c r="AB2691" s="32" t="str">
        <f t="shared" si="7"/>
        <v/>
      </c>
      <c r="AC2691" s="32" t="str">
        <f t="shared" ref="AC2691:AG2691" si="2732">IF(J2691&lt;&gt;"", IF(AND($P2691=FALSE, $A2691=FALSE), -J2691, IF(AND($P2691=FALSE, $A2691=TRUE), 0, IF($P2691=TRUE, (J2691 / $R2691) * 100 * ($S2691 / 100)-J2691, ))), )</f>
        <v/>
      </c>
      <c r="AD2691" s="32" t="str">
        <f t="shared" si="2732"/>
        <v/>
      </c>
      <c r="AE2691" s="32" t="str">
        <f t="shared" si="2732"/>
        <v/>
      </c>
      <c r="AF2691" s="32" t="str">
        <f t="shared" si="2732"/>
        <v/>
      </c>
      <c r="AG2691" s="32" t="str">
        <f t="shared" si="2732"/>
        <v/>
      </c>
      <c r="AH2691" s="33"/>
    </row>
    <row r="2692" hidden="1" outlineLevel="3">
      <c r="A2692" s="95" t="b">
        <v>0</v>
      </c>
      <c r="B2692" s="96"/>
      <c r="C2692" s="18"/>
      <c r="D2692" s="107"/>
      <c r="E2692" s="108"/>
      <c r="F2692" s="109"/>
      <c r="G2692" s="97"/>
      <c r="H2692" s="97"/>
      <c r="I2692" s="97"/>
      <c r="J2692" s="98"/>
      <c r="K2692" s="99"/>
      <c r="L2692" s="98"/>
      <c r="M2692" s="99"/>
      <c r="N2692" s="99"/>
      <c r="O2692" s="18"/>
      <c r="P2692" s="100" t="b">
        <v>0</v>
      </c>
      <c r="Q2692" s="18"/>
      <c r="R2692" s="101"/>
      <c r="S2692" s="32"/>
      <c r="T2692" s="102"/>
      <c r="U2692" s="18"/>
      <c r="V2692" s="75" t="s">
        <v>29</v>
      </c>
      <c r="W2692" s="104" t="str">
        <f t="shared" si="2024"/>
        <v>/</v>
      </c>
      <c r="X2692" s="111" t="s">
        <v>1664</v>
      </c>
      <c r="Y2692" s="106"/>
      <c r="Z2692" s="26" t="str">
        <f t="shared" si="5"/>
        <v/>
      </c>
      <c r="AA2692" s="26" t="str">
        <f t="shared" si="6"/>
        <v/>
      </c>
      <c r="AB2692" s="32" t="str">
        <f t="shared" si="7"/>
        <v/>
      </c>
      <c r="AC2692" s="32" t="str">
        <f t="shared" ref="AC2692:AG2692" si="2733">IF(J2692&lt;&gt;"", IF(AND($P2692=FALSE, $A2692=FALSE), -J2692, IF(AND($P2692=FALSE, $A2692=TRUE), 0, IF($P2692=TRUE, (J2692 / $R2692) * 100 * ($S2692 / 100)-J2692, ))), )</f>
        <v/>
      </c>
      <c r="AD2692" s="32" t="str">
        <f t="shared" si="2733"/>
        <v/>
      </c>
      <c r="AE2692" s="32" t="str">
        <f t="shared" si="2733"/>
        <v/>
      </c>
      <c r="AF2692" s="32" t="str">
        <f t="shared" si="2733"/>
        <v/>
      </c>
      <c r="AG2692" s="32" t="str">
        <f t="shared" si="2733"/>
        <v/>
      </c>
      <c r="AH2692" s="33"/>
    </row>
    <row r="2693" hidden="1" outlineLevel="3">
      <c r="A2693" s="95" t="b">
        <v>0</v>
      </c>
      <c r="B2693" s="96"/>
      <c r="C2693" s="18"/>
      <c r="D2693" s="107"/>
      <c r="E2693" s="108"/>
      <c r="F2693" s="109"/>
      <c r="G2693" s="97"/>
      <c r="H2693" s="97"/>
      <c r="I2693" s="97"/>
      <c r="J2693" s="98"/>
      <c r="K2693" s="99"/>
      <c r="L2693" s="98"/>
      <c r="M2693" s="99"/>
      <c r="N2693" s="99"/>
      <c r="O2693" s="18"/>
      <c r="P2693" s="100" t="b">
        <v>0</v>
      </c>
      <c r="Q2693" s="18"/>
      <c r="R2693" s="101" t="str">
        <f t="shared" ref="R2693:R2730" si="2735">IF(G2693 &lt;&gt; "",SUM(G2693:O2693),)</f>
        <v/>
      </c>
      <c r="S2693" s="32"/>
      <c r="T2693" s="102" t="str">
        <f t="shared" ref="T2693:T2730" si="2736">IFERROR(IF((S2693-R2693)&gt;R2693,"+"&amp;ROUND(((S2693-R2693)/R2693)*100,0),ROUND((S2693/(R2693-S2693))*100+100, 0)),)</f>
        <v/>
      </c>
      <c r="U2693" s="18"/>
      <c r="V2693" s="75" t="s">
        <v>29</v>
      </c>
      <c r="W2693" s="104" t="str">
        <f t="shared" si="2024"/>
        <v>/</v>
      </c>
      <c r="X2693" s="111" t="s">
        <v>517</v>
      </c>
      <c r="Y2693" s="106"/>
      <c r="Z2693" s="26" t="str">
        <f t="shared" si="5"/>
        <v/>
      </c>
      <c r="AA2693" s="26" t="str">
        <f t="shared" si="6"/>
        <v/>
      </c>
      <c r="AB2693" s="32" t="str">
        <f t="shared" si="7"/>
        <v/>
      </c>
      <c r="AC2693" s="32" t="str">
        <f t="shared" ref="AC2693:AG2693" si="2734">IF(J2693&lt;&gt;"", IF(AND($P2693=FALSE, $A2693=FALSE), -J2693, IF(AND($P2693=FALSE, $A2693=TRUE), 0, IF($P2693=TRUE, (J2693 / $R2693) * 100 * ($S2693 / 100)-J2693, ))), )</f>
        <v/>
      </c>
      <c r="AD2693" s="32" t="str">
        <f t="shared" si="2734"/>
        <v/>
      </c>
      <c r="AE2693" s="32" t="str">
        <f t="shared" si="2734"/>
        <v/>
      </c>
      <c r="AF2693" s="32" t="str">
        <f t="shared" si="2734"/>
        <v/>
      </c>
      <c r="AG2693" s="32" t="str">
        <f t="shared" si="2734"/>
        <v/>
      </c>
      <c r="AH2693" s="33"/>
    </row>
    <row r="2694" hidden="1" outlineLevel="2" collapsed="1">
      <c r="A2694" s="95" t="b">
        <v>0</v>
      </c>
      <c r="B2694" s="96"/>
      <c r="C2694" s="18"/>
      <c r="D2694" s="42">
        <v>45571.0</v>
      </c>
      <c r="E2694" s="20" t="s">
        <v>24</v>
      </c>
      <c r="F2694" s="53" t="s">
        <v>1639</v>
      </c>
      <c r="G2694" s="97">
        <v>0.01</v>
      </c>
      <c r="H2694" s="97"/>
      <c r="I2694" s="97">
        <v>0.01</v>
      </c>
      <c r="J2694" s="98"/>
      <c r="K2694" s="99"/>
      <c r="L2694" s="98"/>
      <c r="M2694" s="99"/>
      <c r="N2694" s="99"/>
      <c r="O2694" s="18"/>
      <c r="P2694" s="100" t="b">
        <v>1</v>
      </c>
      <c r="Q2694" s="18"/>
      <c r="R2694" s="101">
        <f t="shared" si="2735"/>
        <v>0.02</v>
      </c>
      <c r="S2694" s="32">
        <v>11.07</v>
      </c>
      <c r="T2694" s="102" t="str">
        <f t="shared" si="2736"/>
        <v>+55250</v>
      </c>
      <c r="U2694" s="18"/>
      <c r="V2694" s="103" t="str">
        <f>IF(ISBLANK($D2694), "0",)</f>
        <v/>
      </c>
      <c r="W2694" s="104" t="str">
        <f t="shared" si="2024"/>
        <v/>
      </c>
      <c r="X2694" s="105"/>
      <c r="Y2694" s="106"/>
      <c r="Z2694" s="26">
        <f t="shared" si="5"/>
        <v>5.525</v>
      </c>
      <c r="AA2694" s="26">
        <f t="shared" si="6"/>
        <v>5.525</v>
      </c>
      <c r="AB2694" s="32" t="str">
        <f t="shared" si="7"/>
        <v/>
      </c>
      <c r="AC2694" s="32" t="str">
        <f t="shared" ref="AC2694:AG2694" si="2737">IF(J2694&lt;&gt;"", IF(AND($P2694=FALSE, $A2694=FALSE), -J2694, IF(AND($P2694=FALSE, $A2694=TRUE), 0, IF($P2694=TRUE, (J2694 / $R2694) * 100 * ($S2694 / 100)-J2694, ))), )</f>
        <v/>
      </c>
      <c r="AD2694" s="32" t="str">
        <f t="shared" si="2737"/>
        <v/>
      </c>
      <c r="AE2694" s="32" t="str">
        <f t="shared" si="2737"/>
        <v/>
      </c>
      <c r="AF2694" s="32" t="str">
        <f t="shared" si="2737"/>
        <v/>
      </c>
      <c r="AG2694" s="32" t="str">
        <f t="shared" si="2737"/>
        <v/>
      </c>
      <c r="AH2694" s="33"/>
    </row>
    <row r="2695" hidden="1" outlineLevel="3">
      <c r="A2695" s="95" t="b">
        <v>0</v>
      </c>
      <c r="B2695" s="96"/>
      <c r="C2695" s="18"/>
      <c r="D2695" s="107"/>
      <c r="E2695" s="108"/>
      <c r="F2695" s="109"/>
      <c r="G2695" s="97"/>
      <c r="H2695" s="97"/>
      <c r="I2695" s="97"/>
      <c r="J2695" s="98"/>
      <c r="K2695" s="99"/>
      <c r="L2695" s="98"/>
      <c r="M2695" s="99"/>
      <c r="N2695" s="99"/>
      <c r="O2695" s="18"/>
      <c r="P2695" s="100" t="b">
        <v>0</v>
      </c>
      <c r="Q2695" s="18"/>
      <c r="R2695" s="101" t="str">
        <f t="shared" si="2735"/>
        <v/>
      </c>
      <c r="S2695" s="32"/>
      <c r="T2695" s="102" t="str">
        <f t="shared" si="2736"/>
        <v/>
      </c>
      <c r="U2695" s="18"/>
      <c r="V2695" s="75" t="s">
        <v>29</v>
      </c>
      <c r="W2695" s="104" t="str">
        <f t="shared" si="2024"/>
        <v>/</v>
      </c>
      <c r="X2695" s="111" t="s">
        <v>1665</v>
      </c>
      <c r="Y2695" s="106"/>
      <c r="Z2695" s="26" t="str">
        <f t="shared" si="5"/>
        <v/>
      </c>
      <c r="AA2695" s="26" t="str">
        <f t="shared" si="6"/>
        <v/>
      </c>
      <c r="AB2695" s="32" t="str">
        <f t="shared" si="7"/>
        <v/>
      </c>
      <c r="AC2695" s="32" t="str">
        <f t="shared" ref="AC2695:AG2695" si="2738">IF(J2695&lt;&gt;"", IF(AND($P2695=FALSE, $A2695=FALSE), -J2695, IF(AND($P2695=FALSE, $A2695=TRUE), 0, IF($P2695=TRUE, (J2695 / $R2695) * 100 * ($S2695 / 100)-J2695, ))), )</f>
        <v/>
      </c>
      <c r="AD2695" s="32" t="str">
        <f t="shared" si="2738"/>
        <v/>
      </c>
      <c r="AE2695" s="32" t="str">
        <f t="shared" si="2738"/>
        <v/>
      </c>
      <c r="AF2695" s="32" t="str">
        <f t="shared" si="2738"/>
        <v/>
      </c>
      <c r="AG2695" s="32" t="str">
        <f t="shared" si="2738"/>
        <v/>
      </c>
      <c r="AH2695" s="33"/>
    </row>
    <row r="2696" hidden="1" outlineLevel="3">
      <c r="A2696" s="95" t="b">
        <v>0</v>
      </c>
      <c r="B2696" s="96"/>
      <c r="C2696" s="18"/>
      <c r="D2696" s="107"/>
      <c r="E2696" s="108"/>
      <c r="F2696" s="109"/>
      <c r="G2696" s="97"/>
      <c r="H2696" s="97"/>
      <c r="I2696" s="97"/>
      <c r="J2696" s="98"/>
      <c r="K2696" s="99"/>
      <c r="L2696" s="98"/>
      <c r="M2696" s="99"/>
      <c r="N2696" s="99"/>
      <c r="O2696" s="18"/>
      <c r="P2696" s="100" t="b">
        <v>0</v>
      </c>
      <c r="Q2696" s="18"/>
      <c r="R2696" s="101" t="str">
        <f t="shared" si="2735"/>
        <v/>
      </c>
      <c r="S2696" s="32"/>
      <c r="T2696" s="102" t="str">
        <f t="shared" si="2736"/>
        <v/>
      </c>
      <c r="U2696" s="18"/>
      <c r="V2696" s="75" t="s">
        <v>29</v>
      </c>
      <c r="W2696" s="104" t="str">
        <f t="shared" si="2024"/>
        <v>/</v>
      </c>
      <c r="X2696" s="111" t="s">
        <v>1666</v>
      </c>
      <c r="Y2696" s="106"/>
      <c r="Z2696" s="26" t="str">
        <f t="shared" si="5"/>
        <v/>
      </c>
      <c r="AA2696" s="26" t="str">
        <f t="shared" si="6"/>
        <v/>
      </c>
      <c r="AB2696" s="32" t="str">
        <f t="shared" si="7"/>
        <v/>
      </c>
      <c r="AC2696" s="32" t="str">
        <f t="shared" ref="AC2696:AG2696" si="2739">IF(J2696&lt;&gt;"", IF(AND($P2696=FALSE, $A2696=FALSE), -J2696, IF(AND($P2696=FALSE, $A2696=TRUE), 0, IF($P2696=TRUE, (J2696 / $R2696) * 100 * ($S2696 / 100)-J2696, ))), )</f>
        <v/>
      </c>
      <c r="AD2696" s="32" t="str">
        <f t="shared" si="2739"/>
        <v/>
      </c>
      <c r="AE2696" s="32" t="str">
        <f t="shared" si="2739"/>
        <v/>
      </c>
      <c r="AF2696" s="32" t="str">
        <f t="shared" si="2739"/>
        <v/>
      </c>
      <c r="AG2696" s="32" t="str">
        <f t="shared" si="2739"/>
        <v/>
      </c>
      <c r="AH2696" s="33"/>
    </row>
    <row r="2697" hidden="1" outlineLevel="3">
      <c r="A2697" s="95" t="b">
        <v>0</v>
      </c>
      <c r="B2697" s="96"/>
      <c r="C2697" s="18"/>
      <c r="D2697" s="107"/>
      <c r="E2697" s="108"/>
      <c r="F2697" s="109"/>
      <c r="G2697" s="97"/>
      <c r="H2697" s="97"/>
      <c r="I2697" s="97"/>
      <c r="J2697" s="98"/>
      <c r="K2697" s="99"/>
      <c r="L2697" s="98"/>
      <c r="M2697" s="99"/>
      <c r="N2697" s="99"/>
      <c r="O2697" s="18"/>
      <c r="P2697" s="100" t="b">
        <v>0</v>
      </c>
      <c r="Q2697" s="18"/>
      <c r="R2697" s="101" t="str">
        <f t="shared" si="2735"/>
        <v/>
      </c>
      <c r="S2697" s="32"/>
      <c r="T2697" s="102" t="str">
        <f t="shared" si="2736"/>
        <v/>
      </c>
      <c r="U2697" s="18"/>
      <c r="V2697" s="75" t="s">
        <v>29</v>
      </c>
      <c r="W2697" s="104" t="str">
        <f t="shared" si="2024"/>
        <v>/</v>
      </c>
      <c r="X2697" s="111" t="s">
        <v>1667</v>
      </c>
      <c r="Y2697" s="106"/>
      <c r="Z2697" s="26" t="str">
        <f t="shared" si="5"/>
        <v/>
      </c>
      <c r="AA2697" s="26" t="str">
        <f t="shared" si="6"/>
        <v/>
      </c>
      <c r="AB2697" s="32" t="str">
        <f t="shared" si="7"/>
        <v/>
      </c>
      <c r="AC2697" s="32" t="str">
        <f t="shared" ref="AC2697:AG2697" si="2740">IF(J2697&lt;&gt;"", IF(AND($P2697=FALSE, $A2697=FALSE), -J2697, IF(AND($P2697=FALSE, $A2697=TRUE), 0, IF($P2697=TRUE, (J2697 / $R2697) * 100 * ($S2697 / 100)-J2697, ))), )</f>
        <v/>
      </c>
      <c r="AD2697" s="32" t="str">
        <f t="shared" si="2740"/>
        <v/>
      </c>
      <c r="AE2697" s="32" t="str">
        <f t="shared" si="2740"/>
        <v/>
      </c>
      <c r="AF2697" s="32" t="str">
        <f t="shared" si="2740"/>
        <v/>
      </c>
      <c r="AG2697" s="32" t="str">
        <f t="shared" si="2740"/>
        <v/>
      </c>
      <c r="AH2697" s="33"/>
    </row>
    <row r="2698" hidden="1" outlineLevel="2" collapsed="1">
      <c r="A2698" s="95" t="b">
        <v>0</v>
      </c>
      <c r="B2698" s="96"/>
      <c r="C2698" s="18"/>
      <c r="D2698" s="42">
        <v>45571.0</v>
      </c>
      <c r="E2698" s="20" t="s">
        <v>24</v>
      </c>
      <c r="F2698" s="53" t="s">
        <v>1639</v>
      </c>
      <c r="G2698" s="97">
        <v>1.0</v>
      </c>
      <c r="H2698" s="97"/>
      <c r="I2698" s="97"/>
      <c r="J2698" s="98"/>
      <c r="K2698" s="99"/>
      <c r="L2698" s="98"/>
      <c r="M2698" s="99"/>
      <c r="N2698" s="99"/>
      <c r="O2698" s="18"/>
      <c r="P2698" s="100" t="b">
        <v>0</v>
      </c>
      <c r="Q2698" s="18"/>
      <c r="R2698" s="101">
        <f t="shared" si="2735"/>
        <v>1</v>
      </c>
      <c r="S2698" s="32">
        <v>2.65</v>
      </c>
      <c r="T2698" s="102" t="str">
        <f t="shared" si="2736"/>
        <v>+165</v>
      </c>
      <c r="U2698" s="18"/>
      <c r="V2698" s="103" t="str">
        <f t="shared" ref="V2698:V2700" si="2742">IF(ISBLANK($D2698), "0",)</f>
        <v/>
      </c>
      <c r="W2698" s="104" t="str">
        <f t="shared" si="2024"/>
        <v/>
      </c>
      <c r="X2698" s="105"/>
      <c r="Y2698" s="106"/>
      <c r="Z2698" s="26">
        <f t="shared" si="5"/>
        <v>-1</v>
      </c>
      <c r="AA2698" s="26" t="str">
        <f t="shared" si="6"/>
        <v/>
      </c>
      <c r="AB2698" s="32" t="str">
        <f t="shared" si="7"/>
        <v/>
      </c>
      <c r="AC2698" s="32" t="str">
        <f t="shared" ref="AC2698:AG2698" si="2741">IF(J2698&lt;&gt;"", IF(AND($P2698=FALSE, $A2698=FALSE), -J2698, IF(AND($P2698=FALSE, $A2698=TRUE), 0, IF($P2698=TRUE, (J2698 / $R2698) * 100 * ($S2698 / 100)-J2698, ))), )</f>
        <v/>
      </c>
      <c r="AD2698" s="32" t="str">
        <f t="shared" si="2741"/>
        <v/>
      </c>
      <c r="AE2698" s="32" t="str">
        <f t="shared" si="2741"/>
        <v/>
      </c>
      <c r="AF2698" s="32" t="str">
        <f t="shared" si="2741"/>
        <v/>
      </c>
      <c r="AG2698" s="32" t="str">
        <f t="shared" si="2741"/>
        <v/>
      </c>
      <c r="AH2698" s="33"/>
    </row>
    <row r="2699" hidden="1" outlineLevel="3">
      <c r="A2699" s="95" t="b">
        <v>0</v>
      </c>
      <c r="B2699" s="96"/>
      <c r="C2699" s="18"/>
      <c r="D2699" s="107"/>
      <c r="E2699" s="108"/>
      <c r="F2699" s="109"/>
      <c r="G2699" s="97"/>
      <c r="H2699" s="97"/>
      <c r="I2699" s="97"/>
      <c r="J2699" s="98"/>
      <c r="K2699" s="99"/>
      <c r="L2699" s="98"/>
      <c r="M2699" s="99"/>
      <c r="N2699" s="99"/>
      <c r="O2699" s="18"/>
      <c r="P2699" s="100" t="b">
        <v>0</v>
      </c>
      <c r="Q2699" s="18"/>
      <c r="R2699" s="101" t="str">
        <f t="shared" si="2735"/>
        <v/>
      </c>
      <c r="S2699" s="32"/>
      <c r="T2699" s="102" t="str">
        <f t="shared" si="2736"/>
        <v/>
      </c>
      <c r="U2699" s="18"/>
      <c r="V2699" s="103" t="str">
        <f t="shared" si="2742"/>
        <v>0</v>
      </c>
      <c r="W2699" s="104" t="str">
        <f t="shared" si="2024"/>
        <v>/</v>
      </c>
      <c r="X2699" s="111" t="s">
        <v>1668</v>
      </c>
      <c r="Y2699" s="106"/>
      <c r="Z2699" s="26" t="str">
        <f t="shared" si="5"/>
        <v/>
      </c>
      <c r="AA2699" s="26" t="str">
        <f t="shared" si="6"/>
        <v/>
      </c>
      <c r="AB2699" s="32" t="str">
        <f t="shared" si="7"/>
        <v/>
      </c>
      <c r="AC2699" s="32" t="str">
        <f t="shared" ref="AC2699:AG2699" si="2743">IF(J2699&lt;&gt;"", IF(AND($P2699=FALSE, $A2699=FALSE), -J2699, IF(AND($P2699=FALSE, $A2699=TRUE), 0, IF($P2699=TRUE, (J2699 / $R2699) * 100 * ($S2699 / 100)-J2699, ))), )</f>
        <v/>
      </c>
      <c r="AD2699" s="32" t="str">
        <f t="shared" si="2743"/>
        <v/>
      </c>
      <c r="AE2699" s="32" t="str">
        <f t="shared" si="2743"/>
        <v/>
      </c>
      <c r="AF2699" s="32" t="str">
        <f t="shared" si="2743"/>
        <v/>
      </c>
      <c r="AG2699" s="32" t="str">
        <f t="shared" si="2743"/>
        <v/>
      </c>
      <c r="AH2699" s="33"/>
    </row>
    <row r="2700" hidden="1" outlineLevel="2" collapsed="1">
      <c r="A2700" s="95" t="b">
        <v>0</v>
      </c>
      <c r="B2700" s="96"/>
      <c r="C2700" s="18"/>
      <c r="D2700" s="42">
        <v>45571.0</v>
      </c>
      <c r="E2700" s="20" t="s">
        <v>24</v>
      </c>
      <c r="F2700" s="53" t="s">
        <v>1639</v>
      </c>
      <c r="G2700" s="97">
        <v>2.0</v>
      </c>
      <c r="H2700" s="97"/>
      <c r="I2700" s="97">
        <v>2.0</v>
      </c>
      <c r="J2700" s="98"/>
      <c r="K2700" s="99"/>
      <c r="L2700" s="98"/>
      <c r="M2700" s="99"/>
      <c r="N2700" s="99"/>
      <c r="O2700" s="18"/>
      <c r="P2700" s="100" t="b">
        <v>0</v>
      </c>
      <c r="Q2700" s="18"/>
      <c r="R2700" s="101">
        <f t="shared" si="2735"/>
        <v>4</v>
      </c>
      <c r="S2700" s="32">
        <v>10.94</v>
      </c>
      <c r="T2700" s="102" t="str">
        <f t="shared" si="2736"/>
        <v>+174</v>
      </c>
      <c r="U2700" s="18"/>
      <c r="V2700" s="103" t="str">
        <f t="shared" si="2742"/>
        <v/>
      </c>
      <c r="W2700" s="104" t="str">
        <f t="shared" si="2024"/>
        <v/>
      </c>
      <c r="X2700" s="105"/>
      <c r="Y2700" s="106"/>
      <c r="Z2700" s="26">
        <f t="shared" si="5"/>
        <v>-2</v>
      </c>
      <c r="AA2700" s="26">
        <f t="shared" si="6"/>
        <v>-2</v>
      </c>
      <c r="AB2700" s="32" t="str">
        <f t="shared" si="7"/>
        <v/>
      </c>
      <c r="AC2700" s="32" t="str">
        <f t="shared" ref="AC2700:AG2700" si="2744">IF(J2700&lt;&gt;"", IF(AND($P2700=FALSE, $A2700=FALSE), -J2700, IF(AND($P2700=FALSE, $A2700=TRUE), 0, IF($P2700=TRUE, (J2700 / $R2700) * 100 * ($S2700 / 100)-J2700, ))), )</f>
        <v/>
      </c>
      <c r="AD2700" s="32" t="str">
        <f t="shared" si="2744"/>
        <v/>
      </c>
      <c r="AE2700" s="32" t="str">
        <f t="shared" si="2744"/>
        <v/>
      </c>
      <c r="AF2700" s="32" t="str">
        <f t="shared" si="2744"/>
        <v/>
      </c>
      <c r="AG2700" s="32" t="str">
        <f t="shared" si="2744"/>
        <v/>
      </c>
      <c r="AH2700" s="33"/>
    </row>
    <row r="2701" hidden="1" outlineLevel="3">
      <c r="A2701" s="95" t="b">
        <v>0</v>
      </c>
      <c r="B2701" s="96"/>
      <c r="C2701" s="18"/>
      <c r="D2701" s="107"/>
      <c r="E2701" s="108"/>
      <c r="F2701" s="109"/>
      <c r="G2701" s="97"/>
      <c r="H2701" s="97"/>
      <c r="I2701" s="97"/>
      <c r="J2701" s="98"/>
      <c r="K2701" s="99"/>
      <c r="L2701" s="98"/>
      <c r="M2701" s="99"/>
      <c r="N2701" s="99"/>
      <c r="O2701" s="18"/>
      <c r="P2701" s="100" t="b">
        <v>0</v>
      </c>
      <c r="Q2701" s="18"/>
      <c r="R2701" s="101" t="str">
        <f t="shared" si="2735"/>
        <v/>
      </c>
      <c r="S2701" s="32"/>
      <c r="T2701" s="102" t="str">
        <f t="shared" si="2736"/>
        <v/>
      </c>
      <c r="U2701" s="18"/>
      <c r="V2701" s="75" t="s">
        <v>29</v>
      </c>
      <c r="W2701" s="104" t="str">
        <f t="shared" si="2024"/>
        <v>/</v>
      </c>
      <c r="X2701" s="111" t="s">
        <v>780</v>
      </c>
      <c r="Y2701" s="106"/>
      <c r="Z2701" s="26" t="str">
        <f t="shared" si="5"/>
        <v/>
      </c>
      <c r="AA2701" s="26" t="str">
        <f t="shared" si="6"/>
        <v/>
      </c>
      <c r="AB2701" s="32" t="str">
        <f t="shared" si="7"/>
        <v/>
      </c>
      <c r="AC2701" s="32" t="str">
        <f t="shared" ref="AC2701:AG2701" si="2745">IF(J2701&lt;&gt;"", IF(AND($P2701=FALSE, $A2701=FALSE), -J2701, IF(AND($P2701=FALSE, $A2701=TRUE), 0, IF($P2701=TRUE, (J2701 / $R2701) * 100 * ($S2701 / 100)-J2701, ))), )</f>
        <v/>
      </c>
      <c r="AD2701" s="32" t="str">
        <f t="shared" si="2745"/>
        <v/>
      </c>
      <c r="AE2701" s="32" t="str">
        <f t="shared" si="2745"/>
        <v/>
      </c>
      <c r="AF2701" s="32" t="str">
        <f t="shared" si="2745"/>
        <v/>
      </c>
      <c r="AG2701" s="32" t="str">
        <f t="shared" si="2745"/>
        <v/>
      </c>
      <c r="AH2701" s="33"/>
    </row>
    <row r="2702" hidden="1" outlineLevel="3">
      <c r="A2702" s="95" t="b">
        <v>0</v>
      </c>
      <c r="B2702" s="96"/>
      <c r="C2702" s="18"/>
      <c r="D2702" s="107"/>
      <c r="E2702" s="108"/>
      <c r="F2702" s="109"/>
      <c r="G2702" s="97"/>
      <c r="H2702" s="97"/>
      <c r="I2702" s="97"/>
      <c r="J2702" s="98"/>
      <c r="K2702" s="99"/>
      <c r="L2702" s="98"/>
      <c r="M2702" s="99"/>
      <c r="N2702" s="99"/>
      <c r="O2702" s="18"/>
      <c r="P2702" s="100" t="b">
        <v>0</v>
      </c>
      <c r="Q2702" s="18"/>
      <c r="R2702" s="101" t="str">
        <f t="shared" si="2735"/>
        <v/>
      </c>
      <c r="S2702" s="32"/>
      <c r="T2702" s="102" t="str">
        <f t="shared" si="2736"/>
        <v/>
      </c>
      <c r="U2702" s="18"/>
      <c r="V2702" s="75" t="s">
        <v>29</v>
      </c>
      <c r="W2702" s="104" t="str">
        <f t="shared" si="2024"/>
        <v>/</v>
      </c>
      <c r="X2702" s="111" t="s">
        <v>1669</v>
      </c>
      <c r="Y2702" s="106"/>
      <c r="Z2702" s="26" t="str">
        <f t="shared" si="5"/>
        <v/>
      </c>
      <c r="AA2702" s="26" t="str">
        <f t="shared" si="6"/>
        <v/>
      </c>
      <c r="AB2702" s="32" t="str">
        <f t="shared" si="7"/>
        <v/>
      </c>
      <c r="AC2702" s="32" t="str">
        <f t="shared" ref="AC2702:AG2702" si="2746">IF(J2702&lt;&gt;"", IF(AND($P2702=FALSE, $A2702=FALSE), -J2702, IF(AND($P2702=FALSE, $A2702=TRUE), 0, IF($P2702=TRUE, (J2702 / $R2702) * 100 * ($S2702 / 100)-J2702, ))), )</f>
        <v/>
      </c>
      <c r="AD2702" s="32" t="str">
        <f t="shared" si="2746"/>
        <v/>
      </c>
      <c r="AE2702" s="32" t="str">
        <f t="shared" si="2746"/>
        <v/>
      </c>
      <c r="AF2702" s="32" t="str">
        <f t="shared" si="2746"/>
        <v/>
      </c>
      <c r="AG2702" s="32" t="str">
        <f t="shared" si="2746"/>
        <v/>
      </c>
      <c r="AH2702" s="33"/>
    </row>
    <row r="2703" hidden="1" outlineLevel="3">
      <c r="A2703" s="95" t="b">
        <v>0</v>
      </c>
      <c r="B2703" s="96"/>
      <c r="C2703" s="18"/>
      <c r="D2703" s="107"/>
      <c r="E2703" s="108"/>
      <c r="F2703" s="109"/>
      <c r="G2703" s="97"/>
      <c r="H2703" s="97"/>
      <c r="I2703" s="97"/>
      <c r="J2703" s="98"/>
      <c r="K2703" s="99"/>
      <c r="L2703" s="98"/>
      <c r="M2703" s="99"/>
      <c r="N2703" s="99"/>
      <c r="O2703" s="18"/>
      <c r="P2703" s="100" t="b">
        <v>0</v>
      </c>
      <c r="Q2703" s="18"/>
      <c r="R2703" s="101" t="str">
        <f t="shared" si="2735"/>
        <v/>
      </c>
      <c r="S2703" s="32"/>
      <c r="T2703" s="102" t="str">
        <f t="shared" si="2736"/>
        <v/>
      </c>
      <c r="U2703" s="18"/>
      <c r="V2703" s="113">
        <v>11.0</v>
      </c>
      <c r="W2703" s="104" t="str">
        <f t="shared" si="2024"/>
        <v>/</v>
      </c>
      <c r="X2703" s="111" t="s">
        <v>1670</v>
      </c>
      <c r="Y2703" s="106"/>
      <c r="Z2703" s="26" t="str">
        <f t="shared" si="5"/>
        <v/>
      </c>
      <c r="AA2703" s="26" t="str">
        <f t="shared" si="6"/>
        <v/>
      </c>
      <c r="AB2703" s="32" t="str">
        <f t="shared" si="7"/>
        <v/>
      </c>
      <c r="AC2703" s="32" t="str">
        <f t="shared" ref="AC2703:AG2703" si="2747">IF(J2703&lt;&gt;"", IF(AND($P2703=FALSE, $A2703=FALSE), -J2703, IF(AND($P2703=FALSE, $A2703=TRUE), 0, IF($P2703=TRUE, (J2703 / $R2703) * 100 * ($S2703 / 100)-J2703, ))), )</f>
        <v/>
      </c>
      <c r="AD2703" s="32" t="str">
        <f t="shared" si="2747"/>
        <v/>
      </c>
      <c r="AE2703" s="32" t="str">
        <f t="shared" si="2747"/>
        <v/>
      </c>
      <c r="AF2703" s="32" t="str">
        <f t="shared" si="2747"/>
        <v/>
      </c>
      <c r="AG2703" s="32" t="str">
        <f t="shared" si="2747"/>
        <v/>
      </c>
      <c r="AH2703" s="33"/>
    </row>
    <row r="2704" hidden="1" outlineLevel="2" collapsed="1">
      <c r="A2704" s="95" t="b">
        <v>0</v>
      </c>
      <c r="B2704" s="96"/>
      <c r="C2704" s="18"/>
      <c r="D2704" s="42">
        <v>45571.0</v>
      </c>
      <c r="E2704" s="20" t="s">
        <v>24</v>
      </c>
      <c r="F2704" s="53" t="s">
        <v>1639</v>
      </c>
      <c r="G2704" s="97">
        <v>1.0</v>
      </c>
      <c r="H2704" s="97"/>
      <c r="I2704" s="97"/>
      <c r="J2704" s="98"/>
      <c r="K2704" s="99"/>
      <c r="L2704" s="98"/>
      <c r="M2704" s="99"/>
      <c r="N2704" s="99"/>
      <c r="O2704" s="18"/>
      <c r="P2704" s="100" t="b">
        <v>0</v>
      </c>
      <c r="Q2704" s="18"/>
      <c r="R2704" s="101">
        <f t="shared" si="2735"/>
        <v>1</v>
      </c>
      <c r="S2704" s="32">
        <v>15.98</v>
      </c>
      <c r="T2704" s="102" t="str">
        <f t="shared" si="2736"/>
        <v>+1498</v>
      </c>
      <c r="U2704" s="18"/>
      <c r="V2704" s="103" t="str">
        <f>IF(ISBLANK($D2704), "0",)</f>
        <v/>
      </c>
      <c r="W2704" s="104" t="str">
        <f t="shared" si="2024"/>
        <v/>
      </c>
      <c r="X2704" s="105"/>
      <c r="Y2704" s="106"/>
      <c r="Z2704" s="26">
        <f t="shared" si="5"/>
        <v>-1</v>
      </c>
      <c r="AA2704" s="26" t="str">
        <f t="shared" si="6"/>
        <v/>
      </c>
      <c r="AB2704" s="32" t="str">
        <f t="shared" si="7"/>
        <v/>
      </c>
      <c r="AC2704" s="32" t="str">
        <f t="shared" ref="AC2704:AG2704" si="2748">IF(J2704&lt;&gt;"", IF(AND($P2704=FALSE, $A2704=FALSE), -J2704, IF(AND($P2704=FALSE, $A2704=TRUE), 0, IF($P2704=TRUE, (J2704 / $R2704) * 100 * ($S2704 / 100)-J2704, ))), )</f>
        <v/>
      </c>
      <c r="AD2704" s="32" t="str">
        <f t="shared" si="2748"/>
        <v/>
      </c>
      <c r="AE2704" s="32" t="str">
        <f t="shared" si="2748"/>
        <v/>
      </c>
      <c r="AF2704" s="32" t="str">
        <f t="shared" si="2748"/>
        <v/>
      </c>
      <c r="AG2704" s="32" t="str">
        <f t="shared" si="2748"/>
        <v/>
      </c>
      <c r="AH2704" s="33"/>
    </row>
    <row r="2705" hidden="1" outlineLevel="3">
      <c r="A2705" s="95" t="b">
        <v>0</v>
      </c>
      <c r="B2705" s="96"/>
      <c r="C2705" s="18"/>
      <c r="D2705" s="107"/>
      <c r="E2705" s="108"/>
      <c r="F2705" s="109"/>
      <c r="G2705" s="97"/>
      <c r="H2705" s="97"/>
      <c r="I2705" s="97"/>
      <c r="J2705" s="98"/>
      <c r="K2705" s="99"/>
      <c r="L2705" s="98"/>
      <c r="M2705" s="99"/>
      <c r="N2705" s="99"/>
      <c r="O2705" s="18"/>
      <c r="P2705" s="100" t="b">
        <v>0</v>
      </c>
      <c r="Q2705" s="18"/>
      <c r="R2705" s="101" t="str">
        <f t="shared" si="2735"/>
        <v/>
      </c>
      <c r="S2705" s="32"/>
      <c r="T2705" s="102" t="str">
        <f t="shared" si="2736"/>
        <v/>
      </c>
      <c r="U2705" s="18"/>
      <c r="V2705" s="75" t="s">
        <v>29</v>
      </c>
      <c r="W2705" s="104" t="str">
        <f t="shared" si="2024"/>
        <v>/</v>
      </c>
      <c r="X2705" s="111" t="s">
        <v>1612</v>
      </c>
      <c r="Y2705" s="106"/>
      <c r="Z2705" s="26" t="str">
        <f t="shared" si="5"/>
        <v/>
      </c>
      <c r="AA2705" s="26" t="str">
        <f t="shared" si="6"/>
        <v/>
      </c>
      <c r="AB2705" s="32" t="str">
        <f t="shared" si="7"/>
        <v/>
      </c>
      <c r="AC2705" s="32" t="str">
        <f t="shared" ref="AC2705:AG2705" si="2749">IF(J2705&lt;&gt;"", IF(AND($P2705=FALSE, $A2705=FALSE), -J2705, IF(AND($P2705=FALSE, $A2705=TRUE), 0, IF($P2705=TRUE, (J2705 / $R2705) * 100 * ($S2705 / 100)-J2705, ))), )</f>
        <v/>
      </c>
      <c r="AD2705" s="32" t="str">
        <f t="shared" si="2749"/>
        <v/>
      </c>
      <c r="AE2705" s="32" t="str">
        <f t="shared" si="2749"/>
        <v/>
      </c>
      <c r="AF2705" s="32" t="str">
        <f t="shared" si="2749"/>
        <v/>
      </c>
      <c r="AG2705" s="32" t="str">
        <f t="shared" si="2749"/>
        <v/>
      </c>
      <c r="AH2705" s="33"/>
    </row>
    <row r="2706" hidden="1" outlineLevel="3">
      <c r="A2706" s="95" t="b">
        <v>0</v>
      </c>
      <c r="B2706" s="96"/>
      <c r="C2706" s="18"/>
      <c r="D2706" s="107"/>
      <c r="E2706" s="108"/>
      <c r="F2706" s="109"/>
      <c r="G2706" s="97"/>
      <c r="H2706" s="97"/>
      <c r="I2706" s="97"/>
      <c r="J2706" s="98"/>
      <c r="K2706" s="99"/>
      <c r="L2706" s="98"/>
      <c r="M2706" s="99"/>
      <c r="N2706" s="99"/>
      <c r="O2706" s="18"/>
      <c r="P2706" s="100" t="b">
        <v>0</v>
      </c>
      <c r="Q2706" s="18"/>
      <c r="R2706" s="101" t="str">
        <f t="shared" si="2735"/>
        <v/>
      </c>
      <c r="S2706" s="32"/>
      <c r="T2706" s="102" t="str">
        <f t="shared" si="2736"/>
        <v/>
      </c>
      <c r="U2706" s="18"/>
      <c r="V2706" s="75" t="s">
        <v>29</v>
      </c>
      <c r="W2706" s="104" t="str">
        <f t="shared" si="2024"/>
        <v>/</v>
      </c>
      <c r="X2706" s="111" t="s">
        <v>397</v>
      </c>
      <c r="Y2706" s="106"/>
      <c r="Z2706" s="26" t="str">
        <f t="shared" si="5"/>
        <v/>
      </c>
      <c r="AA2706" s="26" t="str">
        <f t="shared" si="6"/>
        <v/>
      </c>
      <c r="AB2706" s="32" t="str">
        <f t="shared" si="7"/>
        <v/>
      </c>
      <c r="AC2706" s="32" t="str">
        <f t="shared" ref="AC2706:AG2706" si="2750">IF(J2706&lt;&gt;"", IF(AND($P2706=FALSE, $A2706=FALSE), -J2706, IF(AND($P2706=FALSE, $A2706=TRUE), 0, IF($P2706=TRUE, (J2706 / $R2706) * 100 * ($S2706 / 100)-J2706, ))), )</f>
        <v/>
      </c>
      <c r="AD2706" s="32" t="str">
        <f t="shared" si="2750"/>
        <v/>
      </c>
      <c r="AE2706" s="32" t="str">
        <f t="shared" si="2750"/>
        <v/>
      </c>
      <c r="AF2706" s="32" t="str">
        <f t="shared" si="2750"/>
        <v/>
      </c>
      <c r="AG2706" s="32" t="str">
        <f t="shared" si="2750"/>
        <v/>
      </c>
      <c r="AH2706" s="33"/>
    </row>
    <row r="2707" hidden="1" outlineLevel="3">
      <c r="A2707" s="95" t="b">
        <v>0</v>
      </c>
      <c r="B2707" s="96"/>
      <c r="C2707" s="18"/>
      <c r="D2707" s="107"/>
      <c r="E2707" s="108"/>
      <c r="F2707" s="109"/>
      <c r="G2707" s="97"/>
      <c r="H2707" s="97"/>
      <c r="I2707" s="97"/>
      <c r="J2707" s="98"/>
      <c r="K2707" s="99"/>
      <c r="L2707" s="98"/>
      <c r="M2707" s="99"/>
      <c r="N2707" s="99"/>
      <c r="O2707" s="18"/>
      <c r="P2707" s="100" t="b">
        <v>0</v>
      </c>
      <c r="Q2707" s="18"/>
      <c r="R2707" s="101" t="str">
        <f t="shared" si="2735"/>
        <v/>
      </c>
      <c r="S2707" s="32"/>
      <c r="T2707" s="102" t="str">
        <f t="shared" si="2736"/>
        <v/>
      </c>
      <c r="U2707" s="18"/>
      <c r="V2707" s="113">
        <v>11.0</v>
      </c>
      <c r="W2707" s="104" t="str">
        <f t="shared" si="2024"/>
        <v>/</v>
      </c>
      <c r="X2707" s="111" t="s">
        <v>1670</v>
      </c>
      <c r="Y2707" s="106"/>
      <c r="Z2707" s="26" t="str">
        <f t="shared" si="5"/>
        <v/>
      </c>
      <c r="AA2707" s="26" t="str">
        <f t="shared" si="6"/>
        <v/>
      </c>
      <c r="AB2707" s="32" t="str">
        <f t="shared" si="7"/>
        <v/>
      </c>
      <c r="AC2707" s="32" t="str">
        <f t="shared" ref="AC2707:AG2707" si="2751">IF(J2707&lt;&gt;"", IF(AND($P2707=FALSE, $A2707=FALSE), -J2707, IF(AND($P2707=FALSE, $A2707=TRUE), 0, IF($P2707=TRUE, (J2707 / $R2707) * 100 * ($S2707 / 100)-J2707, ))), )</f>
        <v/>
      </c>
      <c r="AD2707" s="32" t="str">
        <f t="shared" si="2751"/>
        <v/>
      </c>
      <c r="AE2707" s="32" t="str">
        <f t="shared" si="2751"/>
        <v/>
      </c>
      <c r="AF2707" s="32" t="str">
        <f t="shared" si="2751"/>
        <v/>
      </c>
      <c r="AG2707" s="32" t="str">
        <f t="shared" si="2751"/>
        <v/>
      </c>
      <c r="AH2707" s="33"/>
    </row>
    <row r="2708" hidden="1" outlineLevel="3">
      <c r="A2708" s="95" t="b">
        <v>0</v>
      </c>
      <c r="B2708" s="96"/>
      <c r="C2708" s="18"/>
      <c r="D2708" s="107"/>
      <c r="E2708" s="108"/>
      <c r="F2708" s="109"/>
      <c r="G2708" s="97"/>
      <c r="H2708" s="97"/>
      <c r="I2708" s="97"/>
      <c r="J2708" s="98"/>
      <c r="K2708" s="99"/>
      <c r="L2708" s="98"/>
      <c r="M2708" s="99"/>
      <c r="N2708" s="99"/>
      <c r="O2708" s="18"/>
      <c r="P2708" s="100" t="b">
        <v>0</v>
      </c>
      <c r="Q2708" s="18"/>
      <c r="R2708" s="101" t="str">
        <f t="shared" si="2735"/>
        <v/>
      </c>
      <c r="S2708" s="32"/>
      <c r="T2708" s="102" t="str">
        <f t="shared" si="2736"/>
        <v/>
      </c>
      <c r="U2708" s="18"/>
      <c r="V2708" s="75" t="s">
        <v>29</v>
      </c>
      <c r="W2708" s="104" t="str">
        <f t="shared" si="2024"/>
        <v>/</v>
      </c>
      <c r="X2708" s="111" t="s">
        <v>490</v>
      </c>
      <c r="Y2708" s="106"/>
      <c r="Z2708" s="26" t="str">
        <f t="shared" si="5"/>
        <v/>
      </c>
      <c r="AA2708" s="26" t="str">
        <f t="shared" si="6"/>
        <v/>
      </c>
      <c r="AB2708" s="32" t="str">
        <f t="shared" si="7"/>
        <v/>
      </c>
      <c r="AC2708" s="32" t="str">
        <f t="shared" ref="AC2708:AG2708" si="2752">IF(J2708&lt;&gt;"", IF(AND($P2708=FALSE, $A2708=FALSE), -J2708, IF(AND($P2708=FALSE, $A2708=TRUE), 0, IF($P2708=TRUE, (J2708 / $R2708) * 100 * ($S2708 / 100)-J2708, ))), )</f>
        <v/>
      </c>
      <c r="AD2708" s="32" t="str">
        <f t="shared" si="2752"/>
        <v/>
      </c>
      <c r="AE2708" s="32" t="str">
        <f t="shared" si="2752"/>
        <v/>
      </c>
      <c r="AF2708" s="32" t="str">
        <f t="shared" si="2752"/>
        <v/>
      </c>
      <c r="AG2708" s="32" t="str">
        <f t="shared" si="2752"/>
        <v/>
      </c>
      <c r="AH2708" s="33"/>
    </row>
    <row r="2709" hidden="1" outlineLevel="3">
      <c r="A2709" s="95" t="b">
        <v>0</v>
      </c>
      <c r="B2709" s="96"/>
      <c r="C2709" s="18"/>
      <c r="D2709" s="107"/>
      <c r="E2709" s="108"/>
      <c r="F2709" s="109"/>
      <c r="G2709" s="97"/>
      <c r="H2709" s="97"/>
      <c r="I2709" s="97"/>
      <c r="J2709" s="98"/>
      <c r="K2709" s="99"/>
      <c r="L2709" s="98"/>
      <c r="M2709" s="99"/>
      <c r="N2709" s="99"/>
      <c r="O2709" s="18"/>
      <c r="P2709" s="100" t="b">
        <v>0</v>
      </c>
      <c r="Q2709" s="18"/>
      <c r="R2709" s="101" t="str">
        <f t="shared" si="2735"/>
        <v/>
      </c>
      <c r="S2709" s="32"/>
      <c r="T2709" s="102" t="str">
        <f t="shared" si="2736"/>
        <v/>
      </c>
      <c r="U2709" s="18"/>
      <c r="V2709" s="75" t="s">
        <v>29</v>
      </c>
      <c r="W2709" s="104" t="str">
        <f t="shared" si="2024"/>
        <v>/</v>
      </c>
      <c r="X2709" s="111" t="s">
        <v>676</v>
      </c>
      <c r="Y2709" s="106"/>
      <c r="Z2709" s="26" t="str">
        <f t="shared" si="5"/>
        <v/>
      </c>
      <c r="AA2709" s="26" t="str">
        <f t="shared" si="6"/>
        <v/>
      </c>
      <c r="AB2709" s="32" t="str">
        <f t="shared" si="7"/>
        <v/>
      </c>
      <c r="AC2709" s="32" t="str">
        <f t="shared" ref="AC2709:AG2709" si="2753">IF(J2709&lt;&gt;"", IF(AND($P2709=FALSE, $A2709=FALSE), -J2709, IF(AND($P2709=FALSE, $A2709=TRUE), 0, IF($P2709=TRUE, (J2709 / $R2709) * 100 * ($S2709 / 100)-J2709, ))), )</f>
        <v/>
      </c>
      <c r="AD2709" s="32" t="str">
        <f t="shared" si="2753"/>
        <v/>
      </c>
      <c r="AE2709" s="32" t="str">
        <f t="shared" si="2753"/>
        <v/>
      </c>
      <c r="AF2709" s="32" t="str">
        <f t="shared" si="2753"/>
        <v/>
      </c>
      <c r="AG2709" s="32" t="str">
        <f t="shared" si="2753"/>
        <v/>
      </c>
      <c r="AH2709" s="33"/>
    </row>
    <row r="2710" hidden="1" outlineLevel="3">
      <c r="A2710" s="95" t="b">
        <v>0</v>
      </c>
      <c r="B2710" s="96"/>
      <c r="C2710" s="18"/>
      <c r="D2710" s="107"/>
      <c r="E2710" s="108"/>
      <c r="F2710" s="109"/>
      <c r="G2710" s="97"/>
      <c r="H2710" s="97"/>
      <c r="I2710" s="97"/>
      <c r="J2710" s="98"/>
      <c r="K2710" s="99"/>
      <c r="L2710" s="98"/>
      <c r="M2710" s="99"/>
      <c r="N2710" s="99"/>
      <c r="O2710" s="18"/>
      <c r="P2710" s="100" t="b">
        <v>0</v>
      </c>
      <c r="Q2710" s="18"/>
      <c r="R2710" s="101" t="str">
        <f t="shared" si="2735"/>
        <v/>
      </c>
      <c r="S2710" s="32"/>
      <c r="T2710" s="102" t="str">
        <f t="shared" si="2736"/>
        <v/>
      </c>
      <c r="U2710" s="18"/>
      <c r="V2710" s="75" t="s">
        <v>29</v>
      </c>
      <c r="W2710" s="104" t="str">
        <f t="shared" si="2024"/>
        <v>/</v>
      </c>
      <c r="X2710" s="111" t="s">
        <v>1671</v>
      </c>
      <c r="Y2710" s="106"/>
      <c r="Z2710" s="26" t="str">
        <f t="shared" si="5"/>
        <v/>
      </c>
      <c r="AA2710" s="26" t="str">
        <f t="shared" si="6"/>
        <v/>
      </c>
      <c r="AB2710" s="32" t="str">
        <f t="shared" si="7"/>
        <v/>
      </c>
      <c r="AC2710" s="32" t="str">
        <f t="shared" ref="AC2710:AG2710" si="2754">IF(J2710&lt;&gt;"", IF(AND($P2710=FALSE, $A2710=FALSE), -J2710, IF(AND($P2710=FALSE, $A2710=TRUE), 0, IF($P2710=TRUE, (J2710 / $R2710) * 100 * ($S2710 / 100)-J2710, ))), )</f>
        <v/>
      </c>
      <c r="AD2710" s="32" t="str">
        <f t="shared" si="2754"/>
        <v/>
      </c>
      <c r="AE2710" s="32" t="str">
        <f t="shared" si="2754"/>
        <v/>
      </c>
      <c r="AF2710" s="32" t="str">
        <f t="shared" si="2754"/>
        <v/>
      </c>
      <c r="AG2710" s="32" t="str">
        <f t="shared" si="2754"/>
        <v/>
      </c>
      <c r="AH2710" s="33"/>
    </row>
    <row r="2711" hidden="1" outlineLevel="3">
      <c r="A2711" s="95" t="b">
        <v>0</v>
      </c>
      <c r="B2711" s="96"/>
      <c r="C2711" s="18"/>
      <c r="D2711" s="107"/>
      <c r="E2711" s="108"/>
      <c r="F2711" s="109"/>
      <c r="G2711" s="97"/>
      <c r="H2711" s="97"/>
      <c r="I2711" s="97"/>
      <c r="J2711" s="98"/>
      <c r="K2711" s="99"/>
      <c r="L2711" s="98"/>
      <c r="M2711" s="99"/>
      <c r="N2711" s="99"/>
      <c r="O2711" s="18"/>
      <c r="P2711" s="100" t="b">
        <v>0</v>
      </c>
      <c r="Q2711" s="18"/>
      <c r="R2711" s="101" t="str">
        <f t="shared" si="2735"/>
        <v/>
      </c>
      <c r="S2711" s="32"/>
      <c r="T2711" s="102" t="str">
        <f t="shared" si="2736"/>
        <v/>
      </c>
      <c r="U2711" s="18"/>
      <c r="V2711" s="113">
        <v>1.0</v>
      </c>
      <c r="W2711" s="104" t="str">
        <f t="shared" si="2024"/>
        <v>/</v>
      </c>
      <c r="X2711" s="111" t="s">
        <v>966</v>
      </c>
      <c r="Y2711" s="106"/>
      <c r="Z2711" s="26" t="str">
        <f t="shared" si="5"/>
        <v/>
      </c>
      <c r="AA2711" s="26" t="str">
        <f t="shared" si="6"/>
        <v/>
      </c>
      <c r="AB2711" s="32" t="str">
        <f t="shared" si="7"/>
        <v/>
      </c>
      <c r="AC2711" s="32" t="str">
        <f t="shared" ref="AC2711:AG2711" si="2755">IF(J2711&lt;&gt;"", IF(AND($P2711=FALSE, $A2711=FALSE), -J2711, IF(AND($P2711=FALSE, $A2711=TRUE), 0, IF($P2711=TRUE, (J2711 / $R2711) * 100 * ($S2711 / 100)-J2711, ))), )</f>
        <v/>
      </c>
      <c r="AD2711" s="32" t="str">
        <f t="shared" si="2755"/>
        <v/>
      </c>
      <c r="AE2711" s="32" t="str">
        <f t="shared" si="2755"/>
        <v/>
      </c>
      <c r="AF2711" s="32" t="str">
        <f t="shared" si="2755"/>
        <v/>
      </c>
      <c r="AG2711" s="32" t="str">
        <f t="shared" si="2755"/>
        <v/>
      </c>
      <c r="AH2711" s="33"/>
    </row>
    <row r="2712" hidden="1" outlineLevel="3">
      <c r="A2712" s="95" t="b">
        <v>0</v>
      </c>
      <c r="B2712" s="96"/>
      <c r="C2712" s="18"/>
      <c r="D2712" s="107"/>
      <c r="E2712" s="108"/>
      <c r="F2712" s="109"/>
      <c r="G2712" s="97"/>
      <c r="H2712" s="97"/>
      <c r="I2712" s="97"/>
      <c r="J2712" s="98"/>
      <c r="K2712" s="99"/>
      <c r="L2712" s="98"/>
      <c r="M2712" s="99"/>
      <c r="N2712" s="99"/>
      <c r="O2712" s="18"/>
      <c r="P2712" s="100" t="b">
        <v>0</v>
      </c>
      <c r="Q2712" s="18"/>
      <c r="R2712" s="101" t="str">
        <f t="shared" si="2735"/>
        <v/>
      </c>
      <c r="S2712" s="32"/>
      <c r="T2712" s="102" t="str">
        <f t="shared" si="2736"/>
        <v/>
      </c>
      <c r="U2712" s="18"/>
      <c r="V2712" s="75" t="s">
        <v>29</v>
      </c>
      <c r="W2712" s="104" t="str">
        <f t="shared" si="2024"/>
        <v>/</v>
      </c>
      <c r="X2712" s="111" t="s">
        <v>312</v>
      </c>
      <c r="Y2712" s="106"/>
      <c r="Z2712" s="26" t="str">
        <f t="shared" si="5"/>
        <v/>
      </c>
      <c r="AA2712" s="26" t="str">
        <f t="shared" si="6"/>
        <v/>
      </c>
      <c r="AB2712" s="32" t="str">
        <f t="shared" si="7"/>
        <v/>
      </c>
      <c r="AC2712" s="32" t="str">
        <f t="shared" ref="AC2712:AG2712" si="2756">IF(J2712&lt;&gt;"", IF(AND($P2712=FALSE, $A2712=FALSE), -J2712, IF(AND($P2712=FALSE, $A2712=TRUE), 0, IF($P2712=TRUE, (J2712 / $R2712) * 100 * ($S2712 / 100)-J2712, ))), )</f>
        <v/>
      </c>
      <c r="AD2712" s="32" t="str">
        <f t="shared" si="2756"/>
        <v/>
      </c>
      <c r="AE2712" s="32" t="str">
        <f t="shared" si="2756"/>
        <v/>
      </c>
      <c r="AF2712" s="32" t="str">
        <f t="shared" si="2756"/>
        <v/>
      </c>
      <c r="AG2712" s="32" t="str">
        <f t="shared" si="2756"/>
        <v/>
      </c>
      <c r="AH2712" s="33"/>
    </row>
    <row r="2713" hidden="1" outlineLevel="3">
      <c r="A2713" s="95" t="b">
        <v>0</v>
      </c>
      <c r="B2713" s="96"/>
      <c r="C2713" s="18"/>
      <c r="D2713" s="107"/>
      <c r="E2713" s="108"/>
      <c r="F2713" s="109"/>
      <c r="G2713" s="97"/>
      <c r="H2713" s="97"/>
      <c r="I2713" s="97"/>
      <c r="J2713" s="98"/>
      <c r="K2713" s="99"/>
      <c r="L2713" s="98"/>
      <c r="M2713" s="99"/>
      <c r="N2713" s="99"/>
      <c r="O2713" s="18"/>
      <c r="P2713" s="100" t="b">
        <v>0</v>
      </c>
      <c r="Q2713" s="18"/>
      <c r="R2713" s="101" t="str">
        <f t="shared" si="2735"/>
        <v/>
      </c>
      <c r="S2713" s="32"/>
      <c r="T2713" s="102" t="str">
        <f t="shared" si="2736"/>
        <v/>
      </c>
      <c r="U2713" s="18"/>
      <c r="V2713" s="103" t="str">
        <f>IF(ISBLANK($D2713), "0",)</f>
        <v>0</v>
      </c>
      <c r="W2713" s="104" t="str">
        <f t="shared" si="2024"/>
        <v>/</v>
      </c>
      <c r="X2713" s="111" t="s">
        <v>491</v>
      </c>
      <c r="Y2713" s="106"/>
      <c r="Z2713" s="26" t="str">
        <f t="shared" si="5"/>
        <v/>
      </c>
      <c r="AA2713" s="26" t="str">
        <f t="shared" si="6"/>
        <v/>
      </c>
      <c r="AB2713" s="32" t="str">
        <f t="shared" si="7"/>
        <v/>
      </c>
      <c r="AC2713" s="32" t="str">
        <f t="shared" ref="AC2713:AG2713" si="2757">IF(J2713&lt;&gt;"", IF(AND($P2713=FALSE, $A2713=FALSE), -J2713, IF(AND($P2713=FALSE, $A2713=TRUE), 0, IF($P2713=TRUE, (J2713 / $R2713) * 100 * ($S2713 / 100)-J2713, ))), )</f>
        <v/>
      </c>
      <c r="AD2713" s="32" t="str">
        <f t="shared" si="2757"/>
        <v/>
      </c>
      <c r="AE2713" s="32" t="str">
        <f t="shared" si="2757"/>
        <v/>
      </c>
      <c r="AF2713" s="32" t="str">
        <f t="shared" si="2757"/>
        <v/>
      </c>
      <c r="AG2713" s="32" t="str">
        <f t="shared" si="2757"/>
        <v/>
      </c>
      <c r="AH2713" s="33"/>
    </row>
    <row r="2714" hidden="1" outlineLevel="3">
      <c r="A2714" s="95" t="b">
        <v>0</v>
      </c>
      <c r="B2714" s="96"/>
      <c r="C2714" s="18"/>
      <c r="D2714" s="107"/>
      <c r="E2714" s="108"/>
      <c r="F2714" s="109"/>
      <c r="G2714" s="97"/>
      <c r="H2714" s="97"/>
      <c r="I2714" s="97"/>
      <c r="J2714" s="98"/>
      <c r="K2714" s="99"/>
      <c r="L2714" s="98"/>
      <c r="M2714" s="99"/>
      <c r="N2714" s="99"/>
      <c r="O2714" s="18"/>
      <c r="P2714" s="100" t="b">
        <v>0</v>
      </c>
      <c r="Q2714" s="18"/>
      <c r="R2714" s="101" t="str">
        <f t="shared" si="2735"/>
        <v/>
      </c>
      <c r="S2714" s="32"/>
      <c r="T2714" s="102" t="str">
        <f t="shared" si="2736"/>
        <v/>
      </c>
      <c r="U2714" s="18"/>
      <c r="V2714" s="75" t="s">
        <v>29</v>
      </c>
      <c r="W2714" s="104" t="str">
        <f t="shared" si="2024"/>
        <v>/</v>
      </c>
      <c r="X2714" s="111" t="s">
        <v>1672</v>
      </c>
      <c r="Y2714" s="106"/>
      <c r="Z2714" s="26" t="str">
        <f t="shared" si="5"/>
        <v/>
      </c>
      <c r="AA2714" s="26" t="str">
        <f t="shared" si="6"/>
        <v/>
      </c>
      <c r="AB2714" s="32" t="str">
        <f t="shared" si="7"/>
        <v/>
      </c>
      <c r="AC2714" s="32" t="str">
        <f t="shared" ref="AC2714:AG2714" si="2758">IF(J2714&lt;&gt;"", IF(AND($P2714=FALSE, $A2714=FALSE), -J2714, IF(AND($P2714=FALSE, $A2714=TRUE), 0, IF($P2714=TRUE, (J2714 / $R2714) * 100 * ($S2714 / 100)-J2714, ))), )</f>
        <v/>
      </c>
      <c r="AD2714" s="32" t="str">
        <f t="shared" si="2758"/>
        <v/>
      </c>
      <c r="AE2714" s="32" t="str">
        <f t="shared" si="2758"/>
        <v/>
      </c>
      <c r="AF2714" s="32" t="str">
        <f t="shared" si="2758"/>
        <v/>
      </c>
      <c r="AG2714" s="32" t="str">
        <f t="shared" si="2758"/>
        <v/>
      </c>
      <c r="AH2714" s="33"/>
    </row>
    <row r="2715" hidden="1" outlineLevel="2" collapsed="1">
      <c r="A2715" s="95" t="b">
        <v>0</v>
      </c>
      <c r="B2715" s="96"/>
      <c r="C2715" s="18"/>
      <c r="D2715" s="42">
        <v>45571.0</v>
      </c>
      <c r="E2715" s="20" t="s">
        <v>24</v>
      </c>
      <c r="F2715" s="53" t="s">
        <v>1639</v>
      </c>
      <c r="G2715" s="97">
        <v>4.0</v>
      </c>
      <c r="H2715" s="97"/>
      <c r="I2715" s="97">
        <v>4.0</v>
      </c>
      <c r="J2715" s="98"/>
      <c r="K2715" s="99"/>
      <c r="L2715" s="98"/>
      <c r="M2715" s="99"/>
      <c r="N2715" s="99"/>
      <c r="O2715" s="18"/>
      <c r="P2715" s="100" t="b">
        <v>0</v>
      </c>
      <c r="Q2715" s="18"/>
      <c r="R2715" s="101">
        <f t="shared" si="2735"/>
        <v>8</v>
      </c>
      <c r="S2715" s="32">
        <v>21.86</v>
      </c>
      <c r="T2715" s="102" t="str">
        <f t="shared" si="2736"/>
        <v>+173</v>
      </c>
      <c r="U2715" s="18"/>
      <c r="V2715" s="103" t="str">
        <f>IF(ISBLANK($D2715), "0",)</f>
        <v/>
      </c>
      <c r="W2715" s="104" t="str">
        <f t="shared" si="2024"/>
        <v/>
      </c>
      <c r="X2715" s="105"/>
      <c r="Y2715" s="106"/>
      <c r="Z2715" s="26">
        <f t="shared" si="5"/>
        <v>-4</v>
      </c>
      <c r="AA2715" s="26">
        <f t="shared" si="6"/>
        <v>-4</v>
      </c>
      <c r="AB2715" s="32" t="str">
        <f t="shared" si="7"/>
        <v/>
      </c>
      <c r="AC2715" s="32" t="str">
        <f t="shared" ref="AC2715:AG2715" si="2759">IF(J2715&lt;&gt;"", IF(AND($P2715=FALSE, $A2715=FALSE), -J2715, IF(AND($P2715=FALSE, $A2715=TRUE), 0, IF($P2715=TRUE, (J2715 / $R2715) * 100 * ($S2715 / 100)-J2715, ))), )</f>
        <v/>
      </c>
      <c r="AD2715" s="32" t="str">
        <f t="shared" si="2759"/>
        <v/>
      </c>
      <c r="AE2715" s="32" t="str">
        <f t="shared" si="2759"/>
        <v/>
      </c>
      <c r="AF2715" s="32" t="str">
        <f t="shared" si="2759"/>
        <v/>
      </c>
      <c r="AG2715" s="32" t="str">
        <f t="shared" si="2759"/>
        <v/>
      </c>
      <c r="AH2715" s="33"/>
    </row>
    <row r="2716" hidden="1" outlineLevel="3">
      <c r="A2716" s="95" t="b">
        <v>0</v>
      </c>
      <c r="B2716" s="96"/>
      <c r="C2716" s="18"/>
      <c r="D2716" s="107"/>
      <c r="E2716" s="108"/>
      <c r="F2716" s="109"/>
      <c r="G2716" s="97"/>
      <c r="H2716" s="97"/>
      <c r="I2716" s="97"/>
      <c r="J2716" s="98"/>
      <c r="K2716" s="99"/>
      <c r="L2716" s="98"/>
      <c r="M2716" s="99"/>
      <c r="N2716" s="99"/>
      <c r="O2716" s="18"/>
      <c r="P2716" s="100" t="b">
        <v>0</v>
      </c>
      <c r="Q2716" s="18"/>
      <c r="R2716" s="101" t="str">
        <f t="shared" si="2735"/>
        <v/>
      </c>
      <c r="S2716" s="32"/>
      <c r="T2716" s="102" t="str">
        <f t="shared" si="2736"/>
        <v/>
      </c>
      <c r="U2716" s="18"/>
      <c r="V2716" s="75" t="s">
        <v>29</v>
      </c>
      <c r="W2716" s="104" t="str">
        <f t="shared" si="2024"/>
        <v>/</v>
      </c>
      <c r="X2716" s="111" t="s">
        <v>397</v>
      </c>
      <c r="Y2716" s="106"/>
      <c r="Z2716" s="26" t="str">
        <f t="shared" si="5"/>
        <v/>
      </c>
      <c r="AA2716" s="26" t="str">
        <f t="shared" si="6"/>
        <v/>
      </c>
      <c r="AB2716" s="32" t="str">
        <f t="shared" si="7"/>
        <v/>
      </c>
      <c r="AC2716" s="32" t="str">
        <f t="shared" ref="AC2716:AG2716" si="2760">IF(J2716&lt;&gt;"", IF(AND($P2716=FALSE, $A2716=FALSE), -J2716, IF(AND($P2716=FALSE, $A2716=TRUE), 0, IF($P2716=TRUE, (J2716 / $R2716) * 100 * ($S2716 / 100)-J2716, ))), )</f>
        <v/>
      </c>
      <c r="AD2716" s="32" t="str">
        <f t="shared" si="2760"/>
        <v/>
      </c>
      <c r="AE2716" s="32" t="str">
        <f t="shared" si="2760"/>
        <v/>
      </c>
      <c r="AF2716" s="32" t="str">
        <f t="shared" si="2760"/>
        <v/>
      </c>
      <c r="AG2716" s="32" t="str">
        <f t="shared" si="2760"/>
        <v/>
      </c>
      <c r="AH2716" s="33"/>
    </row>
    <row r="2717" hidden="1" outlineLevel="3">
      <c r="A2717" s="95" t="b">
        <v>0</v>
      </c>
      <c r="B2717" s="96"/>
      <c r="C2717" s="18"/>
      <c r="D2717" s="107"/>
      <c r="E2717" s="108"/>
      <c r="F2717" s="109"/>
      <c r="G2717" s="97"/>
      <c r="H2717" s="97"/>
      <c r="I2717" s="97"/>
      <c r="J2717" s="98"/>
      <c r="K2717" s="99"/>
      <c r="L2717" s="98"/>
      <c r="M2717" s="99"/>
      <c r="N2717" s="99"/>
      <c r="O2717" s="18"/>
      <c r="P2717" s="100" t="b">
        <v>0</v>
      </c>
      <c r="Q2717" s="18"/>
      <c r="R2717" s="101" t="str">
        <f t="shared" si="2735"/>
        <v/>
      </c>
      <c r="S2717" s="32"/>
      <c r="T2717" s="102" t="str">
        <f t="shared" si="2736"/>
        <v/>
      </c>
      <c r="U2717" s="18"/>
      <c r="V2717" s="113">
        <v>11.0</v>
      </c>
      <c r="W2717" s="104" t="str">
        <f t="shared" si="2024"/>
        <v>/</v>
      </c>
      <c r="X2717" s="111" t="s">
        <v>894</v>
      </c>
      <c r="Y2717" s="106"/>
      <c r="Z2717" s="26" t="str">
        <f t="shared" si="5"/>
        <v/>
      </c>
      <c r="AA2717" s="26" t="str">
        <f t="shared" si="6"/>
        <v/>
      </c>
      <c r="AB2717" s="32" t="str">
        <f t="shared" si="7"/>
        <v/>
      </c>
      <c r="AC2717" s="32" t="str">
        <f t="shared" ref="AC2717:AG2717" si="2761">IF(J2717&lt;&gt;"", IF(AND($P2717=FALSE, $A2717=FALSE), -J2717, IF(AND($P2717=FALSE, $A2717=TRUE), 0, IF($P2717=TRUE, (J2717 / $R2717) * 100 * ($S2717 / 100)-J2717, ))), )</f>
        <v/>
      </c>
      <c r="AD2717" s="32" t="str">
        <f t="shared" si="2761"/>
        <v/>
      </c>
      <c r="AE2717" s="32" t="str">
        <f t="shared" si="2761"/>
        <v/>
      </c>
      <c r="AF2717" s="32" t="str">
        <f t="shared" si="2761"/>
        <v/>
      </c>
      <c r="AG2717" s="32" t="str">
        <f t="shared" si="2761"/>
        <v/>
      </c>
      <c r="AH2717" s="33"/>
    </row>
    <row r="2718" hidden="1" outlineLevel="3">
      <c r="A2718" s="95" t="b">
        <v>0</v>
      </c>
      <c r="B2718" s="96"/>
      <c r="C2718" s="18"/>
      <c r="D2718" s="107"/>
      <c r="E2718" s="108"/>
      <c r="F2718" s="109"/>
      <c r="G2718" s="97"/>
      <c r="H2718" s="97"/>
      <c r="I2718" s="97"/>
      <c r="J2718" s="98"/>
      <c r="K2718" s="99"/>
      <c r="L2718" s="98"/>
      <c r="M2718" s="99"/>
      <c r="N2718" s="99"/>
      <c r="O2718" s="18"/>
      <c r="P2718" s="100" t="b">
        <v>0</v>
      </c>
      <c r="Q2718" s="18"/>
      <c r="R2718" s="101" t="str">
        <f t="shared" si="2735"/>
        <v/>
      </c>
      <c r="S2718" s="32"/>
      <c r="T2718" s="102" t="str">
        <f t="shared" si="2736"/>
        <v/>
      </c>
      <c r="U2718" s="18"/>
      <c r="V2718" s="75" t="s">
        <v>29</v>
      </c>
      <c r="W2718" s="104" t="str">
        <f t="shared" si="2024"/>
        <v>/</v>
      </c>
      <c r="X2718" s="111" t="s">
        <v>1673</v>
      </c>
      <c r="Y2718" s="106"/>
      <c r="Z2718" s="26" t="str">
        <f t="shared" si="5"/>
        <v/>
      </c>
      <c r="AA2718" s="26" t="str">
        <f t="shared" si="6"/>
        <v/>
      </c>
      <c r="AB2718" s="32" t="str">
        <f t="shared" si="7"/>
        <v/>
      </c>
      <c r="AC2718" s="32" t="str">
        <f t="shared" ref="AC2718:AG2718" si="2762">IF(J2718&lt;&gt;"", IF(AND($P2718=FALSE, $A2718=FALSE), -J2718, IF(AND($P2718=FALSE, $A2718=TRUE), 0, IF($P2718=TRUE, (J2718 / $R2718) * 100 * ($S2718 / 100)-J2718, ))), )</f>
        <v/>
      </c>
      <c r="AD2718" s="32" t="str">
        <f t="shared" si="2762"/>
        <v/>
      </c>
      <c r="AE2718" s="32" t="str">
        <f t="shared" si="2762"/>
        <v/>
      </c>
      <c r="AF2718" s="32" t="str">
        <f t="shared" si="2762"/>
        <v/>
      </c>
      <c r="AG2718" s="32" t="str">
        <f t="shared" si="2762"/>
        <v/>
      </c>
      <c r="AH2718" s="33"/>
    </row>
    <row r="2719" hidden="1" outlineLevel="2" collapsed="1">
      <c r="A2719" s="95" t="b">
        <v>0</v>
      </c>
      <c r="B2719" s="96"/>
      <c r="C2719" s="18"/>
      <c r="D2719" s="42">
        <v>45571.0</v>
      </c>
      <c r="E2719" s="20" t="s">
        <v>24</v>
      </c>
      <c r="F2719" s="53" t="s">
        <v>1639</v>
      </c>
      <c r="G2719" s="97">
        <v>1.0</v>
      </c>
      <c r="H2719" s="97"/>
      <c r="I2719" s="97">
        <v>1.0</v>
      </c>
      <c r="J2719" s="98"/>
      <c r="K2719" s="99"/>
      <c r="L2719" s="98"/>
      <c r="M2719" s="99"/>
      <c r="N2719" s="99"/>
      <c r="O2719" s="18"/>
      <c r="P2719" s="100" t="b">
        <v>0</v>
      </c>
      <c r="Q2719" s="18"/>
      <c r="R2719" s="101">
        <f t="shared" si="2735"/>
        <v>2</v>
      </c>
      <c r="S2719" s="32">
        <v>16.64</v>
      </c>
      <c r="T2719" s="102" t="str">
        <f t="shared" si="2736"/>
        <v>+732</v>
      </c>
      <c r="U2719" s="18"/>
      <c r="V2719" s="103" t="str">
        <f>IF(ISBLANK($D2719), "0",)</f>
        <v/>
      </c>
      <c r="W2719" s="104" t="str">
        <f t="shared" si="2024"/>
        <v/>
      </c>
      <c r="X2719" s="105"/>
      <c r="Y2719" s="106"/>
      <c r="Z2719" s="26">
        <f t="shared" si="5"/>
        <v>-1</v>
      </c>
      <c r="AA2719" s="26">
        <f t="shared" si="6"/>
        <v>-1</v>
      </c>
      <c r="AB2719" s="32" t="str">
        <f t="shared" si="7"/>
        <v/>
      </c>
      <c r="AC2719" s="32" t="str">
        <f t="shared" ref="AC2719:AG2719" si="2763">IF(J2719&lt;&gt;"", IF(AND($P2719=FALSE, $A2719=FALSE), -J2719, IF(AND($P2719=FALSE, $A2719=TRUE), 0, IF($P2719=TRUE, (J2719 / $R2719) * 100 * ($S2719 / 100)-J2719, ))), )</f>
        <v/>
      </c>
      <c r="AD2719" s="32" t="str">
        <f t="shared" si="2763"/>
        <v/>
      </c>
      <c r="AE2719" s="32" t="str">
        <f t="shared" si="2763"/>
        <v/>
      </c>
      <c r="AF2719" s="32" t="str">
        <f t="shared" si="2763"/>
        <v/>
      </c>
      <c r="AG2719" s="32" t="str">
        <f t="shared" si="2763"/>
        <v/>
      </c>
      <c r="AH2719" s="33"/>
    </row>
    <row r="2720" hidden="1" outlineLevel="3">
      <c r="A2720" s="95" t="b">
        <v>0</v>
      </c>
      <c r="B2720" s="96"/>
      <c r="C2720" s="18"/>
      <c r="D2720" s="107"/>
      <c r="E2720" s="108"/>
      <c r="F2720" s="109"/>
      <c r="G2720" s="97"/>
      <c r="H2720" s="97"/>
      <c r="I2720" s="97"/>
      <c r="J2720" s="98"/>
      <c r="K2720" s="99"/>
      <c r="L2720" s="98"/>
      <c r="M2720" s="99"/>
      <c r="N2720" s="99"/>
      <c r="O2720" s="18"/>
      <c r="P2720" s="100" t="b">
        <v>0</v>
      </c>
      <c r="Q2720" s="18"/>
      <c r="R2720" s="101" t="str">
        <f t="shared" si="2735"/>
        <v/>
      </c>
      <c r="S2720" s="32"/>
      <c r="T2720" s="102" t="str">
        <f t="shared" si="2736"/>
        <v/>
      </c>
      <c r="U2720" s="18"/>
      <c r="V2720" s="75" t="s">
        <v>29</v>
      </c>
      <c r="W2720" s="104" t="str">
        <f t="shared" si="2024"/>
        <v>/</v>
      </c>
      <c r="X2720" s="111" t="s">
        <v>1665</v>
      </c>
      <c r="Y2720" s="106"/>
      <c r="Z2720" s="26" t="str">
        <f t="shared" si="5"/>
        <v/>
      </c>
      <c r="AA2720" s="26" t="str">
        <f t="shared" si="6"/>
        <v/>
      </c>
      <c r="AB2720" s="32" t="str">
        <f t="shared" si="7"/>
        <v/>
      </c>
      <c r="AC2720" s="32" t="str">
        <f t="shared" ref="AC2720:AG2720" si="2764">IF(J2720&lt;&gt;"", IF(AND($P2720=FALSE, $A2720=FALSE), -J2720, IF(AND($P2720=FALSE, $A2720=TRUE), 0, IF($P2720=TRUE, (J2720 / $R2720) * 100 * ($S2720 / 100)-J2720, ))), )</f>
        <v/>
      </c>
      <c r="AD2720" s="32" t="str">
        <f t="shared" si="2764"/>
        <v/>
      </c>
      <c r="AE2720" s="32" t="str">
        <f t="shared" si="2764"/>
        <v/>
      </c>
      <c r="AF2720" s="32" t="str">
        <f t="shared" si="2764"/>
        <v/>
      </c>
      <c r="AG2720" s="32" t="str">
        <f t="shared" si="2764"/>
        <v/>
      </c>
      <c r="AH2720" s="33"/>
    </row>
    <row r="2721" hidden="1" outlineLevel="3">
      <c r="A2721" s="95" t="b">
        <v>0</v>
      </c>
      <c r="B2721" s="96"/>
      <c r="C2721" s="18"/>
      <c r="D2721" s="107"/>
      <c r="E2721" s="108"/>
      <c r="F2721" s="109"/>
      <c r="G2721" s="97"/>
      <c r="H2721" s="97"/>
      <c r="I2721" s="97"/>
      <c r="J2721" s="98"/>
      <c r="K2721" s="99"/>
      <c r="L2721" s="98"/>
      <c r="M2721" s="99"/>
      <c r="N2721" s="99"/>
      <c r="O2721" s="18"/>
      <c r="P2721" s="100" t="b">
        <v>0</v>
      </c>
      <c r="Q2721" s="18"/>
      <c r="R2721" s="101" t="str">
        <f t="shared" si="2735"/>
        <v/>
      </c>
      <c r="S2721" s="32"/>
      <c r="T2721" s="102" t="str">
        <f t="shared" si="2736"/>
        <v/>
      </c>
      <c r="U2721" s="18"/>
      <c r="V2721" s="75" t="s">
        <v>29</v>
      </c>
      <c r="W2721" s="104" t="str">
        <f t="shared" si="2024"/>
        <v>/</v>
      </c>
      <c r="X2721" s="111" t="s">
        <v>1666</v>
      </c>
      <c r="Y2721" s="106"/>
      <c r="Z2721" s="26" t="str">
        <f t="shared" si="5"/>
        <v/>
      </c>
      <c r="AA2721" s="26" t="str">
        <f t="shared" si="6"/>
        <v/>
      </c>
      <c r="AB2721" s="32" t="str">
        <f t="shared" si="7"/>
        <v/>
      </c>
      <c r="AC2721" s="32" t="str">
        <f t="shared" ref="AC2721:AG2721" si="2765">IF(J2721&lt;&gt;"", IF(AND($P2721=FALSE, $A2721=FALSE), -J2721, IF(AND($P2721=FALSE, $A2721=TRUE), 0, IF($P2721=TRUE, (J2721 / $R2721) * 100 * ($S2721 / 100)-J2721, ))), )</f>
        <v/>
      </c>
      <c r="AD2721" s="32" t="str">
        <f t="shared" si="2765"/>
        <v/>
      </c>
      <c r="AE2721" s="32" t="str">
        <f t="shared" si="2765"/>
        <v/>
      </c>
      <c r="AF2721" s="32" t="str">
        <f t="shared" si="2765"/>
        <v/>
      </c>
      <c r="AG2721" s="32" t="str">
        <f t="shared" si="2765"/>
        <v/>
      </c>
      <c r="AH2721" s="33"/>
    </row>
    <row r="2722" hidden="1" outlineLevel="3">
      <c r="A2722" s="95" t="b">
        <v>0</v>
      </c>
      <c r="B2722" s="96"/>
      <c r="C2722" s="18"/>
      <c r="D2722" s="107"/>
      <c r="E2722" s="108"/>
      <c r="F2722" s="109"/>
      <c r="G2722" s="97"/>
      <c r="H2722" s="97"/>
      <c r="I2722" s="97"/>
      <c r="J2722" s="98"/>
      <c r="K2722" s="99"/>
      <c r="L2722" s="98"/>
      <c r="M2722" s="99"/>
      <c r="N2722" s="99"/>
      <c r="O2722" s="18"/>
      <c r="P2722" s="100" t="b">
        <v>0</v>
      </c>
      <c r="Q2722" s="18"/>
      <c r="R2722" s="101" t="str">
        <f t="shared" si="2735"/>
        <v/>
      </c>
      <c r="S2722" s="32"/>
      <c r="T2722" s="102" t="str">
        <f t="shared" si="2736"/>
        <v/>
      </c>
      <c r="U2722" s="18"/>
      <c r="V2722" s="75" t="s">
        <v>29</v>
      </c>
      <c r="W2722" s="104" t="str">
        <f t="shared" si="2024"/>
        <v>/</v>
      </c>
      <c r="X2722" s="111" t="s">
        <v>1667</v>
      </c>
      <c r="Y2722" s="106"/>
      <c r="Z2722" s="26" t="str">
        <f t="shared" si="5"/>
        <v/>
      </c>
      <c r="AA2722" s="26" t="str">
        <f t="shared" si="6"/>
        <v/>
      </c>
      <c r="AB2722" s="32" t="str">
        <f t="shared" si="7"/>
        <v/>
      </c>
      <c r="AC2722" s="32" t="str">
        <f t="shared" ref="AC2722:AG2722" si="2766">IF(J2722&lt;&gt;"", IF(AND($P2722=FALSE, $A2722=FALSE), -J2722, IF(AND($P2722=FALSE, $A2722=TRUE), 0, IF($P2722=TRUE, (J2722 / $R2722) * 100 * ($S2722 / 100)-J2722, ))), )</f>
        <v/>
      </c>
      <c r="AD2722" s="32" t="str">
        <f t="shared" si="2766"/>
        <v/>
      </c>
      <c r="AE2722" s="32" t="str">
        <f t="shared" si="2766"/>
        <v/>
      </c>
      <c r="AF2722" s="32" t="str">
        <f t="shared" si="2766"/>
        <v/>
      </c>
      <c r="AG2722" s="32" t="str">
        <f t="shared" si="2766"/>
        <v/>
      </c>
      <c r="AH2722" s="33"/>
    </row>
    <row r="2723" hidden="1" outlineLevel="3">
      <c r="A2723" s="95" t="b">
        <v>0</v>
      </c>
      <c r="B2723" s="96"/>
      <c r="C2723" s="18"/>
      <c r="D2723" s="107"/>
      <c r="E2723" s="108"/>
      <c r="F2723" s="109"/>
      <c r="G2723" s="97"/>
      <c r="H2723" s="97"/>
      <c r="I2723" s="97"/>
      <c r="J2723" s="98"/>
      <c r="K2723" s="99"/>
      <c r="L2723" s="98"/>
      <c r="M2723" s="99"/>
      <c r="N2723" s="99"/>
      <c r="O2723" s="18"/>
      <c r="P2723" s="100" t="b">
        <v>0</v>
      </c>
      <c r="Q2723" s="18"/>
      <c r="R2723" s="101" t="str">
        <f t="shared" si="2735"/>
        <v/>
      </c>
      <c r="S2723" s="32"/>
      <c r="T2723" s="102" t="str">
        <f t="shared" si="2736"/>
        <v/>
      </c>
      <c r="U2723" s="18"/>
      <c r="V2723" s="75" t="s">
        <v>29</v>
      </c>
      <c r="W2723" s="104" t="str">
        <f t="shared" si="2024"/>
        <v>/</v>
      </c>
      <c r="X2723" s="111" t="s">
        <v>1669</v>
      </c>
      <c r="Y2723" s="106"/>
      <c r="Z2723" s="26" t="str">
        <f t="shared" si="5"/>
        <v/>
      </c>
      <c r="AA2723" s="26" t="str">
        <f t="shared" si="6"/>
        <v/>
      </c>
      <c r="AB2723" s="32" t="str">
        <f t="shared" si="7"/>
        <v/>
      </c>
      <c r="AC2723" s="32" t="str">
        <f t="shared" ref="AC2723:AG2723" si="2767">IF(J2723&lt;&gt;"", IF(AND($P2723=FALSE, $A2723=FALSE), -J2723, IF(AND($P2723=FALSE, $A2723=TRUE), 0, IF($P2723=TRUE, (J2723 / $R2723) * 100 * ($S2723 / 100)-J2723, ))), )</f>
        <v/>
      </c>
      <c r="AD2723" s="32" t="str">
        <f t="shared" si="2767"/>
        <v/>
      </c>
      <c r="AE2723" s="32" t="str">
        <f t="shared" si="2767"/>
        <v/>
      </c>
      <c r="AF2723" s="32" t="str">
        <f t="shared" si="2767"/>
        <v/>
      </c>
      <c r="AG2723" s="32" t="str">
        <f t="shared" si="2767"/>
        <v/>
      </c>
      <c r="AH2723" s="33"/>
    </row>
    <row r="2724" hidden="1" outlineLevel="3">
      <c r="A2724" s="95" t="b">
        <v>0</v>
      </c>
      <c r="B2724" s="96"/>
      <c r="C2724" s="18"/>
      <c r="D2724" s="107"/>
      <c r="E2724" s="108"/>
      <c r="F2724" s="109"/>
      <c r="G2724" s="97"/>
      <c r="H2724" s="97"/>
      <c r="I2724" s="97"/>
      <c r="J2724" s="98"/>
      <c r="K2724" s="99"/>
      <c r="L2724" s="98"/>
      <c r="M2724" s="99"/>
      <c r="N2724" s="99"/>
      <c r="O2724" s="18"/>
      <c r="P2724" s="100" t="b">
        <v>0</v>
      </c>
      <c r="Q2724" s="18"/>
      <c r="R2724" s="101" t="str">
        <f t="shared" si="2735"/>
        <v/>
      </c>
      <c r="S2724" s="32"/>
      <c r="T2724" s="102" t="str">
        <f t="shared" si="2736"/>
        <v/>
      </c>
      <c r="U2724" s="18"/>
      <c r="V2724" s="113">
        <v>5.0</v>
      </c>
      <c r="W2724" s="104" t="str">
        <f t="shared" si="2024"/>
        <v>/</v>
      </c>
      <c r="X2724" s="111" t="s">
        <v>610</v>
      </c>
      <c r="Y2724" s="106"/>
      <c r="Z2724" s="26" t="str">
        <f t="shared" si="5"/>
        <v/>
      </c>
      <c r="AA2724" s="26" t="str">
        <f t="shared" si="6"/>
        <v/>
      </c>
      <c r="AB2724" s="32" t="str">
        <f t="shared" si="7"/>
        <v/>
      </c>
      <c r="AC2724" s="32" t="str">
        <f t="shared" ref="AC2724:AG2724" si="2768">IF(J2724&lt;&gt;"", IF(AND($P2724=FALSE, $A2724=FALSE), -J2724, IF(AND($P2724=FALSE, $A2724=TRUE), 0, IF($P2724=TRUE, (J2724 / $R2724) * 100 * ($S2724 / 100)-J2724, ))), )</f>
        <v/>
      </c>
      <c r="AD2724" s="32" t="str">
        <f t="shared" si="2768"/>
        <v/>
      </c>
      <c r="AE2724" s="32" t="str">
        <f t="shared" si="2768"/>
        <v/>
      </c>
      <c r="AF2724" s="32" t="str">
        <f t="shared" si="2768"/>
        <v/>
      </c>
      <c r="AG2724" s="32" t="str">
        <f t="shared" si="2768"/>
        <v/>
      </c>
      <c r="AH2724" s="33"/>
    </row>
    <row r="2725" hidden="1" outlineLevel="3">
      <c r="A2725" s="95" t="b">
        <v>0</v>
      </c>
      <c r="B2725" s="96"/>
      <c r="C2725" s="18"/>
      <c r="D2725" s="107"/>
      <c r="E2725" s="108"/>
      <c r="F2725" s="109"/>
      <c r="G2725" s="97"/>
      <c r="H2725" s="97"/>
      <c r="I2725" s="97"/>
      <c r="J2725" s="98"/>
      <c r="K2725" s="99"/>
      <c r="L2725" s="98"/>
      <c r="M2725" s="99"/>
      <c r="N2725" s="99"/>
      <c r="O2725" s="18"/>
      <c r="P2725" s="100" t="b">
        <v>0</v>
      </c>
      <c r="Q2725" s="18"/>
      <c r="R2725" s="101" t="str">
        <f t="shared" si="2735"/>
        <v/>
      </c>
      <c r="S2725" s="32"/>
      <c r="T2725" s="102" t="str">
        <f t="shared" si="2736"/>
        <v/>
      </c>
      <c r="U2725" s="18"/>
      <c r="V2725" s="75" t="s">
        <v>29</v>
      </c>
      <c r="W2725" s="104" t="str">
        <f t="shared" si="2024"/>
        <v>/</v>
      </c>
      <c r="X2725" s="111" t="s">
        <v>1674</v>
      </c>
      <c r="Y2725" s="106"/>
      <c r="Z2725" s="26" t="str">
        <f t="shared" si="5"/>
        <v/>
      </c>
      <c r="AA2725" s="26" t="str">
        <f t="shared" si="6"/>
        <v/>
      </c>
      <c r="AB2725" s="32" t="str">
        <f t="shared" si="7"/>
        <v/>
      </c>
      <c r="AC2725" s="32" t="str">
        <f t="shared" ref="AC2725:AG2725" si="2769">IF(J2725&lt;&gt;"", IF(AND($P2725=FALSE, $A2725=FALSE), -J2725, IF(AND($P2725=FALSE, $A2725=TRUE), 0, IF($P2725=TRUE, (J2725 / $R2725) * 100 * ($S2725 / 100)-J2725, ))), )</f>
        <v/>
      </c>
      <c r="AD2725" s="32" t="str">
        <f t="shared" si="2769"/>
        <v/>
      </c>
      <c r="AE2725" s="32" t="str">
        <f t="shared" si="2769"/>
        <v/>
      </c>
      <c r="AF2725" s="32" t="str">
        <f t="shared" si="2769"/>
        <v/>
      </c>
      <c r="AG2725" s="32" t="str">
        <f t="shared" si="2769"/>
        <v/>
      </c>
      <c r="AH2725" s="33"/>
    </row>
    <row r="2726" hidden="1" outlineLevel="3">
      <c r="A2726" s="95" t="b">
        <v>0</v>
      </c>
      <c r="B2726" s="96"/>
      <c r="C2726" s="18"/>
      <c r="D2726" s="107"/>
      <c r="E2726" s="108"/>
      <c r="F2726" s="109"/>
      <c r="G2726" s="97"/>
      <c r="H2726" s="97"/>
      <c r="I2726" s="97"/>
      <c r="J2726" s="98"/>
      <c r="K2726" s="99"/>
      <c r="L2726" s="98"/>
      <c r="M2726" s="99"/>
      <c r="N2726" s="99"/>
      <c r="O2726" s="18"/>
      <c r="P2726" s="100" t="b">
        <v>0</v>
      </c>
      <c r="Q2726" s="18"/>
      <c r="R2726" s="101" t="str">
        <f t="shared" si="2735"/>
        <v/>
      </c>
      <c r="S2726" s="32"/>
      <c r="T2726" s="102" t="str">
        <f t="shared" si="2736"/>
        <v/>
      </c>
      <c r="U2726" s="18"/>
      <c r="V2726" s="75" t="s">
        <v>29</v>
      </c>
      <c r="W2726" s="104" t="str">
        <f t="shared" si="2024"/>
        <v>/</v>
      </c>
      <c r="X2726" s="111" t="s">
        <v>1675</v>
      </c>
      <c r="Y2726" s="106"/>
      <c r="Z2726" s="26" t="str">
        <f t="shared" si="5"/>
        <v/>
      </c>
      <c r="AA2726" s="26" t="str">
        <f t="shared" si="6"/>
        <v/>
      </c>
      <c r="AB2726" s="32" t="str">
        <f t="shared" si="7"/>
        <v/>
      </c>
      <c r="AC2726" s="32" t="str">
        <f t="shared" ref="AC2726:AG2726" si="2770">IF(J2726&lt;&gt;"", IF(AND($P2726=FALSE, $A2726=FALSE), -J2726, IF(AND($P2726=FALSE, $A2726=TRUE), 0, IF($P2726=TRUE, (J2726 / $R2726) * 100 * ($S2726 / 100)-J2726, ))), )</f>
        <v/>
      </c>
      <c r="AD2726" s="32" t="str">
        <f t="shared" si="2770"/>
        <v/>
      </c>
      <c r="AE2726" s="32" t="str">
        <f t="shared" si="2770"/>
        <v/>
      </c>
      <c r="AF2726" s="32" t="str">
        <f t="shared" si="2770"/>
        <v/>
      </c>
      <c r="AG2726" s="32" t="str">
        <f t="shared" si="2770"/>
        <v/>
      </c>
      <c r="AH2726" s="33"/>
    </row>
    <row r="2727" hidden="1" outlineLevel="3">
      <c r="A2727" s="95" t="b">
        <v>0</v>
      </c>
      <c r="B2727" s="96"/>
      <c r="C2727" s="18"/>
      <c r="D2727" s="107"/>
      <c r="E2727" s="108"/>
      <c r="F2727" s="109"/>
      <c r="G2727" s="97"/>
      <c r="H2727" s="97"/>
      <c r="I2727" s="97"/>
      <c r="J2727" s="98"/>
      <c r="K2727" s="99"/>
      <c r="L2727" s="98"/>
      <c r="M2727" s="99"/>
      <c r="N2727" s="99"/>
      <c r="O2727" s="18"/>
      <c r="P2727" s="100" t="b">
        <v>0</v>
      </c>
      <c r="Q2727" s="18"/>
      <c r="R2727" s="101" t="str">
        <f t="shared" si="2735"/>
        <v/>
      </c>
      <c r="S2727" s="32"/>
      <c r="T2727" s="102" t="str">
        <f t="shared" si="2736"/>
        <v/>
      </c>
      <c r="U2727" s="18"/>
      <c r="V2727" s="75" t="s">
        <v>29</v>
      </c>
      <c r="W2727" s="104" t="str">
        <f t="shared" si="2024"/>
        <v>/</v>
      </c>
      <c r="X2727" s="111" t="s">
        <v>1657</v>
      </c>
      <c r="Y2727" s="106"/>
      <c r="Z2727" s="26" t="str">
        <f t="shared" si="5"/>
        <v/>
      </c>
      <c r="AA2727" s="26" t="str">
        <f t="shared" si="6"/>
        <v/>
      </c>
      <c r="AB2727" s="32" t="str">
        <f t="shared" si="7"/>
        <v/>
      </c>
      <c r="AC2727" s="32" t="str">
        <f t="shared" ref="AC2727:AG2727" si="2771">IF(J2727&lt;&gt;"", IF(AND($P2727=FALSE, $A2727=FALSE), -J2727, IF(AND($P2727=FALSE, $A2727=TRUE), 0, IF($P2727=TRUE, (J2727 / $R2727) * 100 * ($S2727 / 100)-J2727, ))), )</f>
        <v/>
      </c>
      <c r="AD2727" s="32" t="str">
        <f t="shared" si="2771"/>
        <v/>
      </c>
      <c r="AE2727" s="32" t="str">
        <f t="shared" si="2771"/>
        <v/>
      </c>
      <c r="AF2727" s="32" t="str">
        <f t="shared" si="2771"/>
        <v/>
      </c>
      <c r="AG2727" s="32" t="str">
        <f t="shared" si="2771"/>
        <v/>
      </c>
      <c r="AH2727" s="33"/>
    </row>
    <row r="2728" hidden="1" outlineLevel="2">
      <c r="A2728" s="95" t="b">
        <v>0</v>
      </c>
      <c r="B2728" s="96"/>
      <c r="C2728" s="18"/>
      <c r="D2728" s="42">
        <v>45571.0</v>
      </c>
      <c r="E2728" s="20" t="s">
        <v>24</v>
      </c>
      <c r="F2728" s="53" t="s">
        <v>1639</v>
      </c>
      <c r="G2728" s="97">
        <v>2.0</v>
      </c>
      <c r="H2728" s="97"/>
      <c r="I2728" s="97">
        <v>2.0</v>
      </c>
      <c r="J2728" s="98"/>
      <c r="K2728" s="99"/>
      <c r="L2728" s="98"/>
      <c r="M2728" s="99"/>
      <c r="N2728" s="99"/>
      <c r="O2728" s="18"/>
      <c r="P2728" s="100" t="b">
        <v>0</v>
      </c>
      <c r="Q2728" s="18"/>
      <c r="R2728" s="101">
        <f t="shared" si="2735"/>
        <v>4</v>
      </c>
      <c r="S2728" s="32">
        <v>32.57</v>
      </c>
      <c r="T2728" s="102" t="str">
        <f t="shared" si="2736"/>
        <v>+714</v>
      </c>
      <c r="U2728" s="18"/>
      <c r="V2728" s="103" t="str">
        <f>IF(ISBLANK($D2728), "0",)</f>
        <v/>
      </c>
      <c r="W2728" s="104" t="str">
        <f t="shared" si="2024"/>
        <v/>
      </c>
      <c r="X2728" s="105"/>
      <c r="Y2728" s="106"/>
      <c r="Z2728" s="26">
        <f t="shared" si="5"/>
        <v>-2</v>
      </c>
      <c r="AA2728" s="26">
        <f t="shared" si="6"/>
        <v>-2</v>
      </c>
      <c r="AB2728" s="32" t="str">
        <f t="shared" si="7"/>
        <v/>
      </c>
      <c r="AC2728" s="32" t="str">
        <f t="shared" ref="AC2728:AG2728" si="2772">IF(J2728&lt;&gt;"", IF(AND($P2728=FALSE, $A2728=FALSE), -J2728, IF(AND($P2728=FALSE, $A2728=TRUE), 0, IF($P2728=TRUE, (J2728 / $R2728) * 100 * ($S2728 / 100)-J2728, ))), )</f>
        <v/>
      </c>
      <c r="AD2728" s="32" t="str">
        <f t="shared" si="2772"/>
        <v/>
      </c>
      <c r="AE2728" s="32" t="str">
        <f t="shared" si="2772"/>
        <v/>
      </c>
      <c r="AF2728" s="32" t="str">
        <f t="shared" si="2772"/>
        <v/>
      </c>
      <c r="AG2728" s="32" t="str">
        <f t="shared" si="2772"/>
        <v/>
      </c>
      <c r="AH2728" s="33"/>
    </row>
    <row r="2729" hidden="1" outlineLevel="3">
      <c r="A2729" s="95" t="b">
        <v>0</v>
      </c>
      <c r="B2729" s="96"/>
      <c r="C2729" s="18"/>
      <c r="D2729" s="107"/>
      <c r="E2729" s="108"/>
      <c r="F2729" s="109"/>
      <c r="G2729" s="97"/>
      <c r="H2729" s="97"/>
      <c r="I2729" s="97"/>
      <c r="J2729" s="98"/>
      <c r="K2729" s="99"/>
      <c r="L2729" s="98"/>
      <c r="M2729" s="99"/>
      <c r="N2729" s="99"/>
      <c r="O2729" s="18"/>
      <c r="P2729" s="100" t="b">
        <v>0</v>
      </c>
      <c r="Q2729" s="18"/>
      <c r="R2729" s="101" t="str">
        <f t="shared" si="2735"/>
        <v/>
      </c>
      <c r="S2729" s="32"/>
      <c r="T2729" s="102" t="str">
        <f t="shared" si="2736"/>
        <v/>
      </c>
      <c r="U2729" s="18"/>
      <c r="V2729" s="75" t="s">
        <v>29</v>
      </c>
      <c r="W2729" s="104" t="str">
        <f t="shared" si="2024"/>
        <v>/</v>
      </c>
      <c r="X2729" s="111" t="s">
        <v>872</v>
      </c>
      <c r="Y2729" s="106"/>
      <c r="Z2729" s="26" t="str">
        <f t="shared" si="5"/>
        <v/>
      </c>
      <c r="AA2729" s="26" t="str">
        <f t="shared" si="6"/>
        <v/>
      </c>
      <c r="AB2729" s="32" t="str">
        <f t="shared" si="7"/>
        <v/>
      </c>
      <c r="AC2729" s="32" t="str">
        <f t="shared" ref="AC2729:AG2729" si="2773">IF(J2729&lt;&gt;"", IF(AND($P2729=FALSE, $A2729=FALSE), -J2729, IF(AND($P2729=FALSE, $A2729=TRUE), 0, IF($P2729=TRUE, (J2729 / $R2729) * 100 * ($S2729 / 100)-J2729, ))), )</f>
        <v/>
      </c>
      <c r="AD2729" s="32" t="str">
        <f t="shared" si="2773"/>
        <v/>
      </c>
      <c r="AE2729" s="32" t="str">
        <f t="shared" si="2773"/>
        <v/>
      </c>
      <c r="AF2729" s="32" t="str">
        <f t="shared" si="2773"/>
        <v/>
      </c>
      <c r="AG2729" s="32" t="str">
        <f t="shared" si="2773"/>
        <v/>
      </c>
      <c r="AH2729" s="33"/>
    </row>
    <row r="2730" hidden="1" outlineLevel="3">
      <c r="A2730" s="95" t="b">
        <v>0</v>
      </c>
      <c r="B2730" s="96"/>
      <c r="C2730" s="18"/>
      <c r="D2730" s="107"/>
      <c r="E2730" s="108"/>
      <c r="F2730" s="109"/>
      <c r="G2730" s="97"/>
      <c r="H2730" s="97"/>
      <c r="I2730" s="97"/>
      <c r="J2730" s="98"/>
      <c r="K2730" s="99"/>
      <c r="L2730" s="98"/>
      <c r="M2730" s="99"/>
      <c r="N2730" s="99"/>
      <c r="O2730" s="18"/>
      <c r="P2730" s="100" t="b">
        <v>0</v>
      </c>
      <c r="Q2730" s="18"/>
      <c r="R2730" s="101" t="str">
        <f t="shared" si="2735"/>
        <v/>
      </c>
      <c r="S2730" s="32"/>
      <c r="T2730" s="102" t="str">
        <f t="shared" si="2736"/>
        <v/>
      </c>
      <c r="U2730" s="18"/>
      <c r="V2730" s="103" t="str">
        <f t="shared" ref="V2730:V2731" si="2775">IF(ISBLANK($D2730), "0",)</f>
        <v>0</v>
      </c>
      <c r="W2730" s="104" t="str">
        <f t="shared" si="2024"/>
        <v>/</v>
      </c>
      <c r="X2730" s="111" t="s">
        <v>1527</v>
      </c>
      <c r="Y2730" s="106"/>
      <c r="Z2730" s="26" t="str">
        <f t="shared" si="5"/>
        <v/>
      </c>
      <c r="AA2730" s="26" t="str">
        <f t="shared" si="6"/>
        <v/>
      </c>
      <c r="AB2730" s="32" t="str">
        <f t="shared" si="7"/>
        <v/>
      </c>
      <c r="AC2730" s="32" t="str">
        <f t="shared" ref="AC2730:AG2730" si="2774">IF(J2730&lt;&gt;"", IF(AND($P2730=FALSE, $A2730=FALSE), -J2730, IF(AND($P2730=FALSE, $A2730=TRUE), 0, IF($P2730=TRUE, (J2730 / $R2730) * 100 * ($S2730 / 100)-J2730, ))), )</f>
        <v/>
      </c>
      <c r="AD2730" s="32" t="str">
        <f t="shared" si="2774"/>
        <v/>
      </c>
      <c r="AE2730" s="32" t="str">
        <f t="shared" si="2774"/>
        <v/>
      </c>
      <c r="AF2730" s="32" t="str">
        <f t="shared" si="2774"/>
        <v/>
      </c>
      <c r="AG2730" s="32" t="str">
        <f t="shared" si="2774"/>
        <v/>
      </c>
      <c r="AH2730" s="33"/>
    </row>
    <row r="2731" hidden="1" outlineLevel="3">
      <c r="A2731" s="95" t="b">
        <v>0</v>
      </c>
      <c r="B2731" s="96"/>
      <c r="C2731" s="18"/>
      <c r="D2731" s="107"/>
      <c r="E2731" s="108"/>
      <c r="F2731" s="109"/>
      <c r="G2731" s="97"/>
      <c r="H2731" s="97"/>
      <c r="I2731" s="97"/>
      <c r="J2731" s="98"/>
      <c r="K2731" s="99"/>
      <c r="L2731" s="98"/>
      <c r="M2731" s="99"/>
      <c r="N2731" s="99"/>
      <c r="O2731" s="18"/>
      <c r="P2731" s="100" t="b">
        <v>0</v>
      </c>
      <c r="Q2731" s="18"/>
      <c r="R2731" s="101"/>
      <c r="S2731" s="32"/>
      <c r="T2731" s="102"/>
      <c r="U2731" s="18"/>
      <c r="V2731" s="103" t="str">
        <f t="shared" si="2775"/>
        <v>0</v>
      </c>
      <c r="W2731" s="104" t="str">
        <f t="shared" si="2024"/>
        <v>/</v>
      </c>
      <c r="X2731" s="111" t="s">
        <v>1592</v>
      </c>
      <c r="Y2731" s="106"/>
      <c r="Z2731" s="26" t="str">
        <f t="shared" si="5"/>
        <v/>
      </c>
      <c r="AA2731" s="26" t="str">
        <f t="shared" si="6"/>
        <v/>
      </c>
      <c r="AB2731" s="32" t="str">
        <f t="shared" si="7"/>
        <v/>
      </c>
      <c r="AC2731" s="32" t="str">
        <f t="shared" ref="AC2731:AG2731" si="2776">IF(J2731&lt;&gt;"", IF(AND($P2731=FALSE, $A2731=FALSE), -J2731, IF(AND($P2731=FALSE, $A2731=TRUE), 0, IF($P2731=TRUE, (J2731 / $R2731) * 100 * ($S2731 / 100)-J2731, ))), )</f>
        <v/>
      </c>
      <c r="AD2731" s="32" t="str">
        <f t="shared" si="2776"/>
        <v/>
      </c>
      <c r="AE2731" s="32" t="str">
        <f t="shared" si="2776"/>
        <v/>
      </c>
      <c r="AF2731" s="32" t="str">
        <f t="shared" si="2776"/>
        <v/>
      </c>
      <c r="AG2731" s="32" t="str">
        <f t="shared" si="2776"/>
        <v/>
      </c>
      <c r="AH2731" s="33"/>
    </row>
    <row r="2732" hidden="1" outlineLevel="3">
      <c r="A2732" s="95" t="b">
        <v>0</v>
      </c>
      <c r="B2732" s="96"/>
      <c r="C2732" s="18"/>
      <c r="D2732" s="107"/>
      <c r="E2732" s="108"/>
      <c r="F2732" s="109"/>
      <c r="G2732" s="97"/>
      <c r="H2732" s="97"/>
      <c r="I2732" s="97"/>
      <c r="J2732" s="98"/>
      <c r="K2732" s="99"/>
      <c r="L2732" s="98"/>
      <c r="M2732" s="99"/>
      <c r="N2732" s="99"/>
      <c r="O2732" s="18"/>
      <c r="P2732" s="100" t="b">
        <v>0</v>
      </c>
      <c r="Q2732" s="18"/>
      <c r="R2732" s="101" t="str">
        <f t="shared" ref="R2732:R2741" si="2778">IF(G2732 &lt;&gt; "",SUM(G2732:O2732),)</f>
        <v/>
      </c>
      <c r="S2732" s="32"/>
      <c r="T2732" s="102" t="str">
        <f t="shared" ref="T2732:T2741" si="2779">IFERROR(IF((S2732-R2732)&gt;R2732,"+"&amp;ROUND(((S2732-R2732)/R2732)*100,0),ROUND((S2732/(R2732-S2732))*100+100, 0)),)</f>
        <v/>
      </c>
      <c r="U2732" s="18"/>
      <c r="V2732" s="75" t="s">
        <v>29</v>
      </c>
      <c r="W2732" s="104" t="str">
        <f t="shared" si="2024"/>
        <v>/</v>
      </c>
      <c r="X2732" s="111" t="s">
        <v>1093</v>
      </c>
      <c r="Y2732" s="106"/>
      <c r="Z2732" s="26" t="str">
        <f t="shared" si="5"/>
        <v/>
      </c>
      <c r="AA2732" s="26" t="str">
        <f t="shared" si="6"/>
        <v/>
      </c>
      <c r="AB2732" s="32" t="str">
        <f t="shared" si="7"/>
        <v/>
      </c>
      <c r="AC2732" s="32" t="str">
        <f t="shared" ref="AC2732:AG2732" si="2777">IF(J2732&lt;&gt;"", IF(AND($P2732=FALSE, $A2732=FALSE), -J2732, IF(AND($P2732=FALSE, $A2732=TRUE), 0, IF($P2732=TRUE, (J2732 / $R2732) * 100 * ($S2732 / 100)-J2732, ))), )</f>
        <v/>
      </c>
      <c r="AD2732" s="32" t="str">
        <f t="shared" si="2777"/>
        <v/>
      </c>
      <c r="AE2732" s="32" t="str">
        <f t="shared" si="2777"/>
        <v/>
      </c>
      <c r="AF2732" s="32" t="str">
        <f t="shared" si="2777"/>
        <v/>
      </c>
      <c r="AG2732" s="32" t="str">
        <f t="shared" si="2777"/>
        <v/>
      </c>
      <c r="AH2732" s="33"/>
    </row>
    <row r="2733" hidden="1" outlineLevel="2" collapsed="1">
      <c r="A2733" s="95" t="b">
        <v>0</v>
      </c>
      <c r="B2733" s="96"/>
      <c r="C2733" s="18"/>
      <c r="D2733" s="42">
        <v>45571.0</v>
      </c>
      <c r="E2733" s="20" t="s">
        <v>24</v>
      </c>
      <c r="F2733" s="53" t="s">
        <v>1639</v>
      </c>
      <c r="G2733" s="97">
        <v>1.0</v>
      </c>
      <c r="H2733" s="97"/>
      <c r="I2733" s="97"/>
      <c r="J2733" s="98"/>
      <c r="K2733" s="99"/>
      <c r="L2733" s="98"/>
      <c r="M2733" s="99"/>
      <c r="N2733" s="99"/>
      <c r="O2733" s="18"/>
      <c r="P2733" s="100" t="b">
        <v>0</v>
      </c>
      <c r="Q2733" s="18"/>
      <c r="R2733" s="101">
        <f t="shared" si="2778"/>
        <v>1</v>
      </c>
      <c r="S2733" s="32">
        <v>2.5</v>
      </c>
      <c r="T2733" s="102" t="str">
        <f t="shared" si="2779"/>
        <v>+150</v>
      </c>
      <c r="U2733" s="18"/>
      <c r="V2733" s="103" t="str">
        <f t="shared" ref="V2733:V2735" si="2781">IF(ISBLANK($D2733), "0",)</f>
        <v/>
      </c>
      <c r="W2733" s="104" t="str">
        <f t="shared" si="2024"/>
        <v/>
      </c>
      <c r="X2733" s="105"/>
      <c r="Y2733" s="106"/>
      <c r="Z2733" s="26">
        <f t="shared" si="5"/>
        <v>-1</v>
      </c>
      <c r="AA2733" s="26" t="str">
        <f t="shared" si="6"/>
        <v/>
      </c>
      <c r="AB2733" s="32" t="str">
        <f t="shared" si="7"/>
        <v/>
      </c>
      <c r="AC2733" s="32" t="str">
        <f t="shared" ref="AC2733:AG2733" si="2780">IF(J2733&lt;&gt;"", IF(AND($P2733=FALSE, $A2733=FALSE), -J2733, IF(AND($P2733=FALSE, $A2733=TRUE), 0, IF($P2733=TRUE, (J2733 / $R2733) * 100 * ($S2733 / 100)-J2733, ))), )</f>
        <v/>
      </c>
      <c r="AD2733" s="32" t="str">
        <f t="shared" si="2780"/>
        <v/>
      </c>
      <c r="AE2733" s="32" t="str">
        <f t="shared" si="2780"/>
        <v/>
      </c>
      <c r="AF2733" s="32" t="str">
        <f t="shared" si="2780"/>
        <v/>
      </c>
      <c r="AG2733" s="32" t="str">
        <f t="shared" si="2780"/>
        <v/>
      </c>
      <c r="AH2733" s="33"/>
    </row>
    <row r="2734" hidden="1" outlineLevel="3">
      <c r="A2734" s="95" t="b">
        <v>0</v>
      </c>
      <c r="B2734" s="96"/>
      <c r="C2734" s="18"/>
      <c r="D2734" s="107"/>
      <c r="E2734" s="108"/>
      <c r="F2734" s="109"/>
      <c r="G2734" s="97"/>
      <c r="H2734" s="97"/>
      <c r="I2734" s="97"/>
      <c r="J2734" s="98"/>
      <c r="K2734" s="99"/>
      <c r="L2734" s="98"/>
      <c r="M2734" s="99"/>
      <c r="N2734" s="99"/>
      <c r="O2734" s="18"/>
      <c r="P2734" s="100" t="b">
        <v>0</v>
      </c>
      <c r="Q2734" s="18"/>
      <c r="R2734" s="101" t="str">
        <f t="shared" si="2778"/>
        <v/>
      </c>
      <c r="S2734" s="32"/>
      <c r="T2734" s="102" t="str">
        <f t="shared" si="2779"/>
        <v/>
      </c>
      <c r="U2734" s="18"/>
      <c r="V2734" s="103" t="str">
        <f t="shared" si="2781"/>
        <v>0</v>
      </c>
      <c r="W2734" s="104" t="str">
        <f t="shared" si="2024"/>
        <v>/</v>
      </c>
      <c r="X2734" s="111" t="s">
        <v>1676</v>
      </c>
      <c r="Y2734" s="106"/>
      <c r="Z2734" s="26" t="str">
        <f t="shared" si="5"/>
        <v/>
      </c>
      <c r="AA2734" s="26" t="str">
        <f t="shared" si="6"/>
        <v/>
      </c>
      <c r="AB2734" s="32" t="str">
        <f t="shared" si="7"/>
        <v/>
      </c>
      <c r="AC2734" s="32" t="str">
        <f t="shared" ref="AC2734:AG2734" si="2782">IF(J2734&lt;&gt;"", IF(AND($P2734=FALSE, $A2734=FALSE), -J2734, IF(AND($P2734=FALSE, $A2734=TRUE), 0, IF($P2734=TRUE, (J2734 / $R2734) * 100 * ($S2734 / 100)-J2734, ))), )</f>
        <v/>
      </c>
      <c r="AD2734" s="32" t="str">
        <f t="shared" si="2782"/>
        <v/>
      </c>
      <c r="AE2734" s="32" t="str">
        <f t="shared" si="2782"/>
        <v/>
      </c>
      <c r="AF2734" s="32" t="str">
        <f t="shared" si="2782"/>
        <v/>
      </c>
      <c r="AG2734" s="32" t="str">
        <f t="shared" si="2782"/>
        <v/>
      </c>
      <c r="AH2734" s="33"/>
    </row>
    <row r="2735" hidden="1" outlineLevel="2" collapsed="1">
      <c r="A2735" s="95" t="b">
        <v>0</v>
      </c>
      <c r="B2735" s="96"/>
      <c r="C2735" s="18"/>
      <c r="D2735" s="42">
        <v>45571.0</v>
      </c>
      <c r="E2735" s="20" t="s">
        <v>24</v>
      </c>
      <c r="F2735" s="53" t="s">
        <v>1639</v>
      </c>
      <c r="G2735" s="97">
        <v>2.0</v>
      </c>
      <c r="H2735" s="97"/>
      <c r="I2735" s="97">
        <v>2.0</v>
      </c>
      <c r="J2735" s="98"/>
      <c r="K2735" s="99"/>
      <c r="L2735" s="98"/>
      <c r="M2735" s="99"/>
      <c r="N2735" s="99"/>
      <c r="O2735" s="18"/>
      <c r="P2735" s="100" t="b">
        <v>0</v>
      </c>
      <c r="Q2735" s="18"/>
      <c r="R2735" s="101">
        <f t="shared" si="2778"/>
        <v>4</v>
      </c>
      <c r="S2735" s="32">
        <v>11.09</v>
      </c>
      <c r="T2735" s="102" t="str">
        <f t="shared" si="2779"/>
        <v>+177</v>
      </c>
      <c r="U2735" s="18"/>
      <c r="V2735" s="103" t="str">
        <f t="shared" si="2781"/>
        <v/>
      </c>
      <c r="W2735" s="104" t="str">
        <f t="shared" si="2024"/>
        <v/>
      </c>
      <c r="X2735" s="105"/>
      <c r="Y2735" s="106"/>
      <c r="Z2735" s="26">
        <f t="shared" si="5"/>
        <v>-2</v>
      </c>
      <c r="AA2735" s="26">
        <f t="shared" si="6"/>
        <v>-2</v>
      </c>
      <c r="AB2735" s="32" t="str">
        <f t="shared" si="7"/>
        <v/>
      </c>
      <c r="AC2735" s="32" t="str">
        <f t="shared" ref="AC2735:AG2735" si="2783">IF(J2735&lt;&gt;"", IF(AND($P2735=FALSE, $A2735=FALSE), -J2735, IF(AND($P2735=FALSE, $A2735=TRUE), 0, IF($P2735=TRUE, (J2735 / $R2735) * 100 * ($S2735 / 100)-J2735, ))), )</f>
        <v/>
      </c>
      <c r="AD2735" s="32" t="str">
        <f t="shared" si="2783"/>
        <v/>
      </c>
      <c r="AE2735" s="32" t="str">
        <f t="shared" si="2783"/>
        <v/>
      </c>
      <c r="AF2735" s="32" t="str">
        <f t="shared" si="2783"/>
        <v/>
      </c>
      <c r="AG2735" s="32" t="str">
        <f t="shared" si="2783"/>
        <v/>
      </c>
      <c r="AH2735" s="33"/>
    </row>
    <row r="2736" hidden="1" outlineLevel="3">
      <c r="A2736" s="95" t="b">
        <v>0</v>
      </c>
      <c r="B2736" s="96"/>
      <c r="C2736" s="18"/>
      <c r="D2736" s="107"/>
      <c r="E2736" s="108"/>
      <c r="F2736" s="109"/>
      <c r="G2736" s="97"/>
      <c r="H2736" s="97"/>
      <c r="I2736" s="97"/>
      <c r="J2736" s="98"/>
      <c r="K2736" s="99"/>
      <c r="L2736" s="98"/>
      <c r="M2736" s="99"/>
      <c r="N2736" s="99"/>
      <c r="O2736" s="18"/>
      <c r="P2736" s="100" t="b">
        <v>0</v>
      </c>
      <c r="Q2736" s="18"/>
      <c r="R2736" s="101" t="str">
        <f t="shared" si="2778"/>
        <v/>
      </c>
      <c r="S2736" s="32"/>
      <c r="T2736" s="102" t="str">
        <f t="shared" si="2779"/>
        <v/>
      </c>
      <c r="U2736" s="18"/>
      <c r="V2736" s="113">
        <v>5.0</v>
      </c>
      <c r="W2736" s="104" t="str">
        <f t="shared" si="2024"/>
        <v>/</v>
      </c>
      <c r="X2736" s="111" t="s">
        <v>610</v>
      </c>
      <c r="Y2736" s="106"/>
      <c r="Z2736" s="26" t="str">
        <f t="shared" si="5"/>
        <v/>
      </c>
      <c r="AA2736" s="26" t="str">
        <f t="shared" si="6"/>
        <v/>
      </c>
      <c r="AB2736" s="32" t="str">
        <f t="shared" si="7"/>
        <v/>
      </c>
      <c r="AC2736" s="32" t="str">
        <f t="shared" ref="AC2736:AG2736" si="2784">IF(J2736&lt;&gt;"", IF(AND($P2736=FALSE, $A2736=FALSE), -J2736, IF(AND($P2736=FALSE, $A2736=TRUE), 0, IF($P2736=TRUE, (J2736 / $R2736) * 100 * ($S2736 / 100)-J2736, ))), )</f>
        <v/>
      </c>
      <c r="AD2736" s="32" t="str">
        <f t="shared" si="2784"/>
        <v/>
      </c>
      <c r="AE2736" s="32" t="str">
        <f t="shared" si="2784"/>
        <v/>
      </c>
      <c r="AF2736" s="32" t="str">
        <f t="shared" si="2784"/>
        <v/>
      </c>
      <c r="AG2736" s="32" t="str">
        <f t="shared" si="2784"/>
        <v/>
      </c>
      <c r="AH2736" s="33"/>
    </row>
    <row r="2737" hidden="1" outlineLevel="3">
      <c r="A2737" s="95" t="b">
        <v>0</v>
      </c>
      <c r="B2737" s="96"/>
      <c r="C2737" s="18"/>
      <c r="D2737" s="107"/>
      <c r="E2737" s="108"/>
      <c r="F2737" s="109"/>
      <c r="G2737" s="97"/>
      <c r="H2737" s="97"/>
      <c r="I2737" s="97"/>
      <c r="J2737" s="98"/>
      <c r="K2737" s="99"/>
      <c r="L2737" s="98"/>
      <c r="M2737" s="99"/>
      <c r="N2737" s="99"/>
      <c r="O2737" s="18"/>
      <c r="P2737" s="100" t="b">
        <v>0</v>
      </c>
      <c r="Q2737" s="18"/>
      <c r="R2737" s="101" t="str">
        <f t="shared" si="2778"/>
        <v/>
      </c>
      <c r="S2737" s="32"/>
      <c r="T2737" s="102" t="str">
        <f t="shared" si="2779"/>
        <v/>
      </c>
      <c r="U2737" s="18"/>
      <c r="V2737" s="75" t="s">
        <v>29</v>
      </c>
      <c r="W2737" s="104" t="str">
        <f t="shared" si="2024"/>
        <v>/</v>
      </c>
      <c r="X2737" s="111" t="s">
        <v>1674</v>
      </c>
      <c r="Y2737" s="106"/>
      <c r="Z2737" s="26" t="str">
        <f t="shared" si="5"/>
        <v/>
      </c>
      <c r="AA2737" s="26" t="str">
        <f t="shared" si="6"/>
        <v/>
      </c>
      <c r="AB2737" s="32" t="str">
        <f t="shared" si="7"/>
        <v/>
      </c>
      <c r="AC2737" s="32" t="str">
        <f t="shared" ref="AC2737:AG2737" si="2785">IF(J2737&lt;&gt;"", IF(AND($P2737=FALSE, $A2737=FALSE), -J2737, IF(AND($P2737=FALSE, $A2737=TRUE), 0, IF($P2737=TRUE, (J2737 / $R2737) * 100 * ($S2737 / 100)-J2737, ))), )</f>
        <v/>
      </c>
      <c r="AD2737" s="32" t="str">
        <f t="shared" si="2785"/>
        <v/>
      </c>
      <c r="AE2737" s="32" t="str">
        <f t="shared" si="2785"/>
        <v/>
      </c>
      <c r="AF2737" s="32" t="str">
        <f t="shared" si="2785"/>
        <v/>
      </c>
      <c r="AG2737" s="32" t="str">
        <f t="shared" si="2785"/>
        <v/>
      </c>
      <c r="AH2737" s="33"/>
    </row>
    <row r="2738" hidden="1" outlineLevel="3">
      <c r="A2738" s="95" t="b">
        <v>0</v>
      </c>
      <c r="B2738" s="96"/>
      <c r="C2738" s="18"/>
      <c r="D2738" s="107"/>
      <c r="E2738" s="108"/>
      <c r="F2738" s="109"/>
      <c r="G2738" s="97"/>
      <c r="H2738" s="97"/>
      <c r="I2738" s="97"/>
      <c r="J2738" s="98"/>
      <c r="K2738" s="99"/>
      <c r="L2738" s="98"/>
      <c r="M2738" s="99"/>
      <c r="N2738" s="99"/>
      <c r="O2738" s="18"/>
      <c r="P2738" s="100" t="b">
        <v>0</v>
      </c>
      <c r="Q2738" s="18"/>
      <c r="R2738" s="101" t="str">
        <f t="shared" si="2778"/>
        <v/>
      </c>
      <c r="S2738" s="32"/>
      <c r="T2738" s="102" t="str">
        <f t="shared" si="2779"/>
        <v/>
      </c>
      <c r="U2738" s="18"/>
      <c r="V2738" s="75" t="s">
        <v>29</v>
      </c>
      <c r="W2738" s="104" t="str">
        <f t="shared" si="2024"/>
        <v>/</v>
      </c>
      <c r="X2738" s="111" t="s">
        <v>1675</v>
      </c>
      <c r="Y2738" s="106"/>
      <c r="Z2738" s="26" t="str">
        <f t="shared" si="5"/>
        <v/>
      </c>
      <c r="AA2738" s="26" t="str">
        <f t="shared" si="6"/>
        <v/>
      </c>
      <c r="AB2738" s="32" t="str">
        <f t="shared" si="7"/>
        <v/>
      </c>
      <c r="AC2738" s="32" t="str">
        <f t="shared" ref="AC2738:AG2738" si="2786">IF(J2738&lt;&gt;"", IF(AND($P2738=FALSE, $A2738=FALSE), -J2738, IF(AND($P2738=FALSE, $A2738=TRUE), 0, IF($P2738=TRUE, (J2738 / $R2738) * 100 * ($S2738 / 100)-J2738, ))), )</f>
        <v/>
      </c>
      <c r="AD2738" s="32" t="str">
        <f t="shared" si="2786"/>
        <v/>
      </c>
      <c r="AE2738" s="32" t="str">
        <f t="shared" si="2786"/>
        <v/>
      </c>
      <c r="AF2738" s="32" t="str">
        <f t="shared" si="2786"/>
        <v/>
      </c>
      <c r="AG2738" s="32" t="str">
        <f t="shared" si="2786"/>
        <v/>
      </c>
      <c r="AH2738" s="33"/>
    </row>
    <row r="2739" hidden="1" outlineLevel="2" collapsed="1">
      <c r="A2739" s="95" t="b">
        <v>0</v>
      </c>
      <c r="B2739" s="96"/>
      <c r="C2739" s="18"/>
      <c r="D2739" s="42">
        <v>45571.0</v>
      </c>
      <c r="E2739" s="20" t="s">
        <v>24</v>
      </c>
      <c r="F2739" s="53" t="s">
        <v>1639</v>
      </c>
      <c r="G2739" s="97">
        <v>1.0</v>
      </c>
      <c r="H2739" s="97"/>
      <c r="I2739" s="97">
        <v>1.0</v>
      </c>
      <c r="J2739" s="98"/>
      <c r="K2739" s="99"/>
      <c r="L2739" s="98"/>
      <c r="M2739" s="99"/>
      <c r="N2739" s="99"/>
      <c r="O2739" s="18"/>
      <c r="P2739" s="100" t="b">
        <v>1</v>
      </c>
      <c r="Q2739" s="18"/>
      <c r="R2739" s="101">
        <f t="shared" si="2778"/>
        <v>2</v>
      </c>
      <c r="S2739" s="32">
        <v>6.7</v>
      </c>
      <c r="T2739" s="102" t="str">
        <f t="shared" si="2779"/>
        <v>+235</v>
      </c>
      <c r="U2739" s="18"/>
      <c r="V2739" s="103" t="str">
        <f>IF(ISBLANK($D2739), "0",)</f>
        <v/>
      </c>
      <c r="W2739" s="104" t="str">
        <f t="shared" si="2024"/>
        <v/>
      </c>
      <c r="X2739" s="105"/>
      <c r="Y2739" s="106"/>
      <c r="Z2739" s="26">
        <f t="shared" si="5"/>
        <v>2.35</v>
      </c>
      <c r="AA2739" s="26">
        <f t="shared" si="6"/>
        <v>2.35</v>
      </c>
      <c r="AB2739" s="32" t="str">
        <f t="shared" si="7"/>
        <v/>
      </c>
      <c r="AC2739" s="32" t="str">
        <f t="shared" ref="AC2739:AG2739" si="2787">IF(J2739&lt;&gt;"", IF(AND($P2739=FALSE, $A2739=FALSE), -J2739, IF(AND($P2739=FALSE, $A2739=TRUE), 0, IF($P2739=TRUE, (J2739 / $R2739) * 100 * ($S2739 / 100)-J2739, ))), )</f>
        <v/>
      </c>
      <c r="AD2739" s="32" t="str">
        <f t="shared" si="2787"/>
        <v/>
      </c>
      <c r="AE2739" s="32" t="str">
        <f t="shared" si="2787"/>
        <v/>
      </c>
      <c r="AF2739" s="32" t="str">
        <f t="shared" si="2787"/>
        <v/>
      </c>
      <c r="AG2739" s="32" t="str">
        <f t="shared" si="2787"/>
        <v/>
      </c>
      <c r="AH2739" s="33"/>
    </row>
    <row r="2740" ht="15.0" hidden="1" customHeight="1" outlineLevel="3">
      <c r="A2740" s="95" t="b">
        <v>0</v>
      </c>
      <c r="B2740" s="96"/>
      <c r="C2740" s="18"/>
      <c r="D2740" s="107"/>
      <c r="E2740" s="108"/>
      <c r="F2740" s="109"/>
      <c r="G2740" s="97"/>
      <c r="H2740" s="97"/>
      <c r="I2740" s="97"/>
      <c r="J2740" s="98"/>
      <c r="K2740" s="99"/>
      <c r="L2740" s="98"/>
      <c r="M2740" s="99"/>
      <c r="N2740" s="99"/>
      <c r="O2740" s="18"/>
      <c r="P2740" s="100" t="b">
        <v>0</v>
      </c>
      <c r="Q2740" s="18"/>
      <c r="R2740" s="101" t="str">
        <f t="shared" si="2778"/>
        <v/>
      </c>
      <c r="S2740" s="32"/>
      <c r="T2740" s="102" t="str">
        <f t="shared" si="2779"/>
        <v/>
      </c>
      <c r="U2740" s="18"/>
      <c r="V2740" s="75" t="s">
        <v>29</v>
      </c>
      <c r="W2740" s="104" t="str">
        <f t="shared" si="2024"/>
        <v>/</v>
      </c>
      <c r="X2740" s="111" t="s">
        <v>1677</v>
      </c>
      <c r="Y2740" s="106"/>
      <c r="Z2740" s="26" t="str">
        <f t="shared" si="5"/>
        <v/>
      </c>
      <c r="AA2740" s="26" t="str">
        <f t="shared" si="6"/>
        <v/>
      </c>
      <c r="AB2740" s="32" t="str">
        <f t="shared" si="7"/>
        <v/>
      </c>
      <c r="AC2740" s="32" t="str">
        <f t="shared" ref="AC2740:AG2740" si="2788">IF(J2740&lt;&gt;"", IF(AND($P2740=FALSE, $A2740=FALSE), -J2740, IF(AND($P2740=FALSE, $A2740=TRUE), 0, IF($P2740=TRUE, (J2740 / $R2740) * 100 * ($S2740 / 100)-J2740, ))), )</f>
        <v/>
      </c>
      <c r="AD2740" s="32" t="str">
        <f t="shared" si="2788"/>
        <v/>
      </c>
      <c r="AE2740" s="32" t="str">
        <f t="shared" si="2788"/>
        <v/>
      </c>
      <c r="AF2740" s="32" t="str">
        <f t="shared" si="2788"/>
        <v/>
      </c>
      <c r="AG2740" s="32" t="str">
        <f t="shared" si="2788"/>
        <v/>
      </c>
      <c r="AH2740" s="33"/>
    </row>
    <row r="2741" hidden="1" outlineLevel="3">
      <c r="A2741" s="95" t="b">
        <v>0</v>
      </c>
      <c r="B2741" s="96"/>
      <c r="C2741" s="18"/>
      <c r="D2741" s="107"/>
      <c r="E2741" s="108"/>
      <c r="F2741" s="109"/>
      <c r="G2741" s="97"/>
      <c r="H2741" s="97"/>
      <c r="I2741" s="97"/>
      <c r="J2741" s="98"/>
      <c r="K2741" s="99"/>
      <c r="L2741" s="98"/>
      <c r="M2741" s="99"/>
      <c r="N2741" s="99"/>
      <c r="O2741" s="18"/>
      <c r="P2741" s="100" t="b">
        <v>0</v>
      </c>
      <c r="Q2741" s="18"/>
      <c r="R2741" s="101" t="str">
        <f t="shared" si="2778"/>
        <v/>
      </c>
      <c r="S2741" s="32"/>
      <c r="T2741" s="102" t="str">
        <f t="shared" si="2779"/>
        <v/>
      </c>
      <c r="U2741" s="18"/>
      <c r="V2741" s="75" t="s">
        <v>29</v>
      </c>
      <c r="W2741" s="104" t="str">
        <f t="shared" si="2024"/>
        <v>/</v>
      </c>
      <c r="X2741" s="111" t="s">
        <v>1678</v>
      </c>
      <c r="Y2741" s="106"/>
      <c r="Z2741" s="26" t="str">
        <f t="shared" si="5"/>
        <v/>
      </c>
      <c r="AA2741" s="26" t="str">
        <f t="shared" si="6"/>
        <v/>
      </c>
      <c r="AB2741" s="32" t="str">
        <f t="shared" si="7"/>
        <v/>
      </c>
      <c r="AC2741" s="32" t="str">
        <f t="shared" ref="AC2741:AG2741" si="2789">IF(J2741&lt;&gt;"", IF(AND($P2741=FALSE, $A2741=FALSE), -J2741, IF(AND($P2741=FALSE, $A2741=TRUE), 0, IF($P2741=TRUE, (J2741 / $R2741) * 100 * ($S2741 / 100)-J2741, ))), )</f>
        <v/>
      </c>
      <c r="AD2741" s="32" t="str">
        <f t="shared" si="2789"/>
        <v/>
      </c>
      <c r="AE2741" s="32" t="str">
        <f t="shared" si="2789"/>
        <v/>
      </c>
      <c r="AF2741" s="32" t="str">
        <f t="shared" si="2789"/>
        <v/>
      </c>
      <c r="AG2741" s="32" t="str">
        <f t="shared" si="2789"/>
        <v/>
      </c>
      <c r="AH2741" s="33"/>
    </row>
    <row r="2742" hidden="1" outlineLevel="3">
      <c r="A2742" s="95" t="b">
        <v>0</v>
      </c>
      <c r="B2742" s="96"/>
      <c r="C2742" s="18"/>
      <c r="D2742" s="107"/>
      <c r="E2742" s="108"/>
      <c r="F2742" s="109"/>
      <c r="G2742" s="97"/>
      <c r="H2742" s="97"/>
      <c r="I2742" s="97"/>
      <c r="J2742" s="98"/>
      <c r="K2742" s="99"/>
      <c r="L2742" s="98"/>
      <c r="M2742" s="99"/>
      <c r="N2742" s="99"/>
      <c r="O2742" s="18"/>
      <c r="P2742" s="100" t="b">
        <v>0</v>
      </c>
      <c r="Q2742" s="18"/>
      <c r="R2742" s="101"/>
      <c r="S2742" s="32"/>
      <c r="T2742" s="102"/>
      <c r="U2742" s="18"/>
      <c r="V2742" s="75" t="s">
        <v>29</v>
      </c>
      <c r="W2742" s="104" t="str">
        <f t="shared" si="2024"/>
        <v>/</v>
      </c>
      <c r="X2742" s="111" t="s">
        <v>1679</v>
      </c>
      <c r="Y2742" s="106"/>
      <c r="Z2742" s="26" t="str">
        <f t="shared" si="5"/>
        <v/>
      </c>
      <c r="AA2742" s="26" t="str">
        <f t="shared" si="6"/>
        <v/>
      </c>
      <c r="AB2742" s="32" t="str">
        <f t="shared" si="7"/>
        <v/>
      </c>
      <c r="AC2742" s="32" t="str">
        <f t="shared" ref="AC2742:AG2742" si="2790">IF(J2742&lt;&gt;"", IF(AND($P2742=FALSE, $A2742=FALSE), -J2742, IF(AND($P2742=FALSE, $A2742=TRUE), 0, IF($P2742=TRUE, (J2742 / $R2742) * 100 * ($S2742 / 100)-J2742, ))), )</f>
        <v/>
      </c>
      <c r="AD2742" s="32" t="str">
        <f t="shared" si="2790"/>
        <v/>
      </c>
      <c r="AE2742" s="32" t="str">
        <f t="shared" si="2790"/>
        <v/>
      </c>
      <c r="AF2742" s="32" t="str">
        <f t="shared" si="2790"/>
        <v/>
      </c>
      <c r="AG2742" s="32" t="str">
        <f t="shared" si="2790"/>
        <v/>
      </c>
      <c r="AH2742" s="33"/>
    </row>
    <row r="2743" hidden="1" outlineLevel="3">
      <c r="A2743" s="95" t="b">
        <v>0</v>
      </c>
      <c r="B2743" s="96"/>
      <c r="C2743" s="18"/>
      <c r="D2743" s="107"/>
      <c r="E2743" s="108"/>
      <c r="F2743" s="109"/>
      <c r="G2743" s="97"/>
      <c r="H2743" s="97"/>
      <c r="I2743" s="97"/>
      <c r="J2743" s="98"/>
      <c r="K2743" s="99"/>
      <c r="L2743" s="98"/>
      <c r="M2743" s="99"/>
      <c r="N2743" s="99"/>
      <c r="O2743" s="18"/>
      <c r="P2743" s="100" t="b">
        <v>0</v>
      </c>
      <c r="Q2743" s="18"/>
      <c r="R2743" s="101" t="str">
        <f t="shared" ref="R2743:R3151" si="2792">IF(G2743 &lt;&gt; "",SUM(G2743:O2743),)</f>
        <v/>
      </c>
      <c r="S2743" s="32"/>
      <c r="T2743" s="102" t="str">
        <f t="shared" ref="T2743:T3285" si="2793">IFERROR(IF((S2743-R2743)&gt;R2743,"+"&amp;ROUND(((S2743-R2743)/R2743)*100,0),ROUND((S2743/(R2743-S2743))*100+100, 0)),)</f>
        <v/>
      </c>
      <c r="U2743" s="18"/>
      <c r="V2743" s="75" t="s">
        <v>29</v>
      </c>
      <c r="W2743" s="104" t="str">
        <f t="shared" si="2024"/>
        <v>/</v>
      </c>
      <c r="X2743" s="111" t="s">
        <v>1680</v>
      </c>
      <c r="Y2743" s="106"/>
      <c r="Z2743" s="26" t="str">
        <f t="shared" si="5"/>
        <v/>
      </c>
      <c r="AA2743" s="26" t="str">
        <f t="shared" si="6"/>
        <v/>
      </c>
      <c r="AB2743" s="32" t="str">
        <f t="shared" si="7"/>
        <v/>
      </c>
      <c r="AC2743" s="32" t="str">
        <f t="shared" ref="AC2743:AG2743" si="2791">IF(J2743&lt;&gt;"", IF(AND($P2743=FALSE, $A2743=FALSE), -J2743, IF(AND($P2743=FALSE, $A2743=TRUE), 0, IF($P2743=TRUE, (J2743 / $R2743) * 100 * ($S2743 / 100)-J2743, ))), )</f>
        <v/>
      </c>
      <c r="AD2743" s="32" t="str">
        <f t="shared" si="2791"/>
        <v/>
      </c>
      <c r="AE2743" s="32" t="str">
        <f t="shared" si="2791"/>
        <v/>
      </c>
      <c r="AF2743" s="32" t="str">
        <f t="shared" si="2791"/>
        <v/>
      </c>
      <c r="AG2743" s="32" t="str">
        <f t="shared" si="2791"/>
        <v/>
      </c>
      <c r="AH2743" s="33"/>
    </row>
    <row r="2744" hidden="1" outlineLevel="2" collapsed="1">
      <c r="A2744" s="95" t="b">
        <v>0</v>
      </c>
      <c r="B2744" s="96"/>
      <c r="C2744" s="18"/>
      <c r="D2744" s="42">
        <v>45571.0</v>
      </c>
      <c r="E2744" s="20" t="s">
        <v>24</v>
      </c>
      <c r="F2744" s="53" t="s">
        <v>1639</v>
      </c>
      <c r="G2744" s="97">
        <v>2.0</v>
      </c>
      <c r="H2744" s="97"/>
      <c r="I2744" s="97">
        <v>3.0</v>
      </c>
      <c r="J2744" s="98"/>
      <c r="K2744" s="99"/>
      <c r="L2744" s="98"/>
      <c r="M2744" s="99"/>
      <c r="N2744" s="99"/>
      <c r="O2744" s="18"/>
      <c r="P2744" s="100" t="b">
        <v>1</v>
      </c>
      <c r="Q2744" s="18"/>
      <c r="R2744" s="101">
        <f t="shared" si="2792"/>
        <v>5</v>
      </c>
      <c r="S2744" s="32">
        <v>14.37</v>
      </c>
      <c r="T2744" s="102" t="str">
        <f t="shared" si="2793"/>
        <v>+187</v>
      </c>
      <c r="U2744" s="18"/>
      <c r="V2744" s="103" t="str">
        <f>IF(ISBLANK($D2744), "0",)</f>
        <v/>
      </c>
      <c r="W2744" s="104" t="str">
        <f t="shared" si="2024"/>
        <v/>
      </c>
      <c r="X2744" s="105"/>
      <c r="Y2744" s="106"/>
      <c r="Z2744" s="26">
        <f t="shared" si="5"/>
        <v>3.748</v>
      </c>
      <c r="AA2744" s="26">
        <f t="shared" si="6"/>
        <v>5.622</v>
      </c>
      <c r="AB2744" s="32" t="str">
        <f t="shared" si="7"/>
        <v/>
      </c>
      <c r="AC2744" s="32" t="str">
        <f t="shared" ref="AC2744:AG2744" si="2794">IF(J2744&lt;&gt;"", IF(AND($P2744=FALSE, $A2744=FALSE), -J2744, IF(AND($P2744=FALSE, $A2744=TRUE), 0, IF($P2744=TRUE, (J2744 / $R2744) * 100 * ($S2744 / 100)-J2744, ))), )</f>
        <v/>
      </c>
      <c r="AD2744" s="32" t="str">
        <f t="shared" si="2794"/>
        <v/>
      </c>
      <c r="AE2744" s="32" t="str">
        <f t="shared" si="2794"/>
        <v/>
      </c>
      <c r="AF2744" s="32" t="str">
        <f t="shared" si="2794"/>
        <v/>
      </c>
      <c r="AG2744" s="32" t="str">
        <f t="shared" si="2794"/>
        <v/>
      </c>
      <c r="AH2744" s="33"/>
    </row>
    <row r="2745" hidden="1" outlineLevel="3">
      <c r="A2745" s="95" t="b">
        <v>0</v>
      </c>
      <c r="B2745" s="96"/>
      <c r="C2745" s="18"/>
      <c r="D2745" s="107"/>
      <c r="E2745" s="108"/>
      <c r="F2745" s="109"/>
      <c r="G2745" s="97"/>
      <c r="H2745" s="97"/>
      <c r="I2745" s="97"/>
      <c r="J2745" s="98"/>
      <c r="K2745" s="99"/>
      <c r="L2745" s="98"/>
      <c r="M2745" s="99"/>
      <c r="N2745" s="99"/>
      <c r="O2745" s="18"/>
      <c r="P2745" s="100" t="b">
        <v>0</v>
      </c>
      <c r="Q2745" s="18"/>
      <c r="R2745" s="101" t="str">
        <f t="shared" si="2792"/>
        <v/>
      </c>
      <c r="S2745" s="32"/>
      <c r="T2745" s="102" t="str">
        <f t="shared" si="2793"/>
        <v/>
      </c>
      <c r="U2745" s="18"/>
      <c r="V2745" s="75" t="s">
        <v>29</v>
      </c>
      <c r="W2745" s="104" t="str">
        <f t="shared" si="2024"/>
        <v>/</v>
      </c>
      <c r="X2745" s="111" t="s">
        <v>80</v>
      </c>
      <c r="Y2745" s="106"/>
      <c r="Z2745" s="26" t="str">
        <f t="shared" si="5"/>
        <v/>
      </c>
      <c r="AA2745" s="26" t="str">
        <f t="shared" si="6"/>
        <v/>
      </c>
      <c r="AB2745" s="32" t="str">
        <f t="shared" si="7"/>
        <v/>
      </c>
      <c r="AC2745" s="32" t="str">
        <f t="shared" ref="AC2745:AG2745" si="2795">IF(J2745&lt;&gt;"", IF(AND($P2745=FALSE, $A2745=FALSE), -J2745, IF(AND($P2745=FALSE, $A2745=TRUE), 0, IF($P2745=TRUE, (J2745 / $R2745) * 100 * ($S2745 / 100)-J2745, ))), )</f>
        <v/>
      </c>
      <c r="AD2745" s="32" t="str">
        <f t="shared" si="2795"/>
        <v/>
      </c>
      <c r="AE2745" s="32" t="str">
        <f t="shared" si="2795"/>
        <v/>
      </c>
      <c r="AF2745" s="32" t="str">
        <f t="shared" si="2795"/>
        <v/>
      </c>
      <c r="AG2745" s="32" t="str">
        <f t="shared" si="2795"/>
        <v/>
      </c>
      <c r="AH2745" s="33"/>
    </row>
    <row r="2746" hidden="1" outlineLevel="3">
      <c r="A2746" s="95" t="b">
        <v>0</v>
      </c>
      <c r="B2746" s="96"/>
      <c r="C2746" s="18"/>
      <c r="D2746" s="107"/>
      <c r="E2746" s="108"/>
      <c r="F2746" s="109"/>
      <c r="G2746" s="97"/>
      <c r="H2746" s="97"/>
      <c r="I2746" s="97"/>
      <c r="J2746" s="98"/>
      <c r="K2746" s="99"/>
      <c r="L2746" s="98"/>
      <c r="M2746" s="99"/>
      <c r="N2746" s="99"/>
      <c r="O2746" s="18"/>
      <c r="P2746" s="100" t="b">
        <v>0</v>
      </c>
      <c r="Q2746" s="18"/>
      <c r="R2746" s="101" t="str">
        <f t="shared" si="2792"/>
        <v/>
      </c>
      <c r="S2746" s="32"/>
      <c r="T2746" s="102" t="str">
        <f t="shared" si="2793"/>
        <v/>
      </c>
      <c r="U2746" s="18"/>
      <c r="V2746" s="75" t="s">
        <v>29</v>
      </c>
      <c r="W2746" s="104" t="str">
        <f t="shared" si="2024"/>
        <v>/</v>
      </c>
      <c r="X2746" s="111" t="s">
        <v>1628</v>
      </c>
      <c r="Y2746" s="106"/>
      <c r="Z2746" s="26" t="str">
        <f t="shared" si="5"/>
        <v/>
      </c>
      <c r="AA2746" s="26" t="str">
        <f t="shared" si="6"/>
        <v/>
      </c>
      <c r="AB2746" s="32" t="str">
        <f t="shared" si="7"/>
        <v/>
      </c>
      <c r="AC2746" s="32" t="str">
        <f t="shared" ref="AC2746:AG2746" si="2796">IF(J2746&lt;&gt;"", IF(AND($P2746=FALSE, $A2746=FALSE), -J2746, IF(AND($P2746=FALSE, $A2746=TRUE), 0, IF($P2746=TRUE, (J2746 / $R2746) * 100 * ($S2746 / 100)-J2746, ))), )</f>
        <v/>
      </c>
      <c r="AD2746" s="32" t="str">
        <f t="shared" si="2796"/>
        <v/>
      </c>
      <c r="AE2746" s="32" t="str">
        <f t="shared" si="2796"/>
        <v/>
      </c>
      <c r="AF2746" s="32" t="str">
        <f t="shared" si="2796"/>
        <v/>
      </c>
      <c r="AG2746" s="32" t="str">
        <f t="shared" si="2796"/>
        <v/>
      </c>
      <c r="AH2746" s="33"/>
    </row>
    <row r="2747" hidden="1" outlineLevel="1" collapsed="1">
      <c r="A2747" s="95" t="b">
        <v>0</v>
      </c>
      <c r="B2747" s="96"/>
      <c r="C2747" s="18"/>
      <c r="D2747" s="42">
        <v>45572.0</v>
      </c>
      <c r="E2747" s="20" t="s">
        <v>24</v>
      </c>
      <c r="F2747" s="53" t="s">
        <v>1639</v>
      </c>
      <c r="G2747" s="97">
        <v>2.0</v>
      </c>
      <c r="H2747" s="97"/>
      <c r="I2747" s="97">
        <v>3.0</v>
      </c>
      <c r="J2747" s="98"/>
      <c r="K2747" s="99"/>
      <c r="L2747" s="98"/>
      <c r="M2747" s="99"/>
      <c r="N2747" s="99"/>
      <c r="O2747" s="18"/>
      <c r="P2747" s="100" t="b">
        <v>0</v>
      </c>
      <c r="Q2747" s="18"/>
      <c r="R2747" s="101">
        <f t="shared" si="2792"/>
        <v>5</v>
      </c>
      <c r="S2747" s="32">
        <v>19.5</v>
      </c>
      <c r="T2747" s="102" t="str">
        <f t="shared" si="2793"/>
        <v>+290</v>
      </c>
      <c r="U2747" s="18"/>
      <c r="V2747" s="103" t="str">
        <f t="shared" ref="V2747:V2749" si="2798">IF(ISBLANK($D2747), "0",)</f>
        <v/>
      </c>
      <c r="W2747" s="104" t="str">
        <f t="shared" si="2024"/>
        <v/>
      </c>
      <c r="X2747" s="105"/>
      <c r="Y2747" s="106"/>
      <c r="Z2747" s="26">
        <f t="shared" si="5"/>
        <v>-2</v>
      </c>
      <c r="AA2747" s="26">
        <f t="shared" si="6"/>
        <v>-3</v>
      </c>
      <c r="AB2747" s="32" t="str">
        <f t="shared" si="7"/>
        <v/>
      </c>
      <c r="AC2747" s="32" t="str">
        <f t="shared" ref="AC2747:AG2747" si="2797">IF(J2747&lt;&gt;"", IF(AND($P2747=FALSE, $A2747=FALSE), -J2747, IF(AND($P2747=FALSE, $A2747=TRUE), 0, IF($P2747=TRUE, (J2747 / $R2747) * 100 * ($S2747 / 100)-J2747, ))), )</f>
        <v/>
      </c>
      <c r="AD2747" s="32" t="str">
        <f t="shared" si="2797"/>
        <v/>
      </c>
      <c r="AE2747" s="32" t="str">
        <f t="shared" si="2797"/>
        <v/>
      </c>
      <c r="AF2747" s="32" t="str">
        <f t="shared" si="2797"/>
        <v/>
      </c>
      <c r="AG2747" s="32" t="str">
        <f t="shared" si="2797"/>
        <v/>
      </c>
      <c r="AH2747" s="33"/>
    </row>
    <row r="2748" hidden="1" outlineLevel="3">
      <c r="A2748" s="95" t="b">
        <v>0</v>
      </c>
      <c r="B2748" s="96"/>
      <c r="C2748" s="18"/>
      <c r="D2748" s="107"/>
      <c r="E2748" s="108"/>
      <c r="F2748" s="109"/>
      <c r="G2748" s="97"/>
      <c r="H2748" s="97"/>
      <c r="I2748" s="97"/>
      <c r="J2748" s="98"/>
      <c r="K2748" s="99"/>
      <c r="L2748" s="98"/>
      <c r="M2748" s="99"/>
      <c r="N2748" s="99"/>
      <c r="O2748" s="18"/>
      <c r="P2748" s="100" t="b">
        <v>0</v>
      </c>
      <c r="Q2748" s="18"/>
      <c r="R2748" s="101" t="str">
        <f t="shared" si="2792"/>
        <v/>
      </c>
      <c r="S2748" s="32"/>
      <c r="T2748" s="102" t="str">
        <f t="shared" si="2793"/>
        <v/>
      </c>
      <c r="U2748" s="18"/>
      <c r="V2748" s="103" t="str">
        <f t="shared" si="2798"/>
        <v>0</v>
      </c>
      <c r="W2748" s="104" t="str">
        <f t="shared" si="2024"/>
        <v>/</v>
      </c>
      <c r="X2748" s="111" t="s">
        <v>1681</v>
      </c>
      <c r="Y2748" s="106"/>
      <c r="Z2748" s="26" t="str">
        <f t="shared" si="5"/>
        <v/>
      </c>
      <c r="AA2748" s="26" t="str">
        <f t="shared" si="6"/>
        <v/>
      </c>
      <c r="AB2748" s="32" t="str">
        <f t="shared" si="7"/>
        <v/>
      </c>
      <c r="AC2748" s="32" t="str">
        <f t="shared" ref="AC2748:AG2748" si="2799">IF(J2748&lt;&gt;"", IF(AND($P2748=FALSE, $A2748=FALSE), -J2748, IF(AND($P2748=FALSE, $A2748=TRUE), 0, IF($P2748=TRUE, (J2748 / $R2748) * 100 * ($S2748 / 100)-J2748, ))), )</f>
        <v/>
      </c>
      <c r="AD2748" s="32" t="str">
        <f t="shared" si="2799"/>
        <v/>
      </c>
      <c r="AE2748" s="32" t="str">
        <f t="shared" si="2799"/>
        <v/>
      </c>
      <c r="AF2748" s="32" t="str">
        <f t="shared" si="2799"/>
        <v/>
      </c>
      <c r="AG2748" s="32" t="str">
        <f t="shared" si="2799"/>
        <v/>
      </c>
      <c r="AH2748" s="33"/>
    </row>
    <row r="2749" hidden="1" outlineLevel="2" collapsed="1">
      <c r="A2749" s="95" t="b">
        <v>0</v>
      </c>
      <c r="B2749" s="96"/>
      <c r="C2749" s="18"/>
      <c r="D2749" s="42">
        <v>45572.0</v>
      </c>
      <c r="E2749" s="20" t="s">
        <v>24</v>
      </c>
      <c r="F2749" s="53" t="s">
        <v>1639</v>
      </c>
      <c r="G2749" s="97">
        <v>3.0</v>
      </c>
      <c r="H2749" s="97"/>
      <c r="I2749" s="97">
        <v>3.0</v>
      </c>
      <c r="J2749" s="98"/>
      <c r="K2749" s="99"/>
      <c r="L2749" s="98"/>
      <c r="M2749" s="99"/>
      <c r="N2749" s="99"/>
      <c r="O2749" s="18"/>
      <c r="P2749" s="100" t="b">
        <v>0</v>
      </c>
      <c r="Q2749" s="18"/>
      <c r="R2749" s="101">
        <f t="shared" si="2792"/>
        <v>6</v>
      </c>
      <c r="S2749" s="32">
        <v>20.21</v>
      </c>
      <c r="T2749" s="102" t="str">
        <f t="shared" si="2793"/>
        <v>+237</v>
      </c>
      <c r="U2749" s="18"/>
      <c r="V2749" s="103" t="str">
        <f t="shared" si="2798"/>
        <v/>
      </c>
      <c r="W2749" s="104" t="str">
        <f t="shared" si="2024"/>
        <v/>
      </c>
      <c r="X2749" s="105"/>
      <c r="Y2749" s="106"/>
      <c r="Z2749" s="26">
        <f t="shared" si="5"/>
        <v>-3</v>
      </c>
      <c r="AA2749" s="26">
        <f t="shared" si="6"/>
        <v>-3</v>
      </c>
      <c r="AB2749" s="32" t="str">
        <f t="shared" si="7"/>
        <v/>
      </c>
      <c r="AC2749" s="32" t="str">
        <f t="shared" ref="AC2749:AG2749" si="2800">IF(J2749&lt;&gt;"", IF(AND($P2749=FALSE, $A2749=FALSE), -J2749, IF(AND($P2749=FALSE, $A2749=TRUE), 0, IF($P2749=TRUE, (J2749 / $R2749) * 100 * ($S2749 / 100)-J2749, ))), )</f>
        <v/>
      </c>
      <c r="AD2749" s="32" t="str">
        <f t="shared" si="2800"/>
        <v/>
      </c>
      <c r="AE2749" s="32" t="str">
        <f t="shared" si="2800"/>
        <v/>
      </c>
      <c r="AF2749" s="32" t="str">
        <f t="shared" si="2800"/>
        <v/>
      </c>
      <c r="AG2749" s="32" t="str">
        <f t="shared" si="2800"/>
        <v/>
      </c>
      <c r="AH2749" s="33"/>
    </row>
    <row r="2750" hidden="1" outlineLevel="3">
      <c r="A2750" s="95" t="b">
        <v>0</v>
      </c>
      <c r="B2750" s="96"/>
      <c r="C2750" s="18"/>
      <c r="D2750" s="107"/>
      <c r="E2750" s="108"/>
      <c r="F2750" s="109"/>
      <c r="G2750" s="97"/>
      <c r="H2750" s="97"/>
      <c r="I2750" s="97"/>
      <c r="J2750" s="98"/>
      <c r="K2750" s="99"/>
      <c r="L2750" s="98"/>
      <c r="M2750" s="99"/>
      <c r="N2750" s="99"/>
      <c r="O2750" s="18"/>
      <c r="P2750" s="100" t="b">
        <v>0</v>
      </c>
      <c r="Q2750" s="18"/>
      <c r="R2750" s="101" t="str">
        <f t="shared" si="2792"/>
        <v/>
      </c>
      <c r="S2750" s="32"/>
      <c r="T2750" s="102" t="str">
        <f t="shared" si="2793"/>
        <v/>
      </c>
      <c r="U2750" s="18"/>
      <c r="V2750" s="75" t="s">
        <v>29</v>
      </c>
      <c r="W2750" s="104" t="str">
        <f t="shared" si="2024"/>
        <v>/</v>
      </c>
      <c r="X2750" s="111" t="s">
        <v>1682</v>
      </c>
      <c r="Y2750" s="106"/>
      <c r="Z2750" s="26" t="str">
        <f t="shared" si="5"/>
        <v/>
      </c>
      <c r="AA2750" s="26" t="str">
        <f t="shared" si="6"/>
        <v/>
      </c>
      <c r="AB2750" s="32" t="str">
        <f t="shared" si="7"/>
        <v/>
      </c>
      <c r="AC2750" s="32" t="str">
        <f t="shared" ref="AC2750:AG2750" si="2801">IF(J2750&lt;&gt;"", IF(AND($P2750=FALSE, $A2750=FALSE), -J2750, IF(AND($P2750=FALSE, $A2750=TRUE), 0, IF($P2750=TRUE, (J2750 / $R2750) * 100 * ($S2750 / 100)-J2750, ))), )</f>
        <v/>
      </c>
      <c r="AD2750" s="32" t="str">
        <f t="shared" si="2801"/>
        <v/>
      </c>
      <c r="AE2750" s="32" t="str">
        <f t="shared" si="2801"/>
        <v/>
      </c>
      <c r="AF2750" s="32" t="str">
        <f t="shared" si="2801"/>
        <v/>
      </c>
      <c r="AG2750" s="32" t="str">
        <f t="shared" si="2801"/>
        <v/>
      </c>
      <c r="AH2750" s="33"/>
    </row>
    <row r="2751" hidden="1" outlineLevel="3">
      <c r="A2751" s="95" t="b">
        <v>0</v>
      </c>
      <c r="B2751" s="96"/>
      <c r="C2751" s="18"/>
      <c r="D2751" s="107"/>
      <c r="E2751" s="108"/>
      <c r="F2751" s="109"/>
      <c r="G2751" s="97"/>
      <c r="H2751" s="97"/>
      <c r="I2751" s="97"/>
      <c r="J2751" s="98"/>
      <c r="K2751" s="99"/>
      <c r="L2751" s="98"/>
      <c r="M2751" s="99"/>
      <c r="N2751" s="99"/>
      <c r="O2751" s="18"/>
      <c r="P2751" s="100" t="b">
        <v>0</v>
      </c>
      <c r="Q2751" s="18"/>
      <c r="R2751" s="101" t="str">
        <f t="shared" si="2792"/>
        <v/>
      </c>
      <c r="S2751" s="32"/>
      <c r="T2751" s="102" t="str">
        <f t="shared" si="2793"/>
        <v/>
      </c>
      <c r="U2751" s="18"/>
      <c r="V2751" s="75" t="s">
        <v>29</v>
      </c>
      <c r="W2751" s="104" t="str">
        <f t="shared" si="2024"/>
        <v>/</v>
      </c>
      <c r="X2751" s="111" t="s">
        <v>680</v>
      </c>
      <c r="Y2751" s="106"/>
      <c r="Z2751" s="26" t="str">
        <f t="shared" si="5"/>
        <v/>
      </c>
      <c r="AA2751" s="26" t="str">
        <f t="shared" si="6"/>
        <v/>
      </c>
      <c r="AB2751" s="32" t="str">
        <f t="shared" si="7"/>
        <v/>
      </c>
      <c r="AC2751" s="32" t="str">
        <f t="shared" ref="AC2751:AG2751" si="2802">IF(J2751&lt;&gt;"", IF(AND($P2751=FALSE, $A2751=FALSE), -J2751, IF(AND($P2751=FALSE, $A2751=TRUE), 0, IF($P2751=TRUE, (J2751 / $R2751) * 100 * ($S2751 / 100)-J2751, ))), )</f>
        <v/>
      </c>
      <c r="AD2751" s="32" t="str">
        <f t="shared" si="2802"/>
        <v/>
      </c>
      <c r="AE2751" s="32" t="str">
        <f t="shared" si="2802"/>
        <v/>
      </c>
      <c r="AF2751" s="32" t="str">
        <f t="shared" si="2802"/>
        <v/>
      </c>
      <c r="AG2751" s="32" t="str">
        <f t="shared" si="2802"/>
        <v/>
      </c>
      <c r="AH2751" s="33"/>
    </row>
    <row r="2752" hidden="1" outlineLevel="3">
      <c r="A2752" s="95" t="b">
        <v>0</v>
      </c>
      <c r="B2752" s="96"/>
      <c r="C2752" s="18"/>
      <c r="D2752" s="107"/>
      <c r="E2752" s="108"/>
      <c r="F2752" s="109"/>
      <c r="G2752" s="97"/>
      <c r="H2752" s="97"/>
      <c r="I2752" s="97"/>
      <c r="J2752" s="98"/>
      <c r="K2752" s="99"/>
      <c r="L2752" s="98"/>
      <c r="M2752" s="99"/>
      <c r="N2752" s="99"/>
      <c r="O2752" s="18"/>
      <c r="P2752" s="100" t="b">
        <v>0</v>
      </c>
      <c r="Q2752" s="18"/>
      <c r="R2752" s="101" t="str">
        <f t="shared" si="2792"/>
        <v/>
      </c>
      <c r="S2752" s="32"/>
      <c r="T2752" s="102" t="str">
        <f t="shared" si="2793"/>
        <v/>
      </c>
      <c r="U2752" s="18"/>
      <c r="V2752" s="103" t="str">
        <f t="shared" ref="V2752:V2753" si="2804">IF(ISBLANK($D2752), "0",)</f>
        <v>0</v>
      </c>
      <c r="W2752" s="104" t="str">
        <f t="shared" si="2024"/>
        <v>/</v>
      </c>
      <c r="X2752" s="111" t="s">
        <v>1592</v>
      </c>
      <c r="Y2752" s="106"/>
      <c r="Z2752" s="26" t="str">
        <f t="shared" si="5"/>
        <v/>
      </c>
      <c r="AA2752" s="26" t="str">
        <f t="shared" si="6"/>
        <v/>
      </c>
      <c r="AB2752" s="32" t="str">
        <f t="shared" si="7"/>
        <v/>
      </c>
      <c r="AC2752" s="32" t="str">
        <f t="shared" ref="AC2752:AG2752" si="2803">IF(J2752&lt;&gt;"", IF(AND($P2752=FALSE, $A2752=FALSE), -J2752, IF(AND($P2752=FALSE, $A2752=TRUE), 0, IF($P2752=TRUE, (J2752 / $R2752) * 100 * ($S2752 / 100)-J2752, ))), )</f>
        <v/>
      </c>
      <c r="AD2752" s="32" t="str">
        <f t="shared" si="2803"/>
        <v/>
      </c>
      <c r="AE2752" s="32" t="str">
        <f t="shared" si="2803"/>
        <v/>
      </c>
      <c r="AF2752" s="32" t="str">
        <f t="shared" si="2803"/>
        <v/>
      </c>
      <c r="AG2752" s="32" t="str">
        <f t="shared" si="2803"/>
        <v/>
      </c>
      <c r="AH2752" s="33"/>
    </row>
    <row r="2753" hidden="1" outlineLevel="2" collapsed="1">
      <c r="A2753" s="95" t="b">
        <v>0</v>
      </c>
      <c r="B2753" s="96"/>
      <c r="C2753" s="18"/>
      <c r="D2753" s="42">
        <v>45572.0</v>
      </c>
      <c r="E2753" s="20" t="s">
        <v>24</v>
      </c>
      <c r="F2753" s="53" t="s">
        <v>1639</v>
      </c>
      <c r="G2753" s="97">
        <v>2.0</v>
      </c>
      <c r="H2753" s="97"/>
      <c r="I2753" s="97">
        <v>2.0</v>
      </c>
      <c r="J2753" s="98"/>
      <c r="K2753" s="99"/>
      <c r="L2753" s="98"/>
      <c r="M2753" s="99"/>
      <c r="N2753" s="99"/>
      <c r="O2753" s="18"/>
      <c r="P2753" s="100" t="b">
        <v>0</v>
      </c>
      <c r="Q2753" s="18"/>
      <c r="R2753" s="101">
        <f t="shared" si="2792"/>
        <v>4</v>
      </c>
      <c r="S2753" s="32">
        <v>51.1</v>
      </c>
      <c r="T2753" s="102" t="str">
        <f t="shared" si="2793"/>
        <v>+1178</v>
      </c>
      <c r="U2753" s="18"/>
      <c r="V2753" s="103" t="str">
        <f t="shared" si="2804"/>
        <v/>
      </c>
      <c r="W2753" s="104" t="str">
        <f t="shared" si="2024"/>
        <v/>
      </c>
      <c r="X2753" s="105"/>
      <c r="Y2753" s="106"/>
      <c r="Z2753" s="26">
        <f t="shared" si="5"/>
        <v>-2</v>
      </c>
      <c r="AA2753" s="26">
        <f t="shared" si="6"/>
        <v>-2</v>
      </c>
      <c r="AB2753" s="32" t="str">
        <f t="shared" si="7"/>
        <v/>
      </c>
      <c r="AC2753" s="32" t="str">
        <f t="shared" ref="AC2753:AG2753" si="2805">IF(J2753&lt;&gt;"", IF(AND($P2753=FALSE, $A2753=FALSE), -J2753, IF(AND($P2753=FALSE, $A2753=TRUE), 0, IF($P2753=TRUE, (J2753 / $R2753) * 100 * ($S2753 / 100)-J2753, ))), )</f>
        <v/>
      </c>
      <c r="AD2753" s="32" t="str">
        <f t="shared" si="2805"/>
        <v/>
      </c>
      <c r="AE2753" s="32" t="str">
        <f t="shared" si="2805"/>
        <v/>
      </c>
      <c r="AF2753" s="32" t="str">
        <f t="shared" si="2805"/>
        <v/>
      </c>
      <c r="AG2753" s="32" t="str">
        <f t="shared" si="2805"/>
        <v/>
      </c>
      <c r="AH2753" s="33"/>
    </row>
    <row r="2754" hidden="1" outlineLevel="3">
      <c r="A2754" s="95" t="b">
        <v>0</v>
      </c>
      <c r="B2754" s="96"/>
      <c r="C2754" s="18"/>
      <c r="D2754" s="107"/>
      <c r="E2754" s="108"/>
      <c r="F2754" s="109"/>
      <c r="G2754" s="97"/>
      <c r="H2754" s="97"/>
      <c r="I2754" s="97"/>
      <c r="J2754" s="98"/>
      <c r="K2754" s="99"/>
      <c r="L2754" s="98"/>
      <c r="M2754" s="99"/>
      <c r="N2754" s="99"/>
      <c r="O2754" s="18"/>
      <c r="P2754" s="100" t="b">
        <v>0</v>
      </c>
      <c r="Q2754" s="18"/>
      <c r="R2754" s="101" t="str">
        <f t="shared" si="2792"/>
        <v/>
      </c>
      <c r="S2754" s="32"/>
      <c r="T2754" s="102" t="str">
        <f t="shared" si="2793"/>
        <v/>
      </c>
      <c r="U2754" s="18"/>
      <c r="V2754" s="113">
        <v>-10.0</v>
      </c>
      <c r="W2754" s="104" t="str">
        <f t="shared" si="2024"/>
        <v>/</v>
      </c>
      <c r="X2754" s="111" t="s">
        <v>679</v>
      </c>
      <c r="Y2754" s="106"/>
      <c r="Z2754" s="26" t="str">
        <f t="shared" si="5"/>
        <v/>
      </c>
      <c r="AA2754" s="26" t="str">
        <f t="shared" si="6"/>
        <v/>
      </c>
      <c r="AB2754" s="32" t="str">
        <f t="shared" si="7"/>
        <v/>
      </c>
      <c r="AC2754" s="32" t="str">
        <f t="shared" ref="AC2754:AG2754" si="2806">IF(J2754&lt;&gt;"", IF(AND($P2754=FALSE, $A2754=FALSE), -J2754, IF(AND($P2754=FALSE, $A2754=TRUE), 0, IF($P2754=TRUE, (J2754 / $R2754) * 100 * ($S2754 / 100)-J2754, ))), )</f>
        <v/>
      </c>
      <c r="AD2754" s="32" t="str">
        <f t="shared" si="2806"/>
        <v/>
      </c>
      <c r="AE2754" s="32" t="str">
        <f t="shared" si="2806"/>
        <v/>
      </c>
      <c r="AF2754" s="32" t="str">
        <f t="shared" si="2806"/>
        <v/>
      </c>
      <c r="AG2754" s="32" t="str">
        <f t="shared" si="2806"/>
        <v/>
      </c>
      <c r="AH2754" s="33"/>
    </row>
    <row r="2755" hidden="1" outlineLevel="3">
      <c r="A2755" s="95" t="b">
        <v>0</v>
      </c>
      <c r="B2755" s="96"/>
      <c r="C2755" s="18"/>
      <c r="D2755" s="107"/>
      <c r="E2755" s="108"/>
      <c r="F2755" s="109"/>
      <c r="G2755" s="97"/>
      <c r="H2755" s="97"/>
      <c r="I2755" s="97"/>
      <c r="J2755" s="98"/>
      <c r="K2755" s="99"/>
      <c r="L2755" s="98"/>
      <c r="M2755" s="99"/>
      <c r="N2755" s="99"/>
      <c r="O2755" s="18"/>
      <c r="P2755" s="100" t="b">
        <v>0</v>
      </c>
      <c r="Q2755" s="18"/>
      <c r="R2755" s="101" t="str">
        <f t="shared" si="2792"/>
        <v/>
      </c>
      <c r="S2755" s="32"/>
      <c r="T2755" s="102" t="str">
        <f t="shared" si="2793"/>
        <v/>
      </c>
      <c r="U2755" s="18"/>
      <c r="V2755" s="75" t="s">
        <v>29</v>
      </c>
      <c r="W2755" s="104" t="str">
        <f t="shared" si="2024"/>
        <v>/</v>
      </c>
      <c r="X2755" s="111" t="s">
        <v>1683</v>
      </c>
      <c r="Y2755" s="106"/>
      <c r="Z2755" s="26" t="str">
        <f t="shared" si="5"/>
        <v/>
      </c>
      <c r="AA2755" s="26" t="str">
        <f t="shared" si="6"/>
        <v/>
      </c>
      <c r="AB2755" s="32" t="str">
        <f t="shared" si="7"/>
        <v/>
      </c>
      <c r="AC2755" s="32" t="str">
        <f t="shared" ref="AC2755:AG2755" si="2807">IF(J2755&lt;&gt;"", IF(AND($P2755=FALSE, $A2755=FALSE), -J2755, IF(AND($P2755=FALSE, $A2755=TRUE), 0, IF($P2755=TRUE, (J2755 / $R2755) * 100 * ($S2755 / 100)-J2755, ))), )</f>
        <v/>
      </c>
      <c r="AD2755" s="32" t="str">
        <f t="shared" si="2807"/>
        <v/>
      </c>
      <c r="AE2755" s="32" t="str">
        <f t="shared" si="2807"/>
        <v/>
      </c>
      <c r="AF2755" s="32" t="str">
        <f t="shared" si="2807"/>
        <v/>
      </c>
      <c r="AG2755" s="32" t="str">
        <f t="shared" si="2807"/>
        <v/>
      </c>
      <c r="AH2755" s="33"/>
    </row>
    <row r="2756" hidden="1" outlineLevel="3">
      <c r="A2756" s="95" t="b">
        <v>0</v>
      </c>
      <c r="B2756" s="96"/>
      <c r="C2756" s="18"/>
      <c r="D2756" s="107"/>
      <c r="E2756" s="108"/>
      <c r="F2756" s="109"/>
      <c r="G2756" s="97"/>
      <c r="H2756" s="97"/>
      <c r="I2756" s="97"/>
      <c r="J2756" s="98"/>
      <c r="K2756" s="99"/>
      <c r="L2756" s="98"/>
      <c r="M2756" s="99"/>
      <c r="N2756" s="99"/>
      <c r="O2756" s="18"/>
      <c r="P2756" s="100" t="b">
        <v>0</v>
      </c>
      <c r="Q2756" s="18"/>
      <c r="R2756" s="101" t="str">
        <f t="shared" si="2792"/>
        <v/>
      </c>
      <c r="S2756" s="32"/>
      <c r="T2756" s="102" t="str">
        <f t="shared" si="2793"/>
        <v/>
      </c>
      <c r="U2756" s="18"/>
      <c r="V2756" s="113">
        <v>1.0</v>
      </c>
      <c r="W2756" s="104" t="str">
        <f t="shared" si="2024"/>
        <v>/</v>
      </c>
      <c r="X2756" s="111" t="s">
        <v>1684</v>
      </c>
      <c r="Y2756" s="106"/>
      <c r="Z2756" s="26" t="str">
        <f t="shared" si="5"/>
        <v/>
      </c>
      <c r="AA2756" s="26" t="str">
        <f t="shared" si="6"/>
        <v/>
      </c>
      <c r="AB2756" s="32" t="str">
        <f t="shared" si="7"/>
        <v/>
      </c>
      <c r="AC2756" s="32" t="str">
        <f t="shared" ref="AC2756:AG2756" si="2808">IF(J2756&lt;&gt;"", IF(AND($P2756=FALSE, $A2756=FALSE), -J2756, IF(AND($P2756=FALSE, $A2756=TRUE), 0, IF($P2756=TRUE, (J2756 / $R2756) * 100 * ($S2756 / 100)-J2756, ))), )</f>
        <v/>
      </c>
      <c r="AD2756" s="32" t="str">
        <f t="shared" si="2808"/>
        <v/>
      </c>
      <c r="AE2756" s="32" t="str">
        <f t="shared" si="2808"/>
        <v/>
      </c>
      <c r="AF2756" s="32" t="str">
        <f t="shared" si="2808"/>
        <v/>
      </c>
      <c r="AG2756" s="32" t="str">
        <f t="shared" si="2808"/>
        <v/>
      </c>
      <c r="AH2756" s="33"/>
    </row>
    <row r="2757" hidden="1" outlineLevel="3">
      <c r="A2757" s="95" t="b">
        <v>0</v>
      </c>
      <c r="B2757" s="96"/>
      <c r="C2757" s="18"/>
      <c r="D2757" s="107"/>
      <c r="E2757" s="108"/>
      <c r="F2757" s="109"/>
      <c r="G2757" s="97"/>
      <c r="H2757" s="97"/>
      <c r="I2757" s="97"/>
      <c r="J2757" s="98"/>
      <c r="K2757" s="99"/>
      <c r="L2757" s="98"/>
      <c r="M2757" s="99"/>
      <c r="N2757" s="99"/>
      <c r="O2757" s="18"/>
      <c r="P2757" s="100" t="b">
        <v>0</v>
      </c>
      <c r="Q2757" s="18"/>
      <c r="R2757" s="101" t="str">
        <f t="shared" si="2792"/>
        <v/>
      </c>
      <c r="S2757" s="32"/>
      <c r="T2757" s="102" t="str">
        <f t="shared" si="2793"/>
        <v/>
      </c>
      <c r="U2757" s="18"/>
      <c r="V2757" s="75" t="s">
        <v>29</v>
      </c>
      <c r="W2757" s="104" t="str">
        <f t="shared" si="2024"/>
        <v>/</v>
      </c>
      <c r="X2757" s="111" t="s">
        <v>1685</v>
      </c>
      <c r="Y2757" s="106"/>
      <c r="Z2757" s="26" t="str">
        <f t="shared" si="5"/>
        <v/>
      </c>
      <c r="AA2757" s="26" t="str">
        <f t="shared" si="6"/>
        <v/>
      </c>
      <c r="AB2757" s="32" t="str">
        <f t="shared" si="7"/>
        <v/>
      </c>
      <c r="AC2757" s="32" t="str">
        <f t="shared" ref="AC2757:AG2757" si="2809">IF(J2757&lt;&gt;"", IF(AND($P2757=FALSE, $A2757=FALSE), -J2757, IF(AND($P2757=FALSE, $A2757=TRUE), 0, IF($P2757=TRUE, (J2757 / $R2757) * 100 * ($S2757 / 100)-J2757, ))), )</f>
        <v/>
      </c>
      <c r="AD2757" s="32" t="str">
        <f t="shared" si="2809"/>
        <v/>
      </c>
      <c r="AE2757" s="32" t="str">
        <f t="shared" si="2809"/>
        <v/>
      </c>
      <c r="AF2757" s="32" t="str">
        <f t="shared" si="2809"/>
        <v/>
      </c>
      <c r="AG2757" s="32" t="str">
        <f t="shared" si="2809"/>
        <v/>
      </c>
      <c r="AH2757" s="33"/>
    </row>
    <row r="2758" hidden="1" outlineLevel="3">
      <c r="A2758" s="95" t="b">
        <v>0</v>
      </c>
      <c r="B2758" s="96"/>
      <c r="C2758" s="18"/>
      <c r="D2758" s="107"/>
      <c r="E2758" s="108"/>
      <c r="F2758" s="109"/>
      <c r="G2758" s="97"/>
      <c r="H2758" s="97"/>
      <c r="I2758" s="97"/>
      <c r="J2758" s="98"/>
      <c r="K2758" s="99"/>
      <c r="L2758" s="98"/>
      <c r="M2758" s="99"/>
      <c r="N2758" s="99"/>
      <c r="O2758" s="18"/>
      <c r="P2758" s="100" t="b">
        <v>0</v>
      </c>
      <c r="Q2758" s="18"/>
      <c r="R2758" s="101" t="str">
        <f t="shared" si="2792"/>
        <v/>
      </c>
      <c r="S2758" s="32"/>
      <c r="T2758" s="102" t="str">
        <f t="shared" si="2793"/>
        <v/>
      </c>
      <c r="U2758" s="18"/>
      <c r="V2758" s="75" t="s">
        <v>29</v>
      </c>
      <c r="W2758" s="104" t="str">
        <f t="shared" si="2024"/>
        <v>/</v>
      </c>
      <c r="X2758" s="111" t="s">
        <v>680</v>
      </c>
      <c r="Y2758" s="106"/>
      <c r="Z2758" s="26" t="str">
        <f t="shared" si="5"/>
        <v/>
      </c>
      <c r="AA2758" s="26" t="str">
        <f t="shared" si="6"/>
        <v/>
      </c>
      <c r="AB2758" s="32" t="str">
        <f t="shared" si="7"/>
        <v/>
      </c>
      <c r="AC2758" s="32" t="str">
        <f t="shared" ref="AC2758:AG2758" si="2810">IF(J2758&lt;&gt;"", IF(AND($P2758=FALSE, $A2758=FALSE), -J2758, IF(AND($P2758=FALSE, $A2758=TRUE), 0, IF($P2758=TRUE, (J2758 / $R2758) * 100 * ($S2758 / 100)-J2758, ))), )</f>
        <v/>
      </c>
      <c r="AD2758" s="32" t="str">
        <f t="shared" si="2810"/>
        <v/>
      </c>
      <c r="AE2758" s="32" t="str">
        <f t="shared" si="2810"/>
        <v/>
      </c>
      <c r="AF2758" s="32" t="str">
        <f t="shared" si="2810"/>
        <v/>
      </c>
      <c r="AG2758" s="32" t="str">
        <f t="shared" si="2810"/>
        <v/>
      </c>
      <c r="AH2758" s="33"/>
    </row>
    <row r="2759" hidden="1" outlineLevel="3">
      <c r="A2759" s="95" t="b">
        <v>0</v>
      </c>
      <c r="B2759" s="96"/>
      <c r="C2759" s="18"/>
      <c r="D2759" s="107"/>
      <c r="E2759" s="108"/>
      <c r="F2759" s="109"/>
      <c r="G2759" s="97"/>
      <c r="H2759" s="97"/>
      <c r="I2759" s="97"/>
      <c r="J2759" s="98"/>
      <c r="K2759" s="99"/>
      <c r="L2759" s="98"/>
      <c r="M2759" s="99"/>
      <c r="N2759" s="99"/>
      <c r="O2759" s="18"/>
      <c r="P2759" s="100" t="b">
        <v>0</v>
      </c>
      <c r="Q2759" s="18"/>
      <c r="R2759" s="101" t="str">
        <f t="shared" si="2792"/>
        <v/>
      </c>
      <c r="S2759" s="32"/>
      <c r="T2759" s="102" t="str">
        <f t="shared" si="2793"/>
        <v/>
      </c>
      <c r="U2759" s="18"/>
      <c r="V2759" s="75" t="s">
        <v>29</v>
      </c>
      <c r="W2759" s="104" t="str">
        <f t="shared" si="2024"/>
        <v>/</v>
      </c>
      <c r="X2759" s="111" t="s">
        <v>80</v>
      </c>
      <c r="Y2759" s="106"/>
      <c r="Z2759" s="26" t="str">
        <f t="shared" si="5"/>
        <v/>
      </c>
      <c r="AA2759" s="26" t="str">
        <f t="shared" si="6"/>
        <v/>
      </c>
      <c r="AB2759" s="32" t="str">
        <f t="shared" si="7"/>
        <v/>
      </c>
      <c r="AC2759" s="32" t="str">
        <f t="shared" ref="AC2759:AG2759" si="2811">IF(J2759&lt;&gt;"", IF(AND($P2759=FALSE, $A2759=FALSE), -J2759, IF(AND($P2759=FALSE, $A2759=TRUE), 0, IF($P2759=TRUE, (J2759 / $R2759) * 100 * ($S2759 / 100)-J2759, ))), )</f>
        <v/>
      </c>
      <c r="AD2759" s="32" t="str">
        <f t="shared" si="2811"/>
        <v/>
      </c>
      <c r="AE2759" s="32" t="str">
        <f t="shared" si="2811"/>
        <v/>
      </c>
      <c r="AF2759" s="32" t="str">
        <f t="shared" si="2811"/>
        <v/>
      </c>
      <c r="AG2759" s="32" t="str">
        <f t="shared" si="2811"/>
        <v/>
      </c>
      <c r="AH2759" s="33"/>
    </row>
    <row r="2760" hidden="1" outlineLevel="2">
      <c r="A2760" s="95" t="b">
        <v>0</v>
      </c>
      <c r="B2760" s="96"/>
      <c r="C2760" s="18"/>
      <c r="D2760" s="42">
        <v>45572.0</v>
      </c>
      <c r="E2760" s="20" t="s">
        <v>24</v>
      </c>
      <c r="F2760" s="53" t="s">
        <v>1639</v>
      </c>
      <c r="G2760" s="97">
        <v>1.0</v>
      </c>
      <c r="H2760" s="97"/>
      <c r="I2760" s="97">
        <v>2.0</v>
      </c>
      <c r="J2760" s="98"/>
      <c r="K2760" s="99"/>
      <c r="L2760" s="98"/>
      <c r="M2760" s="99"/>
      <c r="N2760" s="99"/>
      <c r="O2760" s="18"/>
      <c r="P2760" s="100" t="b">
        <v>0</v>
      </c>
      <c r="Q2760" s="18"/>
      <c r="R2760" s="101">
        <f t="shared" si="2792"/>
        <v>3</v>
      </c>
      <c r="S2760" s="32">
        <v>42.81</v>
      </c>
      <c r="T2760" s="102" t="str">
        <f t="shared" si="2793"/>
        <v>+1327</v>
      </c>
      <c r="U2760" s="18"/>
      <c r="V2760" s="103" t="str">
        <f>IF(ISBLANK($D2760), "0",)</f>
        <v/>
      </c>
      <c r="W2760" s="104" t="str">
        <f t="shared" si="2024"/>
        <v/>
      </c>
      <c r="X2760" s="105"/>
      <c r="Y2760" s="106"/>
      <c r="Z2760" s="26">
        <f t="shared" si="5"/>
        <v>-1</v>
      </c>
      <c r="AA2760" s="26">
        <f t="shared" si="6"/>
        <v>-2</v>
      </c>
      <c r="AB2760" s="32" t="str">
        <f t="shared" si="7"/>
        <v/>
      </c>
      <c r="AC2760" s="32" t="str">
        <f t="shared" ref="AC2760:AG2760" si="2812">IF(J2760&lt;&gt;"", IF(AND($P2760=FALSE, $A2760=FALSE), -J2760, IF(AND($P2760=FALSE, $A2760=TRUE), 0, IF($P2760=TRUE, (J2760 / $R2760) * 100 * ($S2760 / 100)-J2760, ))), )</f>
        <v/>
      </c>
      <c r="AD2760" s="32" t="str">
        <f t="shared" si="2812"/>
        <v/>
      </c>
      <c r="AE2760" s="32" t="str">
        <f t="shared" si="2812"/>
        <v/>
      </c>
      <c r="AF2760" s="32" t="str">
        <f t="shared" si="2812"/>
        <v/>
      </c>
      <c r="AG2760" s="32" t="str">
        <f t="shared" si="2812"/>
        <v/>
      </c>
      <c r="AH2760" s="33"/>
    </row>
    <row r="2761" hidden="1" outlineLevel="3">
      <c r="A2761" s="95" t="b">
        <v>0</v>
      </c>
      <c r="B2761" s="96"/>
      <c r="C2761" s="18"/>
      <c r="D2761" s="107"/>
      <c r="E2761" s="108"/>
      <c r="F2761" s="109"/>
      <c r="G2761" s="97"/>
      <c r="H2761" s="97"/>
      <c r="I2761" s="97"/>
      <c r="J2761" s="98"/>
      <c r="K2761" s="99"/>
      <c r="L2761" s="98"/>
      <c r="M2761" s="99"/>
      <c r="N2761" s="99"/>
      <c r="O2761" s="18"/>
      <c r="P2761" s="100" t="b">
        <v>0</v>
      </c>
      <c r="Q2761" s="18"/>
      <c r="R2761" s="101" t="str">
        <f t="shared" si="2792"/>
        <v/>
      </c>
      <c r="S2761" s="32"/>
      <c r="T2761" s="102" t="str">
        <f t="shared" si="2793"/>
        <v/>
      </c>
      <c r="U2761" s="18"/>
      <c r="V2761" s="75" t="s">
        <v>29</v>
      </c>
      <c r="W2761" s="104" t="str">
        <f t="shared" si="2024"/>
        <v>/</v>
      </c>
      <c r="X2761" s="111" t="s">
        <v>680</v>
      </c>
      <c r="Y2761" s="106"/>
      <c r="Z2761" s="26" t="str">
        <f t="shared" si="5"/>
        <v/>
      </c>
      <c r="AA2761" s="26" t="str">
        <f t="shared" si="6"/>
        <v/>
      </c>
      <c r="AB2761" s="32" t="str">
        <f t="shared" si="7"/>
        <v/>
      </c>
      <c r="AC2761" s="32" t="str">
        <f t="shared" ref="AC2761:AG2761" si="2813">IF(J2761&lt;&gt;"", IF(AND($P2761=FALSE, $A2761=FALSE), -J2761, IF(AND($P2761=FALSE, $A2761=TRUE), 0, IF($P2761=TRUE, (J2761 / $R2761) * 100 * ($S2761 / 100)-J2761, ))), )</f>
        <v/>
      </c>
      <c r="AD2761" s="32" t="str">
        <f t="shared" si="2813"/>
        <v/>
      </c>
      <c r="AE2761" s="32" t="str">
        <f t="shared" si="2813"/>
        <v/>
      </c>
      <c r="AF2761" s="32" t="str">
        <f t="shared" si="2813"/>
        <v/>
      </c>
      <c r="AG2761" s="32" t="str">
        <f t="shared" si="2813"/>
        <v/>
      </c>
      <c r="AH2761" s="33"/>
    </row>
    <row r="2762" hidden="1" outlineLevel="3">
      <c r="A2762" s="95" t="b">
        <v>0</v>
      </c>
      <c r="B2762" s="96"/>
      <c r="C2762" s="18"/>
      <c r="D2762" s="107"/>
      <c r="E2762" s="108"/>
      <c r="F2762" s="109"/>
      <c r="G2762" s="97"/>
      <c r="H2762" s="97"/>
      <c r="I2762" s="97"/>
      <c r="J2762" s="98"/>
      <c r="K2762" s="99"/>
      <c r="L2762" s="98"/>
      <c r="M2762" s="99"/>
      <c r="N2762" s="99"/>
      <c r="O2762" s="18"/>
      <c r="P2762" s="100" t="b">
        <v>0</v>
      </c>
      <c r="Q2762" s="18"/>
      <c r="R2762" s="101" t="str">
        <f t="shared" si="2792"/>
        <v/>
      </c>
      <c r="S2762" s="32"/>
      <c r="T2762" s="102" t="str">
        <f t="shared" si="2793"/>
        <v/>
      </c>
      <c r="U2762" s="18"/>
      <c r="V2762" s="113">
        <v>164.0</v>
      </c>
      <c r="W2762" s="104" t="str">
        <f t="shared" si="2024"/>
        <v>/</v>
      </c>
      <c r="X2762" s="111" t="s">
        <v>1686</v>
      </c>
      <c r="Y2762" s="106"/>
      <c r="Z2762" s="26" t="str">
        <f t="shared" si="5"/>
        <v/>
      </c>
      <c r="AA2762" s="26" t="str">
        <f t="shared" si="6"/>
        <v/>
      </c>
      <c r="AB2762" s="32" t="str">
        <f t="shared" si="7"/>
        <v/>
      </c>
      <c r="AC2762" s="32" t="str">
        <f t="shared" ref="AC2762:AG2762" si="2814">IF(J2762&lt;&gt;"", IF(AND($P2762=FALSE, $A2762=FALSE), -J2762, IF(AND($P2762=FALSE, $A2762=TRUE), 0, IF($P2762=TRUE, (J2762 / $R2762) * 100 * ($S2762 / 100)-J2762, ))), )</f>
        <v/>
      </c>
      <c r="AD2762" s="32" t="str">
        <f t="shared" si="2814"/>
        <v/>
      </c>
      <c r="AE2762" s="32" t="str">
        <f t="shared" si="2814"/>
        <v/>
      </c>
      <c r="AF2762" s="32" t="str">
        <f t="shared" si="2814"/>
        <v/>
      </c>
      <c r="AG2762" s="32" t="str">
        <f t="shared" si="2814"/>
        <v/>
      </c>
      <c r="AH2762" s="33"/>
    </row>
    <row r="2763" hidden="1" outlineLevel="3">
      <c r="A2763" s="95" t="b">
        <v>0</v>
      </c>
      <c r="B2763" s="96"/>
      <c r="C2763" s="18"/>
      <c r="D2763" s="107"/>
      <c r="E2763" s="108"/>
      <c r="F2763" s="109"/>
      <c r="G2763" s="97"/>
      <c r="H2763" s="97"/>
      <c r="I2763" s="97"/>
      <c r="J2763" s="98"/>
      <c r="K2763" s="99"/>
      <c r="L2763" s="98"/>
      <c r="M2763" s="99"/>
      <c r="N2763" s="99"/>
      <c r="O2763" s="18"/>
      <c r="P2763" s="100" t="b">
        <v>0</v>
      </c>
      <c r="Q2763" s="18"/>
      <c r="R2763" s="101" t="str">
        <f t="shared" si="2792"/>
        <v/>
      </c>
      <c r="S2763" s="32"/>
      <c r="T2763" s="102" t="str">
        <f t="shared" si="2793"/>
        <v/>
      </c>
      <c r="U2763" s="18"/>
      <c r="V2763" s="75" t="s">
        <v>29</v>
      </c>
      <c r="W2763" s="104" t="str">
        <f t="shared" si="2024"/>
        <v>/</v>
      </c>
      <c r="X2763" s="111" t="s">
        <v>1687</v>
      </c>
      <c r="Y2763" s="106"/>
      <c r="Z2763" s="26" t="str">
        <f t="shared" si="5"/>
        <v/>
      </c>
      <c r="AA2763" s="26" t="str">
        <f t="shared" si="6"/>
        <v/>
      </c>
      <c r="AB2763" s="32" t="str">
        <f t="shared" si="7"/>
        <v/>
      </c>
      <c r="AC2763" s="32" t="str">
        <f t="shared" ref="AC2763:AG2763" si="2815">IF(J2763&lt;&gt;"", IF(AND($P2763=FALSE, $A2763=FALSE), -J2763, IF(AND($P2763=FALSE, $A2763=TRUE), 0, IF($P2763=TRUE, (J2763 / $R2763) * 100 * ($S2763 / 100)-J2763, ))), )</f>
        <v/>
      </c>
      <c r="AD2763" s="32" t="str">
        <f t="shared" si="2815"/>
        <v/>
      </c>
      <c r="AE2763" s="32" t="str">
        <f t="shared" si="2815"/>
        <v/>
      </c>
      <c r="AF2763" s="32" t="str">
        <f t="shared" si="2815"/>
        <v/>
      </c>
      <c r="AG2763" s="32" t="str">
        <f t="shared" si="2815"/>
        <v/>
      </c>
      <c r="AH2763" s="33"/>
    </row>
    <row r="2764" hidden="1" outlineLevel="3">
      <c r="A2764" s="95" t="b">
        <v>0</v>
      </c>
      <c r="B2764" s="96"/>
      <c r="C2764" s="18"/>
      <c r="D2764" s="107"/>
      <c r="E2764" s="108"/>
      <c r="F2764" s="109"/>
      <c r="G2764" s="97"/>
      <c r="H2764" s="97"/>
      <c r="I2764" s="97"/>
      <c r="J2764" s="98"/>
      <c r="K2764" s="99"/>
      <c r="L2764" s="98"/>
      <c r="M2764" s="99"/>
      <c r="N2764" s="99"/>
      <c r="O2764" s="18"/>
      <c r="P2764" s="100" t="b">
        <v>0</v>
      </c>
      <c r="Q2764" s="18"/>
      <c r="R2764" s="101" t="str">
        <f t="shared" si="2792"/>
        <v/>
      </c>
      <c r="S2764" s="32"/>
      <c r="T2764" s="102" t="str">
        <f t="shared" si="2793"/>
        <v/>
      </c>
      <c r="U2764" s="18"/>
      <c r="V2764" s="113">
        <v>1.0</v>
      </c>
      <c r="W2764" s="104" t="str">
        <f t="shared" si="2024"/>
        <v>/</v>
      </c>
      <c r="X2764" s="111" t="s">
        <v>1688</v>
      </c>
      <c r="Y2764" s="106"/>
      <c r="Z2764" s="26" t="str">
        <f t="shared" si="5"/>
        <v/>
      </c>
      <c r="AA2764" s="26" t="str">
        <f t="shared" si="6"/>
        <v/>
      </c>
      <c r="AB2764" s="32" t="str">
        <f t="shared" si="7"/>
        <v/>
      </c>
      <c r="AC2764" s="32" t="str">
        <f t="shared" ref="AC2764:AG2764" si="2816">IF(J2764&lt;&gt;"", IF(AND($P2764=FALSE, $A2764=FALSE), -J2764, IF(AND($P2764=FALSE, $A2764=TRUE), 0, IF($P2764=TRUE, (J2764 / $R2764) * 100 * ($S2764 / 100)-J2764, ))), )</f>
        <v/>
      </c>
      <c r="AD2764" s="32" t="str">
        <f t="shared" si="2816"/>
        <v/>
      </c>
      <c r="AE2764" s="32" t="str">
        <f t="shared" si="2816"/>
        <v/>
      </c>
      <c r="AF2764" s="32" t="str">
        <f t="shared" si="2816"/>
        <v/>
      </c>
      <c r="AG2764" s="32" t="str">
        <f t="shared" si="2816"/>
        <v/>
      </c>
      <c r="AH2764" s="33"/>
    </row>
    <row r="2765" hidden="1" outlineLevel="3">
      <c r="A2765" s="95" t="b">
        <v>0</v>
      </c>
      <c r="B2765" s="96"/>
      <c r="C2765" s="18"/>
      <c r="D2765" s="107"/>
      <c r="E2765" s="108"/>
      <c r="F2765" s="109"/>
      <c r="G2765" s="97"/>
      <c r="H2765" s="97"/>
      <c r="I2765" s="97"/>
      <c r="J2765" s="98"/>
      <c r="K2765" s="99"/>
      <c r="L2765" s="98"/>
      <c r="M2765" s="99"/>
      <c r="N2765" s="99"/>
      <c r="O2765" s="18"/>
      <c r="P2765" s="100" t="b">
        <v>0</v>
      </c>
      <c r="Q2765" s="18"/>
      <c r="R2765" s="101" t="str">
        <f t="shared" si="2792"/>
        <v/>
      </c>
      <c r="S2765" s="32"/>
      <c r="T2765" s="102" t="str">
        <f t="shared" si="2793"/>
        <v/>
      </c>
      <c r="U2765" s="18"/>
      <c r="V2765" s="75" t="s">
        <v>29</v>
      </c>
      <c r="W2765" s="104" t="str">
        <f t="shared" si="2024"/>
        <v>/</v>
      </c>
      <c r="X2765" s="111" t="s">
        <v>512</v>
      </c>
      <c r="Y2765" s="106"/>
      <c r="Z2765" s="26" t="str">
        <f t="shared" si="5"/>
        <v/>
      </c>
      <c r="AA2765" s="26" t="str">
        <f t="shared" si="6"/>
        <v/>
      </c>
      <c r="AB2765" s="32" t="str">
        <f t="shared" si="7"/>
        <v/>
      </c>
      <c r="AC2765" s="32" t="str">
        <f t="shared" ref="AC2765:AG2765" si="2817">IF(J2765&lt;&gt;"", IF(AND($P2765=FALSE, $A2765=FALSE), -J2765, IF(AND($P2765=FALSE, $A2765=TRUE), 0, IF($P2765=TRUE, (J2765 / $R2765) * 100 * ($S2765 / 100)-J2765, ))), )</f>
        <v/>
      </c>
      <c r="AD2765" s="32" t="str">
        <f t="shared" si="2817"/>
        <v/>
      </c>
      <c r="AE2765" s="32" t="str">
        <f t="shared" si="2817"/>
        <v/>
      </c>
      <c r="AF2765" s="32" t="str">
        <f t="shared" si="2817"/>
        <v/>
      </c>
      <c r="AG2765" s="32" t="str">
        <f t="shared" si="2817"/>
        <v/>
      </c>
      <c r="AH2765" s="33"/>
    </row>
    <row r="2766" hidden="1" outlineLevel="3">
      <c r="A2766" s="95" t="b">
        <v>0</v>
      </c>
      <c r="B2766" s="96"/>
      <c r="C2766" s="18"/>
      <c r="D2766" s="107"/>
      <c r="E2766" s="108"/>
      <c r="F2766" s="109"/>
      <c r="G2766" s="97"/>
      <c r="H2766" s="97"/>
      <c r="I2766" s="97"/>
      <c r="J2766" s="98"/>
      <c r="K2766" s="99"/>
      <c r="L2766" s="98"/>
      <c r="M2766" s="99"/>
      <c r="N2766" s="99"/>
      <c r="O2766" s="18"/>
      <c r="P2766" s="100" t="b">
        <v>0</v>
      </c>
      <c r="Q2766" s="18"/>
      <c r="R2766" s="101" t="str">
        <f t="shared" si="2792"/>
        <v/>
      </c>
      <c r="S2766" s="32"/>
      <c r="T2766" s="102" t="str">
        <f t="shared" si="2793"/>
        <v/>
      </c>
      <c r="U2766" s="18"/>
      <c r="V2766" s="113">
        <v>34.0</v>
      </c>
      <c r="W2766" s="104" t="str">
        <f t="shared" si="2024"/>
        <v>/</v>
      </c>
      <c r="X2766" s="111" t="s">
        <v>1689</v>
      </c>
      <c r="Y2766" s="106"/>
      <c r="Z2766" s="26" t="str">
        <f t="shared" si="5"/>
        <v/>
      </c>
      <c r="AA2766" s="26" t="str">
        <f t="shared" si="6"/>
        <v/>
      </c>
      <c r="AB2766" s="32" t="str">
        <f t="shared" si="7"/>
        <v/>
      </c>
      <c r="AC2766" s="32" t="str">
        <f t="shared" ref="AC2766:AG2766" si="2818">IF(J2766&lt;&gt;"", IF(AND($P2766=FALSE, $A2766=FALSE), -J2766, IF(AND($P2766=FALSE, $A2766=TRUE), 0, IF($P2766=TRUE, (J2766 / $R2766) * 100 * ($S2766 / 100)-J2766, ))), )</f>
        <v/>
      </c>
      <c r="AD2766" s="32" t="str">
        <f t="shared" si="2818"/>
        <v/>
      </c>
      <c r="AE2766" s="32" t="str">
        <f t="shared" si="2818"/>
        <v/>
      </c>
      <c r="AF2766" s="32" t="str">
        <f t="shared" si="2818"/>
        <v/>
      </c>
      <c r="AG2766" s="32" t="str">
        <f t="shared" si="2818"/>
        <v/>
      </c>
      <c r="AH2766" s="33"/>
    </row>
    <row r="2767" hidden="1" outlineLevel="3">
      <c r="A2767" s="95" t="b">
        <v>0</v>
      </c>
      <c r="B2767" s="96"/>
      <c r="C2767" s="18"/>
      <c r="D2767" s="107"/>
      <c r="E2767" s="108"/>
      <c r="F2767" s="109"/>
      <c r="G2767" s="97"/>
      <c r="H2767" s="97"/>
      <c r="I2767" s="97"/>
      <c r="J2767" s="98"/>
      <c r="K2767" s="99"/>
      <c r="L2767" s="98"/>
      <c r="M2767" s="99"/>
      <c r="N2767" s="99"/>
      <c r="O2767" s="18"/>
      <c r="P2767" s="100" t="b">
        <v>0</v>
      </c>
      <c r="Q2767" s="18"/>
      <c r="R2767" s="101" t="str">
        <f t="shared" si="2792"/>
        <v/>
      </c>
      <c r="S2767" s="32"/>
      <c r="T2767" s="102" t="str">
        <f t="shared" si="2793"/>
        <v/>
      </c>
      <c r="U2767" s="18"/>
      <c r="V2767" s="113">
        <v>28.0</v>
      </c>
      <c r="W2767" s="104" t="str">
        <f t="shared" si="2024"/>
        <v>/</v>
      </c>
      <c r="X2767" s="111" t="s">
        <v>1690</v>
      </c>
      <c r="Y2767" s="106"/>
      <c r="Z2767" s="26" t="str">
        <f t="shared" si="5"/>
        <v/>
      </c>
      <c r="AA2767" s="26" t="str">
        <f t="shared" si="6"/>
        <v/>
      </c>
      <c r="AB2767" s="32" t="str">
        <f t="shared" si="7"/>
        <v/>
      </c>
      <c r="AC2767" s="32" t="str">
        <f t="shared" ref="AC2767:AG2767" si="2819">IF(J2767&lt;&gt;"", IF(AND($P2767=FALSE, $A2767=FALSE), -J2767, IF(AND($P2767=FALSE, $A2767=TRUE), 0, IF($P2767=TRUE, (J2767 / $R2767) * 100 * ($S2767 / 100)-J2767, ))), )</f>
        <v/>
      </c>
      <c r="AD2767" s="32" t="str">
        <f t="shared" si="2819"/>
        <v/>
      </c>
      <c r="AE2767" s="32" t="str">
        <f t="shared" si="2819"/>
        <v/>
      </c>
      <c r="AF2767" s="32" t="str">
        <f t="shared" si="2819"/>
        <v/>
      </c>
      <c r="AG2767" s="32" t="str">
        <f t="shared" si="2819"/>
        <v/>
      </c>
      <c r="AH2767" s="33"/>
    </row>
    <row r="2768" hidden="1" outlineLevel="3">
      <c r="A2768" s="95" t="b">
        <v>0</v>
      </c>
      <c r="B2768" s="96"/>
      <c r="C2768" s="18"/>
      <c r="D2768" s="107"/>
      <c r="E2768" s="108"/>
      <c r="F2768" s="109"/>
      <c r="G2768" s="97"/>
      <c r="H2768" s="97"/>
      <c r="I2768" s="97"/>
      <c r="J2768" s="98"/>
      <c r="K2768" s="99"/>
      <c r="L2768" s="98"/>
      <c r="M2768" s="99"/>
      <c r="N2768" s="99"/>
      <c r="O2768" s="18"/>
      <c r="P2768" s="100" t="b">
        <v>0</v>
      </c>
      <c r="Q2768" s="18"/>
      <c r="R2768" s="101" t="str">
        <f t="shared" si="2792"/>
        <v/>
      </c>
      <c r="S2768" s="32"/>
      <c r="T2768" s="102" t="str">
        <f t="shared" si="2793"/>
        <v/>
      </c>
      <c r="U2768" s="18"/>
      <c r="V2768" s="75" t="s">
        <v>29</v>
      </c>
      <c r="W2768" s="104" t="str">
        <f t="shared" si="2024"/>
        <v>/</v>
      </c>
      <c r="X2768" s="111" t="s">
        <v>1155</v>
      </c>
      <c r="Y2768" s="106"/>
      <c r="Z2768" s="26" t="str">
        <f t="shared" si="5"/>
        <v/>
      </c>
      <c r="AA2768" s="26" t="str">
        <f t="shared" si="6"/>
        <v/>
      </c>
      <c r="AB2768" s="32" t="str">
        <f t="shared" si="7"/>
        <v/>
      </c>
      <c r="AC2768" s="32" t="str">
        <f t="shared" ref="AC2768:AG2768" si="2820">IF(J2768&lt;&gt;"", IF(AND($P2768=FALSE, $A2768=FALSE), -J2768, IF(AND($P2768=FALSE, $A2768=TRUE), 0, IF($P2768=TRUE, (J2768 / $R2768) * 100 * ($S2768 / 100)-J2768, ))), )</f>
        <v/>
      </c>
      <c r="AD2768" s="32" t="str">
        <f t="shared" si="2820"/>
        <v/>
      </c>
      <c r="AE2768" s="32" t="str">
        <f t="shared" si="2820"/>
        <v/>
      </c>
      <c r="AF2768" s="32" t="str">
        <f t="shared" si="2820"/>
        <v/>
      </c>
      <c r="AG2768" s="32" t="str">
        <f t="shared" si="2820"/>
        <v/>
      </c>
      <c r="AH2768" s="33"/>
    </row>
    <row r="2769" hidden="1" outlineLevel="1" collapsed="1">
      <c r="A2769" s="95" t="b">
        <v>0</v>
      </c>
      <c r="B2769" s="96"/>
      <c r="C2769" s="18"/>
      <c r="D2769" s="42">
        <v>45575.0</v>
      </c>
      <c r="E2769" s="20" t="s">
        <v>24</v>
      </c>
      <c r="F2769" s="53" t="s">
        <v>1639</v>
      </c>
      <c r="G2769" s="97">
        <v>2.0</v>
      </c>
      <c r="H2769" s="97"/>
      <c r="I2769" s="97">
        <v>5.0</v>
      </c>
      <c r="J2769" s="98"/>
      <c r="K2769" s="99"/>
      <c r="L2769" s="98"/>
      <c r="M2769" s="99"/>
      <c r="N2769" s="99"/>
      <c r="O2769" s="18"/>
      <c r="P2769" s="100" t="b">
        <v>0</v>
      </c>
      <c r="Q2769" s="18"/>
      <c r="R2769" s="101">
        <f t="shared" si="2792"/>
        <v>7</v>
      </c>
      <c r="S2769" s="32">
        <v>18.41</v>
      </c>
      <c r="T2769" s="102" t="str">
        <f t="shared" si="2793"/>
        <v>+163</v>
      </c>
      <c r="U2769" s="18"/>
      <c r="V2769" s="113"/>
      <c r="W2769" s="104" t="str">
        <f t="shared" si="2024"/>
        <v/>
      </c>
      <c r="X2769" s="111"/>
      <c r="Y2769" s="106"/>
      <c r="Z2769" s="26">
        <f t="shared" si="5"/>
        <v>-2</v>
      </c>
      <c r="AA2769" s="26">
        <f t="shared" si="6"/>
        <v>-5</v>
      </c>
      <c r="AB2769" s="32" t="str">
        <f t="shared" si="7"/>
        <v/>
      </c>
      <c r="AC2769" s="32" t="str">
        <f t="shared" ref="AC2769:AG2769" si="2821">IF(J2769&lt;&gt;"", IF(AND($P2769=FALSE, $A2769=FALSE), -J2769, IF(AND($P2769=FALSE, $A2769=TRUE), 0, IF($P2769=TRUE, (J2769 / $R2769) * 100 * ($S2769 / 100)-J2769, ))), )</f>
        <v/>
      </c>
      <c r="AD2769" s="32" t="str">
        <f t="shared" si="2821"/>
        <v/>
      </c>
      <c r="AE2769" s="32" t="str">
        <f t="shared" si="2821"/>
        <v/>
      </c>
      <c r="AF2769" s="32" t="str">
        <f t="shared" si="2821"/>
        <v/>
      </c>
      <c r="AG2769" s="32" t="str">
        <f t="shared" si="2821"/>
        <v/>
      </c>
      <c r="AH2769" s="33"/>
    </row>
    <row r="2770" hidden="1" outlineLevel="3">
      <c r="A2770" s="95" t="b">
        <v>0</v>
      </c>
      <c r="B2770" s="96"/>
      <c r="C2770" s="18"/>
      <c r="D2770" s="107"/>
      <c r="E2770" s="108"/>
      <c r="F2770" s="109"/>
      <c r="G2770" s="97"/>
      <c r="H2770" s="97"/>
      <c r="I2770" s="97"/>
      <c r="J2770" s="98"/>
      <c r="K2770" s="99"/>
      <c r="L2770" s="98"/>
      <c r="M2770" s="99"/>
      <c r="N2770" s="99"/>
      <c r="O2770" s="18"/>
      <c r="P2770" s="100" t="b">
        <v>0</v>
      </c>
      <c r="Q2770" s="18"/>
      <c r="R2770" s="101" t="str">
        <f t="shared" si="2792"/>
        <v/>
      </c>
      <c r="S2770" s="32"/>
      <c r="T2770" s="102" t="str">
        <f t="shared" si="2793"/>
        <v/>
      </c>
      <c r="U2770" s="18"/>
      <c r="V2770" s="113">
        <v>15.0</v>
      </c>
      <c r="W2770" s="104" t="str">
        <f t="shared" si="2024"/>
        <v>/</v>
      </c>
      <c r="X2770" s="111" t="s">
        <v>1691</v>
      </c>
      <c r="Y2770" s="106"/>
      <c r="Z2770" s="26" t="str">
        <f t="shared" si="5"/>
        <v/>
      </c>
      <c r="AA2770" s="26" t="str">
        <f t="shared" si="6"/>
        <v/>
      </c>
      <c r="AB2770" s="32" t="str">
        <f t="shared" si="7"/>
        <v/>
      </c>
      <c r="AC2770" s="32" t="str">
        <f t="shared" ref="AC2770:AG2770" si="2822">IF(J2770&lt;&gt;"", IF(AND($P2770=FALSE, $A2770=FALSE), -J2770, IF(AND($P2770=FALSE, $A2770=TRUE), 0, IF($P2770=TRUE, (J2770 / $R2770) * 100 * ($S2770 / 100)-J2770, ))), )</f>
        <v/>
      </c>
      <c r="AD2770" s="32" t="str">
        <f t="shared" si="2822"/>
        <v/>
      </c>
      <c r="AE2770" s="32" t="str">
        <f t="shared" si="2822"/>
        <v/>
      </c>
      <c r="AF2770" s="32" t="str">
        <f t="shared" si="2822"/>
        <v/>
      </c>
      <c r="AG2770" s="32" t="str">
        <f t="shared" si="2822"/>
        <v/>
      </c>
      <c r="AH2770" s="33"/>
    </row>
    <row r="2771" hidden="1" outlineLevel="3">
      <c r="A2771" s="95" t="b">
        <v>0</v>
      </c>
      <c r="B2771" s="96"/>
      <c r="C2771" s="18"/>
      <c r="D2771" s="107"/>
      <c r="E2771" s="108"/>
      <c r="F2771" s="109"/>
      <c r="G2771" s="97"/>
      <c r="H2771" s="97"/>
      <c r="I2771" s="97"/>
      <c r="J2771" s="98"/>
      <c r="K2771" s="99"/>
      <c r="L2771" s="98"/>
      <c r="M2771" s="99"/>
      <c r="N2771" s="99"/>
      <c r="O2771" s="18"/>
      <c r="P2771" s="100" t="b">
        <v>0</v>
      </c>
      <c r="Q2771" s="18"/>
      <c r="R2771" s="101" t="str">
        <f t="shared" si="2792"/>
        <v/>
      </c>
      <c r="S2771" s="32"/>
      <c r="T2771" s="102" t="str">
        <f t="shared" si="2793"/>
        <v/>
      </c>
      <c r="U2771" s="18"/>
      <c r="V2771" s="113">
        <v>5.0</v>
      </c>
      <c r="W2771" s="104" t="str">
        <f t="shared" si="2024"/>
        <v>/</v>
      </c>
      <c r="X2771" s="111" t="s">
        <v>1692</v>
      </c>
      <c r="Y2771" s="106"/>
      <c r="Z2771" s="26" t="str">
        <f t="shared" si="5"/>
        <v/>
      </c>
      <c r="AA2771" s="26" t="str">
        <f t="shared" si="6"/>
        <v/>
      </c>
      <c r="AB2771" s="32" t="str">
        <f t="shared" si="7"/>
        <v/>
      </c>
      <c r="AC2771" s="32" t="str">
        <f t="shared" ref="AC2771:AG2771" si="2823">IF(J2771&lt;&gt;"", IF(AND($P2771=FALSE, $A2771=FALSE), -J2771, IF(AND($P2771=FALSE, $A2771=TRUE), 0, IF($P2771=TRUE, (J2771 / $R2771) * 100 * ($S2771 / 100)-J2771, ))), )</f>
        <v/>
      </c>
      <c r="AD2771" s="32" t="str">
        <f t="shared" si="2823"/>
        <v/>
      </c>
      <c r="AE2771" s="32" t="str">
        <f t="shared" si="2823"/>
        <v/>
      </c>
      <c r="AF2771" s="32" t="str">
        <f t="shared" si="2823"/>
        <v/>
      </c>
      <c r="AG2771" s="32" t="str">
        <f t="shared" si="2823"/>
        <v/>
      </c>
      <c r="AH2771" s="33"/>
    </row>
    <row r="2772" hidden="1" outlineLevel="3">
      <c r="A2772" s="95" t="b">
        <v>0</v>
      </c>
      <c r="B2772" s="96"/>
      <c r="C2772" s="18"/>
      <c r="D2772" s="107"/>
      <c r="E2772" s="108"/>
      <c r="F2772" s="109"/>
      <c r="G2772" s="97"/>
      <c r="H2772" s="97"/>
      <c r="I2772" s="97"/>
      <c r="J2772" s="98"/>
      <c r="K2772" s="99"/>
      <c r="L2772" s="98"/>
      <c r="M2772" s="99"/>
      <c r="N2772" s="99"/>
      <c r="O2772" s="18"/>
      <c r="P2772" s="100" t="b">
        <v>0</v>
      </c>
      <c r="Q2772" s="18"/>
      <c r="R2772" s="101" t="str">
        <f t="shared" si="2792"/>
        <v/>
      </c>
      <c r="S2772" s="32"/>
      <c r="T2772" s="102" t="str">
        <f t="shared" si="2793"/>
        <v/>
      </c>
      <c r="U2772" s="18"/>
      <c r="V2772" s="113">
        <v>12.0</v>
      </c>
      <c r="W2772" s="104" t="str">
        <f t="shared" si="2024"/>
        <v>/</v>
      </c>
      <c r="X2772" s="111" t="s">
        <v>1693</v>
      </c>
      <c r="Y2772" s="106"/>
      <c r="Z2772" s="26" t="str">
        <f t="shared" si="5"/>
        <v/>
      </c>
      <c r="AA2772" s="26" t="str">
        <f t="shared" si="6"/>
        <v/>
      </c>
      <c r="AB2772" s="32" t="str">
        <f t="shared" si="7"/>
        <v/>
      </c>
      <c r="AC2772" s="32" t="str">
        <f t="shared" ref="AC2772:AG2772" si="2824">IF(J2772&lt;&gt;"", IF(AND($P2772=FALSE, $A2772=FALSE), -J2772, IF(AND($P2772=FALSE, $A2772=TRUE), 0, IF($P2772=TRUE, (J2772 / $R2772) * 100 * ($S2772 / 100)-J2772, ))), )</f>
        <v/>
      </c>
      <c r="AD2772" s="32" t="str">
        <f t="shared" si="2824"/>
        <v/>
      </c>
      <c r="AE2772" s="32" t="str">
        <f t="shared" si="2824"/>
        <v/>
      </c>
      <c r="AF2772" s="32" t="str">
        <f t="shared" si="2824"/>
        <v/>
      </c>
      <c r="AG2772" s="32" t="str">
        <f t="shared" si="2824"/>
        <v/>
      </c>
      <c r="AH2772" s="33"/>
    </row>
    <row r="2773" hidden="1" outlineLevel="3">
      <c r="A2773" s="95" t="b">
        <v>0</v>
      </c>
      <c r="B2773" s="96"/>
      <c r="C2773" s="18"/>
      <c r="D2773" s="107"/>
      <c r="E2773" s="108"/>
      <c r="F2773" s="109"/>
      <c r="G2773" s="97"/>
      <c r="H2773" s="97"/>
      <c r="I2773" s="97"/>
      <c r="J2773" s="98"/>
      <c r="K2773" s="99"/>
      <c r="L2773" s="98"/>
      <c r="M2773" s="99"/>
      <c r="N2773" s="99"/>
      <c r="O2773" s="18"/>
      <c r="P2773" s="100" t="b">
        <v>0</v>
      </c>
      <c r="Q2773" s="18"/>
      <c r="R2773" s="101" t="str">
        <f t="shared" si="2792"/>
        <v/>
      </c>
      <c r="S2773" s="32"/>
      <c r="T2773" s="102" t="str">
        <f t="shared" si="2793"/>
        <v/>
      </c>
      <c r="U2773" s="18"/>
      <c r="V2773" s="113">
        <v>0.0</v>
      </c>
      <c r="W2773" s="104" t="str">
        <f t="shared" si="2024"/>
        <v>/</v>
      </c>
      <c r="X2773" s="111" t="s">
        <v>1694</v>
      </c>
      <c r="Y2773" s="106"/>
      <c r="Z2773" s="26" t="str">
        <f t="shared" si="5"/>
        <v/>
      </c>
      <c r="AA2773" s="26" t="str">
        <f t="shared" si="6"/>
        <v/>
      </c>
      <c r="AB2773" s="32" t="str">
        <f t="shared" si="7"/>
        <v/>
      </c>
      <c r="AC2773" s="32" t="str">
        <f t="shared" ref="AC2773:AG2773" si="2825">IF(J2773&lt;&gt;"", IF(AND($P2773=FALSE, $A2773=FALSE), -J2773, IF(AND($P2773=FALSE, $A2773=TRUE), 0, IF($P2773=TRUE, (J2773 / $R2773) * 100 * ($S2773 / 100)-J2773, ))), )</f>
        <v/>
      </c>
      <c r="AD2773" s="32" t="str">
        <f t="shared" si="2825"/>
        <v/>
      </c>
      <c r="AE2773" s="32" t="str">
        <f t="shared" si="2825"/>
        <v/>
      </c>
      <c r="AF2773" s="32" t="str">
        <f t="shared" si="2825"/>
        <v/>
      </c>
      <c r="AG2773" s="32" t="str">
        <f t="shared" si="2825"/>
        <v/>
      </c>
      <c r="AH2773" s="33"/>
    </row>
    <row r="2774" hidden="1" outlineLevel="2" collapsed="1">
      <c r="A2774" s="95" t="b">
        <v>0</v>
      </c>
      <c r="B2774" s="96"/>
      <c r="C2774" s="18"/>
      <c r="D2774" s="42">
        <v>45575.0</v>
      </c>
      <c r="E2774" s="20" t="s">
        <v>24</v>
      </c>
      <c r="F2774" s="53" t="s">
        <v>1639</v>
      </c>
      <c r="G2774" s="97">
        <v>2.0</v>
      </c>
      <c r="H2774" s="97"/>
      <c r="I2774" s="97">
        <v>2.0</v>
      </c>
      <c r="J2774" s="98"/>
      <c r="K2774" s="99"/>
      <c r="L2774" s="98"/>
      <c r="M2774" s="99"/>
      <c r="N2774" s="99"/>
      <c r="O2774" s="18"/>
      <c r="P2774" s="100" t="b">
        <v>0</v>
      </c>
      <c r="Q2774" s="18"/>
      <c r="R2774" s="101">
        <f t="shared" si="2792"/>
        <v>4</v>
      </c>
      <c r="S2774" s="32">
        <v>18.8</v>
      </c>
      <c r="T2774" s="102" t="str">
        <f t="shared" si="2793"/>
        <v>+370</v>
      </c>
      <c r="U2774" s="18"/>
      <c r="V2774" s="113"/>
      <c r="W2774" s="104"/>
      <c r="X2774" s="111"/>
      <c r="Y2774" s="106"/>
      <c r="Z2774" s="26">
        <f t="shared" si="5"/>
        <v>-2</v>
      </c>
      <c r="AA2774" s="26">
        <f t="shared" si="6"/>
        <v>-2</v>
      </c>
      <c r="AB2774" s="32" t="str">
        <f t="shared" si="7"/>
        <v/>
      </c>
      <c r="AC2774" s="32" t="str">
        <f t="shared" ref="AC2774:AG2774" si="2826">IF(J2774&lt;&gt;"", IF(AND($P2774=FALSE, $A2774=FALSE), -J2774, IF(AND($P2774=FALSE, $A2774=TRUE), 0, IF($P2774=TRUE, (J2774 / $R2774) * 100 * ($S2774 / 100)-J2774, ))), )</f>
        <v/>
      </c>
      <c r="AD2774" s="32" t="str">
        <f t="shared" si="2826"/>
        <v/>
      </c>
      <c r="AE2774" s="32" t="str">
        <f t="shared" si="2826"/>
        <v/>
      </c>
      <c r="AF2774" s="32" t="str">
        <f t="shared" si="2826"/>
        <v/>
      </c>
      <c r="AG2774" s="32" t="str">
        <f t="shared" si="2826"/>
        <v/>
      </c>
      <c r="AH2774" s="33"/>
    </row>
    <row r="2775" hidden="1" outlineLevel="3">
      <c r="A2775" s="95" t="b">
        <v>0</v>
      </c>
      <c r="B2775" s="96"/>
      <c r="C2775" s="18"/>
      <c r="D2775" s="107"/>
      <c r="E2775" s="108"/>
      <c r="F2775" s="109"/>
      <c r="G2775" s="97"/>
      <c r="H2775" s="97"/>
      <c r="I2775" s="97"/>
      <c r="J2775" s="98"/>
      <c r="K2775" s="99"/>
      <c r="L2775" s="98"/>
      <c r="M2775" s="99"/>
      <c r="N2775" s="99"/>
      <c r="O2775" s="18"/>
      <c r="P2775" s="100" t="b">
        <v>0</v>
      </c>
      <c r="Q2775" s="18"/>
      <c r="R2775" s="101" t="str">
        <f t="shared" si="2792"/>
        <v/>
      </c>
      <c r="S2775" s="32"/>
      <c r="T2775" s="102" t="str">
        <f t="shared" si="2793"/>
        <v/>
      </c>
      <c r="U2775" s="18"/>
      <c r="V2775" s="113">
        <v>20.0</v>
      </c>
      <c r="W2775" s="104" t="str">
        <f t="shared" ref="W2775:W3885" si="2828">IF(ISBLANK($D2775), "/",)</f>
        <v>/</v>
      </c>
      <c r="X2775" s="111" t="s">
        <v>1695</v>
      </c>
      <c r="Y2775" s="106"/>
      <c r="Z2775" s="26" t="str">
        <f t="shared" si="5"/>
        <v/>
      </c>
      <c r="AA2775" s="26" t="str">
        <f t="shared" si="6"/>
        <v/>
      </c>
      <c r="AB2775" s="32" t="str">
        <f t="shared" si="7"/>
        <v/>
      </c>
      <c r="AC2775" s="32" t="str">
        <f t="shared" ref="AC2775:AG2775" si="2827">IF(J2775&lt;&gt;"", IF(AND($P2775=FALSE, $A2775=FALSE), -J2775, IF(AND($P2775=FALSE, $A2775=TRUE), 0, IF($P2775=TRUE, (J2775 / $R2775) * 100 * ($S2775 / 100)-J2775, ))), )</f>
        <v/>
      </c>
      <c r="AD2775" s="32" t="str">
        <f t="shared" si="2827"/>
        <v/>
      </c>
      <c r="AE2775" s="32" t="str">
        <f t="shared" si="2827"/>
        <v/>
      </c>
      <c r="AF2775" s="32" t="str">
        <f t="shared" si="2827"/>
        <v/>
      </c>
      <c r="AG2775" s="32" t="str">
        <f t="shared" si="2827"/>
        <v/>
      </c>
      <c r="AH2775" s="33"/>
    </row>
    <row r="2776" hidden="1" outlineLevel="3">
      <c r="A2776" s="95" t="b">
        <v>0</v>
      </c>
      <c r="B2776" s="96"/>
      <c r="C2776" s="18"/>
      <c r="D2776" s="107"/>
      <c r="E2776" s="108"/>
      <c r="F2776" s="109"/>
      <c r="G2776" s="97"/>
      <c r="H2776" s="97"/>
      <c r="I2776" s="97"/>
      <c r="J2776" s="98"/>
      <c r="K2776" s="99"/>
      <c r="L2776" s="98"/>
      <c r="M2776" s="99"/>
      <c r="N2776" s="99"/>
      <c r="O2776" s="18"/>
      <c r="P2776" s="100" t="b">
        <v>0</v>
      </c>
      <c r="Q2776" s="18"/>
      <c r="R2776" s="101" t="str">
        <f t="shared" si="2792"/>
        <v/>
      </c>
      <c r="S2776" s="32"/>
      <c r="T2776" s="102" t="str">
        <f t="shared" si="2793"/>
        <v/>
      </c>
      <c r="U2776" s="18"/>
      <c r="V2776" s="113">
        <v>65.0</v>
      </c>
      <c r="W2776" s="104" t="str">
        <f t="shared" si="2828"/>
        <v>/</v>
      </c>
      <c r="X2776" s="111" t="s">
        <v>1696</v>
      </c>
      <c r="Y2776" s="106"/>
      <c r="Z2776" s="26" t="str">
        <f t="shared" si="5"/>
        <v/>
      </c>
      <c r="AA2776" s="26" t="str">
        <f t="shared" si="6"/>
        <v/>
      </c>
      <c r="AB2776" s="32" t="str">
        <f t="shared" si="7"/>
        <v/>
      </c>
      <c r="AC2776" s="32" t="str">
        <f t="shared" ref="AC2776:AG2776" si="2829">IF(J2776&lt;&gt;"", IF(AND($P2776=FALSE, $A2776=FALSE), -J2776, IF(AND($P2776=FALSE, $A2776=TRUE), 0, IF($P2776=TRUE, (J2776 / $R2776) * 100 * ($S2776 / 100)-J2776, ))), )</f>
        <v/>
      </c>
      <c r="AD2776" s="32" t="str">
        <f t="shared" si="2829"/>
        <v/>
      </c>
      <c r="AE2776" s="32" t="str">
        <f t="shared" si="2829"/>
        <v/>
      </c>
      <c r="AF2776" s="32" t="str">
        <f t="shared" si="2829"/>
        <v/>
      </c>
      <c r="AG2776" s="32" t="str">
        <f t="shared" si="2829"/>
        <v/>
      </c>
      <c r="AH2776" s="33"/>
    </row>
    <row r="2777" hidden="1" outlineLevel="3">
      <c r="A2777" s="95" t="b">
        <v>0</v>
      </c>
      <c r="B2777" s="96"/>
      <c r="C2777" s="18"/>
      <c r="D2777" s="107"/>
      <c r="E2777" s="108"/>
      <c r="F2777" s="109"/>
      <c r="G2777" s="97"/>
      <c r="H2777" s="97"/>
      <c r="I2777" s="97"/>
      <c r="J2777" s="98"/>
      <c r="K2777" s="99"/>
      <c r="L2777" s="98"/>
      <c r="M2777" s="99"/>
      <c r="N2777" s="99"/>
      <c r="O2777" s="18"/>
      <c r="P2777" s="100" t="b">
        <v>0</v>
      </c>
      <c r="Q2777" s="18"/>
      <c r="R2777" s="101" t="str">
        <f t="shared" si="2792"/>
        <v/>
      </c>
      <c r="S2777" s="32"/>
      <c r="T2777" s="102" t="str">
        <f t="shared" si="2793"/>
        <v/>
      </c>
      <c r="U2777" s="18"/>
      <c r="V2777" s="113">
        <v>12.0</v>
      </c>
      <c r="W2777" s="104" t="str">
        <f t="shared" si="2828"/>
        <v>/</v>
      </c>
      <c r="X2777" s="114" t="s">
        <v>1695</v>
      </c>
      <c r="Y2777" s="106"/>
      <c r="Z2777" s="26" t="str">
        <f t="shared" si="5"/>
        <v/>
      </c>
      <c r="AA2777" s="26" t="str">
        <f t="shared" si="6"/>
        <v/>
      </c>
      <c r="AB2777" s="32" t="str">
        <f t="shared" si="7"/>
        <v/>
      </c>
      <c r="AC2777" s="32" t="str">
        <f t="shared" ref="AC2777:AG2777" si="2830">IF(J2777&lt;&gt;"", IF(AND($P2777=FALSE, $A2777=FALSE), -J2777, IF(AND($P2777=FALSE, $A2777=TRUE), 0, IF($P2777=TRUE, (J2777 / $R2777) * 100 * ($S2777 / 100)-J2777, ))), )</f>
        <v/>
      </c>
      <c r="AD2777" s="32" t="str">
        <f t="shared" si="2830"/>
        <v/>
      </c>
      <c r="AE2777" s="32" t="str">
        <f t="shared" si="2830"/>
        <v/>
      </c>
      <c r="AF2777" s="32" t="str">
        <f t="shared" si="2830"/>
        <v/>
      </c>
      <c r="AG2777" s="32" t="str">
        <f t="shared" si="2830"/>
        <v/>
      </c>
      <c r="AH2777" s="33"/>
    </row>
    <row r="2778" hidden="1" outlineLevel="3">
      <c r="A2778" s="95" t="b">
        <v>0</v>
      </c>
      <c r="B2778" s="96"/>
      <c r="C2778" s="18"/>
      <c r="D2778" s="107"/>
      <c r="E2778" s="108"/>
      <c r="F2778" s="109"/>
      <c r="G2778" s="97"/>
      <c r="H2778" s="97"/>
      <c r="I2778" s="97"/>
      <c r="J2778" s="98"/>
      <c r="K2778" s="99"/>
      <c r="L2778" s="98"/>
      <c r="M2778" s="99"/>
      <c r="N2778" s="99"/>
      <c r="O2778" s="18"/>
      <c r="P2778" s="100" t="b">
        <v>0</v>
      </c>
      <c r="Q2778" s="18"/>
      <c r="R2778" s="101" t="str">
        <f t="shared" si="2792"/>
        <v/>
      </c>
      <c r="S2778" s="32"/>
      <c r="T2778" s="102" t="str">
        <f t="shared" si="2793"/>
        <v/>
      </c>
      <c r="U2778" s="18"/>
      <c r="V2778" s="113">
        <v>8.0</v>
      </c>
      <c r="W2778" s="104" t="str">
        <f t="shared" si="2828"/>
        <v>/</v>
      </c>
      <c r="X2778" s="115" t="s">
        <v>1696</v>
      </c>
      <c r="Y2778" s="106"/>
      <c r="Z2778" s="26" t="str">
        <f t="shared" si="5"/>
        <v/>
      </c>
      <c r="AA2778" s="26" t="str">
        <f t="shared" si="6"/>
        <v/>
      </c>
      <c r="AB2778" s="32" t="str">
        <f t="shared" si="7"/>
        <v/>
      </c>
      <c r="AC2778" s="32" t="str">
        <f t="shared" ref="AC2778:AG2778" si="2831">IF(J2778&lt;&gt;"", IF(AND($P2778=FALSE, $A2778=FALSE), -J2778, IF(AND($P2778=FALSE, $A2778=TRUE), 0, IF($P2778=TRUE, (J2778 / $R2778) * 100 * ($S2778 / 100)-J2778, ))), )</f>
        <v/>
      </c>
      <c r="AD2778" s="32" t="str">
        <f t="shared" si="2831"/>
        <v/>
      </c>
      <c r="AE2778" s="32" t="str">
        <f t="shared" si="2831"/>
        <v/>
      </c>
      <c r="AF2778" s="32" t="str">
        <f t="shared" si="2831"/>
        <v/>
      </c>
      <c r="AG2778" s="32" t="str">
        <f t="shared" si="2831"/>
        <v/>
      </c>
      <c r="AH2778" s="33"/>
    </row>
    <row r="2779" hidden="1" outlineLevel="2" collapsed="1">
      <c r="A2779" s="95" t="b">
        <v>0</v>
      </c>
      <c r="B2779" s="96"/>
      <c r="C2779" s="18"/>
      <c r="D2779" s="42">
        <v>45575.0</v>
      </c>
      <c r="E2779" s="20" t="s">
        <v>24</v>
      </c>
      <c r="F2779" s="53" t="s">
        <v>1639</v>
      </c>
      <c r="G2779" s="97">
        <v>2.0</v>
      </c>
      <c r="H2779" s="97"/>
      <c r="I2779" s="97"/>
      <c r="J2779" s="98"/>
      <c r="K2779" s="99"/>
      <c r="L2779" s="98"/>
      <c r="M2779" s="99"/>
      <c r="N2779" s="99"/>
      <c r="O2779" s="18"/>
      <c r="P2779" s="100" t="b">
        <v>1</v>
      </c>
      <c r="Q2779" s="18"/>
      <c r="R2779" s="101">
        <f t="shared" si="2792"/>
        <v>2</v>
      </c>
      <c r="S2779" s="32">
        <v>4.2</v>
      </c>
      <c r="T2779" s="102" t="str">
        <f t="shared" si="2793"/>
        <v>+110</v>
      </c>
      <c r="U2779" s="18"/>
      <c r="V2779" s="113"/>
      <c r="W2779" s="104" t="str">
        <f t="shared" si="2828"/>
        <v/>
      </c>
      <c r="X2779" s="105"/>
      <c r="Y2779" s="106"/>
      <c r="Z2779" s="26">
        <f t="shared" si="5"/>
        <v>2.2</v>
      </c>
      <c r="AA2779" s="26" t="str">
        <f t="shared" si="6"/>
        <v/>
      </c>
      <c r="AB2779" s="32" t="str">
        <f t="shared" si="7"/>
        <v/>
      </c>
      <c r="AC2779" s="32" t="str">
        <f t="shared" ref="AC2779:AG2779" si="2832">IF(J2779&lt;&gt;"", IF(AND($P2779=FALSE, $A2779=FALSE), -J2779, IF(AND($P2779=FALSE, $A2779=TRUE), 0, IF($P2779=TRUE, (J2779 / $R2779) * 100 * ($S2779 / 100)-J2779, ))), )</f>
        <v/>
      </c>
      <c r="AD2779" s="32" t="str">
        <f t="shared" si="2832"/>
        <v/>
      </c>
      <c r="AE2779" s="32" t="str">
        <f t="shared" si="2832"/>
        <v/>
      </c>
      <c r="AF2779" s="32" t="str">
        <f t="shared" si="2832"/>
        <v/>
      </c>
      <c r="AG2779" s="32" t="str">
        <f t="shared" si="2832"/>
        <v/>
      </c>
      <c r="AH2779" s="33"/>
    </row>
    <row r="2780" hidden="1" outlineLevel="3">
      <c r="A2780" s="95" t="b">
        <v>0</v>
      </c>
      <c r="B2780" s="96"/>
      <c r="C2780" s="18"/>
      <c r="D2780" s="107"/>
      <c r="E2780" s="108"/>
      <c r="F2780" s="109"/>
      <c r="G2780" s="97"/>
      <c r="H2780" s="97"/>
      <c r="I2780" s="97"/>
      <c r="J2780" s="98"/>
      <c r="K2780" s="99"/>
      <c r="L2780" s="98"/>
      <c r="M2780" s="99"/>
      <c r="N2780" s="99"/>
      <c r="O2780" s="18"/>
      <c r="P2780" s="100" t="b">
        <v>0</v>
      </c>
      <c r="Q2780" s="18"/>
      <c r="R2780" s="101" t="str">
        <f t="shared" si="2792"/>
        <v/>
      </c>
      <c r="S2780" s="32"/>
      <c r="T2780" s="102" t="str">
        <f t="shared" si="2793"/>
        <v/>
      </c>
      <c r="U2780" s="18"/>
      <c r="V2780" s="75" t="s">
        <v>29</v>
      </c>
      <c r="W2780" s="104" t="str">
        <f t="shared" si="2828"/>
        <v>/</v>
      </c>
      <c r="X2780" s="111" t="s">
        <v>1697</v>
      </c>
      <c r="Y2780" s="106"/>
      <c r="Z2780" s="26" t="str">
        <f t="shared" si="5"/>
        <v/>
      </c>
      <c r="AA2780" s="26" t="str">
        <f t="shared" si="6"/>
        <v/>
      </c>
      <c r="AB2780" s="32" t="str">
        <f t="shared" si="7"/>
        <v/>
      </c>
      <c r="AC2780" s="32" t="str">
        <f t="shared" ref="AC2780:AG2780" si="2833">IF(J2780&lt;&gt;"", IF(AND($P2780=FALSE, $A2780=FALSE), -J2780, IF(AND($P2780=FALSE, $A2780=TRUE), 0, IF($P2780=TRUE, (J2780 / $R2780) * 100 * ($S2780 / 100)-J2780, ))), )</f>
        <v/>
      </c>
      <c r="AD2780" s="32" t="str">
        <f t="shared" si="2833"/>
        <v/>
      </c>
      <c r="AE2780" s="32" t="str">
        <f t="shared" si="2833"/>
        <v/>
      </c>
      <c r="AF2780" s="32" t="str">
        <f t="shared" si="2833"/>
        <v/>
      </c>
      <c r="AG2780" s="32" t="str">
        <f t="shared" si="2833"/>
        <v/>
      </c>
      <c r="AH2780" s="33"/>
    </row>
    <row r="2781" hidden="1" outlineLevel="3">
      <c r="A2781" s="95" t="b">
        <v>0</v>
      </c>
      <c r="B2781" s="96"/>
      <c r="C2781" s="18"/>
      <c r="D2781" s="107"/>
      <c r="E2781" s="108"/>
      <c r="F2781" s="109"/>
      <c r="G2781" s="97"/>
      <c r="H2781" s="97"/>
      <c r="I2781" s="97"/>
      <c r="J2781" s="98"/>
      <c r="K2781" s="99"/>
      <c r="L2781" s="98"/>
      <c r="M2781" s="99"/>
      <c r="N2781" s="99"/>
      <c r="O2781" s="18"/>
      <c r="P2781" s="100" t="b">
        <v>0</v>
      </c>
      <c r="Q2781" s="18"/>
      <c r="R2781" s="101" t="str">
        <f t="shared" si="2792"/>
        <v/>
      </c>
      <c r="S2781" s="32"/>
      <c r="T2781" s="102" t="str">
        <f t="shared" si="2793"/>
        <v/>
      </c>
      <c r="U2781" s="18"/>
      <c r="V2781" s="75" t="s">
        <v>29</v>
      </c>
      <c r="W2781" s="104" t="str">
        <f t="shared" si="2828"/>
        <v>/</v>
      </c>
      <c r="X2781" s="111" t="s">
        <v>1698</v>
      </c>
      <c r="Y2781" s="106"/>
      <c r="Z2781" s="26" t="str">
        <f t="shared" si="5"/>
        <v/>
      </c>
      <c r="AA2781" s="26" t="str">
        <f t="shared" si="6"/>
        <v/>
      </c>
      <c r="AB2781" s="32" t="str">
        <f t="shared" si="7"/>
        <v/>
      </c>
      <c r="AC2781" s="32" t="str">
        <f t="shared" ref="AC2781:AG2781" si="2834">IF(J2781&lt;&gt;"", IF(AND($P2781=FALSE, $A2781=FALSE), -J2781, IF(AND($P2781=FALSE, $A2781=TRUE), 0, IF($P2781=TRUE, (J2781 / $R2781) * 100 * ($S2781 / 100)-J2781, ))), )</f>
        <v/>
      </c>
      <c r="AD2781" s="32" t="str">
        <f t="shared" si="2834"/>
        <v/>
      </c>
      <c r="AE2781" s="32" t="str">
        <f t="shared" si="2834"/>
        <v/>
      </c>
      <c r="AF2781" s="32" t="str">
        <f t="shared" si="2834"/>
        <v/>
      </c>
      <c r="AG2781" s="32" t="str">
        <f t="shared" si="2834"/>
        <v/>
      </c>
      <c r="AH2781" s="33"/>
    </row>
    <row r="2782" hidden="1" outlineLevel="3">
      <c r="A2782" s="95" t="b">
        <v>0</v>
      </c>
      <c r="B2782" s="96"/>
      <c r="C2782" s="18"/>
      <c r="D2782" s="107"/>
      <c r="E2782" s="108"/>
      <c r="F2782" s="109"/>
      <c r="G2782" s="97"/>
      <c r="H2782" s="97"/>
      <c r="I2782" s="97"/>
      <c r="J2782" s="98"/>
      <c r="K2782" s="99"/>
      <c r="L2782" s="98"/>
      <c r="M2782" s="99"/>
      <c r="N2782" s="99"/>
      <c r="O2782" s="18"/>
      <c r="P2782" s="100" t="b">
        <v>0</v>
      </c>
      <c r="Q2782" s="18"/>
      <c r="R2782" s="101" t="str">
        <f t="shared" si="2792"/>
        <v/>
      </c>
      <c r="S2782" s="32"/>
      <c r="T2782" s="102" t="str">
        <f t="shared" si="2793"/>
        <v/>
      </c>
      <c r="U2782" s="18"/>
      <c r="V2782" s="75" t="s">
        <v>29</v>
      </c>
      <c r="W2782" s="104" t="str">
        <f t="shared" si="2828"/>
        <v>/</v>
      </c>
      <c r="X2782" s="111" t="s">
        <v>1699</v>
      </c>
      <c r="Y2782" s="106"/>
      <c r="Z2782" s="26" t="str">
        <f t="shared" si="5"/>
        <v/>
      </c>
      <c r="AA2782" s="26" t="str">
        <f t="shared" si="6"/>
        <v/>
      </c>
      <c r="AB2782" s="32" t="str">
        <f t="shared" si="7"/>
        <v/>
      </c>
      <c r="AC2782" s="32" t="str">
        <f t="shared" ref="AC2782:AG2782" si="2835">IF(J2782&lt;&gt;"", IF(AND($P2782=FALSE, $A2782=FALSE), -J2782, IF(AND($P2782=FALSE, $A2782=TRUE), 0, IF($P2782=TRUE, (J2782 / $R2782) * 100 * ($S2782 / 100)-J2782, ))), )</f>
        <v/>
      </c>
      <c r="AD2782" s="32" t="str">
        <f t="shared" si="2835"/>
        <v/>
      </c>
      <c r="AE2782" s="32" t="str">
        <f t="shared" si="2835"/>
        <v/>
      </c>
      <c r="AF2782" s="32" t="str">
        <f t="shared" si="2835"/>
        <v/>
      </c>
      <c r="AG2782" s="32" t="str">
        <f t="shared" si="2835"/>
        <v/>
      </c>
      <c r="AH2782" s="33"/>
    </row>
    <row r="2783" hidden="1" outlineLevel="3">
      <c r="A2783" s="95" t="b">
        <v>0</v>
      </c>
      <c r="B2783" s="96"/>
      <c r="C2783" s="18"/>
      <c r="D2783" s="107"/>
      <c r="E2783" s="108"/>
      <c r="F2783" s="109"/>
      <c r="G2783" s="97"/>
      <c r="H2783" s="97"/>
      <c r="I2783" s="97"/>
      <c r="J2783" s="98"/>
      <c r="K2783" s="99"/>
      <c r="L2783" s="98"/>
      <c r="M2783" s="99"/>
      <c r="N2783" s="99"/>
      <c r="O2783" s="18"/>
      <c r="P2783" s="100" t="b">
        <v>0</v>
      </c>
      <c r="Q2783" s="18"/>
      <c r="R2783" s="101" t="str">
        <f t="shared" si="2792"/>
        <v/>
      </c>
      <c r="S2783" s="32"/>
      <c r="T2783" s="102" t="str">
        <f t="shared" si="2793"/>
        <v/>
      </c>
      <c r="U2783" s="18"/>
      <c r="V2783" s="75" t="s">
        <v>29</v>
      </c>
      <c r="W2783" s="104" t="str">
        <f t="shared" si="2828"/>
        <v>/</v>
      </c>
      <c r="X2783" s="111" t="s">
        <v>1700</v>
      </c>
      <c r="Y2783" s="106"/>
      <c r="Z2783" s="26" t="str">
        <f t="shared" si="5"/>
        <v/>
      </c>
      <c r="AA2783" s="26" t="str">
        <f t="shared" si="6"/>
        <v/>
      </c>
      <c r="AB2783" s="32" t="str">
        <f t="shared" si="7"/>
        <v/>
      </c>
      <c r="AC2783" s="32" t="str">
        <f t="shared" ref="AC2783:AG2783" si="2836">IF(J2783&lt;&gt;"", IF(AND($P2783=FALSE, $A2783=FALSE), -J2783, IF(AND($P2783=FALSE, $A2783=TRUE), 0, IF($P2783=TRUE, (J2783 / $R2783) * 100 * ($S2783 / 100)-J2783, ))), )</f>
        <v/>
      </c>
      <c r="AD2783" s="32" t="str">
        <f t="shared" si="2836"/>
        <v/>
      </c>
      <c r="AE2783" s="32" t="str">
        <f t="shared" si="2836"/>
        <v/>
      </c>
      <c r="AF2783" s="32" t="str">
        <f t="shared" si="2836"/>
        <v/>
      </c>
      <c r="AG2783" s="32" t="str">
        <f t="shared" si="2836"/>
        <v/>
      </c>
      <c r="AH2783" s="33"/>
    </row>
    <row r="2784" hidden="1" outlineLevel="2" collapsed="1">
      <c r="A2784" s="95" t="b">
        <v>0</v>
      </c>
      <c r="B2784" s="96"/>
      <c r="C2784" s="18"/>
      <c r="D2784" s="42">
        <v>45575.0</v>
      </c>
      <c r="E2784" s="20" t="s">
        <v>24</v>
      </c>
      <c r="F2784" s="53" t="s">
        <v>1639</v>
      </c>
      <c r="G2784" s="97">
        <v>3.0</v>
      </c>
      <c r="H2784" s="97"/>
      <c r="I2784" s="97">
        <v>2.0</v>
      </c>
      <c r="J2784" s="98"/>
      <c r="K2784" s="99"/>
      <c r="L2784" s="98"/>
      <c r="M2784" s="99"/>
      <c r="N2784" s="99"/>
      <c r="O2784" s="18"/>
      <c r="P2784" s="100" t="b">
        <v>0</v>
      </c>
      <c r="Q2784" s="18"/>
      <c r="R2784" s="101">
        <f t="shared" si="2792"/>
        <v>5</v>
      </c>
      <c r="S2784" s="32">
        <v>10.76</v>
      </c>
      <c r="T2784" s="102" t="str">
        <f t="shared" si="2793"/>
        <v>+115</v>
      </c>
      <c r="U2784" s="18"/>
      <c r="V2784" s="103" t="str">
        <f>IF(ISBLANK($D2784), "0",)</f>
        <v/>
      </c>
      <c r="W2784" s="104" t="str">
        <f t="shared" si="2828"/>
        <v/>
      </c>
      <c r="X2784" s="105"/>
      <c r="Y2784" s="106"/>
      <c r="Z2784" s="26">
        <f t="shared" si="5"/>
        <v>-3</v>
      </c>
      <c r="AA2784" s="26">
        <f t="shared" si="6"/>
        <v>-2</v>
      </c>
      <c r="AB2784" s="32" t="str">
        <f t="shared" si="7"/>
        <v/>
      </c>
      <c r="AC2784" s="32" t="str">
        <f t="shared" ref="AC2784:AG2784" si="2837">IF(J2784&lt;&gt;"", IF(AND($P2784=FALSE, $A2784=FALSE), -J2784, IF(AND($P2784=FALSE, $A2784=TRUE), 0, IF($P2784=TRUE, (J2784 / $R2784) * 100 * ($S2784 / 100)-J2784, ))), )</f>
        <v/>
      </c>
      <c r="AD2784" s="32" t="str">
        <f t="shared" si="2837"/>
        <v/>
      </c>
      <c r="AE2784" s="32" t="str">
        <f t="shared" si="2837"/>
        <v/>
      </c>
      <c r="AF2784" s="32" t="str">
        <f t="shared" si="2837"/>
        <v/>
      </c>
      <c r="AG2784" s="32" t="str">
        <f t="shared" si="2837"/>
        <v/>
      </c>
      <c r="AH2784" s="33"/>
    </row>
    <row r="2785" hidden="1" outlineLevel="3">
      <c r="A2785" s="95" t="b">
        <v>0</v>
      </c>
      <c r="B2785" s="96"/>
      <c r="C2785" s="18"/>
      <c r="D2785" s="107"/>
      <c r="E2785" s="108"/>
      <c r="F2785" s="109"/>
      <c r="G2785" s="97"/>
      <c r="H2785" s="97"/>
      <c r="I2785" s="97"/>
      <c r="J2785" s="98"/>
      <c r="K2785" s="99"/>
      <c r="L2785" s="98"/>
      <c r="M2785" s="99"/>
      <c r="N2785" s="99"/>
      <c r="O2785" s="18"/>
      <c r="P2785" s="100" t="b">
        <v>0</v>
      </c>
      <c r="Q2785" s="18"/>
      <c r="R2785" s="101" t="str">
        <f t="shared" si="2792"/>
        <v/>
      </c>
      <c r="S2785" s="32"/>
      <c r="T2785" s="102" t="str">
        <f t="shared" si="2793"/>
        <v/>
      </c>
      <c r="U2785" s="18"/>
      <c r="V2785" s="75" t="s">
        <v>29</v>
      </c>
      <c r="W2785" s="104" t="str">
        <f t="shared" si="2828"/>
        <v>/</v>
      </c>
      <c r="X2785" s="111" t="s">
        <v>312</v>
      </c>
      <c r="Y2785" s="106"/>
      <c r="Z2785" s="26" t="str">
        <f t="shared" si="5"/>
        <v/>
      </c>
      <c r="AA2785" s="26" t="str">
        <f t="shared" si="6"/>
        <v/>
      </c>
      <c r="AB2785" s="32" t="str">
        <f t="shared" si="7"/>
        <v/>
      </c>
      <c r="AC2785" s="32" t="str">
        <f t="shared" ref="AC2785:AG2785" si="2838">IF(J2785&lt;&gt;"", IF(AND($P2785=FALSE, $A2785=FALSE), -J2785, IF(AND($P2785=FALSE, $A2785=TRUE), 0, IF($P2785=TRUE, (J2785 / $R2785) * 100 * ($S2785 / 100)-J2785, ))), )</f>
        <v/>
      </c>
      <c r="AD2785" s="32" t="str">
        <f t="shared" si="2838"/>
        <v/>
      </c>
      <c r="AE2785" s="32" t="str">
        <f t="shared" si="2838"/>
        <v/>
      </c>
      <c r="AF2785" s="32" t="str">
        <f t="shared" si="2838"/>
        <v/>
      </c>
      <c r="AG2785" s="32" t="str">
        <f t="shared" si="2838"/>
        <v/>
      </c>
      <c r="AH2785" s="33"/>
    </row>
    <row r="2786" hidden="1" outlineLevel="3">
      <c r="A2786" s="95" t="b">
        <v>0</v>
      </c>
      <c r="B2786" s="96"/>
      <c r="C2786" s="18"/>
      <c r="D2786" s="107"/>
      <c r="E2786" s="108"/>
      <c r="F2786" s="109"/>
      <c r="G2786" s="97"/>
      <c r="H2786" s="97"/>
      <c r="I2786" s="97"/>
      <c r="J2786" s="98"/>
      <c r="K2786" s="99"/>
      <c r="L2786" s="98"/>
      <c r="M2786" s="99"/>
      <c r="N2786" s="99"/>
      <c r="O2786" s="18"/>
      <c r="P2786" s="100" t="b">
        <v>0</v>
      </c>
      <c r="Q2786" s="18"/>
      <c r="R2786" s="101" t="str">
        <f t="shared" si="2792"/>
        <v/>
      </c>
      <c r="S2786" s="32"/>
      <c r="T2786" s="102" t="str">
        <f t="shared" si="2793"/>
        <v/>
      </c>
      <c r="U2786" s="18"/>
      <c r="V2786" s="103" t="str">
        <f t="shared" ref="V2786:V2787" si="2840">IF(ISBLANK($D2786), "0",)</f>
        <v>0</v>
      </c>
      <c r="W2786" s="104" t="str">
        <f t="shared" si="2828"/>
        <v>/</v>
      </c>
      <c r="X2786" s="111" t="s">
        <v>1527</v>
      </c>
      <c r="Y2786" s="106"/>
      <c r="Z2786" s="26" t="str">
        <f t="shared" si="5"/>
        <v/>
      </c>
      <c r="AA2786" s="26" t="str">
        <f t="shared" si="6"/>
        <v/>
      </c>
      <c r="AB2786" s="32" t="str">
        <f t="shared" si="7"/>
        <v/>
      </c>
      <c r="AC2786" s="32" t="str">
        <f t="shared" ref="AC2786:AG2786" si="2839">IF(J2786&lt;&gt;"", IF(AND($P2786=FALSE, $A2786=FALSE), -J2786, IF(AND($P2786=FALSE, $A2786=TRUE), 0, IF($P2786=TRUE, (J2786 / $R2786) * 100 * ($S2786 / 100)-J2786, ))), )</f>
        <v/>
      </c>
      <c r="AD2786" s="32" t="str">
        <f t="shared" si="2839"/>
        <v/>
      </c>
      <c r="AE2786" s="32" t="str">
        <f t="shared" si="2839"/>
        <v/>
      </c>
      <c r="AF2786" s="32" t="str">
        <f t="shared" si="2839"/>
        <v/>
      </c>
      <c r="AG2786" s="32" t="str">
        <f t="shared" si="2839"/>
        <v/>
      </c>
      <c r="AH2786" s="33"/>
    </row>
    <row r="2787" hidden="1" outlineLevel="2" collapsed="1">
      <c r="A2787" s="95" t="b">
        <v>0</v>
      </c>
      <c r="B2787" s="96"/>
      <c r="C2787" s="18"/>
      <c r="D2787" s="42">
        <v>45575.0</v>
      </c>
      <c r="E2787" s="20" t="s">
        <v>24</v>
      </c>
      <c r="F2787" s="53" t="s">
        <v>1639</v>
      </c>
      <c r="G2787" s="97">
        <v>3.0</v>
      </c>
      <c r="H2787" s="97"/>
      <c r="I2787" s="97">
        <v>5.0</v>
      </c>
      <c r="J2787" s="98"/>
      <c r="K2787" s="99"/>
      <c r="L2787" s="98"/>
      <c r="M2787" s="99"/>
      <c r="N2787" s="99"/>
      <c r="O2787" s="18"/>
      <c r="P2787" s="100" t="b">
        <v>1</v>
      </c>
      <c r="Q2787" s="18"/>
      <c r="R2787" s="101">
        <f t="shared" si="2792"/>
        <v>8</v>
      </c>
      <c r="S2787" s="32">
        <v>15.73</v>
      </c>
      <c r="T2787" s="102">
        <f t="shared" si="2793"/>
        <v>-103</v>
      </c>
      <c r="U2787" s="18"/>
      <c r="V2787" s="103" t="str">
        <f t="shared" si="2840"/>
        <v/>
      </c>
      <c r="W2787" s="104" t="str">
        <f t="shared" si="2828"/>
        <v/>
      </c>
      <c r="X2787" s="105"/>
      <c r="Y2787" s="106"/>
      <c r="Z2787" s="26">
        <f t="shared" si="5"/>
        <v>2.89875</v>
      </c>
      <c r="AA2787" s="26">
        <f t="shared" si="6"/>
        <v>4.83125</v>
      </c>
      <c r="AB2787" s="32" t="str">
        <f t="shared" si="7"/>
        <v/>
      </c>
      <c r="AC2787" s="32" t="str">
        <f t="shared" ref="AC2787:AG2787" si="2841">IF(J2787&lt;&gt;"", IF(AND($P2787=FALSE, $A2787=FALSE), -J2787, IF(AND($P2787=FALSE, $A2787=TRUE), 0, IF($P2787=TRUE, (J2787 / $R2787) * 100 * ($S2787 / 100)-J2787, ))), )</f>
        <v/>
      </c>
      <c r="AD2787" s="32" t="str">
        <f t="shared" si="2841"/>
        <v/>
      </c>
      <c r="AE2787" s="32" t="str">
        <f t="shared" si="2841"/>
        <v/>
      </c>
      <c r="AF2787" s="32" t="str">
        <f t="shared" si="2841"/>
        <v/>
      </c>
      <c r="AG2787" s="32" t="str">
        <f t="shared" si="2841"/>
        <v/>
      </c>
      <c r="AH2787" s="33"/>
    </row>
    <row r="2788" hidden="1" outlineLevel="3">
      <c r="A2788" s="95" t="b">
        <v>0</v>
      </c>
      <c r="B2788" s="96"/>
      <c r="C2788" s="18"/>
      <c r="D2788" s="107"/>
      <c r="E2788" s="108"/>
      <c r="F2788" s="109"/>
      <c r="G2788" s="97"/>
      <c r="H2788" s="97"/>
      <c r="I2788" s="97"/>
      <c r="J2788" s="98"/>
      <c r="K2788" s="99"/>
      <c r="L2788" s="98"/>
      <c r="M2788" s="99"/>
      <c r="N2788" s="99"/>
      <c r="O2788" s="18"/>
      <c r="P2788" s="100" t="b">
        <v>0</v>
      </c>
      <c r="Q2788" s="18"/>
      <c r="R2788" s="101" t="str">
        <f t="shared" si="2792"/>
        <v/>
      </c>
      <c r="S2788" s="32"/>
      <c r="T2788" s="102" t="str">
        <f t="shared" si="2793"/>
        <v/>
      </c>
      <c r="U2788" s="18"/>
      <c r="V2788" s="75" t="s">
        <v>29</v>
      </c>
      <c r="W2788" s="104" t="str">
        <f t="shared" si="2828"/>
        <v>/</v>
      </c>
      <c r="X2788" s="111" t="s">
        <v>397</v>
      </c>
      <c r="Y2788" s="106"/>
      <c r="Z2788" s="26" t="str">
        <f t="shared" si="5"/>
        <v/>
      </c>
      <c r="AA2788" s="26" t="str">
        <f t="shared" si="6"/>
        <v/>
      </c>
      <c r="AB2788" s="32" t="str">
        <f t="shared" si="7"/>
        <v/>
      </c>
      <c r="AC2788" s="32" t="str">
        <f t="shared" ref="AC2788:AG2788" si="2842">IF(J2788&lt;&gt;"", IF(AND($P2788=FALSE, $A2788=FALSE), -J2788, IF(AND($P2788=FALSE, $A2788=TRUE), 0, IF($P2788=TRUE, (J2788 / $R2788) * 100 * ($S2788 / 100)-J2788, ))), )</f>
        <v/>
      </c>
      <c r="AD2788" s="32" t="str">
        <f t="shared" si="2842"/>
        <v/>
      </c>
      <c r="AE2788" s="32" t="str">
        <f t="shared" si="2842"/>
        <v/>
      </c>
      <c r="AF2788" s="32" t="str">
        <f t="shared" si="2842"/>
        <v/>
      </c>
      <c r="AG2788" s="32" t="str">
        <f t="shared" si="2842"/>
        <v/>
      </c>
      <c r="AH2788" s="33"/>
    </row>
    <row r="2789" hidden="1" outlineLevel="3">
      <c r="A2789" s="95" t="b">
        <v>0</v>
      </c>
      <c r="B2789" s="96"/>
      <c r="C2789" s="18"/>
      <c r="D2789" s="107"/>
      <c r="E2789" s="108"/>
      <c r="F2789" s="109"/>
      <c r="G2789" s="97"/>
      <c r="H2789" s="97"/>
      <c r="I2789" s="97"/>
      <c r="J2789" s="98"/>
      <c r="K2789" s="99"/>
      <c r="L2789" s="98"/>
      <c r="M2789" s="99"/>
      <c r="N2789" s="99"/>
      <c r="O2789" s="18"/>
      <c r="P2789" s="100" t="b">
        <v>0</v>
      </c>
      <c r="Q2789" s="18"/>
      <c r="R2789" s="101" t="str">
        <f t="shared" si="2792"/>
        <v/>
      </c>
      <c r="S2789" s="32"/>
      <c r="T2789" s="102" t="str">
        <f t="shared" si="2793"/>
        <v/>
      </c>
      <c r="U2789" s="18"/>
      <c r="V2789" s="75" t="s">
        <v>29</v>
      </c>
      <c r="W2789" s="104" t="str">
        <f t="shared" si="2828"/>
        <v>/</v>
      </c>
      <c r="X2789" s="111" t="s">
        <v>1612</v>
      </c>
      <c r="Y2789" s="106"/>
      <c r="Z2789" s="26" t="str">
        <f t="shared" si="5"/>
        <v/>
      </c>
      <c r="AA2789" s="26" t="str">
        <f t="shared" si="6"/>
        <v/>
      </c>
      <c r="AB2789" s="32" t="str">
        <f t="shared" si="7"/>
        <v/>
      </c>
      <c r="AC2789" s="32" t="str">
        <f t="shared" ref="AC2789:AG2789" si="2843">IF(J2789&lt;&gt;"", IF(AND($P2789=FALSE, $A2789=FALSE), -J2789, IF(AND($P2789=FALSE, $A2789=TRUE), 0, IF($P2789=TRUE, (J2789 / $R2789) * 100 * ($S2789 / 100)-J2789, ))), )</f>
        <v/>
      </c>
      <c r="AD2789" s="32" t="str">
        <f t="shared" si="2843"/>
        <v/>
      </c>
      <c r="AE2789" s="32" t="str">
        <f t="shared" si="2843"/>
        <v/>
      </c>
      <c r="AF2789" s="32" t="str">
        <f t="shared" si="2843"/>
        <v/>
      </c>
      <c r="AG2789" s="32" t="str">
        <f t="shared" si="2843"/>
        <v/>
      </c>
      <c r="AH2789" s="33"/>
    </row>
    <row r="2790" hidden="1" outlineLevel="3">
      <c r="A2790" s="95" t="b">
        <v>0</v>
      </c>
      <c r="B2790" s="96"/>
      <c r="C2790" s="18"/>
      <c r="D2790" s="107"/>
      <c r="E2790" s="108"/>
      <c r="F2790" s="109"/>
      <c r="G2790" s="97"/>
      <c r="H2790" s="97"/>
      <c r="I2790" s="97"/>
      <c r="J2790" s="98"/>
      <c r="K2790" s="99"/>
      <c r="L2790" s="98"/>
      <c r="M2790" s="99"/>
      <c r="N2790" s="99"/>
      <c r="O2790" s="18"/>
      <c r="P2790" s="100" t="b">
        <v>0</v>
      </c>
      <c r="Q2790" s="18"/>
      <c r="R2790" s="101" t="str">
        <f t="shared" si="2792"/>
        <v/>
      </c>
      <c r="S2790" s="32"/>
      <c r="T2790" s="102" t="str">
        <f t="shared" si="2793"/>
        <v/>
      </c>
      <c r="U2790" s="18"/>
      <c r="V2790" s="75" t="s">
        <v>29</v>
      </c>
      <c r="W2790" s="104" t="str">
        <f t="shared" si="2828"/>
        <v>/</v>
      </c>
      <c r="X2790" s="111" t="s">
        <v>676</v>
      </c>
      <c r="Y2790" s="106"/>
      <c r="Z2790" s="26" t="str">
        <f t="shared" si="5"/>
        <v/>
      </c>
      <c r="AA2790" s="26" t="str">
        <f t="shared" si="6"/>
        <v/>
      </c>
      <c r="AB2790" s="32" t="str">
        <f t="shared" si="7"/>
        <v/>
      </c>
      <c r="AC2790" s="32" t="str">
        <f t="shared" ref="AC2790:AG2790" si="2844">IF(J2790&lt;&gt;"", IF(AND($P2790=FALSE, $A2790=FALSE), -J2790, IF(AND($P2790=FALSE, $A2790=TRUE), 0, IF($P2790=TRUE, (J2790 / $R2790) * 100 * ($S2790 / 100)-J2790, ))), )</f>
        <v/>
      </c>
      <c r="AD2790" s="32" t="str">
        <f t="shared" si="2844"/>
        <v/>
      </c>
      <c r="AE2790" s="32" t="str">
        <f t="shared" si="2844"/>
        <v/>
      </c>
      <c r="AF2790" s="32" t="str">
        <f t="shared" si="2844"/>
        <v/>
      </c>
      <c r="AG2790" s="32" t="str">
        <f t="shared" si="2844"/>
        <v/>
      </c>
      <c r="AH2790" s="33"/>
    </row>
    <row r="2791" hidden="1" outlineLevel="2" collapsed="1">
      <c r="A2791" s="95" t="b">
        <v>0</v>
      </c>
      <c r="B2791" s="96"/>
      <c r="C2791" s="18"/>
      <c r="D2791" s="42">
        <v>45575.0</v>
      </c>
      <c r="E2791" s="20" t="s">
        <v>24</v>
      </c>
      <c r="F2791" s="53" t="s">
        <v>1639</v>
      </c>
      <c r="G2791" s="97">
        <v>5.0</v>
      </c>
      <c r="H2791" s="97"/>
      <c r="I2791" s="97">
        <v>5.0</v>
      </c>
      <c r="J2791" s="98"/>
      <c r="K2791" s="99"/>
      <c r="L2791" s="98"/>
      <c r="M2791" s="99"/>
      <c r="N2791" s="99"/>
      <c r="O2791" s="18"/>
      <c r="P2791" s="100" t="b">
        <v>0</v>
      </c>
      <c r="Q2791" s="18"/>
      <c r="R2791" s="101">
        <f t="shared" si="2792"/>
        <v>10</v>
      </c>
      <c r="S2791" s="32">
        <v>145.86</v>
      </c>
      <c r="T2791" s="102" t="str">
        <f t="shared" si="2793"/>
        <v>+1359</v>
      </c>
      <c r="U2791" s="18"/>
      <c r="V2791" s="113"/>
      <c r="W2791" s="104" t="str">
        <f t="shared" si="2828"/>
        <v/>
      </c>
      <c r="X2791" s="105"/>
      <c r="Y2791" s="106"/>
      <c r="Z2791" s="26">
        <f t="shared" si="5"/>
        <v>-5</v>
      </c>
      <c r="AA2791" s="26">
        <f t="shared" si="6"/>
        <v>-5</v>
      </c>
      <c r="AB2791" s="32" t="str">
        <f t="shared" si="7"/>
        <v/>
      </c>
      <c r="AC2791" s="32" t="str">
        <f t="shared" ref="AC2791:AG2791" si="2845">IF(J2791&lt;&gt;"", IF(AND($P2791=FALSE, $A2791=FALSE), -J2791, IF(AND($P2791=FALSE, $A2791=TRUE), 0, IF($P2791=TRUE, (J2791 / $R2791) * 100 * ($S2791 / 100)-J2791, ))), )</f>
        <v/>
      </c>
      <c r="AD2791" s="32" t="str">
        <f t="shared" si="2845"/>
        <v/>
      </c>
      <c r="AE2791" s="32" t="str">
        <f t="shared" si="2845"/>
        <v/>
      </c>
      <c r="AF2791" s="32" t="str">
        <f t="shared" si="2845"/>
        <v/>
      </c>
      <c r="AG2791" s="32" t="str">
        <f t="shared" si="2845"/>
        <v/>
      </c>
      <c r="AH2791" s="33"/>
    </row>
    <row r="2792" hidden="1" outlineLevel="3">
      <c r="A2792" s="95" t="b">
        <v>0</v>
      </c>
      <c r="B2792" s="96"/>
      <c r="C2792" s="18"/>
      <c r="D2792" s="107"/>
      <c r="E2792" s="108"/>
      <c r="F2792" s="109"/>
      <c r="G2792" s="97"/>
      <c r="H2792" s="97"/>
      <c r="I2792" s="97"/>
      <c r="J2792" s="98"/>
      <c r="K2792" s="99"/>
      <c r="L2792" s="98"/>
      <c r="M2792" s="99"/>
      <c r="N2792" s="99"/>
      <c r="O2792" s="18"/>
      <c r="P2792" s="100" t="b">
        <v>0</v>
      </c>
      <c r="Q2792" s="18"/>
      <c r="R2792" s="101" t="str">
        <f t="shared" si="2792"/>
        <v/>
      </c>
      <c r="S2792" s="32"/>
      <c r="T2792" s="102" t="str">
        <f t="shared" si="2793"/>
        <v/>
      </c>
      <c r="U2792" s="18"/>
      <c r="V2792" s="75" t="s">
        <v>29</v>
      </c>
      <c r="W2792" s="104" t="str">
        <f t="shared" si="2828"/>
        <v>/</v>
      </c>
      <c r="X2792" s="111" t="s">
        <v>312</v>
      </c>
      <c r="Y2792" s="106"/>
      <c r="Z2792" s="26" t="str">
        <f t="shared" si="5"/>
        <v/>
      </c>
      <c r="AA2792" s="26" t="str">
        <f t="shared" si="6"/>
        <v/>
      </c>
      <c r="AB2792" s="32" t="str">
        <f t="shared" si="7"/>
        <v/>
      </c>
      <c r="AC2792" s="32" t="str">
        <f t="shared" ref="AC2792:AG2792" si="2846">IF(J2792&lt;&gt;"", IF(AND($P2792=FALSE, $A2792=FALSE), -J2792, IF(AND($P2792=FALSE, $A2792=TRUE), 0, IF($P2792=TRUE, (J2792 / $R2792) * 100 * ($S2792 / 100)-J2792, ))), )</f>
        <v/>
      </c>
      <c r="AD2792" s="32" t="str">
        <f t="shared" si="2846"/>
        <v/>
      </c>
      <c r="AE2792" s="32" t="str">
        <f t="shared" si="2846"/>
        <v/>
      </c>
      <c r="AF2792" s="32" t="str">
        <f t="shared" si="2846"/>
        <v/>
      </c>
      <c r="AG2792" s="32" t="str">
        <f t="shared" si="2846"/>
        <v/>
      </c>
      <c r="AH2792" s="33"/>
    </row>
    <row r="2793" hidden="1" outlineLevel="3">
      <c r="A2793" s="95" t="b">
        <v>0</v>
      </c>
      <c r="B2793" s="96"/>
      <c r="C2793" s="18"/>
      <c r="D2793" s="107"/>
      <c r="E2793" s="108"/>
      <c r="F2793" s="109"/>
      <c r="G2793" s="97"/>
      <c r="H2793" s="97"/>
      <c r="I2793" s="97"/>
      <c r="J2793" s="98"/>
      <c r="K2793" s="99"/>
      <c r="L2793" s="98"/>
      <c r="M2793" s="99"/>
      <c r="N2793" s="99"/>
      <c r="O2793" s="18"/>
      <c r="P2793" s="100" t="b">
        <v>0</v>
      </c>
      <c r="Q2793" s="18"/>
      <c r="R2793" s="101" t="str">
        <f t="shared" si="2792"/>
        <v/>
      </c>
      <c r="S2793" s="32"/>
      <c r="T2793" s="102" t="str">
        <f t="shared" si="2793"/>
        <v/>
      </c>
      <c r="U2793" s="18"/>
      <c r="V2793" s="75" t="s">
        <v>29</v>
      </c>
      <c r="W2793" s="104" t="str">
        <f t="shared" si="2828"/>
        <v>/</v>
      </c>
      <c r="X2793" s="111" t="s">
        <v>899</v>
      </c>
      <c r="Y2793" s="106"/>
      <c r="Z2793" s="26" t="str">
        <f t="shared" si="5"/>
        <v/>
      </c>
      <c r="AA2793" s="26" t="str">
        <f t="shared" si="6"/>
        <v/>
      </c>
      <c r="AB2793" s="32" t="str">
        <f t="shared" si="7"/>
        <v/>
      </c>
      <c r="AC2793" s="32" t="str">
        <f t="shared" ref="AC2793:AG2793" si="2847">IF(J2793&lt;&gt;"", IF(AND($P2793=FALSE, $A2793=FALSE), -J2793, IF(AND($P2793=FALSE, $A2793=TRUE), 0, IF($P2793=TRUE, (J2793 / $R2793) * 100 * ($S2793 / 100)-J2793, ))), )</f>
        <v/>
      </c>
      <c r="AD2793" s="32" t="str">
        <f t="shared" si="2847"/>
        <v/>
      </c>
      <c r="AE2793" s="32" t="str">
        <f t="shared" si="2847"/>
        <v/>
      </c>
      <c r="AF2793" s="32" t="str">
        <f t="shared" si="2847"/>
        <v/>
      </c>
      <c r="AG2793" s="32" t="str">
        <f t="shared" si="2847"/>
        <v/>
      </c>
      <c r="AH2793" s="33"/>
    </row>
    <row r="2794" hidden="1" outlineLevel="3">
      <c r="A2794" s="95" t="b">
        <v>0</v>
      </c>
      <c r="B2794" s="96"/>
      <c r="C2794" s="18"/>
      <c r="D2794" s="107"/>
      <c r="E2794" s="108"/>
      <c r="F2794" s="109"/>
      <c r="G2794" s="97"/>
      <c r="H2794" s="97"/>
      <c r="I2794" s="97"/>
      <c r="J2794" s="98"/>
      <c r="K2794" s="99"/>
      <c r="L2794" s="98"/>
      <c r="M2794" s="99"/>
      <c r="N2794" s="99"/>
      <c r="O2794" s="18"/>
      <c r="P2794" s="100" t="b">
        <v>0</v>
      </c>
      <c r="Q2794" s="18"/>
      <c r="R2794" s="101" t="str">
        <f t="shared" si="2792"/>
        <v/>
      </c>
      <c r="S2794" s="32"/>
      <c r="T2794" s="102" t="str">
        <f t="shared" si="2793"/>
        <v/>
      </c>
      <c r="U2794" s="18"/>
      <c r="V2794" s="113">
        <v>37.0</v>
      </c>
      <c r="W2794" s="104" t="str">
        <f t="shared" si="2828"/>
        <v>/</v>
      </c>
      <c r="X2794" s="111" t="s">
        <v>1701</v>
      </c>
      <c r="Y2794" s="106"/>
      <c r="Z2794" s="26" t="str">
        <f t="shared" si="5"/>
        <v/>
      </c>
      <c r="AA2794" s="26" t="str">
        <f t="shared" si="6"/>
        <v/>
      </c>
      <c r="AB2794" s="32" t="str">
        <f t="shared" si="7"/>
        <v/>
      </c>
      <c r="AC2794" s="32" t="str">
        <f t="shared" ref="AC2794:AG2794" si="2848">IF(J2794&lt;&gt;"", IF(AND($P2794=FALSE, $A2794=FALSE), -J2794, IF(AND($P2794=FALSE, $A2794=TRUE), 0, IF($P2794=TRUE, (J2794 / $R2794) * 100 * ($S2794 / 100)-J2794, ))), )</f>
        <v/>
      </c>
      <c r="AD2794" s="32" t="str">
        <f t="shared" si="2848"/>
        <v/>
      </c>
      <c r="AE2794" s="32" t="str">
        <f t="shared" si="2848"/>
        <v/>
      </c>
      <c r="AF2794" s="32" t="str">
        <f t="shared" si="2848"/>
        <v/>
      </c>
      <c r="AG2794" s="32" t="str">
        <f t="shared" si="2848"/>
        <v/>
      </c>
      <c r="AH2794" s="33"/>
    </row>
    <row r="2795" hidden="1" outlineLevel="3">
      <c r="A2795" s="95" t="b">
        <v>0</v>
      </c>
      <c r="B2795" s="96"/>
      <c r="C2795" s="18"/>
      <c r="D2795" s="107"/>
      <c r="E2795" s="108"/>
      <c r="F2795" s="109"/>
      <c r="G2795" s="97"/>
      <c r="H2795" s="97"/>
      <c r="I2795" s="97"/>
      <c r="J2795" s="98"/>
      <c r="K2795" s="99"/>
      <c r="L2795" s="98"/>
      <c r="M2795" s="99"/>
      <c r="N2795" s="99"/>
      <c r="O2795" s="18"/>
      <c r="P2795" s="100" t="b">
        <v>0</v>
      </c>
      <c r="Q2795" s="18"/>
      <c r="R2795" s="101" t="str">
        <f t="shared" si="2792"/>
        <v/>
      </c>
      <c r="S2795" s="32"/>
      <c r="T2795" s="102" t="str">
        <f t="shared" si="2793"/>
        <v/>
      </c>
      <c r="U2795" s="18"/>
      <c r="V2795" s="113">
        <v>2.0</v>
      </c>
      <c r="W2795" s="104" t="str">
        <f t="shared" si="2828"/>
        <v>/</v>
      </c>
      <c r="X2795" s="111" t="s">
        <v>1702</v>
      </c>
      <c r="Y2795" s="106"/>
      <c r="Z2795" s="26" t="str">
        <f t="shared" si="5"/>
        <v/>
      </c>
      <c r="AA2795" s="26" t="str">
        <f t="shared" si="6"/>
        <v/>
      </c>
      <c r="AB2795" s="32" t="str">
        <f t="shared" si="7"/>
        <v/>
      </c>
      <c r="AC2795" s="32" t="str">
        <f t="shared" ref="AC2795:AG2795" si="2849">IF(J2795&lt;&gt;"", IF(AND($P2795=FALSE, $A2795=FALSE), -J2795, IF(AND($P2795=FALSE, $A2795=TRUE), 0, IF($P2795=TRUE, (J2795 / $R2795) * 100 * ($S2795 / 100)-J2795, ))), )</f>
        <v/>
      </c>
      <c r="AD2795" s="32" t="str">
        <f t="shared" si="2849"/>
        <v/>
      </c>
      <c r="AE2795" s="32" t="str">
        <f t="shared" si="2849"/>
        <v/>
      </c>
      <c r="AF2795" s="32" t="str">
        <f t="shared" si="2849"/>
        <v/>
      </c>
      <c r="AG2795" s="32" t="str">
        <f t="shared" si="2849"/>
        <v/>
      </c>
      <c r="AH2795" s="33"/>
    </row>
    <row r="2796" hidden="1" outlineLevel="3">
      <c r="A2796" s="95" t="b">
        <v>0</v>
      </c>
      <c r="B2796" s="96"/>
      <c r="C2796" s="18"/>
      <c r="D2796" s="107"/>
      <c r="E2796" s="108"/>
      <c r="F2796" s="109"/>
      <c r="G2796" s="97"/>
      <c r="H2796" s="97"/>
      <c r="I2796" s="97"/>
      <c r="J2796" s="98"/>
      <c r="K2796" s="99"/>
      <c r="L2796" s="98"/>
      <c r="M2796" s="99"/>
      <c r="N2796" s="99"/>
      <c r="O2796" s="18"/>
      <c r="P2796" s="100" t="b">
        <v>0</v>
      </c>
      <c r="Q2796" s="18"/>
      <c r="R2796" s="101" t="str">
        <f t="shared" si="2792"/>
        <v/>
      </c>
      <c r="S2796" s="32"/>
      <c r="T2796" s="102" t="str">
        <f t="shared" si="2793"/>
        <v/>
      </c>
      <c r="U2796" s="18"/>
      <c r="V2796" s="75" t="s">
        <v>29</v>
      </c>
      <c r="W2796" s="104" t="str">
        <f t="shared" si="2828"/>
        <v>/</v>
      </c>
      <c r="X2796" s="111" t="s">
        <v>1703</v>
      </c>
      <c r="Y2796" s="106"/>
      <c r="Z2796" s="26" t="str">
        <f t="shared" si="5"/>
        <v/>
      </c>
      <c r="AA2796" s="26" t="str">
        <f t="shared" si="6"/>
        <v/>
      </c>
      <c r="AB2796" s="32" t="str">
        <f t="shared" si="7"/>
        <v/>
      </c>
      <c r="AC2796" s="32" t="str">
        <f t="shared" ref="AC2796:AG2796" si="2850">IF(J2796&lt;&gt;"", IF(AND($P2796=FALSE, $A2796=FALSE), -J2796, IF(AND($P2796=FALSE, $A2796=TRUE), 0, IF($P2796=TRUE, (J2796 / $R2796) * 100 * ($S2796 / 100)-J2796, ))), )</f>
        <v/>
      </c>
      <c r="AD2796" s="32" t="str">
        <f t="shared" si="2850"/>
        <v/>
      </c>
      <c r="AE2796" s="32" t="str">
        <f t="shared" si="2850"/>
        <v/>
      </c>
      <c r="AF2796" s="32" t="str">
        <f t="shared" si="2850"/>
        <v/>
      </c>
      <c r="AG2796" s="32" t="str">
        <f t="shared" si="2850"/>
        <v/>
      </c>
      <c r="AH2796" s="33"/>
    </row>
    <row r="2797" hidden="1" outlineLevel="3">
      <c r="A2797" s="95" t="b">
        <v>0</v>
      </c>
      <c r="B2797" s="96"/>
      <c r="C2797" s="18"/>
      <c r="D2797" s="107"/>
      <c r="E2797" s="108"/>
      <c r="F2797" s="109"/>
      <c r="G2797" s="97"/>
      <c r="H2797" s="97"/>
      <c r="I2797" s="97"/>
      <c r="J2797" s="98"/>
      <c r="K2797" s="99"/>
      <c r="L2797" s="98"/>
      <c r="M2797" s="99"/>
      <c r="N2797" s="99"/>
      <c r="O2797" s="18"/>
      <c r="P2797" s="100" t="b">
        <v>0</v>
      </c>
      <c r="Q2797" s="18"/>
      <c r="R2797" s="101" t="str">
        <f t="shared" si="2792"/>
        <v/>
      </c>
      <c r="S2797" s="32"/>
      <c r="T2797" s="102" t="str">
        <f t="shared" si="2793"/>
        <v/>
      </c>
      <c r="U2797" s="18"/>
      <c r="V2797" s="75" t="s">
        <v>29</v>
      </c>
      <c r="W2797" s="104" t="str">
        <f t="shared" si="2828"/>
        <v>/</v>
      </c>
      <c r="X2797" s="111" t="s">
        <v>1205</v>
      </c>
      <c r="Y2797" s="106"/>
      <c r="Z2797" s="26" t="str">
        <f t="shared" si="5"/>
        <v/>
      </c>
      <c r="AA2797" s="26" t="str">
        <f t="shared" si="6"/>
        <v/>
      </c>
      <c r="AB2797" s="32" t="str">
        <f t="shared" si="7"/>
        <v/>
      </c>
      <c r="AC2797" s="32" t="str">
        <f t="shared" ref="AC2797:AG2797" si="2851">IF(J2797&lt;&gt;"", IF(AND($P2797=FALSE, $A2797=FALSE), -J2797, IF(AND($P2797=FALSE, $A2797=TRUE), 0, IF($P2797=TRUE, (J2797 / $R2797) * 100 * ($S2797 / 100)-J2797, ))), )</f>
        <v/>
      </c>
      <c r="AD2797" s="32" t="str">
        <f t="shared" si="2851"/>
        <v/>
      </c>
      <c r="AE2797" s="32" t="str">
        <f t="shared" si="2851"/>
        <v/>
      </c>
      <c r="AF2797" s="32" t="str">
        <f t="shared" si="2851"/>
        <v/>
      </c>
      <c r="AG2797" s="32" t="str">
        <f t="shared" si="2851"/>
        <v/>
      </c>
      <c r="AH2797" s="33"/>
    </row>
    <row r="2798" hidden="1" outlineLevel="3">
      <c r="A2798" s="95" t="b">
        <v>0</v>
      </c>
      <c r="B2798" s="96"/>
      <c r="C2798" s="18"/>
      <c r="D2798" s="107"/>
      <c r="E2798" s="108"/>
      <c r="F2798" s="109"/>
      <c r="G2798" s="97"/>
      <c r="H2798" s="97"/>
      <c r="I2798" s="97"/>
      <c r="J2798" s="98"/>
      <c r="K2798" s="99"/>
      <c r="L2798" s="98"/>
      <c r="M2798" s="99"/>
      <c r="N2798" s="99"/>
      <c r="O2798" s="18"/>
      <c r="P2798" s="100" t="b">
        <v>0</v>
      </c>
      <c r="Q2798" s="18"/>
      <c r="R2798" s="101" t="str">
        <f t="shared" si="2792"/>
        <v/>
      </c>
      <c r="S2798" s="32"/>
      <c r="T2798" s="102" t="str">
        <f t="shared" si="2793"/>
        <v/>
      </c>
      <c r="U2798" s="18"/>
      <c r="V2798" s="75" t="s">
        <v>29</v>
      </c>
      <c r="W2798" s="104" t="str">
        <f t="shared" si="2828"/>
        <v>/</v>
      </c>
      <c r="X2798" s="111" t="s">
        <v>1704</v>
      </c>
      <c r="Y2798" s="106"/>
      <c r="Z2798" s="26" t="str">
        <f t="shared" si="5"/>
        <v/>
      </c>
      <c r="AA2798" s="26" t="str">
        <f t="shared" si="6"/>
        <v/>
      </c>
      <c r="AB2798" s="32" t="str">
        <f t="shared" si="7"/>
        <v/>
      </c>
      <c r="AC2798" s="32" t="str">
        <f t="shared" ref="AC2798:AG2798" si="2852">IF(J2798&lt;&gt;"", IF(AND($P2798=FALSE, $A2798=FALSE), -J2798, IF(AND($P2798=FALSE, $A2798=TRUE), 0, IF($P2798=TRUE, (J2798 / $R2798) * 100 * ($S2798 / 100)-J2798, ))), )</f>
        <v/>
      </c>
      <c r="AD2798" s="32" t="str">
        <f t="shared" si="2852"/>
        <v/>
      </c>
      <c r="AE2798" s="32" t="str">
        <f t="shared" si="2852"/>
        <v/>
      </c>
      <c r="AF2798" s="32" t="str">
        <f t="shared" si="2852"/>
        <v/>
      </c>
      <c r="AG2798" s="32" t="str">
        <f t="shared" si="2852"/>
        <v/>
      </c>
      <c r="AH2798" s="33"/>
    </row>
    <row r="2799" hidden="1" outlineLevel="3">
      <c r="A2799" s="95" t="b">
        <v>0</v>
      </c>
      <c r="B2799" s="96"/>
      <c r="C2799" s="18"/>
      <c r="D2799" s="107"/>
      <c r="E2799" s="108"/>
      <c r="F2799" s="109"/>
      <c r="G2799" s="97"/>
      <c r="H2799" s="97"/>
      <c r="I2799" s="97"/>
      <c r="J2799" s="98"/>
      <c r="K2799" s="99"/>
      <c r="L2799" s="98"/>
      <c r="M2799" s="99"/>
      <c r="N2799" s="99"/>
      <c r="O2799" s="18"/>
      <c r="P2799" s="100" t="b">
        <v>0</v>
      </c>
      <c r="Q2799" s="18"/>
      <c r="R2799" s="101" t="str">
        <f t="shared" si="2792"/>
        <v/>
      </c>
      <c r="S2799" s="32"/>
      <c r="T2799" s="102" t="str">
        <f t="shared" si="2793"/>
        <v/>
      </c>
      <c r="U2799" s="18"/>
      <c r="V2799" s="75" t="s">
        <v>29</v>
      </c>
      <c r="W2799" s="104" t="str">
        <f t="shared" si="2828"/>
        <v>/</v>
      </c>
      <c r="X2799" s="111" t="s">
        <v>1705</v>
      </c>
      <c r="Y2799" s="106"/>
      <c r="Z2799" s="26" t="str">
        <f t="shared" si="5"/>
        <v/>
      </c>
      <c r="AA2799" s="26" t="str">
        <f t="shared" si="6"/>
        <v/>
      </c>
      <c r="AB2799" s="32" t="str">
        <f t="shared" si="7"/>
        <v/>
      </c>
      <c r="AC2799" s="32" t="str">
        <f t="shared" ref="AC2799:AG2799" si="2853">IF(J2799&lt;&gt;"", IF(AND($P2799=FALSE, $A2799=FALSE), -J2799, IF(AND($P2799=FALSE, $A2799=TRUE), 0, IF($P2799=TRUE, (J2799 / $R2799) * 100 * ($S2799 / 100)-J2799, ))), )</f>
        <v/>
      </c>
      <c r="AD2799" s="32" t="str">
        <f t="shared" si="2853"/>
        <v/>
      </c>
      <c r="AE2799" s="32" t="str">
        <f t="shared" si="2853"/>
        <v/>
      </c>
      <c r="AF2799" s="32" t="str">
        <f t="shared" si="2853"/>
        <v/>
      </c>
      <c r="AG2799" s="32" t="str">
        <f t="shared" si="2853"/>
        <v/>
      </c>
      <c r="AH2799" s="33"/>
    </row>
    <row r="2800" hidden="1" outlineLevel="1" collapsed="1">
      <c r="A2800" s="95" t="b">
        <v>0</v>
      </c>
      <c r="B2800" s="96"/>
      <c r="C2800" s="18"/>
      <c r="D2800" s="42">
        <v>45586.0</v>
      </c>
      <c r="E2800" s="20" t="s">
        <v>24</v>
      </c>
      <c r="F2800" s="53" t="s">
        <v>1706</v>
      </c>
      <c r="G2800" s="97">
        <v>5.0</v>
      </c>
      <c r="H2800" s="97"/>
      <c r="I2800" s="97">
        <v>5.0</v>
      </c>
      <c r="J2800" s="98"/>
      <c r="K2800" s="99"/>
      <c r="L2800" s="98"/>
      <c r="M2800" s="99"/>
      <c r="N2800" s="99"/>
      <c r="O2800" s="18"/>
      <c r="P2800" s="100" t="b">
        <v>1</v>
      </c>
      <c r="Q2800" s="18"/>
      <c r="R2800" s="101">
        <f t="shared" si="2792"/>
        <v>10</v>
      </c>
      <c r="S2800" s="32">
        <v>27.33</v>
      </c>
      <c r="T2800" s="102" t="str">
        <f t="shared" si="2793"/>
        <v>+173</v>
      </c>
      <c r="U2800" s="18"/>
      <c r="V2800" s="103" t="str">
        <f>IF(ISBLANK($D2800), "0",)</f>
        <v/>
      </c>
      <c r="W2800" s="104" t="str">
        <f t="shared" si="2828"/>
        <v/>
      </c>
      <c r="X2800" s="105"/>
      <c r="Y2800" s="106"/>
      <c r="Z2800" s="26">
        <f t="shared" si="5"/>
        <v>8.665</v>
      </c>
      <c r="AA2800" s="26">
        <f t="shared" si="6"/>
        <v>8.665</v>
      </c>
      <c r="AB2800" s="32" t="str">
        <f t="shared" si="7"/>
        <v/>
      </c>
      <c r="AC2800" s="32" t="str">
        <f t="shared" ref="AC2800:AG2800" si="2854">IF(J2800&lt;&gt;"", IF(AND($P2800=FALSE, $A2800=FALSE), -J2800, IF(AND($P2800=FALSE, $A2800=TRUE), 0, IF($P2800=TRUE, (J2800 / $R2800) * 100 * ($S2800 / 100)-J2800, ))), )</f>
        <v/>
      </c>
      <c r="AD2800" s="32" t="str">
        <f t="shared" si="2854"/>
        <v/>
      </c>
      <c r="AE2800" s="32" t="str">
        <f t="shared" si="2854"/>
        <v/>
      </c>
      <c r="AF2800" s="32" t="str">
        <f t="shared" si="2854"/>
        <v/>
      </c>
      <c r="AG2800" s="32" t="str">
        <f t="shared" si="2854"/>
        <v/>
      </c>
      <c r="AH2800" s="33"/>
    </row>
    <row r="2801" hidden="1" outlineLevel="3">
      <c r="A2801" s="95" t="b">
        <v>0</v>
      </c>
      <c r="B2801" s="96"/>
      <c r="C2801" s="18"/>
      <c r="D2801" s="107"/>
      <c r="E2801" s="108"/>
      <c r="F2801" s="109"/>
      <c r="G2801" s="97"/>
      <c r="H2801" s="97"/>
      <c r="I2801" s="97"/>
      <c r="J2801" s="98"/>
      <c r="K2801" s="99"/>
      <c r="L2801" s="98"/>
      <c r="M2801" s="99"/>
      <c r="N2801" s="99"/>
      <c r="O2801" s="18"/>
      <c r="P2801" s="100" t="b">
        <v>0</v>
      </c>
      <c r="Q2801" s="18"/>
      <c r="R2801" s="101" t="str">
        <f t="shared" si="2792"/>
        <v/>
      </c>
      <c r="S2801" s="32"/>
      <c r="T2801" s="102" t="str">
        <f t="shared" si="2793"/>
        <v/>
      </c>
      <c r="U2801" s="18"/>
      <c r="V2801" s="75" t="s">
        <v>29</v>
      </c>
      <c r="W2801" s="104" t="str">
        <f t="shared" si="2828"/>
        <v>/</v>
      </c>
      <c r="X2801" s="111" t="s">
        <v>1707</v>
      </c>
      <c r="Y2801" s="106"/>
      <c r="Z2801" s="26" t="str">
        <f t="shared" si="5"/>
        <v/>
      </c>
      <c r="AA2801" s="26" t="str">
        <f t="shared" si="6"/>
        <v/>
      </c>
      <c r="AB2801" s="32" t="str">
        <f t="shared" si="7"/>
        <v/>
      </c>
      <c r="AC2801" s="32" t="str">
        <f t="shared" ref="AC2801:AG2801" si="2855">IF(J2801&lt;&gt;"", IF(AND($P2801=FALSE, $A2801=FALSE), -J2801, IF(AND($P2801=FALSE, $A2801=TRUE), 0, IF($P2801=TRUE, (J2801 / $R2801) * 100 * ($S2801 / 100)-J2801, ))), )</f>
        <v/>
      </c>
      <c r="AD2801" s="32" t="str">
        <f t="shared" si="2855"/>
        <v/>
      </c>
      <c r="AE2801" s="32" t="str">
        <f t="shared" si="2855"/>
        <v/>
      </c>
      <c r="AF2801" s="32" t="str">
        <f t="shared" si="2855"/>
        <v/>
      </c>
      <c r="AG2801" s="32" t="str">
        <f t="shared" si="2855"/>
        <v/>
      </c>
      <c r="AH2801" s="33"/>
    </row>
    <row r="2802" hidden="1" outlineLevel="3">
      <c r="A2802" s="95" t="b">
        <v>0</v>
      </c>
      <c r="B2802" s="96"/>
      <c r="C2802" s="18"/>
      <c r="D2802" s="107"/>
      <c r="E2802" s="108"/>
      <c r="F2802" s="109"/>
      <c r="G2802" s="97"/>
      <c r="H2802" s="97"/>
      <c r="I2802" s="97"/>
      <c r="J2802" s="98"/>
      <c r="K2802" s="99"/>
      <c r="L2802" s="98"/>
      <c r="M2802" s="99"/>
      <c r="N2802" s="99"/>
      <c r="O2802" s="18"/>
      <c r="P2802" s="100" t="b">
        <v>0</v>
      </c>
      <c r="Q2802" s="18"/>
      <c r="R2802" s="101" t="str">
        <f t="shared" si="2792"/>
        <v/>
      </c>
      <c r="S2802" s="32"/>
      <c r="T2802" s="102" t="str">
        <f t="shared" si="2793"/>
        <v/>
      </c>
      <c r="U2802" s="18"/>
      <c r="V2802" s="75" t="s">
        <v>29</v>
      </c>
      <c r="W2802" s="104" t="str">
        <f t="shared" si="2828"/>
        <v>/</v>
      </c>
      <c r="X2802" s="111" t="s">
        <v>872</v>
      </c>
      <c r="Y2802" s="106"/>
      <c r="Z2802" s="26" t="str">
        <f t="shared" si="5"/>
        <v/>
      </c>
      <c r="AA2802" s="26" t="str">
        <f t="shared" si="6"/>
        <v/>
      </c>
      <c r="AB2802" s="32" t="str">
        <f t="shared" si="7"/>
        <v/>
      </c>
      <c r="AC2802" s="32" t="str">
        <f t="shared" ref="AC2802:AG2802" si="2856">IF(J2802&lt;&gt;"", IF(AND($P2802=FALSE, $A2802=FALSE), -J2802, IF(AND($P2802=FALSE, $A2802=TRUE), 0, IF($P2802=TRUE, (J2802 / $R2802) * 100 * ($S2802 / 100)-J2802, ))), )</f>
        <v/>
      </c>
      <c r="AD2802" s="32" t="str">
        <f t="shared" si="2856"/>
        <v/>
      </c>
      <c r="AE2802" s="32" t="str">
        <f t="shared" si="2856"/>
        <v/>
      </c>
      <c r="AF2802" s="32" t="str">
        <f t="shared" si="2856"/>
        <v/>
      </c>
      <c r="AG2802" s="32" t="str">
        <f t="shared" si="2856"/>
        <v/>
      </c>
      <c r="AH2802" s="33"/>
    </row>
    <row r="2803" hidden="1" outlineLevel="2" collapsed="1">
      <c r="A2803" s="95" t="b">
        <v>0</v>
      </c>
      <c r="B2803" s="96"/>
      <c r="C2803" s="18"/>
      <c r="D2803" s="42">
        <v>45586.0</v>
      </c>
      <c r="E2803" s="20" t="s">
        <v>24</v>
      </c>
      <c r="F2803" s="53" t="s">
        <v>1706</v>
      </c>
      <c r="G2803" s="97">
        <v>2.0</v>
      </c>
      <c r="H2803" s="97"/>
      <c r="I2803" s="97">
        <v>4.0</v>
      </c>
      <c r="J2803" s="98"/>
      <c r="K2803" s="99"/>
      <c r="L2803" s="98"/>
      <c r="M2803" s="99"/>
      <c r="N2803" s="99"/>
      <c r="O2803" s="18"/>
      <c r="P2803" s="100" t="b">
        <v>0</v>
      </c>
      <c r="Q2803" s="18"/>
      <c r="R2803" s="101">
        <f t="shared" si="2792"/>
        <v>6</v>
      </c>
      <c r="S2803" s="32">
        <v>13.48</v>
      </c>
      <c r="T2803" s="102" t="str">
        <f t="shared" si="2793"/>
        <v>+125</v>
      </c>
      <c r="U2803" s="18"/>
      <c r="V2803" s="103" t="str">
        <f t="shared" ref="V2803:V2804" si="2858">IF(ISBLANK($D2803), "0",)</f>
        <v/>
      </c>
      <c r="W2803" s="104" t="str">
        <f t="shared" si="2828"/>
        <v/>
      </c>
      <c r="X2803" s="105"/>
      <c r="Y2803" s="106"/>
      <c r="Z2803" s="26">
        <f t="shared" si="5"/>
        <v>-2</v>
      </c>
      <c r="AA2803" s="26">
        <f t="shared" si="6"/>
        <v>-4</v>
      </c>
      <c r="AB2803" s="32" t="str">
        <f t="shared" si="7"/>
        <v/>
      </c>
      <c r="AC2803" s="32" t="str">
        <f t="shared" ref="AC2803:AG2803" si="2857">IF(J2803&lt;&gt;"", IF(AND($P2803=FALSE, $A2803=FALSE), -J2803, IF(AND($P2803=FALSE, $A2803=TRUE), 0, IF($P2803=TRUE, (J2803 / $R2803) * 100 * ($S2803 / 100)-J2803, ))), )</f>
        <v/>
      </c>
      <c r="AD2803" s="32" t="str">
        <f t="shared" si="2857"/>
        <v/>
      </c>
      <c r="AE2803" s="32" t="str">
        <f t="shared" si="2857"/>
        <v/>
      </c>
      <c r="AF2803" s="32" t="str">
        <f t="shared" si="2857"/>
        <v/>
      </c>
      <c r="AG2803" s="32" t="str">
        <f t="shared" si="2857"/>
        <v/>
      </c>
      <c r="AH2803" s="33"/>
    </row>
    <row r="2804" hidden="1" outlineLevel="3">
      <c r="A2804" s="95" t="b">
        <v>0</v>
      </c>
      <c r="B2804" s="96"/>
      <c r="C2804" s="18"/>
      <c r="D2804" s="107"/>
      <c r="E2804" s="108"/>
      <c r="F2804" s="109"/>
      <c r="G2804" s="97"/>
      <c r="H2804" s="97"/>
      <c r="I2804" s="97"/>
      <c r="J2804" s="98"/>
      <c r="K2804" s="99"/>
      <c r="L2804" s="98"/>
      <c r="M2804" s="99"/>
      <c r="N2804" s="99"/>
      <c r="O2804" s="18"/>
      <c r="P2804" s="100" t="b">
        <v>0</v>
      </c>
      <c r="Q2804" s="18"/>
      <c r="R2804" s="101" t="str">
        <f t="shared" si="2792"/>
        <v/>
      </c>
      <c r="S2804" s="32"/>
      <c r="T2804" s="102" t="str">
        <f t="shared" si="2793"/>
        <v/>
      </c>
      <c r="U2804" s="18"/>
      <c r="V2804" s="103" t="str">
        <f t="shared" si="2858"/>
        <v>0</v>
      </c>
      <c r="W2804" s="104" t="str">
        <f t="shared" si="2828"/>
        <v>/</v>
      </c>
      <c r="X2804" s="111" t="s">
        <v>1708</v>
      </c>
      <c r="Y2804" s="106"/>
      <c r="Z2804" s="26" t="str">
        <f t="shared" si="5"/>
        <v/>
      </c>
      <c r="AA2804" s="26" t="str">
        <f t="shared" si="6"/>
        <v/>
      </c>
      <c r="AB2804" s="32" t="str">
        <f t="shared" si="7"/>
        <v/>
      </c>
      <c r="AC2804" s="32" t="str">
        <f t="shared" ref="AC2804:AG2804" si="2859">IF(J2804&lt;&gt;"", IF(AND($P2804=FALSE, $A2804=FALSE), -J2804, IF(AND($P2804=FALSE, $A2804=TRUE), 0, IF($P2804=TRUE, (J2804 / $R2804) * 100 * ($S2804 / 100)-J2804, ))), )</f>
        <v/>
      </c>
      <c r="AD2804" s="32" t="str">
        <f t="shared" si="2859"/>
        <v/>
      </c>
      <c r="AE2804" s="32" t="str">
        <f t="shared" si="2859"/>
        <v/>
      </c>
      <c r="AF2804" s="32" t="str">
        <f t="shared" si="2859"/>
        <v/>
      </c>
      <c r="AG2804" s="32" t="str">
        <f t="shared" si="2859"/>
        <v/>
      </c>
      <c r="AH2804" s="33"/>
    </row>
    <row r="2805" hidden="1" outlineLevel="3">
      <c r="A2805" s="95" t="b">
        <v>0</v>
      </c>
      <c r="B2805" s="96"/>
      <c r="C2805" s="18"/>
      <c r="D2805" s="107"/>
      <c r="E2805" s="108"/>
      <c r="F2805" s="109"/>
      <c r="G2805" s="97"/>
      <c r="H2805" s="97"/>
      <c r="I2805" s="97"/>
      <c r="J2805" s="98"/>
      <c r="K2805" s="99"/>
      <c r="L2805" s="98"/>
      <c r="M2805" s="99"/>
      <c r="N2805" s="99"/>
      <c r="O2805" s="18"/>
      <c r="P2805" s="100" t="b">
        <v>0</v>
      </c>
      <c r="Q2805" s="18"/>
      <c r="R2805" s="101" t="str">
        <f t="shared" si="2792"/>
        <v/>
      </c>
      <c r="S2805" s="32"/>
      <c r="T2805" s="102" t="str">
        <f t="shared" si="2793"/>
        <v/>
      </c>
      <c r="U2805" s="18"/>
      <c r="V2805" s="75" t="s">
        <v>29</v>
      </c>
      <c r="W2805" s="104" t="str">
        <f t="shared" si="2828"/>
        <v>/</v>
      </c>
      <c r="X2805" s="111" t="s">
        <v>1709</v>
      </c>
      <c r="Y2805" s="106"/>
      <c r="Z2805" s="26" t="str">
        <f t="shared" si="5"/>
        <v/>
      </c>
      <c r="AA2805" s="26" t="str">
        <f t="shared" si="6"/>
        <v/>
      </c>
      <c r="AB2805" s="32" t="str">
        <f t="shared" si="7"/>
        <v/>
      </c>
      <c r="AC2805" s="32" t="str">
        <f t="shared" ref="AC2805:AG2805" si="2860">IF(J2805&lt;&gt;"", IF(AND($P2805=FALSE, $A2805=FALSE), -J2805, IF(AND($P2805=FALSE, $A2805=TRUE), 0, IF($P2805=TRUE, (J2805 / $R2805) * 100 * ($S2805 / 100)-J2805, ))), )</f>
        <v/>
      </c>
      <c r="AD2805" s="32" t="str">
        <f t="shared" si="2860"/>
        <v/>
      </c>
      <c r="AE2805" s="32" t="str">
        <f t="shared" si="2860"/>
        <v/>
      </c>
      <c r="AF2805" s="32" t="str">
        <f t="shared" si="2860"/>
        <v/>
      </c>
      <c r="AG2805" s="32" t="str">
        <f t="shared" si="2860"/>
        <v/>
      </c>
      <c r="AH2805" s="33"/>
    </row>
    <row r="2806" hidden="1" outlineLevel="2" collapsed="1">
      <c r="A2806" s="95" t="b">
        <v>0</v>
      </c>
      <c r="B2806" s="96"/>
      <c r="C2806" s="18"/>
      <c r="D2806" s="42">
        <v>45586.0</v>
      </c>
      <c r="E2806" s="20" t="s">
        <v>24</v>
      </c>
      <c r="F2806" s="53" t="s">
        <v>1706</v>
      </c>
      <c r="G2806" s="97">
        <v>3.0</v>
      </c>
      <c r="H2806" s="97"/>
      <c r="I2806" s="97">
        <v>5.0</v>
      </c>
      <c r="J2806" s="98"/>
      <c r="K2806" s="99"/>
      <c r="L2806" s="98"/>
      <c r="M2806" s="99"/>
      <c r="N2806" s="99"/>
      <c r="O2806" s="18"/>
      <c r="P2806" s="100" t="b">
        <v>1</v>
      </c>
      <c r="Q2806" s="18"/>
      <c r="R2806" s="101">
        <f t="shared" si="2792"/>
        <v>8</v>
      </c>
      <c r="S2806" s="32">
        <v>22.78</v>
      </c>
      <c r="T2806" s="102" t="str">
        <f t="shared" si="2793"/>
        <v>+185</v>
      </c>
      <c r="U2806" s="18"/>
      <c r="V2806" s="103" t="str">
        <f>IF(ISBLANK($D2806), "0",)</f>
        <v/>
      </c>
      <c r="W2806" s="104" t="str">
        <f t="shared" si="2828"/>
        <v/>
      </c>
      <c r="X2806" s="105"/>
      <c r="Y2806" s="106"/>
      <c r="Z2806" s="26">
        <f t="shared" si="5"/>
        <v>5.5425</v>
      </c>
      <c r="AA2806" s="26">
        <f t="shared" si="6"/>
        <v>9.2375</v>
      </c>
      <c r="AB2806" s="32" t="str">
        <f t="shared" si="7"/>
        <v/>
      </c>
      <c r="AC2806" s="32" t="str">
        <f t="shared" ref="AC2806:AG2806" si="2861">IF(J2806&lt;&gt;"", IF(AND($P2806=FALSE, $A2806=FALSE), -J2806, IF(AND($P2806=FALSE, $A2806=TRUE), 0, IF($P2806=TRUE, (J2806 / $R2806) * 100 * ($S2806 / 100)-J2806, ))), )</f>
        <v/>
      </c>
      <c r="AD2806" s="32" t="str">
        <f t="shared" si="2861"/>
        <v/>
      </c>
      <c r="AE2806" s="32" t="str">
        <f t="shared" si="2861"/>
        <v/>
      </c>
      <c r="AF2806" s="32" t="str">
        <f t="shared" si="2861"/>
        <v/>
      </c>
      <c r="AG2806" s="32" t="str">
        <f t="shared" si="2861"/>
        <v/>
      </c>
      <c r="AH2806" s="33"/>
    </row>
    <row r="2807" hidden="1" outlineLevel="3">
      <c r="A2807" s="95" t="b">
        <v>0</v>
      </c>
      <c r="B2807" s="96"/>
      <c r="C2807" s="18"/>
      <c r="D2807" s="107"/>
      <c r="E2807" s="108"/>
      <c r="F2807" s="109"/>
      <c r="G2807" s="97"/>
      <c r="H2807" s="97"/>
      <c r="I2807" s="97"/>
      <c r="J2807" s="98"/>
      <c r="K2807" s="99"/>
      <c r="L2807" s="98"/>
      <c r="M2807" s="99"/>
      <c r="N2807" s="99"/>
      <c r="O2807" s="18"/>
      <c r="P2807" s="100" t="b">
        <v>0</v>
      </c>
      <c r="Q2807" s="18"/>
      <c r="R2807" s="101" t="str">
        <f t="shared" si="2792"/>
        <v/>
      </c>
      <c r="S2807" s="32"/>
      <c r="T2807" s="102" t="str">
        <f t="shared" si="2793"/>
        <v/>
      </c>
      <c r="U2807" s="18"/>
      <c r="V2807" s="75" t="s">
        <v>29</v>
      </c>
      <c r="W2807" s="104" t="str">
        <f t="shared" si="2828"/>
        <v>/</v>
      </c>
      <c r="X2807" s="111" t="s">
        <v>1710</v>
      </c>
      <c r="Y2807" s="106"/>
      <c r="Z2807" s="26" t="str">
        <f t="shared" si="5"/>
        <v/>
      </c>
      <c r="AA2807" s="26" t="str">
        <f t="shared" si="6"/>
        <v/>
      </c>
      <c r="AB2807" s="32" t="str">
        <f t="shared" si="7"/>
        <v/>
      </c>
      <c r="AC2807" s="32" t="str">
        <f t="shared" ref="AC2807:AG2807" si="2862">IF(J2807&lt;&gt;"", IF(AND($P2807=FALSE, $A2807=FALSE), -J2807, IF(AND($P2807=FALSE, $A2807=TRUE), 0, IF($P2807=TRUE, (J2807 / $R2807) * 100 * ($S2807 / 100)-J2807, ))), )</f>
        <v/>
      </c>
      <c r="AD2807" s="32" t="str">
        <f t="shared" si="2862"/>
        <v/>
      </c>
      <c r="AE2807" s="32" t="str">
        <f t="shared" si="2862"/>
        <v/>
      </c>
      <c r="AF2807" s="32" t="str">
        <f t="shared" si="2862"/>
        <v/>
      </c>
      <c r="AG2807" s="32" t="str">
        <f t="shared" si="2862"/>
        <v/>
      </c>
      <c r="AH2807" s="33"/>
    </row>
    <row r="2808" hidden="1" outlineLevel="3">
      <c r="A2808" s="95" t="b">
        <v>0</v>
      </c>
      <c r="B2808" s="96"/>
      <c r="C2808" s="18"/>
      <c r="D2808" s="107"/>
      <c r="E2808" s="108"/>
      <c r="F2808" s="109"/>
      <c r="G2808" s="97"/>
      <c r="H2808" s="97"/>
      <c r="I2808" s="97"/>
      <c r="J2808" s="98"/>
      <c r="K2808" s="99"/>
      <c r="L2808" s="98"/>
      <c r="M2808" s="99"/>
      <c r="N2808" s="99"/>
      <c r="O2808" s="18"/>
      <c r="P2808" s="100" t="b">
        <v>0</v>
      </c>
      <c r="Q2808" s="18"/>
      <c r="R2808" s="101" t="str">
        <f t="shared" si="2792"/>
        <v/>
      </c>
      <c r="S2808" s="32"/>
      <c r="T2808" s="102" t="str">
        <f t="shared" si="2793"/>
        <v/>
      </c>
      <c r="U2808" s="18"/>
      <c r="V2808" s="75" t="s">
        <v>29</v>
      </c>
      <c r="W2808" s="104" t="str">
        <f t="shared" si="2828"/>
        <v>/</v>
      </c>
      <c r="X2808" s="111" t="s">
        <v>908</v>
      </c>
      <c r="Y2808" s="106"/>
      <c r="Z2808" s="26" t="str">
        <f t="shared" si="5"/>
        <v/>
      </c>
      <c r="AA2808" s="26" t="str">
        <f t="shared" si="6"/>
        <v/>
      </c>
      <c r="AB2808" s="32" t="str">
        <f t="shared" si="7"/>
        <v/>
      </c>
      <c r="AC2808" s="32" t="str">
        <f t="shared" ref="AC2808:AG2808" si="2863">IF(J2808&lt;&gt;"", IF(AND($P2808=FALSE, $A2808=FALSE), -J2808, IF(AND($P2808=FALSE, $A2808=TRUE), 0, IF($P2808=TRUE, (J2808 / $R2808) * 100 * ($S2808 / 100)-J2808, ))), )</f>
        <v/>
      </c>
      <c r="AD2808" s="32" t="str">
        <f t="shared" si="2863"/>
        <v/>
      </c>
      <c r="AE2808" s="32" t="str">
        <f t="shared" si="2863"/>
        <v/>
      </c>
      <c r="AF2808" s="32" t="str">
        <f t="shared" si="2863"/>
        <v/>
      </c>
      <c r="AG2808" s="32" t="str">
        <f t="shared" si="2863"/>
        <v/>
      </c>
      <c r="AH2808" s="33"/>
    </row>
    <row r="2809" hidden="1" outlineLevel="3">
      <c r="A2809" s="95" t="b">
        <v>0</v>
      </c>
      <c r="B2809" s="96"/>
      <c r="C2809" s="18"/>
      <c r="D2809" s="107"/>
      <c r="E2809" s="108"/>
      <c r="F2809" s="109"/>
      <c r="G2809" s="97"/>
      <c r="H2809" s="97"/>
      <c r="I2809" s="97"/>
      <c r="J2809" s="98"/>
      <c r="K2809" s="99"/>
      <c r="L2809" s="98"/>
      <c r="M2809" s="99"/>
      <c r="N2809" s="99"/>
      <c r="O2809" s="18"/>
      <c r="P2809" s="100" t="b">
        <v>0</v>
      </c>
      <c r="Q2809" s="18"/>
      <c r="R2809" s="101" t="str">
        <f t="shared" si="2792"/>
        <v/>
      </c>
      <c r="S2809" s="32"/>
      <c r="T2809" s="102" t="str">
        <f t="shared" si="2793"/>
        <v/>
      </c>
      <c r="U2809" s="18"/>
      <c r="V2809" s="75" t="s">
        <v>29</v>
      </c>
      <c r="W2809" s="104" t="str">
        <f t="shared" si="2828"/>
        <v>/</v>
      </c>
      <c r="X2809" s="111" t="s">
        <v>1711</v>
      </c>
      <c r="Y2809" s="106"/>
      <c r="Z2809" s="26" t="str">
        <f t="shared" si="5"/>
        <v/>
      </c>
      <c r="AA2809" s="26" t="str">
        <f t="shared" si="6"/>
        <v/>
      </c>
      <c r="AB2809" s="32" t="str">
        <f t="shared" si="7"/>
        <v/>
      </c>
      <c r="AC2809" s="32" t="str">
        <f t="shared" ref="AC2809:AG2809" si="2864">IF(J2809&lt;&gt;"", IF(AND($P2809=FALSE, $A2809=FALSE), -J2809, IF(AND($P2809=FALSE, $A2809=TRUE), 0, IF($P2809=TRUE, (J2809 / $R2809) * 100 * ($S2809 / 100)-J2809, ))), )</f>
        <v/>
      </c>
      <c r="AD2809" s="32" t="str">
        <f t="shared" si="2864"/>
        <v/>
      </c>
      <c r="AE2809" s="32" t="str">
        <f t="shared" si="2864"/>
        <v/>
      </c>
      <c r="AF2809" s="32" t="str">
        <f t="shared" si="2864"/>
        <v/>
      </c>
      <c r="AG2809" s="32" t="str">
        <f t="shared" si="2864"/>
        <v/>
      </c>
      <c r="AH2809" s="33"/>
    </row>
    <row r="2810" hidden="1" outlineLevel="2">
      <c r="A2810" s="95" t="b">
        <v>0</v>
      </c>
      <c r="B2810" s="96"/>
      <c r="C2810" s="18"/>
      <c r="D2810" s="42">
        <v>45586.0</v>
      </c>
      <c r="E2810" s="20" t="s">
        <v>24</v>
      </c>
      <c r="F2810" s="53" t="s">
        <v>1706</v>
      </c>
      <c r="G2810" s="97">
        <v>3.0</v>
      </c>
      <c r="H2810" s="97"/>
      <c r="I2810" s="97">
        <v>5.0</v>
      </c>
      <c r="J2810" s="98"/>
      <c r="K2810" s="99"/>
      <c r="L2810" s="98"/>
      <c r="M2810" s="99"/>
      <c r="N2810" s="99"/>
      <c r="O2810" s="18"/>
      <c r="P2810" s="100" t="b">
        <v>0</v>
      </c>
      <c r="Q2810" s="18"/>
      <c r="R2810" s="101">
        <f t="shared" si="2792"/>
        <v>8</v>
      </c>
      <c r="S2810" s="32">
        <v>26.63</v>
      </c>
      <c r="T2810" s="102" t="str">
        <f t="shared" si="2793"/>
        <v>+233</v>
      </c>
      <c r="U2810" s="18"/>
      <c r="V2810" s="103" t="str">
        <f>IF(ISBLANK($D2810), "0",)</f>
        <v/>
      </c>
      <c r="W2810" s="104" t="str">
        <f t="shared" si="2828"/>
        <v/>
      </c>
      <c r="X2810" s="105"/>
      <c r="Y2810" s="106"/>
      <c r="Z2810" s="26">
        <f t="shared" si="5"/>
        <v>-3</v>
      </c>
      <c r="AA2810" s="26">
        <f t="shared" si="6"/>
        <v>-5</v>
      </c>
      <c r="AB2810" s="32" t="str">
        <f t="shared" si="7"/>
        <v/>
      </c>
      <c r="AC2810" s="32" t="str">
        <f t="shared" ref="AC2810:AG2810" si="2865">IF(J2810&lt;&gt;"", IF(AND($P2810=FALSE, $A2810=FALSE), -J2810, IF(AND($P2810=FALSE, $A2810=TRUE), 0, IF($P2810=TRUE, (J2810 / $R2810) * 100 * ($S2810 / 100)-J2810, ))), )</f>
        <v/>
      </c>
      <c r="AD2810" s="32" t="str">
        <f t="shared" si="2865"/>
        <v/>
      </c>
      <c r="AE2810" s="32" t="str">
        <f t="shared" si="2865"/>
        <v/>
      </c>
      <c r="AF2810" s="32" t="str">
        <f t="shared" si="2865"/>
        <v/>
      </c>
      <c r="AG2810" s="32" t="str">
        <f t="shared" si="2865"/>
        <v/>
      </c>
      <c r="AH2810" s="33"/>
    </row>
    <row r="2811" hidden="1" outlineLevel="3">
      <c r="A2811" s="95" t="b">
        <v>0</v>
      </c>
      <c r="B2811" s="96"/>
      <c r="C2811" s="18"/>
      <c r="D2811" s="107"/>
      <c r="E2811" s="108"/>
      <c r="F2811" s="109"/>
      <c r="G2811" s="97"/>
      <c r="H2811" s="97"/>
      <c r="I2811" s="97"/>
      <c r="J2811" s="98"/>
      <c r="K2811" s="99"/>
      <c r="L2811" s="98"/>
      <c r="M2811" s="99"/>
      <c r="N2811" s="99"/>
      <c r="O2811" s="18"/>
      <c r="P2811" s="100" t="b">
        <v>0</v>
      </c>
      <c r="Q2811" s="18"/>
      <c r="R2811" s="101" t="str">
        <f t="shared" si="2792"/>
        <v/>
      </c>
      <c r="S2811" s="32"/>
      <c r="T2811" s="102" t="str">
        <f t="shared" si="2793"/>
        <v/>
      </c>
      <c r="U2811" s="18"/>
      <c r="V2811" s="113">
        <v>72.0</v>
      </c>
      <c r="W2811" s="104" t="str">
        <f t="shared" si="2828"/>
        <v>/</v>
      </c>
      <c r="X2811" s="111" t="s">
        <v>1712</v>
      </c>
      <c r="Y2811" s="106"/>
      <c r="Z2811" s="26" t="str">
        <f t="shared" si="5"/>
        <v/>
      </c>
      <c r="AA2811" s="26" t="str">
        <f t="shared" si="6"/>
        <v/>
      </c>
      <c r="AB2811" s="32" t="str">
        <f t="shared" si="7"/>
        <v/>
      </c>
      <c r="AC2811" s="32" t="str">
        <f t="shared" ref="AC2811:AG2811" si="2866">IF(J2811&lt;&gt;"", IF(AND($P2811=FALSE, $A2811=FALSE), -J2811, IF(AND($P2811=FALSE, $A2811=TRUE), 0, IF($P2811=TRUE, (J2811 / $R2811) * 100 * ($S2811 / 100)-J2811, ))), )</f>
        <v/>
      </c>
      <c r="AD2811" s="32" t="str">
        <f t="shared" si="2866"/>
        <v/>
      </c>
      <c r="AE2811" s="32" t="str">
        <f t="shared" si="2866"/>
        <v/>
      </c>
      <c r="AF2811" s="32" t="str">
        <f t="shared" si="2866"/>
        <v/>
      </c>
      <c r="AG2811" s="32" t="str">
        <f t="shared" si="2866"/>
        <v/>
      </c>
      <c r="AH2811" s="33"/>
    </row>
    <row r="2812" hidden="1" outlineLevel="3">
      <c r="A2812" s="95" t="b">
        <v>0</v>
      </c>
      <c r="B2812" s="96"/>
      <c r="C2812" s="18"/>
      <c r="D2812" s="107"/>
      <c r="E2812" s="108"/>
      <c r="F2812" s="109"/>
      <c r="G2812" s="97"/>
      <c r="H2812" s="97"/>
      <c r="I2812" s="97"/>
      <c r="J2812" s="98"/>
      <c r="K2812" s="99"/>
      <c r="L2812" s="98"/>
      <c r="M2812" s="99"/>
      <c r="N2812" s="99"/>
      <c r="O2812" s="18"/>
      <c r="P2812" s="100" t="b">
        <v>0</v>
      </c>
      <c r="Q2812" s="18"/>
      <c r="R2812" s="101" t="str">
        <f t="shared" si="2792"/>
        <v/>
      </c>
      <c r="S2812" s="32"/>
      <c r="T2812" s="102" t="str">
        <f t="shared" si="2793"/>
        <v/>
      </c>
      <c r="U2812" s="18"/>
      <c r="V2812" s="113">
        <v>145.0</v>
      </c>
      <c r="W2812" s="104" t="str">
        <f t="shared" si="2828"/>
        <v>/</v>
      </c>
      <c r="X2812" s="111" t="s">
        <v>1713</v>
      </c>
      <c r="Y2812" s="106"/>
      <c r="Z2812" s="26" t="str">
        <f t="shared" si="5"/>
        <v/>
      </c>
      <c r="AA2812" s="26" t="str">
        <f t="shared" si="6"/>
        <v/>
      </c>
      <c r="AB2812" s="32" t="str">
        <f t="shared" si="7"/>
        <v/>
      </c>
      <c r="AC2812" s="32" t="str">
        <f t="shared" ref="AC2812:AG2812" si="2867">IF(J2812&lt;&gt;"", IF(AND($P2812=FALSE, $A2812=FALSE), -J2812, IF(AND($P2812=FALSE, $A2812=TRUE), 0, IF($P2812=TRUE, (J2812 / $R2812) * 100 * ($S2812 / 100)-J2812, ))), )</f>
        <v/>
      </c>
      <c r="AD2812" s="32" t="str">
        <f t="shared" si="2867"/>
        <v/>
      </c>
      <c r="AE2812" s="32" t="str">
        <f t="shared" si="2867"/>
        <v/>
      </c>
      <c r="AF2812" s="32" t="str">
        <f t="shared" si="2867"/>
        <v/>
      </c>
      <c r="AG2812" s="32" t="str">
        <f t="shared" si="2867"/>
        <v/>
      </c>
      <c r="AH2812" s="33"/>
    </row>
    <row r="2813" hidden="1" outlineLevel="3">
      <c r="A2813" s="95" t="b">
        <v>0</v>
      </c>
      <c r="B2813" s="96"/>
      <c r="C2813" s="18"/>
      <c r="D2813" s="107"/>
      <c r="E2813" s="108"/>
      <c r="F2813" s="109"/>
      <c r="G2813" s="97"/>
      <c r="H2813" s="97"/>
      <c r="I2813" s="97"/>
      <c r="J2813" s="98"/>
      <c r="K2813" s="99"/>
      <c r="L2813" s="98"/>
      <c r="M2813" s="99"/>
      <c r="N2813" s="99"/>
      <c r="O2813" s="18"/>
      <c r="P2813" s="100" t="b">
        <v>0</v>
      </c>
      <c r="Q2813" s="18"/>
      <c r="R2813" s="101" t="str">
        <f t="shared" si="2792"/>
        <v/>
      </c>
      <c r="S2813" s="32"/>
      <c r="T2813" s="102" t="str">
        <f t="shared" si="2793"/>
        <v/>
      </c>
      <c r="U2813" s="18"/>
      <c r="V2813" s="75" t="s">
        <v>29</v>
      </c>
      <c r="W2813" s="104" t="str">
        <f t="shared" si="2828"/>
        <v>/</v>
      </c>
      <c r="X2813" s="111" t="s">
        <v>1714</v>
      </c>
      <c r="Y2813" s="106"/>
      <c r="Z2813" s="26" t="str">
        <f t="shared" si="5"/>
        <v/>
      </c>
      <c r="AA2813" s="26" t="str">
        <f t="shared" si="6"/>
        <v/>
      </c>
      <c r="AB2813" s="32" t="str">
        <f t="shared" si="7"/>
        <v/>
      </c>
      <c r="AC2813" s="32" t="str">
        <f t="shared" ref="AC2813:AG2813" si="2868">IF(J2813&lt;&gt;"", IF(AND($P2813=FALSE, $A2813=FALSE), -J2813, IF(AND($P2813=FALSE, $A2813=TRUE), 0, IF($P2813=TRUE, (J2813 / $R2813) * 100 * ($S2813 / 100)-J2813, ))), )</f>
        <v/>
      </c>
      <c r="AD2813" s="32" t="str">
        <f t="shared" si="2868"/>
        <v/>
      </c>
      <c r="AE2813" s="32" t="str">
        <f t="shared" si="2868"/>
        <v/>
      </c>
      <c r="AF2813" s="32" t="str">
        <f t="shared" si="2868"/>
        <v/>
      </c>
      <c r="AG2813" s="32" t="str">
        <f t="shared" si="2868"/>
        <v/>
      </c>
      <c r="AH2813" s="33"/>
    </row>
    <row r="2814" hidden="1" outlineLevel="1" collapsed="1">
      <c r="A2814" s="95" t="b">
        <v>0</v>
      </c>
      <c r="B2814" s="96"/>
      <c r="C2814" s="18"/>
      <c r="D2814" s="42">
        <v>45589.0</v>
      </c>
      <c r="E2814" s="20" t="s">
        <v>24</v>
      </c>
      <c r="F2814" s="53" t="s">
        <v>1715</v>
      </c>
      <c r="G2814" s="97">
        <v>3.0</v>
      </c>
      <c r="H2814" s="97"/>
      <c r="I2814" s="97">
        <v>10.0</v>
      </c>
      <c r="J2814" s="98"/>
      <c r="K2814" s="99"/>
      <c r="L2814" s="98"/>
      <c r="M2814" s="99"/>
      <c r="N2814" s="99"/>
      <c r="O2814" s="18"/>
      <c r="P2814" s="100" t="b">
        <v>0</v>
      </c>
      <c r="Q2814" s="18"/>
      <c r="R2814" s="101">
        <f t="shared" si="2792"/>
        <v>13</v>
      </c>
      <c r="S2814" s="32">
        <v>35.52</v>
      </c>
      <c r="T2814" s="102" t="str">
        <f t="shared" si="2793"/>
        <v>+173</v>
      </c>
      <c r="U2814" s="18"/>
      <c r="V2814" s="103" t="str">
        <f>IF(ISBLANK($D2814), "0",)</f>
        <v/>
      </c>
      <c r="W2814" s="104" t="str">
        <f t="shared" si="2828"/>
        <v/>
      </c>
      <c r="X2814" s="105"/>
      <c r="Y2814" s="106"/>
      <c r="Z2814" s="26">
        <f t="shared" si="5"/>
        <v>-3</v>
      </c>
      <c r="AA2814" s="26">
        <f t="shared" si="6"/>
        <v>-10</v>
      </c>
      <c r="AB2814" s="32" t="str">
        <f t="shared" si="7"/>
        <v/>
      </c>
      <c r="AC2814" s="32" t="str">
        <f t="shared" ref="AC2814:AG2814" si="2869">IF(J2814&lt;&gt;"", IF(AND($P2814=FALSE, $A2814=FALSE), -J2814, IF(AND($P2814=FALSE, $A2814=TRUE), 0, IF($P2814=TRUE, (J2814 / $R2814) * 100 * ($S2814 / 100)-J2814, ))), )</f>
        <v/>
      </c>
      <c r="AD2814" s="32" t="str">
        <f t="shared" si="2869"/>
        <v/>
      </c>
      <c r="AE2814" s="32" t="str">
        <f t="shared" si="2869"/>
        <v/>
      </c>
      <c r="AF2814" s="32" t="str">
        <f t="shared" si="2869"/>
        <v/>
      </c>
      <c r="AG2814" s="32" t="str">
        <f t="shared" si="2869"/>
        <v/>
      </c>
      <c r="AH2814" s="33"/>
    </row>
    <row r="2815" hidden="1" outlineLevel="3">
      <c r="A2815" s="95" t="b">
        <v>0</v>
      </c>
      <c r="B2815" s="96"/>
      <c r="C2815" s="18"/>
      <c r="D2815" s="107"/>
      <c r="E2815" s="108"/>
      <c r="F2815" s="109"/>
      <c r="G2815" s="97"/>
      <c r="H2815" s="97"/>
      <c r="I2815" s="97"/>
      <c r="J2815" s="98"/>
      <c r="K2815" s="99"/>
      <c r="L2815" s="98"/>
      <c r="M2815" s="99"/>
      <c r="N2815" s="99"/>
      <c r="O2815" s="18"/>
      <c r="P2815" s="100" t="b">
        <v>0</v>
      </c>
      <c r="Q2815" s="18"/>
      <c r="R2815" s="101" t="str">
        <f t="shared" si="2792"/>
        <v/>
      </c>
      <c r="S2815" s="32"/>
      <c r="T2815" s="102" t="str">
        <f t="shared" si="2793"/>
        <v/>
      </c>
      <c r="U2815" s="18"/>
      <c r="V2815" s="113">
        <v>2.0</v>
      </c>
      <c r="W2815" s="104" t="str">
        <f t="shared" si="2828"/>
        <v>/</v>
      </c>
      <c r="X2815" s="111" t="s">
        <v>1716</v>
      </c>
      <c r="Y2815" s="106"/>
      <c r="Z2815" s="26" t="str">
        <f t="shared" si="5"/>
        <v/>
      </c>
      <c r="AA2815" s="26" t="str">
        <f t="shared" si="6"/>
        <v/>
      </c>
      <c r="AB2815" s="32" t="str">
        <f t="shared" si="7"/>
        <v/>
      </c>
      <c r="AC2815" s="32" t="str">
        <f t="shared" ref="AC2815:AG2815" si="2870">IF(J2815&lt;&gt;"", IF(AND($P2815=FALSE, $A2815=FALSE), -J2815, IF(AND($P2815=FALSE, $A2815=TRUE), 0, IF($P2815=TRUE, (J2815 / $R2815) * 100 * ($S2815 / 100)-J2815, ))), )</f>
        <v/>
      </c>
      <c r="AD2815" s="32" t="str">
        <f t="shared" si="2870"/>
        <v/>
      </c>
      <c r="AE2815" s="32" t="str">
        <f t="shared" si="2870"/>
        <v/>
      </c>
      <c r="AF2815" s="32" t="str">
        <f t="shared" si="2870"/>
        <v/>
      </c>
      <c r="AG2815" s="32" t="str">
        <f t="shared" si="2870"/>
        <v/>
      </c>
      <c r="AH2815" s="33"/>
    </row>
    <row r="2816" hidden="1" outlineLevel="3">
      <c r="A2816" s="95" t="b">
        <v>0</v>
      </c>
      <c r="B2816" s="96"/>
      <c r="C2816" s="18"/>
      <c r="D2816" s="107"/>
      <c r="E2816" s="108"/>
      <c r="F2816" s="109"/>
      <c r="G2816" s="97"/>
      <c r="H2816" s="97"/>
      <c r="I2816" s="97"/>
      <c r="J2816" s="98"/>
      <c r="K2816" s="99"/>
      <c r="L2816" s="98"/>
      <c r="M2816" s="99"/>
      <c r="N2816" s="99"/>
      <c r="O2816" s="18"/>
      <c r="P2816" s="100" t="b">
        <v>0</v>
      </c>
      <c r="Q2816" s="18"/>
      <c r="R2816" s="101" t="str">
        <f t="shared" si="2792"/>
        <v/>
      </c>
      <c r="S2816" s="32"/>
      <c r="T2816" s="102" t="str">
        <f t="shared" si="2793"/>
        <v/>
      </c>
      <c r="U2816" s="18"/>
      <c r="V2816" s="113">
        <v>22.0</v>
      </c>
      <c r="W2816" s="104" t="str">
        <f t="shared" si="2828"/>
        <v>/</v>
      </c>
      <c r="X2816" s="111" t="s">
        <v>556</v>
      </c>
      <c r="Y2816" s="106"/>
      <c r="Z2816" s="26" t="str">
        <f t="shared" si="5"/>
        <v/>
      </c>
      <c r="AA2816" s="26" t="str">
        <f t="shared" si="6"/>
        <v/>
      </c>
      <c r="AB2816" s="32" t="str">
        <f t="shared" si="7"/>
        <v/>
      </c>
      <c r="AC2816" s="32" t="str">
        <f t="shared" ref="AC2816:AG2816" si="2871">IF(J2816&lt;&gt;"", IF(AND($P2816=FALSE, $A2816=FALSE), -J2816, IF(AND($P2816=FALSE, $A2816=TRUE), 0, IF($P2816=TRUE, (J2816 / $R2816) * 100 * ($S2816 / 100)-J2816, ))), )</f>
        <v/>
      </c>
      <c r="AD2816" s="32" t="str">
        <f t="shared" si="2871"/>
        <v/>
      </c>
      <c r="AE2816" s="32" t="str">
        <f t="shared" si="2871"/>
        <v/>
      </c>
      <c r="AF2816" s="32" t="str">
        <f t="shared" si="2871"/>
        <v/>
      </c>
      <c r="AG2816" s="32" t="str">
        <f t="shared" si="2871"/>
        <v/>
      </c>
      <c r="AH2816" s="33"/>
    </row>
    <row r="2817" hidden="1" outlineLevel="3">
      <c r="A2817" s="95" t="b">
        <v>0</v>
      </c>
      <c r="B2817" s="96"/>
      <c r="C2817" s="18"/>
      <c r="D2817" s="107"/>
      <c r="E2817" s="108"/>
      <c r="F2817" s="109"/>
      <c r="G2817" s="97"/>
      <c r="H2817" s="97"/>
      <c r="I2817" s="97"/>
      <c r="J2817" s="98"/>
      <c r="K2817" s="99"/>
      <c r="L2817" s="98"/>
      <c r="M2817" s="99"/>
      <c r="N2817" s="99"/>
      <c r="O2817" s="18"/>
      <c r="P2817" s="100" t="b">
        <v>0</v>
      </c>
      <c r="Q2817" s="18"/>
      <c r="R2817" s="101" t="str">
        <f t="shared" si="2792"/>
        <v/>
      </c>
      <c r="S2817" s="32"/>
      <c r="T2817" s="102" t="str">
        <f t="shared" si="2793"/>
        <v/>
      </c>
      <c r="U2817" s="18"/>
      <c r="V2817" s="75" t="s">
        <v>29</v>
      </c>
      <c r="W2817" s="104" t="str">
        <f t="shared" si="2828"/>
        <v>/</v>
      </c>
      <c r="X2817" s="111" t="s">
        <v>1635</v>
      </c>
      <c r="Y2817" s="106"/>
      <c r="Z2817" s="26" t="str">
        <f t="shared" si="5"/>
        <v/>
      </c>
      <c r="AA2817" s="26" t="str">
        <f t="shared" si="6"/>
        <v/>
      </c>
      <c r="AB2817" s="32" t="str">
        <f t="shared" si="7"/>
        <v/>
      </c>
      <c r="AC2817" s="32" t="str">
        <f t="shared" ref="AC2817:AG2817" si="2872">IF(J2817&lt;&gt;"", IF(AND($P2817=FALSE, $A2817=FALSE), -J2817, IF(AND($P2817=FALSE, $A2817=TRUE), 0, IF($P2817=TRUE, (J2817 / $R2817) * 100 * ($S2817 / 100)-J2817, ))), )</f>
        <v/>
      </c>
      <c r="AD2817" s="32" t="str">
        <f t="shared" si="2872"/>
        <v/>
      </c>
      <c r="AE2817" s="32" t="str">
        <f t="shared" si="2872"/>
        <v/>
      </c>
      <c r="AF2817" s="32" t="str">
        <f t="shared" si="2872"/>
        <v/>
      </c>
      <c r="AG2817" s="32" t="str">
        <f t="shared" si="2872"/>
        <v/>
      </c>
      <c r="AH2817" s="33"/>
    </row>
    <row r="2818" hidden="1" outlineLevel="2" collapsed="1">
      <c r="A2818" s="95" t="b">
        <v>0</v>
      </c>
      <c r="B2818" s="96"/>
      <c r="C2818" s="18"/>
      <c r="D2818" s="42">
        <v>45589.0</v>
      </c>
      <c r="E2818" s="20" t="s">
        <v>24</v>
      </c>
      <c r="F2818" s="53" t="s">
        <v>1715</v>
      </c>
      <c r="G2818" s="97">
        <v>2.0</v>
      </c>
      <c r="H2818" s="97"/>
      <c r="I2818" s="97">
        <v>5.0</v>
      </c>
      <c r="J2818" s="98"/>
      <c r="K2818" s="99"/>
      <c r="L2818" s="98"/>
      <c r="M2818" s="99"/>
      <c r="N2818" s="99"/>
      <c r="O2818" s="18"/>
      <c r="P2818" s="100" t="b">
        <v>0</v>
      </c>
      <c r="Q2818" s="18"/>
      <c r="R2818" s="101">
        <f t="shared" si="2792"/>
        <v>7</v>
      </c>
      <c r="S2818" s="32">
        <v>21.72</v>
      </c>
      <c r="T2818" s="102" t="str">
        <f t="shared" si="2793"/>
        <v>+210</v>
      </c>
      <c r="U2818" s="18"/>
      <c r="V2818" s="103" t="str">
        <f>IF(ISBLANK($D2818), "0",)</f>
        <v/>
      </c>
      <c r="W2818" s="104" t="str">
        <f t="shared" si="2828"/>
        <v/>
      </c>
      <c r="X2818" s="105"/>
      <c r="Y2818" s="106"/>
      <c r="Z2818" s="26">
        <f t="shared" si="5"/>
        <v>-2</v>
      </c>
      <c r="AA2818" s="26">
        <f t="shared" si="6"/>
        <v>-5</v>
      </c>
      <c r="AB2818" s="32" t="str">
        <f t="shared" si="7"/>
        <v/>
      </c>
      <c r="AC2818" s="32" t="str">
        <f t="shared" ref="AC2818:AG2818" si="2873">IF(J2818&lt;&gt;"", IF(AND($P2818=FALSE, $A2818=FALSE), -J2818, IF(AND($P2818=FALSE, $A2818=TRUE), 0, IF($P2818=TRUE, (J2818 / $R2818) * 100 * ($S2818 / 100)-J2818, ))), )</f>
        <v/>
      </c>
      <c r="AD2818" s="32" t="str">
        <f t="shared" si="2873"/>
        <v/>
      </c>
      <c r="AE2818" s="32" t="str">
        <f t="shared" si="2873"/>
        <v/>
      </c>
      <c r="AF2818" s="32" t="str">
        <f t="shared" si="2873"/>
        <v/>
      </c>
      <c r="AG2818" s="32" t="str">
        <f t="shared" si="2873"/>
        <v/>
      </c>
      <c r="AH2818" s="33"/>
    </row>
    <row r="2819" hidden="1" outlineLevel="3">
      <c r="A2819" s="95" t="b">
        <v>0</v>
      </c>
      <c r="B2819" s="96"/>
      <c r="C2819" s="18"/>
      <c r="D2819" s="107"/>
      <c r="E2819" s="108"/>
      <c r="F2819" s="109"/>
      <c r="G2819" s="97"/>
      <c r="H2819" s="97"/>
      <c r="I2819" s="97"/>
      <c r="J2819" s="98"/>
      <c r="K2819" s="99"/>
      <c r="L2819" s="98"/>
      <c r="M2819" s="99"/>
      <c r="N2819" s="99"/>
      <c r="O2819" s="18"/>
      <c r="P2819" s="100" t="b">
        <v>0</v>
      </c>
      <c r="Q2819" s="18"/>
      <c r="R2819" s="101" t="str">
        <f t="shared" si="2792"/>
        <v/>
      </c>
      <c r="S2819" s="32"/>
      <c r="T2819" s="102" t="str">
        <f t="shared" si="2793"/>
        <v/>
      </c>
      <c r="U2819" s="18"/>
      <c r="V2819" s="112" t="s">
        <v>1042</v>
      </c>
      <c r="W2819" s="104" t="str">
        <f t="shared" si="2828"/>
        <v>/</v>
      </c>
      <c r="X2819" s="111" t="s">
        <v>559</v>
      </c>
      <c r="Y2819" s="106"/>
      <c r="Z2819" s="26" t="str">
        <f t="shared" si="5"/>
        <v/>
      </c>
      <c r="AA2819" s="26" t="str">
        <f t="shared" si="6"/>
        <v/>
      </c>
      <c r="AB2819" s="32" t="str">
        <f t="shared" si="7"/>
        <v/>
      </c>
      <c r="AC2819" s="32" t="str">
        <f t="shared" ref="AC2819:AG2819" si="2874">IF(J2819&lt;&gt;"", IF(AND($P2819=FALSE, $A2819=FALSE), -J2819, IF(AND($P2819=FALSE, $A2819=TRUE), 0, IF($P2819=TRUE, (J2819 / $R2819) * 100 * ($S2819 / 100)-J2819, ))), )</f>
        <v/>
      </c>
      <c r="AD2819" s="32" t="str">
        <f t="shared" si="2874"/>
        <v/>
      </c>
      <c r="AE2819" s="32" t="str">
        <f t="shared" si="2874"/>
        <v/>
      </c>
      <c r="AF2819" s="32" t="str">
        <f t="shared" si="2874"/>
        <v/>
      </c>
      <c r="AG2819" s="32" t="str">
        <f t="shared" si="2874"/>
        <v/>
      </c>
      <c r="AH2819" s="33"/>
    </row>
    <row r="2820" hidden="1" outlineLevel="3">
      <c r="A2820" s="95" t="b">
        <v>0</v>
      </c>
      <c r="B2820" s="96"/>
      <c r="C2820" s="18"/>
      <c r="D2820" s="107"/>
      <c r="E2820" s="108"/>
      <c r="F2820" s="109"/>
      <c r="G2820" s="97"/>
      <c r="H2820" s="97"/>
      <c r="I2820" s="97"/>
      <c r="J2820" s="98"/>
      <c r="K2820" s="99"/>
      <c r="L2820" s="98"/>
      <c r="M2820" s="99"/>
      <c r="N2820" s="99"/>
      <c r="O2820" s="18"/>
      <c r="P2820" s="100" t="b">
        <v>0</v>
      </c>
      <c r="Q2820" s="18"/>
      <c r="R2820" s="101" t="str">
        <f t="shared" si="2792"/>
        <v/>
      </c>
      <c r="S2820" s="32"/>
      <c r="T2820" s="102" t="str">
        <f t="shared" si="2793"/>
        <v/>
      </c>
      <c r="U2820" s="18"/>
      <c r="V2820" s="75" t="s">
        <v>29</v>
      </c>
      <c r="W2820" s="104" t="str">
        <f t="shared" si="2828"/>
        <v>/</v>
      </c>
      <c r="X2820" s="111" t="s">
        <v>1717</v>
      </c>
      <c r="Y2820" s="106"/>
      <c r="Z2820" s="26" t="str">
        <f t="shared" si="5"/>
        <v/>
      </c>
      <c r="AA2820" s="26" t="str">
        <f t="shared" si="6"/>
        <v/>
      </c>
      <c r="AB2820" s="32" t="str">
        <f t="shared" si="7"/>
        <v/>
      </c>
      <c r="AC2820" s="32" t="str">
        <f t="shared" ref="AC2820:AG2820" si="2875">IF(J2820&lt;&gt;"", IF(AND($P2820=FALSE, $A2820=FALSE), -J2820, IF(AND($P2820=FALSE, $A2820=TRUE), 0, IF($P2820=TRUE, (J2820 / $R2820) * 100 * ($S2820 / 100)-J2820, ))), )</f>
        <v/>
      </c>
      <c r="AD2820" s="32" t="str">
        <f t="shared" si="2875"/>
        <v/>
      </c>
      <c r="AE2820" s="32" t="str">
        <f t="shared" si="2875"/>
        <v/>
      </c>
      <c r="AF2820" s="32" t="str">
        <f t="shared" si="2875"/>
        <v/>
      </c>
      <c r="AG2820" s="32" t="str">
        <f t="shared" si="2875"/>
        <v/>
      </c>
      <c r="AH2820" s="33"/>
    </row>
    <row r="2821" hidden="1" outlineLevel="3">
      <c r="A2821" s="95" t="b">
        <v>0</v>
      </c>
      <c r="B2821" s="96"/>
      <c r="C2821" s="18"/>
      <c r="D2821" s="107"/>
      <c r="E2821" s="108"/>
      <c r="F2821" s="109"/>
      <c r="G2821" s="97"/>
      <c r="H2821" s="97"/>
      <c r="I2821" s="97"/>
      <c r="J2821" s="98"/>
      <c r="K2821" s="99"/>
      <c r="L2821" s="98"/>
      <c r="M2821" s="99"/>
      <c r="N2821" s="99"/>
      <c r="O2821" s="18"/>
      <c r="P2821" s="100" t="b">
        <v>0</v>
      </c>
      <c r="Q2821" s="18"/>
      <c r="R2821" s="101" t="str">
        <f t="shared" si="2792"/>
        <v/>
      </c>
      <c r="S2821" s="32"/>
      <c r="T2821" s="102" t="str">
        <f t="shared" si="2793"/>
        <v/>
      </c>
      <c r="U2821" s="18"/>
      <c r="V2821" s="75" t="s">
        <v>29</v>
      </c>
      <c r="W2821" s="104" t="str">
        <f t="shared" si="2828"/>
        <v>/</v>
      </c>
      <c r="X2821" s="111" t="s">
        <v>1718</v>
      </c>
      <c r="Y2821" s="106"/>
      <c r="Z2821" s="26" t="str">
        <f t="shared" si="5"/>
        <v/>
      </c>
      <c r="AA2821" s="26" t="str">
        <f t="shared" si="6"/>
        <v/>
      </c>
      <c r="AB2821" s="32" t="str">
        <f t="shared" si="7"/>
        <v/>
      </c>
      <c r="AC2821" s="32" t="str">
        <f t="shared" ref="AC2821:AG2821" si="2876">IF(J2821&lt;&gt;"", IF(AND($P2821=FALSE, $A2821=FALSE), -J2821, IF(AND($P2821=FALSE, $A2821=TRUE), 0, IF($P2821=TRUE, (J2821 / $R2821) * 100 * ($S2821 / 100)-J2821, ))), )</f>
        <v/>
      </c>
      <c r="AD2821" s="32" t="str">
        <f t="shared" si="2876"/>
        <v/>
      </c>
      <c r="AE2821" s="32" t="str">
        <f t="shared" si="2876"/>
        <v/>
      </c>
      <c r="AF2821" s="32" t="str">
        <f t="shared" si="2876"/>
        <v/>
      </c>
      <c r="AG2821" s="32" t="str">
        <f t="shared" si="2876"/>
        <v/>
      </c>
      <c r="AH2821" s="33"/>
    </row>
    <row r="2822" hidden="1" outlineLevel="2" collapsed="1">
      <c r="A2822" s="95" t="b">
        <v>0</v>
      </c>
      <c r="B2822" s="96"/>
      <c r="C2822" s="18"/>
      <c r="D2822" s="42">
        <v>45589.0</v>
      </c>
      <c r="E2822" s="20" t="s">
        <v>24</v>
      </c>
      <c r="F2822" s="53" t="s">
        <v>1715</v>
      </c>
      <c r="G2822" s="97">
        <v>1.0</v>
      </c>
      <c r="H2822" s="97"/>
      <c r="I2822" s="97">
        <v>3.0</v>
      </c>
      <c r="J2822" s="98"/>
      <c r="K2822" s="99"/>
      <c r="L2822" s="98"/>
      <c r="M2822" s="99"/>
      <c r="N2822" s="99"/>
      <c r="O2822" s="18"/>
      <c r="P2822" s="100" t="b">
        <v>0</v>
      </c>
      <c r="Q2822" s="18"/>
      <c r="R2822" s="101">
        <f t="shared" si="2792"/>
        <v>4</v>
      </c>
      <c r="S2822" s="32">
        <v>8.64</v>
      </c>
      <c r="T2822" s="102" t="str">
        <f t="shared" si="2793"/>
        <v>+116</v>
      </c>
      <c r="U2822" s="18"/>
      <c r="V2822" s="103" t="str">
        <f>IF(ISBLANK($D2822), "0",)</f>
        <v/>
      </c>
      <c r="W2822" s="104" t="str">
        <f t="shared" si="2828"/>
        <v/>
      </c>
      <c r="X2822" s="105"/>
      <c r="Y2822" s="106"/>
      <c r="Z2822" s="26">
        <f t="shared" si="5"/>
        <v>-1</v>
      </c>
      <c r="AA2822" s="26">
        <f t="shared" si="6"/>
        <v>-3</v>
      </c>
      <c r="AB2822" s="32" t="str">
        <f t="shared" si="7"/>
        <v/>
      </c>
      <c r="AC2822" s="32" t="str">
        <f t="shared" ref="AC2822:AG2822" si="2877">IF(J2822&lt;&gt;"", IF(AND($P2822=FALSE, $A2822=FALSE), -J2822, IF(AND($P2822=FALSE, $A2822=TRUE), 0, IF($P2822=TRUE, (J2822 / $R2822) * 100 * ($S2822 / 100)-J2822, ))), )</f>
        <v/>
      </c>
      <c r="AD2822" s="32" t="str">
        <f t="shared" si="2877"/>
        <v/>
      </c>
      <c r="AE2822" s="32" t="str">
        <f t="shared" si="2877"/>
        <v/>
      </c>
      <c r="AF2822" s="32" t="str">
        <f t="shared" si="2877"/>
        <v/>
      </c>
      <c r="AG2822" s="32" t="str">
        <f t="shared" si="2877"/>
        <v/>
      </c>
      <c r="AH2822" s="33"/>
    </row>
    <row r="2823" hidden="1" outlineLevel="3">
      <c r="A2823" s="95" t="b">
        <v>0</v>
      </c>
      <c r="B2823" s="96"/>
      <c r="C2823" s="18"/>
      <c r="D2823" s="107"/>
      <c r="E2823" s="108"/>
      <c r="F2823" s="109"/>
      <c r="G2823" s="97"/>
      <c r="H2823" s="97"/>
      <c r="I2823" s="97"/>
      <c r="J2823" s="98"/>
      <c r="K2823" s="99"/>
      <c r="L2823" s="98"/>
      <c r="M2823" s="99"/>
      <c r="N2823" s="99"/>
      <c r="O2823" s="18"/>
      <c r="P2823" s="100" t="b">
        <v>0</v>
      </c>
      <c r="Q2823" s="18"/>
      <c r="R2823" s="101" t="str">
        <f t="shared" si="2792"/>
        <v/>
      </c>
      <c r="S2823" s="32"/>
      <c r="T2823" s="102" t="str">
        <f t="shared" si="2793"/>
        <v/>
      </c>
      <c r="U2823" s="18"/>
      <c r="V2823" s="113">
        <v>2.0</v>
      </c>
      <c r="W2823" s="104" t="str">
        <f t="shared" si="2828"/>
        <v>/</v>
      </c>
      <c r="X2823" s="111" t="s">
        <v>1719</v>
      </c>
      <c r="Y2823" s="106"/>
      <c r="Z2823" s="26" t="str">
        <f t="shared" si="5"/>
        <v/>
      </c>
      <c r="AA2823" s="26" t="str">
        <f t="shared" si="6"/>
        <v/>
      </c>
      <c r="AB2823" s="32" t="str">
        <f t="shared" si="7"/>
        <v/>
      </c>
      <c r="AC2823" s="32" t="str">
        <f t="shared" ref="AC2823:AG2823" si="2878">IF(J2823&lt;&gt;"", IF(AND($P2823=FALSE, $A2823=FALSE), -J2823, IF(AND($P2823=FALSE, $A2823=TRUE), 0, IF($P2823=TRUE, (J2823 / $R2823) * 100 * ($S2823 / 100)-J2823, ))), )</f>
        <v/>
      </c>
      <c r="AD2823" s="32" t="str">
        <f t="shared" si="2878"/>
        <v/>
      </c>
      <c r="AE2823" s="32" t="str">
        <f t="shared" si="2878"/>
        <v/>
      </c>
      <c r="AF2823" s="32" t="str">
        <f t="shared" si="2878"/>
        <v/>
      </c>
      <c r="AG2823" s="32" t="str">
        <f t="shared" si="2878"/>
        <v/>
      </c>
      <c r="AH2823" s="33"/>
    </row>
    <row r="2824" hidden="1" outlineLevel="2">
      <c r="A2824" s="95" t="b">
        <v>0</v>
      </c>
      <c r="B2824" s="96"/>
      <c r="C2824" s="18"/>
      <c r="D2824" s="42">
        <v>45589.0</v>
      </c>
      <c r="E2824" s="20" t="s">
        <v>24</v>
      </c>
      <c r="F2824" s="53" t="s">
        <v>1715</v>
      </c>
      <c r="G2824" s="97">
        <v>5.0</v>
      </c>
      <c r="H2824" s="97"/>
      <c r="I2824" s="97">
        <v>5.0</v>
      </c>
      <c r="J2824" s="98"/>
      <c r="K2824" s="99"/>
      <c r="L2824" s="98"/>
      <c r="M2824" s="99"/>
      <c r="N2824" s="99"/>
      <c r="O2824" s="18"/>
      <c r="P2824" s="100" t="b">
        <v>0</v>
      </c>
      <c r="Q2824" s="18"/>
      <c r="R2824" s="101">
        <f t="shared" si="2792"/>
        <v>10</v>
      </c>
      <c r="S2824" s="32">
        <v>292.12</v>
      </c>
      <c r="T2824" s="102" t="str">
        <f t="shared" si="2793"/>
        <v>+2821</v>
      </c>
      <c r="U2824" s="18"/>
      <c r="V2824" s="103" t="str">
        <f>IF(ISBLANK($D2824), "0",)</f>
        <v/>
      </c>
      <c r="W2824" s="104" t="str">
        <f t="shared" si="2828"/>
        <v/>
      </c>
      <c r="X2824" s="105"/>
      <c r="Y2824" s="106"/>
      <c r="Z2824" s="26">
        <f t="shared" si="5"/>
        <v>-5</v>
      </c>
      <c r="AA2824" s="26">
        <f t="shared" si="6"/>
        <v>-5</v>
      </c>
      <c r="AB2824" s="32" t="str">
        <f t="shared" si="7"/>
        <v/>
      </c>
      <c r="AC2824" s="32" t="str">
        <f t="shared" ref="AC2824:AG2824" si="2879">IF(J2824&lt;&gt;"", IF(AND($P2824=FALSE, $A2824=FALSE), -J2824, IF(AND($P2824=FALSE, $A2824=TRUE), 0, IF($P2824=TRUE, (J2824 / $R2824) * 100 * ($S2824 / 100)-J2824, ))), )</f>
        <v/>
      </c>
      <c r="AD2824" s="32" t="str">
        <f t="shared" si="2879"/>
        <v/>
      </c>
      <c r="AE2824" s="32" t="str">
        <f t="shared" si="2879"/>
        <v/>
      </c>
      <c r="AF2824" s="32" t="str">
        <f t="shared" si="2879"/>
        <v/>
      </c>
      <c r="AG2824" s="32" t="str">
        <f t="shared" si="2879"/>
        <v/>
      </c>
      <c r="AH2824" s="33"/>
    </row>
    <row r="2825" hidden="1" outlineLevel="3">
      <c r="A2825" s="95" t="b">
        <v>0</v>
      </c>
      <c r="B2825" s="96"/>
      <c r="C2825" s="18"/>
      <c r="D2825" s="107"/>
      <c r="E2825" s="108"/>
      <c r="F2825" s="109"/>
      <c r="G2825" s="97"/>
      <c r="H2825" s="97"/>
      <c r="I2825" s="97"/>
      <c r="J2825" s="98"/>
      <c r="K2825" s="99"/>
      <c r="L2825" s="98"/>
      <c r="M2825" s="99"/>
      <c r="N2825" s="99"/>
      <c r="O2825" s="18"/>
      <c r="P2825" s="100" t="b">
        <v>0</v>
      </c>
      <c r="Q2825" s="18"/>
      <c r="R2825" s="101" t="str">
        <f t="shared" si="2792"/>
        <v/>
      </c>
      <c r="S2825" s="32"/>
      <c r="T2825" s="102" t="str">
        <f t="shared" si="2793"/>
        <v/>
      </c>
      <c r="U2825" s="18"/>
      <c r="V2825" s="75" t="s">
        <v>29</v>
      </c>
      <c r="W2825" s="104" t="str">
        <f t="shared" si="2828"/>
        <v>/</v>
      </c>
      <c r="X2825" s="111" t="s">
        <v>1093</v>
      </c>
      <c r="Y2825" s="106"/>
      <c r="Z2825" s="26" t="str">
        <f t="shared" si="5"/>
        <v/>
      </c>
      <c r="AA2825" s="26" t="str">
        <f t="shared" si="6"/>
        <v/>
      </c>
      <c r="AB2825" s="32" t="str">
        <f t="shared" si="7"/>
        <v/>
      </c>
      <c r="AC2825" s="32" t="str">
        <f t="shared" ref="AC2825:AG2825" si="2880">IF(J2825&lt;&gt;"", IF(AND($P2825=FALSE, $A2825=FALSE), -J2825, IF(AND($P2825=FALSE, $A2825=TRUE), 0, IF($P2825=TRUE, (J2825 / $R2825) * 100 * ($S2825 / 100)-J2825, ))), )</f>
        <v/>
      </c>
      <c r="AD2825" s="32" t="str">
        <f t="shared" si="2880"/>
        <v/>
      </c>
      <c r="AE2825" s="32" t="str">
        <f t="shared" si="2880"/>
        <v/>
      </c>
      <c r="AF2825" s="32" t="str">
        <f t="shared" si="2880"/>
        <v/>
      </c>
      <c r="AG2825" s="32" t="str">
        <f t="shared" si="2880"/>
        <v/>
      </c>
      <c r="AH2825" s="33"/>
    </row>
    <row r="2826" hidden="1" outlineLevel="3">
      <c r="A2826" s="95" t="b">
        <v>0</v>
      </c>
      <c r="B2826" s="96"/>
      <c r="C2826" s="18"/>
      <c r="D2826" s="107"/>
      <c r="E2826" s="108"/>
      <c r="F2826" s="109"/>
      <c r="G2826" s="97"/>
      <c r="H2826" s="97"/>
      <c r="I2826" s="97"/>
      <c r="J2826" s="98"/>
      <c r="K2826" s="99"/>
      <c r="L2826" s="98"/>
      <c r="M2826" s="99"/>
      <c r="N2826" s="99"/>
      <c r="O2826" s="18"/>
      <c r="P2826" s="100" t="b">
        <v>0</v>
      </c>
      <c r="Q2826" s="18"/>
      <c r="R2826" s="101" t="str">
        <f t="shared" si="2792"/>
        <v/>
      </c>
      <c r="S2826" s="32"/>
      <c r="T2826" s="102" t="str">
        <f t="shared" si="2793"/>
        <v/>
      </c>
      <c r="U2826" s="18"/>
      <c r="V2826" s="103" t="str">
        <f>IF(ISBLANK($D2826), "0",)</f>
        <v>0</v>
      </c>
      <c r="W2826" s="104" t="str">
        <f t="shared" si="2828"/>
        <v>/</v>
      </c>
      <c r="X2826" s="111" t="s">
        <v>778</v>
      </c>
      <c r="Y2826" s="106"/>
      <c r="Z2826" s="26" t="str">
        <f t="shared" si="5"/>
        <v/>
      </c>
      <c r="AA2826" s="26" t="str">
        <f t="shared" si="6"/>
        <v/>
      </c>
      <c r="AB2826" s="32" t="str">
        <f t="shared" si="7"/>
        <v/>
      </c>
      <c r="AC2826" s="32" t="str">
        <f t="shared" ref="AC2826:AG2826" si="2881">IF(J2826&lt;&gt;"", IF(AND($P2826=FALSE, $A2826=FALSE), -J2826, IF(AND($P2826=FALSE, $A2826=TRUE), 0, IF($P2826=TRUE, (J2826 / $R2826) * 100 * ($S2826 / 100)-J2826, ))), )</f>
        <v/>
      </c>
      <c r="AD2826" s="32" t="str">
        <f t="shared" si="2881"/>
        <v/>
      </c>
      <c r="AE2826" s="32" t="str">
        <f t="shared" si="2881"/>
        <v/>
      </c>
      <c r="AF2826" s="32" t="str">
        <f t="shared" si="2881"/>
        <v/>
      </c>
      <c r="AG2826" s="32" t="str">
        <f t="shared" si="2881"/>
        <v/>
      </c>
      <c r="AH2826" s="33"/>
    </row>
    <row r="2827" hidden="1" outlineLevel="3">
      <c r="A2827" s="95" t="b">
        <v>0</v>
      </c>
      <c r="B2827" s="96"/>
      <c r="C2827" s="18"/>
      <c r="D2827" s="107"/>
      <c r="E2827" s="108"/>
      <c r="F2827" s="109"/>
      <c r="G2827" s="97"/>
      <c r="H2827" s="97"/>
      <c r="I2827" s="97"/>
      <c r="J2827" s="98"/>
      <c r="K2827" s="99"/>
      <c r="L2827" s="98"/>
      <c r="M2827" s="99"/>
      <c r="N2827" s="99"/>
      <c r="O2827" s="18"/>
      <c r="P2827" s="100" t="b">
        <v>0</v>
      </c>
      <c r="Q2827" s="18"/>
      <c r="R2827" s="101" t="str">
        <f t="shared" si="2792"/>
        <v/>
      </c>
      <c r="S2827" s="32"/>
      <c r="T2827" s="102" t="str">
        <f t="shared" si="2793"/>
        <v/>
      </c>
      <c r="U2827" s="18"/>
      <c r="V2827" s="75" t="s">
        <v>29</v>
      </c>
      <c r="W2827" s="104" t="str">
        <f t="shared" si="2828"/>
        <v>/</v>
      </c>
      <c r="X2827" s="111" t="s">
        <v>1720</v>
      </c>
      <c r="Y2827" s="106"/>
      <c r="Z2827" s="26" t="str">
        <f t="shared" si="5"/>
        <v/>
      </c>
      <c r="AA2827" s="26" t="str">
        <f t="shared" si="6"/>
        <v/>
      </c>
      <c r="AB2827" s="32" t="str">
        <f t="shared" si="7"/>
        <v/>
      </c>
      <c r="AC2827" s="32" t="str">
        <f t="shared" ref="AC2827:AG2827" si="2882">IF(J2827&lt;&gt;"", IF(AND($P2827=FALSE, $A2827=FALSE), -J2827, IF(AND($P2827=FALSE, $A2827=TRUE), 0, IF($P2827=TRUE, (J2827 / $R2827) * 100 * ($S2827 / 100)-J2827, ))), )</f>
        <v/>
      </c>
      <c r="AD2827" s="32" t="str">
        <f t="shared" si="2882"/>
        <v/>
      </c>
      <c r="AE2827" s="32" t="str">
        <f t="shared" si="2882"/>
        <v/>
      </c>
      <c r="AF2827" s="32" t="str">
        <f t="shared" si="2882"/>
        <v/>
      </c>
      <c r="AG2827" s="32" t="str">
        <f t="shared" si="2882"/>
        <v/>
      </c>
      <c r="AH2827" s="33"/>
    </row>
    <row r="2828" hidden="1" outlineLevel="3">
      <c r="A2828" s="95" t="b">
        <v>0</v>
      </c>
      <c r="B2828" s="96"/>
      <c r="C2828" s="18"/>
      <c r="D2828" s="107"/>
      <c r="E2828" s="108"/>
      <c r="F2828" s="109"/>
      <c r="G2828" s="97"/>
      <c r="H2828" s="97"/>
      <c r="I2828" s="97"/>
      <c r="J2828" s="98"/>
      <c r="K2828" s="99"/>
      <c r="L2828" s="98"/>
      <c r="M2828" s="99"/>
      <c r="N2828" s="99"/>
      <c r="O2828" s="18"/>
      <c r="P2828" s="100" t="b">
        <v>0</v>
      </c>
      <c r="Q2828" s="18"/>
      <c r="R2828" s="101" t="str">
        <f t="shared" si="2792"/>
        <v/>
      </c>
      <c r="S2828" s="32"/>
      <c r="T2828" s="102" t="str">
        <f t="shared" si="2793"/>
        <v/>
      </c>
      <c r="U2828" s="18"/>
      <c r="V2828" s="75" t="s">
        <v>29</v>
      </c>
      <c r="W2828" s="104" t="str">
        <f t="shared" si="2828"/>
        <v>/</v>
      </c>
      <c r="X2828" s="111" t="s">
        <v>890</v>
      </c>
      <c r="Y2828" s="106"/>
      <c r="Z2828" s="26" t="str">
        <f t="shared" si="5"/>
        <v/>
      </c>
      <c r="AA2828" s="26" t="str">
        <f t="shared" si="6"/>
        <v/>
      </c>
      <c r="AB2828" s="32" t="str">
        <f t="shared" si="7"/>
        <v/>
      </c>
      <c r="AC2828" s="32" t="str">
        <f t="shared" ref="AC2828:AG2828" si="2883">IF(J2828&lt;&gt;"", IF(AND($P2828=FALSE, $A2828=FALSE), -J2828, IF(AND($P2828=FALSE, $A2828=TRUE), 0, IF($P2828=TRUE, (J2828 / $R2828) * 100 * ($S2828 / 100)-J2828, ))), )</f>
        <v/>
      </c>
      <c r="AD2828" s="32" t="str">
        <f t="shared" si="2883"/>
        <v/>
      </c>
      <c r="AE2828" s="32" t="str">
        <f t="shared" si="2883"/>
        <v/>
      </c>
      <c r="AF2828" s="32" t="str">
        <f t="shared" si="2883"/>
        <v/>
      </c>
      <c r="AG2828" s="32" t="str">
        <f t="shared" si="2883"/>
        <v/>
      </c>
      <c r="AH2828" s="33"/>
    </row>
    <row r="2829" hidden="1" outlineLevel="3">
      <c r="A2829" s="95" t="b">
        <v>0</v>
      </c>
      <c r="B2829" s="96"/>
      <c r="C2829" s="18"/>
      <c r="D2829" s="107"/>
      <c r="E2829" s="108"/>
      <c r="F2829" s="109"/>
      <c r="G2829" s="97"/>
      <c r="H2829" s="97"/>
      <c r="I2829" s="97"/>
      <c r="J2829" s="98"/>
      <c r="K2829" s="99"/>
      <c r="L2829" s="98"/>
      <c r="M2829" s="99"/>
      <c r="N2829" s="99"/>
      <c r="O2829" s="18"/>
      <c r="P2829" s="100" t="b">
        <v>0</v>
      </c>
      <c r="Q2829" s="18"/>
      <c r="R2829" s="101" t="str">
        <f t="shared" si="2792"/>
        <v/>
      </c>
      <c r="S2829" s="32"/>
      <c r="T2829" s="102" t="str">
        <f t="shared" si="2793"/>
        <v/>
      </c>
      <c r="U2829" s="18"/>
      <c r="V2829" s="75" t="s">
        <v>29</v>
      </c>
      <c r="W2829" s="104" t="str">
        <f t="shared" si="2828"/>
        <v>/</v>
      </c>
      <c r="X2829" s="111" t="s">
        <v>1721</v>
      </c>
      <c r="Y2829" s="106"/>
      <c r="Z2829" s="26" t="str">
        <f t="shared" si="5"/>
        <v/>
      </c>
      <c r="AA2829" s="26" t="str">
        <f t="shared" si="6"/>
        <v/>
      </c>
      <c r="AB2829" s="32" t="str">
        <f t="shared" si="7"/>
        <v/>
      </c>
      <c r="AC2829" s="32" t="str">
        <f t="shared" ref="AC2829:AG2829" si="2884">IF(J2829&lt;&gt;"", IF(AND($P2829=FALSE, $A2829=FALSE), -J2829, IF(AND($P2829=FALSE, $A2829=TRUE), 0, IF($P2829=TRUE, (J2829 / $R2829) * 100 * ($S2829 / 100)-J2829, ))), )</f>
        <v/>
      </c>
      <c r="AD2829" s="32" t="str">
        <f t="shared" si="2884"/>
        <v/>
      </c>
      <c r="AE2829" s="32" t="str">
        <f t="shared" si="2884"/>
        <v/>
      </c>
      <c r="AF2829" s="32" t="str">
        <f t="shared" si="2884"/>
        <v/>
      </c>
      <c r="AG2829" s="32" t="str">
        <f t="shared" si="2884"/>
        <v/>
      </c>
      <c r="AH2829" s="33"/>
    </row>
    <row r="2830" hidden="1" outlineLevel="3">
      <c r="A2830" s="95" t="b">
        <v>0</v>
      </c>
      <c r="B2830" s="96"/>
      <c r="C2830" s="18"/>
      <c r="D2830" s="107"/>
      <c r="E2830" s="108"/>
      <c r="F2830" s="109"/>
      <c r="G2830" s="97"/>
      <c r="H2830" s="97"/>
      <c r="I2830" s="97"/>
      <c r="J2830" s="98"/>
      <c r="K2830" s="99"/>
      <c r="L2830" s="98"/>
      <c r="M2830" s="99"/>
      <c r="N2830" s="99"/>
      <c r="O2830" s="18"/>
      <c r="P2830" s="100" t="b">
        <v>0</v>
      </c>
      <c r="Q2830" s="18"/>
      <c r="R2830" s="101" t="str">
        <f t="shared" si="2792"/>
        <v/>
      </c>
      <c r="S2830" s="32"/>
      <c r="T2830" s="102" t="str">
        <f t="shared" si="2793"/>
        <v/>
      </c>
      <c r="U2830" s="18"/>
      <c r="V2830" s="75" t="s">
        <v>29</v>
      </c>
      <c r="W2830" s="104" t="str">
        <f t="shared" si="2828"/>
        <v>/</v>
      </c>
      <c r="X2830" s="111" t="s">
        <v>1635</v>
      </c>
      <c r="Y2830" s="106"/>
      <c r="Z2830" s="26" t="str">
        <f t="shared" si="5"/>
        <v/>
      </c>
      <c r="AA2830" s="26" t="str">
        <f t="shared" si="6"/>
        <v/>
      </c>
      <c r="AB2830" s="32" t="str">
        <f t="shared" si="7"/>
        <v/>
      </c>
      <c r="AC2830" s="32" t="str">
        <f t="shared" ref="AC2830:AG2830" si="2885">IF(J2830&lt;&gt;"", IF(AND($P2830=FALSE, $A2830=FALSE), -J2830, IF(AND($P2830=FALSE, $A2830=TRUE), 0, IF($P2830=TRUE, (J2830 / $R2830) * 100 * ($S2830 / 100)-J2830, ))), )</f>
        <v/>
      </c>
      <c r="AD2830" s="32" t="str">
        <f t="shared" si="2885"/>
        <v/>
      </c>
      <c r="AE2830" s="32" t="str">
        <f t="shared" si="2885"/>
        <v/>
      </c>
      <c r="AF2830" s="32" t="str">
        <f t="shared" si="2885"/>
        <v/>
      </c>
      <c r="AG2830" s="32" t="str">
        <f t="shared" si="2885"/>
        <v/>
      </c>
      <c r="AH2830" s="33"/>
    </row>
    <row r="2831" hidden="1" outlineLevel="3">
      <c r="A2831" s="95" t="b">
        <v>0</v>
      </c>
      <c r="B2831" s="96"/>
      <c r="C2831" s="18"/>
      <c r="D2831" s="107"/>
      <c r="E2831" s="108"/>
      <c r="F2831" s="109"/>
      <c r="G2831" s="97"/>
      <c r="H2831" s="97"/>
      <c r="I2831" s="97"/>
      <c r="J2831" s="98"/>
      <c r="K2831" s="99"/>
      <c r="L2831" s="98"/>
      <c r="M2831" s="99"/>
      <c r="N2831" s="99"/>
      <c r="O2831" s="18"/>
      <c r="P2831" s="100" t="b">
        <v>0</v>
      </c>
      <c r="Q2831" s="18"/>
      <c r="R2831" s="101" t="str">
        <f t="shared" si="2792"/>
        <v/>
      </c>
      <c r="S2831" s="32"/>
      <c r="T2831" s="102" t="str">
        <f t="shared" si="2793"/>
        <v/>
      </c>
      <c r="U2831" s="18"/>
      <c r="V2831" s="113">
        <v>52.0</v>
      </c>
      <c r="W2831" s="104" t="str">
        <f t="shared" si="2828"/>
        <v>/</v>
      </c>
      <c r="X2831" s="111" t="s">
        <v>1722</v>
      </c>
      <c r="Y2831" s="106"/>
      <c r="Z2831" s="26" t="str">
        <f t="shared" si="5"/>
        <v/>
      </c>
      <c r="AA2831" s="26" t="str">
        <f t="shared" si="6"/>
        <v/>
      </c>
      <c r="AB2831" s="32" t="str">
        <f t="shared" si="7"/>
        <v/>
      </c>
      <c r="AC2831" s="32" t="str">
        <f t="shared" ref="AC2831:AG2831" si="2886">IF(J2831&lt;&gt;"", IF(AND($P2831=FALSE, $A2831=FALSE), -J2831, IF(AND($P2831=FALSE, $A2831=TRUE), 0, IF($P2831=TRUE, (J2831 / $R2831) * 100 * ($S2831 / 100)-J2831, ))), )</f>
        <v/>
      </c>
      <c r="AD2831" s="32" t="str">
        <f t="shared" si="2886"/>
        <v/>
      </c>
      <c r="AE2831" s="32" t="str">
        <f t="shared" si="2886"/>
        <v/>
      </c>
      <c r="AF2831" s="32" t="str">
        <f t="shared" si="2886"/>
        <v/>
      </c>
      <c r="AG2831" s="32" t="str">
        <f t="shared" si="2886"/>
        <v/>
      </c>
      <c r="AH2831" s="33"/>
    </row>
    <row r="2832" hidden="1" outlineLevel="3">
      <c r="A2832" s="95" t="b">
        <v>0</v>
      </c>
      <c r="B2832" s="96"/>
      <c r="C2832" s="18"/>
      <c r="D2832" s="107"/>
      <c r="E2832" s="108"/>
      <c r="F2832" s="109"/>
      <c r="G2832" s="97"/>
      <c r="H2832" s="97"/>
      <c r="I2832" s="97"/>
      <c r="J2832" s="98"/>
      <c r="K2832" s="99"/>
      <c r="L2832" s="98"/>
      <c r="M2832" s="99"/>
      <c r="N2832" s="99"/>
      <c r="O2832" s="18"/>
      <c r="P2832" s="100" t="b">
        <v>0</v>
      </c>
      <c r="Q2832" s="18"/>
      <c r="R2832" s="101" t="str">
        <f t="shared" si="2792"/>
        <v/>
      </c>
      <c r="S2832" s="32"/>
      <c r="T2832" s="102" t="str">
        <f t="shared" si="2793"/>
        <v/>
      </c>
      <c r="U2832" s="18"/>
      <c r="V2832" s="75" t="s">
        <v>29</v>
      </c>
      <c r="W2832" s="104" t="str">
        <f t="shared" si="2828"/>
        <v>/</v>
      </c>
      <c r="X2832" s="111" t="s">
        <v>1723</v>
      </c>
      <c r="Y2832" s="106"/>
      <c r="Z2832" s="26" t="str">
        <f t="shared" si="5"/>
        <v/>
      </c>
      <c r="AA2832" s="26" t="str">
        <f t="shared" si="6"/>
        <v/>
      </c>
      <c r="AB2832" s="32" t="str">
        <f t="shared" si="7"/>
        <v/>
      </c>
      <c r="AC2832" s="32" t="str">
        <f t="shared" ref="AC2832:AG2832" si="2887">IF(J2832&lt;&gt;"", IF(AND($P2832=FALSE, $A2832=FALSE), -J2832, IF(AND($P2832=FALSE, $A2832=TRUE), 0, IF($P2832=TRUE, (J2832 / $R2832) * 100 * ($S2832 / 100)-J2832, ))), )</f>
        <v/>
      </c>
      <c r="AD2832" s="32" t="str">
        <f t="shared" si="2887"/>
        <v/>
      </c>
      <c r="AE2832" s="32" t="str">
        <f t="shared" si="2887"/>
        <v/>
      </c>
      <c r="AF2832" s="32" t="str">
        <f t="shared" si="2887"/>
        <v/>
      </c>
      <c r="AG2832" s="32" t="str">
        <f t="shared" si="2887"/>
        <v/>
      </c>
      <c r="AH2832" s="33"/>
    </row>
    <row r="2833" hidden="1" outlineLevel="3">
      <c r="A2833" s="95" t="b">
        <v>0</v>
      </c>
      <c r="B2833" s="96"/>
      <c r="C2833" s="18"/>
      <c r="D2833" s="107"/>
      <c r="E2833" s="108"/>
      <c r="F2833" s="109"/>
      <c r="G2833" s="97"/>
      <c r="H2833" s="97"/>
      <c r="I2833" s="97"/>
      <c r="J2833" s="98"/>
      <c r="K2833" s="99"/>
      <c r="L2833" s="98"/>
      <c r="M2833" s="99"/>
      <c r="N2833" s="99"/>
      <c r="O2833" s="18"/>
      <c r="P2833" s="100" t="b">
        <v>0</v>
      </c>
      <c r="Q2833" s="18"/>
      <c r="R2833" s="101" t="str">
        <f t="shared" si="2792"/>
        <v/>
      </c>
      <c r="S2833" s="32"/>
      <c r="T2833" s="102" t="str">
        <f t="shared" si="2793"/>
        <v/>
      </c>
      <c r="U2833" s="18"/>
      <c r="V2833" s="75" t="s">
        <v>29</v>
      </c>
      <c r="W2833" s="104" t="str">
        <f t="shared" si="2828"/>
        <v>/</v>
      </c>
      <c r="X2833" s="111" t="s">
        <v>1724</v>
      </c>
      <c r="Y2833" s="106"/>
      <c r="Z2833" s="26" t="str">
        <f t="shared" si="5"/>
        <v/>
      </c>
      <c r="AA2833" s="26" t="str">
        <f t="shared" si="6"/>
        <v/>
      </c>
      <c r="AB2833" s="32" t="str">
        <f t="shared" si="7"/>
        <v/>
      </c>
      <c r="AC2833" s="32" t="str">
        <f t="shared" ref="AC2833:AG2833" si="2888">IF(J2833&lt;&gt;"", IF(AND($P2833=FALSE, $A2833=FALSE), -J2833, IF(AND($P2833=FALSE, $A2833=TRUE), 0, IF($P2833=TRUE, (J2833 / $R2833) * 100 * ($S2833 / 100)-J2833, ))), )</f>
        <v/>
      </c>
      <c r="AD2833" s="32" t="str">
        <f t="shared" si="2888"/>
        <v/>
      </c>
      <c r="AE2833" s="32" t="str">
        <f t="shared" si="2888"/>
        <v/>
      </c>
      <c r="AF2833" s="32" t="str">
        <f t="shared" si="2888"/>
        <v/>
      </c>
      <c r="AG2833" s="32" t="str">
        <f t="shared" si="2888"/>
        <v/>
      </c>
      <c r="AH2833" s="33"/>
    </row>
    <row r="2834" hidden="1" outlineLevel="1" collapsed="1">
      <c r="A2834" s="95" t="b">
        <v>0</v>
      </c>
      <c r="B2834" s="96"/>
      <c r="C2834" s="18"/>
      <c r="D2834" s="42">
        <v>45592.0</v>
      </c>
      <c r="E2834" s="20" t="s">
        <v>24</v>
      </c>
      <c r="F2834" s="53" t="s">
        <v>1715</v>
      </c>
      <c r="G2834" s="97">
        <v>3.0</v>
      </c>
      <c r="H2834" s="97"/>
      <c r="I2834" s="97">
        <v>5.0</v>
      </c>
      <c r="J2834" s="98"/>
      <c r="K2834" s="99"/>
      <c r="L2834" s="98"/>
      <c r="M2834" s="99"/>
      <c r="N2834" s="99"/>
      <c r="O2834" s="18"/>
      <c r="P2834" s="100" t="b">
        <v>0</v>
      </c>
      <c r="Q2834" s="18"/>
      <c r="R2834" s="101">
        <f t="shared" si="2792"/>
        <v>8</v>
      </c>
      <c r="S2834" s="32">
        <v>22.54</v>
      </c>
      <c r="T2834" s="102" t="str">
        <f t="shared" si="2793"/>
        <v>+182</v>
      </c>
      <c r="U2834" s="18"/>
      <c r="V2834" s="103" t="str">
        <f>IF(ISBLANK($D2834), "0",)</f>
        <v/>
      </c>
      <c r="W2834" s="104" t="str">
        <f t="shared" si="2828"/>
        <v/>
      </c>
      <c r="X2834" s="105"/>
      <c r="Y2834" s="106"/>
      <c r="Z2834" s="26">
        <f t="shared" si="5"/>
        <v>-3</v>
      </c>
      <c r="AA2834" s="26">
        <f t="shared" si="6"/>
        <v>-5</v>
      </c>
      <c r="AB2834" s="32" t="str">
        <f t="shared" si="7"/>
        <v/>
      </c>
      <c r="AC2834" s="32" t="str">
        <f t="shared" ref="AC2834:AG2834" si="2889">IF(J2834&lt;&gt;"", IF(AND($P2834=FALSE, $A2834=FALSE), -J2834, IF(AND($P2834=FALSE, $A2834=TRUE), 0, IF($P2834=TRUE, (J2834 / $R2834) * 100 * ($S2834 / 100)-J2834, ))), )</f>
        <v/>
      </c>
      <c r="AD2834" s="32" t="str">
        <f t="shared" si="2889"/>
        <v/>
      </c>
      <c r="AE2834" s="32" t="str">
        <f t="shared" si="2889"/>
        <v/>
      </c>
      <c r="AF2834" s="32" t="str">
        <f t="shared" si="2889"/>
        <v/>
      </c>
      <c r="AG2834" s="32" t="str">
        <f t="shared" si="2889"/>
        <v/>
      </c>
      <c r="AH2834" s="33"/>
    </row>
    <row r="2835" hidden="1" outlineLevel="3">
      <c r="A2835" s="95" t="b">
        <v>0</v>
      </c>
      <c r="B2835" s="96"/>
      <c r="C2835" s="18"/>
      <c r="D2835" s="107"/>
      <c r="E2835" s="108"/>
      <c r="F2835" s="109"/>
      <c r="G2835" s="97"/>
      <c r="H2835" s="97"/>
      <c r="I2835" s="97"/>
      <c r="J2835" s="98"/>
      <c r="K2835" s="99"/>
      <c r="L2835" s="98"/>
      <c r="M2835" s="99"/>
      <c r="N2835" s="99"/>
      <c r="O2835" s="18"/>
      <c r="P2835" s="100" t="b">
        <v>0</v>
      </c>
      <c r="Q2835" s="18"/>
      <c r="R2835" s="101" t="str">
        <f t="shared" si="2792"/>
        <v/>
      </c>
      <c r="S2835" s="32"/>
      <c r="T2835" s="102" t="str">
        <f t="shared" si="2793"/>
        <v/>
      </c>
      <c r="U2835" s="18"/>
      <c r="V2835" s="75">
        <v>34.0</v>
      </c>
      <c r="W2835" s="104" t="str">
        <f t="shared" si="2828"/>
        <v>/</v>
      </c>
      <c r="X2835" s="111" t="s">
        <v>1577</v>
      </c>
      <c r="Y2835" s="106"/>
      <c r="Z2835" s="26" t="str">
        <f t="shared" si="5"/>
        <v/>
      </c>
      <c r="AA2835" s="26" t="str">
        <f t="shared" si="6"/>
        <v/>
      </c>
      <c r="AB2835" s="32" t="str">
        <f t="shared" si="7"/>
        <v/>
      </c>
      <c r="AC2835" s="32" t="str">
        <f t="shared" ref="AC2835:AG2835" si="2890">IF(J2835&lt;&gt;"", IF(AND($P2835=FALSE, $A2835=FALSE), -J2835, IF(AND($P2835=FALSE, $A2835=TRUE), 0, IF($P2835=TRUE, (J2835 / $R2835) * 100 * ($S2835 / 100)-J2835, ))), )</f>
        <v/>
      </c>
      <c r="AD2835" s="32" t="str">
        <f t="shared" si="2890"/>
        <v/>
      </c>
      <c r="AE2835" s="32" t="str">
        <f t="shared" si="2890"/>
        <v/>
      </c>
      <c r="AF2835" s="32" t="str">
        <f t="shared" si="2890"/>
        <v/>
      </c>
      <c r="AG2835" s="32" t="str">
        <f t="shared" si="2890"/>
        <v/>
      </c>
      <c r="AH2835" s="33"/>
    </row>
    <row r="2836" hidden="1" outlineLevel="3">
      <c r="A2836" s="95" t="b">
        <v>0</v>
      </c>
      <c r="B2836" s="96"/>
      <c r="C2836" s="18"/>
      <c r="D2836" s="107"/>
      <c r="E2836" s="108"/>
      <c r="F2836" s="109"/>
      <c r="G2836" s="97"/>
      <c r="H2836" s="97"/>
      <c r="I2836" s="97"/>
      <c r="J2836" s="98"/>
      <c r="K2836" s="99"/>
      <c r="L2836" s="98"/>
      <c r="M2836" s="99"/>
      <c r="N2836" s="99"/>
      <c r="O2836" s="18"/>
      <c r="P2836" s="100" t="b">
        <v>0</v>
      </c>
      <c r="Q2836" s="18"/>
      <c r="R2836" s="101" t="str">
        <f t="shared" si="2792"/>
        <v/>
      </c>
      <c r="S2836" s="32"/>
      <c r="T2836" s="102" t="str">
        <f t="shared" si="2793"/>
        <v/>
      </c>
      <c r="U2836" s="18"/>
      <c r="V2836" s="75" t="s">
        <v>29</v>
      </c>
      <c r="W2836" s="104" t="str">
        <f t="shared" si="2828"/>
        <v>/</v>
      </c>
      <c r="X2836" s="111" t="s">
        <v>1507</v>
      </c>
      <c r="Y2836" s="106"/>
      <c r="Z2836" s="26" t="str">
        <f t="shared" si="5"/>
        <v/>
      </c>
      <c r="AA2836" s="26" t="str">
        <f t="shared" si="6"/>
        <v/>
      </c>
      <c r="AB2836" s="32" t="str">
        <f t="shared" si="7"/>
        <v/>
      </c>
      <c r="AC2836" s="32" t="str">
        <f t="shared" ref="AC2836:AG2836" si="2891">IF(J2836&lt;&gt;"", IF(AND($P2836=FALSE, $A2836=FALSE), -J2836, IF(AND($P2836=FALSE, $A2836=TRUE), 0, IF($P2836=TRUE, (J2836 / $R2836) * 100 * ($S2836 / 100)-J2836, ))), )</f>
        <v/>
      </c>
      <c r="AD2836" s="32" t="str">
        <f t="shared" si="2891"/>
        <v/>
      </c>
      <c r="AE2836" s="32" t="str">
        <f t="shared" si="2891"/>
        <v/>
      </c>
      <c r="AF2836" s="32" t="str">
        <f t="shared" si="2891"/>
        <v/>
      </c>
      <c r="AG2836" s="32" t="str">
        <f t="shared" si="2891"/>
        <v/>
      </c>
      <c r="AH2836" s="33"/>
    </row>
    <row r="2837" hidden="1" outlineLevel="3">
      <c r="A2837" s="95" t="b">
        <v>0</v>
      </c>
      <c r="B2837" s="96"/>
      <c r="C2837" s="18"/>
      <c r="D2837" s="107"/>
      <c r="E2837" s="108"/>
      <c r="F2837" s="109"/>
      <c r="G2837" s="97"/>
      <c r="H2837" s="97"/>
      <c r="I2837" s="97"/>
      <c r="J2837" s="98"/>
      <c r="K2837" s="99"/>
      <c r="L2837" s="98"/>
      <c r="M2837" s="99"/>
      <c r="N2837" s="99"/>
      <c r="O2837" s="18"/>
      <c r="P2837" s="100" t="b">
        <v>0</v>
      </c>
      <c r="Q2837" s="18"/>
      <c r="R2837" s="101" t="str">
        <f t="shared" si="2792"/>
        <v/>
      </c>
      <c r="S2837" s="32"/>
      <c r="T2837" s="102" t="str">
        <f t="shared" si="2793"/>
        <v/>
      </c>
      <c r="U2837" s="18"/>
      <c r="V2837" s="113">
        <v>73.0</v>
      </c>
      <c r="W2837" s="104" t="str">
        <f t="shared" si="2828"/>
        <v>/</v>
      </c>
      <c r="X2837" s="111" t="s">
        <v>1725</v>
      </c>
      <c r="Y2837" s="106"/>
      <c r="Z2837" s="26" t="str">
        <f t="shared" si="5"/>
        <v/>
      </c>
      <c r="AA2837" s="26" t="str">
        <f t="shared" si="6"/>
        <v/>
      </c>
      <c r="AB2837" s="32" t="str">
        <f t="shared" si="7"/>
        <v/>
      </c>
      <c r="AC2837" s="32" t="str">
        <f t="shared" ref="AC2837:AG2837" si="2892">IF(J2837&lt;&gt;"", IF(AND($P2837=FALSE, $A2837=FALSE), -J2837, IF(AND($P2837=FALSE, $A2837=TRUE), 0, IF($P2837=TRUE, (J2837 / $R2837) * 100 * ($S2837 / 100)-J2837, ))), )</f>
        <v/>
      </c>
      <c r="AD2837" s="32" t="str">
        <f t="shared" si="2892"/>
        <v/>
      </c>
      <c r="AE2837" s="32" t="str">
        <f t="shared" si="2892"/>
        <v/>
      </c>
      <c r="AF2837" s="32" t="str">
        <f t="shared" si="2892"/>
        <v/>
      </c>
      <c r="AG2837" s="32" t="str">
        <f t="shared" si="2892"/>
        <v/>
      </c>
      <c r="AH2837" s="33"/>
    </row>
    <row r="2838" hidden="1" outlineLevel="2" collapsed="1">
      <c r="A2838" s="95" t="b">
        <v>0</v>
      </c>
      <c r="B2838" s="96"/>
      <c r="C2838" s="18"/>
      <c r="D2838" s="42">
        <v>45592.0</v>
      </c>
      <c r="E2838" s="20" t="s">
        <v>24</v>
      </c>
      <c r="F2838" s="53" t="s">
        <v>1715</v>
      </c>
      <c r="G2838" s="97">
        <v>2.0</v>
      </c>
      <c r="H2838" s="97"/>
      <c r="I2838" s="97">
        <v>4.0</v>
      </c>
      <c r="J2838" s="98"/>
      <c r="K2838" s="99"/>
      <c r="L2838" s="98"/>
      <c r="M2838" s="99"/>
      <c r="N2838" s="99"/>
      <c r="O2838" s="18"/>
      <c r="P2838" s="100" t="b">
        <v>0</v>
      </c>
      <c r="Q2838" s="18"/>
      <c r="R2838" s="101">
        <f t="shared" si="2792"/>
        <v>6</v>
      </c>
      <c r="S2838" s="32">
        <v>19.94</v>
      </c>
      <c r="T2838" s="102" t="str">
        <f t="shared" si="2793"/>
        <v>+232</v>
      </c>
      <c r="U2838" s="18"/>
      <c r="V2838" s="103" t="str">
        <f>IF(ISBLANK($D2838), "0",)</f>
        <v/>
      </c>
      <c r="W2838" s="104" t="str">
        <f t="shared" si="2828"/>
        <v/>
      </c>
      <c r="X2838" s="105"/>
      <c r="Y2838" s="106"/>
      <c r="Z2838" s="26">
        <f t="shared" si="5"/>
        <v>-2</v>
      </c>
      <c r="AA2838" s="26">
        <f t="shared" si="6"/>
        <v>-4</v>
      </c>
      <c r="AB2838" s="32" t="str">
        <f t="shared" si="7"/>
        <v/>
      </c>
      <c r="AC2838" s="32" t="str">
        <f t="shared" ref="AC2838:AG2838" si="2893">IF(J2838&lt;&gt;"", IF(AND($P2838=FALSE, $A2838=FALSE), -J2838, IF(AND($P2838=FALSE, $A2838=TRUE), 0, IF($P2838=TRUE, (J2838 / $R2838) * 100 * ($S2838 / 100)-J2838, ))), )</f>
        <v/>
      </c>
      <c r="AD2838" s="32" t="str">
        <f t="shared" si="2893"/>
        <v/>
      </c>
      <c r="AE2838" s="32" t="str">
        <f t="shared" si="2893"/>
        <v/>
      </c>
      <c r="AF2838" s="32" t="str">
        <f t="shared" si="2893"/>
        <v/>
      </c>
      <c r="AG2838" s="32" t="str">
        <f t="shared" si="2893"/>
        <v/>
      </c>
      <c r="AH2838" s="33"/>
    </row>
    <row r="2839" hidden="1" outlineLevel="3">
      <c r="A2839" s="95" t="b">
        <v>0</v>
      </c>
      <c r="B2839" s="96"/>
      <c r="C2839" s="18"/>
      <c r="D2839" s="107"/>
      <c r="E2839" s="108"/>
      <c r="F2839" s="109"/>
      <c r="G2839" s="97"/>
      <c r="H2839" s="97"/>
      <c r="I2839" s="97"/>
      <c r="J2839" s="98"/>
      <c r="K2839" s="99"/>
      <c r="L2839" s="98"/>
      <c r="M2839" s="99"/>
      <c r="N2839" s="99"/>
      <c r="O2839" s="18"/>
      <c r="P2839" s="100" t="b">
        <v>0</v>
      </c>
      <c r="Q2839" s="18"/>
      <c r="R2839" s="101" t="str">
        <f t="shared" si="2792"/>
        <v/>
      </c>
      <c r="S2839" s="32"/>
      <c r="T2839" s="102" t="str">
        <f t="shared" si="2793"/>
        <v/>
      </c>
      <c r="U2839" s="18"/>
      <c r="V2839" s="113">
        <v>4.0</v>
      </c>
      <c r="W2839" s="104" t="str">
        <f t="shared" si="2828"/>
        <v>/</v>
      </c>
      <c r="X2839" s="111" t="s">
        <v>1652</v>
      </c>
      <c r="Y2839" s="106"/>
      <c r="Z2839" s="26" t="str">
        <f t="shared" si="5"/>
        <v/>
      </c>
      <c r="AA2839" s="26" t="str">
        <f t="shared" si="6"/>
        <v/>
      </c>
      <c r="AB2839" s="32" t="str">
        <f t="shared" si="7"/>
        <v/>
      </c>
      <c r="AC2839" s="32" t="str">
        <f t="shared" ref="AC2839:AG2839" si="2894">IF(J2839&lt;&gt;"", IF(AND($P2839=FALSE, $A2839=FALSE), -J2839, IF(AND($P2839=FALSE, $A2839=TRUE), 0, IF($P2839=TRUE, (J2839 / $R2839) * 100 * ($S2839 / 100)-J2839, ))), )</f>
        <v/>
      </c>
      <c r="AD2839" s="32" t="str">
        <f t="shared" si="2894"/>
        <v/>
      </c>
      <c r="AE2839" s="32" t="str">
        <f t="shared" si="2894"/>
        <v/>
      </c>
      <c r="AF2839" s="32" t="str">
        <f t="shared" si="2894"/>
        <v/>
      </c>
      <c r="AG2839" s="32" t="str">
        <f t="shared" si="2894"/>
        <v/>
      </c>
      <c r="AH2839" s="33"/>
    </row>
    <row r="2840" hidden="1" outlineLevel="3">
      <c r="A2840" s="95" t="b">
        <v>0</v>
      </c>
      <c r="B2840" s="96"/>
      <c r="C2840" s="18"/>
      <c r="D2840" s="107"/>
      <c r="E2840" s="108"/>
      <c r="F2840" s="109"/>
      <c r="G2840" s="97"/>
      <c r="H2840" s="97"/>
      <c r="I2840" s="97"/>
      <c r="J2840" s="98"/>
      <c r="K2840" s="99"/>
      <c r="L2840" s="98"/>
      <c r="M2840" s="99"/>
      <c r="N2840" s="99"/>
      <c r="O2840" s="18"/>
      <c r="P2840" s="100" t="b">
        <v>0</v>
      </c>
      <c r="Q2840" s="18"/>
      <c r="R2840" s="101" t="str">
        <f t="shared" si="2792"/>
        <v/>
      </c>
      <c r="S2840" s="32"/>
      <c r="T2840" s="102" t="str">
        <f t="shared" si="2793"/>
        <v/>
      </c>
      <c r="U2840" s="18"/>
      <c r="V2840" s="75" t="s">
        <v>29</v>
      </c>
      <c r="W2840" s="104" t="str">
        <f t="shared" si="2828"/>
        <v>/</v>
      </c>
      <c r="X2840" s="111" t="s">
        <v>1522</v>
      </c>
      <c r="Y2840" s="106"/>
      <c r="Z2840" s="26" t="str">
        <f t="shared" si="5"/>
        <v/>
      </c>
      <c r="AA2840" s="26" t="str">
        <f t="shared" si="6"/>
        <v/>
      </c>
      <c r="AB2840" s="32" t="str">
        <f t="shared" si="7"/>
        <v/>
      </c>
      <c r="AC2840" s="32" t="str">
        <f t="shared" ref="AC2840:AG2840" si="2895">IF(J2840&lt;&gt;"", IF(AND($P2840=FALSE, $A2840=FALSE), -J2840, IF(AND($P2840=FALSE, $A2840=TRUE), 0, IF($P2840=TRUE, (J2840 / $R2840) * 100 * ($S2840 / 100)-J2840, ))), )</f>
        <v/>
      </c>
      <c r="AD2840" s="32" t="str">
        <f t="shared" si="2895"/>
        <v/>
      </c>
      <c r="AE2840" s="32" t="str">
        <f t="shared" si="2895"/>
        <v/>
      </c>
      <c r="AF2840" s="32" t="str">
        <f t="shared" si="2895"/>
        <v/>
      </c>
      <c r="AG2840" s="32" t="str">
        <f t="shared" si="2895"/>
        <v/>
      </c>
      <c r="AH2840" s="33"/>
    </row>
    <row r="2841" hidden="1" outlineLevel="3">
      <c r="A2841" s="95" t="b">
        <v>0</v>
      </c>
      <c r="B2841" s="96"/>
      <c r="C2841" s="18"/>
      <c r="D2841" s="107"/>
      <c r="E2841" s="108"/>
      <c r="F2841" s="109"/>
      <c r="G2841" s="97"/>
      <c r="H2841" s="97"/>
      <c r="I2841" s="97"/>
      <c r="J2841" s="98"/>
      <c r="K2841" s="99"/>
      <c r="L2841" s="98"/>
      <c r="M2841" s="99"/>
      <c r="N2841" s="99"/>
      <c r="O2841" s="18"/>
      <c r="P2841" s="100" t="b">
        <v>0</v>
      </c>
      <c r="Q2841" s="18"/>
      <c r="R2841" s="101" t="str">
        <f t="shared" si="2792"/>
        <v/>
      </c>
      <c r="S2841" s="32"/>
      <c r="T2841" s="102" t="str">
        <f t="shared" si="2793"/>
        <v/>
      </c>
      <c r="U2841" s="18"/>
      <c r="V2841" s="113">
        <v>1.0</v>
      </c>
      <c r="W2841" s="104" t="str">
        <f t="shared" si="2828"/>
        <v>/</v>
      </c>
      <c r="X2841" s="111" t="s">
        <v>1604</v>
      </c>
      <c r="Y2841" s="106"/>
      <c r="Z2841" s="26" t="str">
        <f t="shared" si="5"/>
        <v/>
      </c>
      <c r="AA2841" s="26" t="str">
        <f t="shared" si="6"/>
        <v/>
      </c>
      <c r="AB2841" s="32" t="str">
        <f t="shared" si="7"/>
        <v/>
      </c>
      <c r="AC2841" s="32" t="str">
        <f t="shared" ref="AC2841:AG2841" si="2896">IF(J2841&lt;&gt;"", IF(AND($P2841=FALSE, $A2841=FALSE), -J2841, IF(AND($P2841=FALSE, $A2841=TRUE), 0, IF($P2841=TRUE, (J2841 / $R2841) * 100 * ($S2841 / 100)-J2841, ))), )</f>
        <v/>
      </c>
      <c r="AD2841" s="32" t="str">
        <f t="shared" si="2896"/>
        <v/>
      </c>
      <c r="AE2841" s="32" t="str">
        <f t="shared" si="2896"/>
        <v/>
      </c>
      <c r="AF2841" s="32" t="str">
        <f t="shared" si="2896"/>
        <v/>
      </c>
      <c r="AG2841" s="32" t="str">
        <f t="shared" si="2896"/>
        <v/>
      </c>
      <c r="AH2841" s="33"/>
    </row>
    <row r="2842" hidden="1" outlineLevel="2" collapsed="1">
      <c r="A2842" s="95" t="b">
        <v>0</v>
      </c>
      <c r="B2842" s="96"/>
      <c r="C2842" s="18"/>
      <c r="D2842" s="42">
        <v>45592.0</v>
      </c>
      <c r="E2842" s="20" t="s">
        <v>24</v>
      </c>
      <c r="F2842" s="53" t="s">
        <v>1715</v>
      </c>
      <c r="G2842" s="97">
        <v>0.01</v>
      </c>
      <c r="H2842" s="97"/>
      <c r="I2842" s="97">
        <v>0.01</v>
      </c>
      <c r="J2842" s="98"/>
      <c r="K2842" s="99"/>
      <c r="L2842" s="98"/>
      <c r="M2842" s="99"/>
      <c r="N2842" s="99"/>
      <c r="O2842" s="18"/>
      <c r="P2842" s="100" t="b">
        <v>0</v>
      </c>
      <c r="Q2842" s="18"/>
      <c r="R2842" s="101">
        <f t="shared" si="2792"/>
        <v>0.02</v>
      </c>
      <c r="S2842" s="32">
        <v>9.93</v>
      </c>
      <c r="T2842" s="102" t="str">
        <f t="shared" si="2793"/>
        <v>+49550</v>
      </c>
      <c r="U2842" s="18"/>
      <c r="V2842" s="103" t="str">
        <f>IF(ISBLANK($D2842), "0",)</f>
        <v/>
      </c>
      <c r="W2842" s="104" t="str">
        <f t="shared" si="2828"/>
        <v/>
      </c>
      <c r="X2842" s="105"/>
      <c r="Y2842" s="106"/>
      <c r="Z2842" s="26">
        <f t="shared" si="5"/>
        <v>-0.01</v>
      </c>
      <c r="AA2842" s="26">
        <f t="shared" si="6"/>
        <v>-0.01</v>
      </c>
      <c r="AB2842" s="32" t="str">
        <f t="shared" si="7"/>
        <v/>
      </c>
      <c r="AC2842" s="32" t="str">
        <f t="shared" ref="AC2842:AG2842" si="2897">IF(J2842&lt;&gt;"", IF(AND($P2842=FALSE, $A2842=FALSE), -J2842, IF(AND($P2842=FALSE, $A2842=TRUE), 0, IF($P2842=TRUE, (J2842 / $R2842) * 100 * ($S2842 / 100)-J2842, ))), )</f>
        <v/>
      </c>
      <c r="AD2842" s="32" t="str">
        <f t="shared" si="2897"/>
        <v/>
      </c>
      <c r="AE2842" s="32" t="str">
        <f t="shared" si="2897"/>
        <v/>
      </c>
      <c r="AF2842" s="32" t="str">
        <f t="shared" si="2897"/>
        <v/>
      </c>
      <c r="AG2842" s="32" t="str">
        <f t="shared" si="2897"/>
        <v/>
      </c>
      <c r="AH2842" s="33"/>
    </row>
    <row r="2843" hidden="1" outlineLevel="3">
      <c r="A2843" s="95" t="b">
        <v>0</v>
      </c>
      <c r="B2843" s="96"/>
      <c r="C2843" s="18"/>
      <c r="D2843" s="107"/>
      <c r="E2843" s="108"/>
      <c r="F2843" s="109"/>
      <c r="G2843" s="97"/>
      <c r="H2843" s="97"/>
      <c r="I2843" s="97"/>
      <c r="J2843" s="98"/>
      <c r="K2843" s="99"/>
      <c r="L2843" s="98"/>
      <c r="M2843" s="99"/>
      <c r="N2843" s="99"/>
      <c r="O2843" s="18"/>
      <c r="P2843" s="100" t="b">
        <v>0</v>
      </c>
      <c r="Q2843" s="18"/>
      <c r="R2843" s="101" t="str">
        <f t="shared" si="2792"/>
        <v/>
      </c>
      <c r="S2843" s="32"/>
      <c r="T2843" s="102" t="str">
        <f t="shared" si="2793"/>
        <v/>
      </c>
      <c r="U2843" s="18"/>
      <c r="V2843" s="113">
        <v>32.0</v>
      </c>
      <c r="W2843" s="104" t="str">
        <f t="shared" si="2828"/>
        <v>/</v>
      </c>
      <c r="X2843" s="111" t="s">
        <v>1726</v>
      </c>
      <c r="Y2843" s="106"/>
      <c r="Z2843" s="26" t="str">
        <f t="shared" si="5"/>
        <v/>
      </c>
      <c r="AA2843" s="26" t="str">
        <f t="shared" si="6"/>
        <v/>
      </c>
      <c r="AB2843" s="32" t="str">
        <f t="shared" si="7"/>
        <v/>
      </c>
      <c r="AC2843" s="32" t="str">
        <f t="shared" ref="AC2843:AG2843" si="2898">IF(J2843&lt;&gt;"", IF(AND($P2843=FALSE, $A2843=FALSE), -J2843, IF(AND($P2843=FALSE, $A2843=TRUE), 0, IF($P2843=TRUE, (J2843 / $R2843) * 100 * ($S2843 / 100)-J2843, ))), )</f>
        <v/>
      </c>
      <c r="AD2843" s="32" t="str">
        <f t="shared" si="2898"/>
        <v/>
      </c>
      <c r="AE2843" s="32" t="str">
        <f t="shared" si="2898"/>
        <v/>
      </c>
      <c r="AF2843" s="32" t="str">
        <f t="shared" si="2898"/>
        <v/>
      </c>
      <c r="AG2843" s="32" t="str">
        <f t="shared" si="2898"/>
        <v/>
      </c>
      <c r="AH2843" s="33"/>
    </row>
    <row r="2844" hidden="1" outlineLevel="3">
      <c r="A2844" s="95" t="b">
        <v>0</v>
      </c>
      <c r="B2844" s="96"/>
      <c r="C2844" s="18"/>
      <c r="D2844" s="107"/>
      <c r="E2844" s="108"/>
      <c r="F2844" s="109"/>
      <c r="G2844" s="97"/>
      <c r="H2844" s="97"/>
      <c r="I2844" s="97"/>
      <c r="J2844" s="98"/>
      <c r="K2844" s="99"/>
      <c r="L2844" s="98"/>
      <c r="M2844" s="99"/>
      <c r="N2844" s="99"/>
      <c r="O2844" s="18"/>
      <c r="P2844" s="100" t="b">
        <v>0</v>
      </c>
      <c r="Q2844" s="18"/>
      <c r="R2844" s="101" t="str">
        <f t="shared" si="2792"/>
        <v/>
      </c>
      <c r="S2844" s="32"/>
      <c r="T2844" s="102" t="str">
        <f t="shared" si="2793"/>
        <v/>
      </c>
      <c r="U2844" s="18"/>
      <c r="V2844" s="103" t="str">
        <f t="shared" ref="V2844:V2845" si="2900">IF(ISBLANK($D2844), "0",)</f>
        <v>0</v>
      </c>
      <c r="W2844" s="104" t="str">
        <f t="shared" si="2828"/>
        <v>/</v>
      </c>
      <c r="X2844" s="111" t="s">
        <v>247</v>
      </c>
      <c r="Y2844" s="106"/>
      <c r="Z2844" s="26" t="str">
        <f t="shared" si="5"/>
        <v/>
      </c>
      <c r="AA2844" s="26" t="str">
        <f t="shared" si="6"/>
        <v/>
      </c>
      <c r="AB2844" s="32" t="str">
        <f t="shared" si="7"/>
        <v/>
      </c>
      <c r="AC2844" s="32" t="str">
        <f t="shared" ref="AC2844:AG2844" si="2899">IF(J2844&lt;&gt;"", IF(AND($P2844=FALSE, $A2844=FALSE), -J2844, IF(AND($P2844=FALSE, $A2844=TRUE), 0, IF($P2844=TRUE, (J2844 / $R2844) * 100 * ($S2844 / 100)-J2844, ))), )</f>
        <v/>
      </c>
      <c r="AD2844" s="32" t="str">
        <f t="shared" si="2899"/>
        <v/>
      </c>
      <c r="AE2844" s="32" t="str">
        <f t="shared" si="2899"/>
        <v/>
      </c>
      <c r="AF2844" s="32" t="str">
        <f t="shared" si="2899"/>
        <v/>
      </c>
      <c r="AG2844" s="32" t="str">
        <f t="shared" si="2899"/>
        <v/>
      </c>
      <c r="AH2844" s="33"/>
    </row>
    <row r="2845" hidden="1" outlineLevel="2" collapsed="1">
      <c r="A2845" s="95" t="b">
        <v>0</v>
      </c>
      <c r="B2845" s="96"/>
      <c r="C2845" s="18"/>
      <c r="D2845" s="42">
        <v>45592.0</v>
      </c>
      <c r="E2845" s="20" t="s">
        <v>24</v>
      </c>
      <c r="F2845" s="53" t="s">
        <v>1715</v>
      </c>
      <c r="G2845" s="97">
        <v>2.0</v>
      </c>
      <c r="H2845" s="97"/>
      <c r="I2845" s="97">
        <v>4.0</v>
      </c>
      <c r="J2845" s="98"/>
      <c r="K2845" s="99"/>
      <c r="L2845" s="98"/>
      <c r="M2845" s="99"/>
      <c r="N2845" s="99"/>
      <c r="O2845" s="18"/>
      <c r="P2845" s="100" t="b">
        <v>0</v>
      </c>
      <c r="Q2845" s="18"/>
      <c r="R2845" s="101">
        <f t="shared" si="2792"/>
        <v>6</v>
      </c>
      <c r="S2845" s="32">
        <v>22.49</v>
      </c>
      <c r="T2845" s="102" t="str">
        <f t="shared" si="2793"/>
        <v>+275</v>
      </c>
      <c r="U2845" s="18"/>
      <c r="V2845" s="103" t="str">
        <f t="shared" si="2900"/>
        <v/>
      </c>
      <c r="W2845" s="104" t="str">
        <f t="shared" si="2828"/>
        <v/>
      </c>
      <c r="X2845" s="105"/>
      <c r="Y2845" s="106"/>
      <c r="Z2845" s="26">
        <f t="shared" si="5"/>
        <v>-2</v>
      </c>
      <c r="AA2845" s="26">
        <f t="shared" si="6"/>
        <v>-4</v>
      </c>
      <c r="AB2845" s="32" t="str">
        <f t="shared" si="7"/>
        <v/>
      </c>
      <c r="AC2845" s="32" t="str">
        <f t="shared" ref="AC2845:AG2845" si="2901">IF(J2845&lt;&gt;"", IF(AND($P2845=FALSE, $A2845=FALSE), -J2845, IF(AND($P2845=FALSE, $A2845=TRUE), 0, IF($P2845=TRUE, (J2845 / $R2845) * 100 * ($S2845 / 100)-J2845, ))), )</f>
        <v/>
      </c>
      <c r="AD2845" s="32" t="str">
        <f t="shared" si="2901"/>
        <v/>
      </c>
      <c r="AE2845" s="32" t="str">
        <f t="shared" si="2901"/>
        <v/>
      </c>
      <c r="AF2845" s="32" t="str">
        <f t="shared" si="2901"/>
        <v/>
      </c>
      <c r="AG2845" s="32" t="str">
        <f t="shared" si="2901"/>
        <v/>
      </c>
      <c r="AH2845" s="33"/>
    </row>
    <row r="2846" hidden="1" outlineLevel="3">
      <c r="A2846" s="95" t="b">
        <v>0</v>
      </c>
      <c r="B2846" s="96"/>
      <c r="C2846" s="18"/>
      <c r="D2846" s="107"/>
      <c r="E2846" s="108"/>
      <c r="F2846" s="109"/>
      <c r="G2846" s="97"/>
      <c r="H2846" s="97"/>
      <c r="I2846" s="97"/>
      <c r="J2846" s="98"/>
      <c r="K2846" s="99"/>
      <c r="L2846" s="98"/>
      <c r="M2846" s="99"/>
      <c r="N2846" s="99"/>
      <c r="O2846" s="18"/>
      <c r="P2846" s="100" t="b">
        <v>0</v>
      </c>
      <c r="Q2846" s="18"/>
      <c r="R2846" s="101" t="str">
        <f t="shared" si="2792"/>
        <v/>
      </c>
      <c r="S2846" s="32"/>
      <c r="T2846" s="102" t="str">
        <f t="shared" si="2793"/>
        <v/>
      </c>
      <c r="U2846" s="18"/>
      <c r="V2846" s="75" t="s">
        <v>29</v>
      </c>
      <c r="W2846" s="104" t="str">
        <f t="shared" si="2828"/>
        <v>/</v>
      </c>
      <c r="X2846" s="111" t="s">
        <v>1727</v>
      </c>
      <c r="Y2846" s="106"/>
      <c r="Z2846" s="26" t="str">
        <f t="shared" si="5"/>
        <v/>
      </c>
      <c r="AA2846" s="26" t="str">
        <f t="shared" si="6"/>
        <v/>
      </c>
      <c r="AB2846" s="32" t="str">
        <f t="shared" si="7"/>
        <v/>
      </c>
      <c r="AC2846" s="32" t="str">
        <f t="shared" ref="AC2846:AG2846" si="2902">IF(J2846&lt;&gt;"", IF(AND($P2846=FALSE, $A2846=FALSE), -J2846, IF(AND($P2846=FALSE, $A2846=TRUE), 0, IF($P2846=TRUE, (J2846 / $R2846) * 100 * ($S2846 / 100)-J2846, ))), )</f>
        <v/>
      </c>
      <c r="AD2846" s="32" t="str">
        <f t="shared" si="2902"/>
        <v/>
      </c>
      <c r="AE2846" s="32" t="str">
        <f t="shared" si="2902"/>
        <v/>
      </c>
      <c r="AF2846" s="32" t="str">
        <f t="shared" si="2902"/>
        <v/>
      </c>
      <c r="AG2846" s="32" t="str">
        <f t="shared" si="2902"/>
        <v/>
      </c>
      <c r="AH2846" s="33"/>
    </row>
    <row r="2847" hidden="1" outlineLevel="3">
      <c r="A2847" s="95" t="b">
        <v>0</v>
      </c>
      <c r="B2847" s="96"/>
      <c r="C2847" s="18"/>
      <c r="D2847" s="107"/>
      <c r="E2847" s="108"/>
      <c r="F2847" s="109"/>
      <c r="G2847" s="97"/>
      <c r="H2847" s="97"/>
      <c r="I2847" s="97"/>
      <c r="J2847" s="98"/>
      <c r="K2847" s="99"/>
      <c r="L2847" s="98"/>
      <c r="M2847" s="99"/>
      <c r="N2847" s="99"/>
      <c r="O2847" s="18"/>
      <c r="P2847" s="100" t="b">
        <v>0</v>
      </c>
      <c r="Q2847" s="18"/>
      <c r="R2847" s="101" t="str">
        <f t="shared" si="2792"/>
        <v/>
      </c>
      <c r="S2847" s="32"/>
      <c r="T2847" s="102" t="str">
        <f t="shared" si="2793"/>
        <v/>
      </c>
      <c r="U2847" s="18"/>
      <c r="V2847" s="103" t="str">
        <f>IF(ISBLANK($D2847), "0",)</f>
        <v>0</v>
      </c>
      <c r="W2847" s="104" t="str">
        <f t="shared" si="2828"/>
        <v>/</v>
      </c>
      <c r="X2847" s="111" t="s">
        <v>1728</v>
      </c>
      <c r="Y2847" s="106"/>
      <c r="Z2847" s="26" t="str">
        <f t="shared" si="5"/>
        <v/>
      </c>
      <c r="AA2847" s="26" t="str">
        <f t="shared" si="6"/>
        <v/>
      </c>
      <c r="AB2847" s="32" t="str">
        <f t="shared" si="7"/>
        <v/>
      </c>
      <c r="AC2847" s="32" t="str">
        <f t="shared" ref="AC2847:AG2847" si="2903">IF(J2847&lt;&gt;"", IF(AND($P2847=FALSE, $A2847=FALSE), -J2847, IF(AND($P2847=FALSE, $A2847=TRUE), 0, IF($P2847=TRUE, (J2847 / $R2847) * 100 * ($S2847 / 100)-J2847, ))), )</f>
        <v/>
      </c>
      <c r="AD2847" s="32" t="str">
        <f t="shared" si="2903"/>
        <v/>
      </c>
      <c r="AE2847" s="32" t="str">
        <f t="shared" si="2903"/>
        <v/>
      </c>
      <c r="AF2847" s="32" t="str">
        <f t="shared" si="2903"/>
        <v/>
      </c>
      <c r="AG2847" s="32" t="str">
        <f t="shared" si="2903"/>
        <v/>
      </c>
      <c r="AH2847" s="33"/>
    </row>
    <row r="2848" hidden="1" outlineLevel="3">
      <c r="A2848" s="95" t="b">
        <v>0</v>
      </c>
      <c r="B2848" s="96"/>
      <c r="C2848" s="18"/>
      <c r="D2848" s="107"/>
      <c r="E2848" s="108"/>
      <c r="F2848" s="109"/>
      <c r="G2848" s="97"/>
      <c r="H2848" s="97"/>
      <c r="I2848" s="97"/>
      <c r="J2848" s="98"/>
      <c r="K2848" s="99"/>
      <c r="L2848" s="98"/>
      <c r="M2848" s="99"/>
      <c r="N2848" s="99"/>
      <c r="O2848" s="18"/>
      <c r="P2848" s="100" t="b">
        <v>0</v>
      </c>
      <c r="Q2848" s="18"/>
      <c r="R2848" s="101" t="str">
        <f t="shared" si="2792"/>
        <v/>
      </c>
      <c r="S2848" s="32"/>
      <c r="T2848" s="102" t="str">
        <f t="shared" si="2793"/>
        <v/>
      </c>
      <c r="U2848" s="18"/>
      <c r="V2848" s="75" t="s">
        <v>29</v>
      </c>
      <c r="W2848" s="104" t="str">
        <f t="shared" si="2828"/>
        <v>/</v>
      </c>
      <c r="X2848" s="111" t="s">
        <v>1729</v>
      </c>
      <c r="Y2848" s="106"/>
      <c r="Z2848" s="26" t="str">
        <f t="shared" si="5"/>
        <v/>
      </c>
      <c r="AA2848" s="26" t="str">
        <f t="shared" si="6"/>
        <v/>
      </c>
      <c r="AB2848" s="32" t="str">
        <f t="shared" si="7"/>
        <v/>
      </c>
      <c r="AC2848" s="32" t="str">
        <f t="shared" ref="AC2848:AG2848" si="2904">IF(J2848&lt;&gt;"", IF(AND($P2848=FALSE, $A2848=FALSE), -J2848, IF(AND($P2848=FALSE, $A2848=TRUE), 0, IF($P2848=TRUE, (J2848 / $R2848) * 100 * ($S2848 / 100)-J2848, ))), )</f>
        <v/>
      </c>
      <c r="AD2848" s="32" t="str">
        <f t="shared" si="2904"/>
        <v/>
      </c>
      <c r="AE2848" s="32" t="str">
        <f t="shared" si="2904"/>
        <v/>
      </c>
      <c r="AF2848" s="32" t="str">
        <f t="shared" si="2904"/>
        <v/>
      </c>
      <c r="AG2848" s="32" t="str">
        <f t="shared" si="2904"/>
        <v/>
      </c>
      <c r="AH2848" s="33"/>
    </row>
    <row r="2849" hidden="1" outlineLevel="3">
      <c r="A2849" s="95" t="b">
        <v>0</v>
      </c>
      <c r="B2849" s="96"/>
      <c r="C2849" s="18"/>
      <c r="D2849" s="107"/>
      <c r="E2849" s="108"/>
      <c r="F2849" s="109"/>
      <c r="G2849" s="97"/>
      <c r="H2849" s="97"/>
      <c r="I2849" s="97"/>
      <c r="J2849" s="98"/>
      <c r="K2849" s="99"/>
      <c r="L2849" s="98"/>
      <c r="M2849" s="99"/>
      <c r="N2849" s="99"/>
      <c r="O2849" s="18"/>
      <c r="P2849" s="100" t="b">
        <v>0</v>
      </c>
      <c r="Q2849" s="18"/>
      <c r="R2849" s="101" t="str">
        <f t="shared" si="2792"/>
        <v/>
      </c>
      <c r="S2849" s="32"/>
      <c r="T2849" s="102" t="str">
        <f t="shared" si="2793"/>
        <v/>
      </c>
      <c r="U2849" s="18"/>
      <c r="V2849" s="103" t="str">
        <f t="shared" ref="V2849:V2851" si="2906">IF(ISBLANK($D2849), "0",)</f>
        <v>0</v>
      </c>
      <c r="W2849" s="104" t="str">
        <f t="shared" si="2828"/>
        <v>/</v>
      </c>
      <c r="X2849" s="111" t="s">
        <v>1730</v>
      </c>
      <c r="Y2849" s="106"/>
      <c r="Z2849" s="26" t="str">
        <f t="shared" si="5"/>
        <v/>
      </c>
      <c r="AA2849" s="26" t="str">
        <f t="shared" si="6"/>
        <v/>
      </c>
      <c r="AB2849" s="32" t="str">
        <f t="shared" si="7"/>
        <v/>
      </c>
      <c r="AC2849" s="32" t="str">
        <f t="shared" ref="AC2849:AG2849" si="2905">IF(J2849&lt;&gt;"", IF(AND($P2849=FALSE, $A2849=FALSE), -J2849, IF(AND($P2849=FALSE, $A2849=TRUE), 0, IF($P2849=TRUE, (J2849 / $R2849) * 100 * ($S2849 / 100)-J2849, ))), )</f>
        <v/>
      </c>
      <c r="AD2849" s="32" t="str">
        <f t="shared" si="2905"/>
        <v/>
      </c>
      <c r="AE2849" s="32" t="str">
        <f t="shared" si="2905"/>
        <v/>
      </c>
      <c r="AF2849" s="32" t="str">
        <f t="shared" si="2905"/>
        <v/>
      </c>
      <c r="AG2849" s="32" t="str">
        <f t="shared" si="2905"/>
        <v/>
      </c>
      <c r="AH2849" s="33"/>
    </row>
    <row r="2850" hidden="1" outlineLevel="2" collapsed="1">
      <c r="A2850" s="95" t="b">
        <v>0</v>
      </c>
      <c r="B2850" s="96"/>
      <c r="C2850" s="18"/>
      <c r="D2850" s="42">
        <v>45592.0</v>
      </c>
      <c r="E2850" s="20" t="s">
        <v>24</v>
      </c>
      <c r="F2850" s="53" t="s">
        <v>1715</v>
      </c>
      <c r="G2850" s="97">
        <v>2.0</v>
      </c>
      <c r="H2850" s="97"/>
      <c r="I2850" s="97">
        <v>5.0</v>
      </c>
      <c r="J2850" s="98"/>
      <c r="K2850" s="99"/>
      <c r="L2850" s="98"/>
      <c r="M2850" s="99"/>
      <c r="N2850" s="99"/>
      <c r="O2850" s="18"/>
      <c r="P2850" s="100" t="b">
        <v>0</v>
      </c>
      <c r="Q2850" s="18"/>
      <c r="R2850" s="101">
        <f t="shared" si="2792"/>
        <v>7</v>
      </c>
      <c r="S2850" s="32">
        <v>20.93</v>
      </c>
      <c r="T2850" s="102" t="str">
        <f t="shared" si="2793"/>
        <v>+199</v>
      </c>
      <c r="U2850" s="18"/>
      <c r="V2850" s="103" t="str">
        <f t="shared" si="2906"/>
        <v/>
      </c>
      <c r="W2850" s="104" t="str">
        <f t="shared" si="2828"/>
        <v/>
      </c>
      <c r="X2850" s="105"/>
      <c r="Y2850" s="106"/>
      <c r="Z2850" s="26">
        <f t="shared" si="5"/>
        <v>-2</v>
      </c>
      <c r="AA2850" s="26">
        <f t="shared" si="6"/>
        <v>-5</v>
      </c>
      <c r="AB2850" s="32" t="str">
        <f t="shared" si="7"/>
        <v/>
      </c>
      <c r="AC2850" s="32" t="str">
        <f t="shared" ref="AC2850:AG2850" si="2907">IF(J2850&lt;&gt;"", IF(AND($P2850=FALSE, $A2850=FALSE), -J2850, IF(AND($P2850=FALSE, $A2850=TRUE), 0, IF($P2850=TRUE, (J2850 / $R2850) * 100 * ($S2850 / 100)-J2850, ))), )</f>
        <v/>
      </c>
      <c r="AD2850" s="32" t="str">
        <f t="shared" si="2907"/>
        <v/>
      </c>
      <c r="AE2850" s="32" t="str">
        <f t="shared" si="2907"/>
        <v/>
      </c>
      <c r="AF2850" s="32" t="str">
        <f t="shared" si="2907"/>
        <v/>
      </c>
      <c r="AG2850" s="32" t="str">
        <f t="shared" si="2907"/>
        <v/>
      </c>
      <c r="AH2850" s="33"/>
    </row>
    <row r="2851" hidden="1" outlineLevel="3">
      <c r="A2851" s="95" t="b">
        <v>0</v>
      </c>
      <c r="B2851" s="96"/>
      <c r="C2851" s="18"/>
      <c r="D2851" s="107"/>
      <c r="E2851" s="108"/>
      <c r="F2851" s="109"/>
      <c r="G2851" s="97"/>
      <c r="H2851" s="97"/>
      <c r="I2851" s="97"/>
      <c r="J2851" s="98"/>
      <c r="K2851" s="99"/>
      <c r="L2851" s="98"/>
      <c r="M2851" s="99"/>
      <c r="N2851" s="99"/>
      <c r="O2851" s="18"/>
      <c r="P2851" s="100" t="b">
        <v>0</v>
      </c>
      <c r="Q2851" s="18"/>
      <c r="R2851" s="101" t="str">
        <f t="shared" si="2792"/>
        <v/>
      </c>
      <c r="S2851" s="32"/>
      <c r="T2851" s="102" t="str">
        <f t="shared" si="2793"/>
        <v/>
      </c>
      <c r="U2851" s="18"/>
      <c r="V2851" s="103" t="str">
        <f t="shared" si="2906"/>
        <v>0</v>
      </c>
      <c r="W2851" s="104" t="str">
        <f t="shared" si="2828"/>
        <v>/</v>
      </c>
      <c r="X2851" s="111" t="s">
        <v>1731</v>
      </c>
      <c r="Y2851" s="106"/>
      <c r="Z2851" s="26" t="str">
        <f t="shared" si="5"/>
        <v/>
      </c>
      <c r="AA2851" s="26" t="str">
        <f t="shared" si="6"/>
        <v/>
      </c>
      <c r="AB2851" s="32" t="str">
        <f t="shared" si="7"/>
        <v/>
      </c>
      <c r="AC2851" s="32" t="str">
        <f t="shared" ref="AC2851:AG2851" si="2908">IF(J2851&lt;&gt;"", IF(AND($P2851=FALSE, $A2851=FALSE), -J2851, IF(AND($P2851=FALSE, $A2851=TRUE), 0, IF($P2851=TRUE, (J2851 / $R2851) * 100 * ($S2851 / 100)-J2851, ))), )</f>
        <v/>
      </c>
      <c r="AD2851" s="32" t="str">
        <f t="shared" si="2908"/>
        <v/>
      </c>
      <c r="AE2851" s="32" t="str">
        <f t="shared" si="2908"/>
        <v/>
      </c>
      <c r="AF2851" s="32" t="str">
        <f t="shared" si="2908"/>
        <v/>
      </c>
      <c r="AG2851" s="32" t="str">
        <f t="shared" si="2908"/>
        <v/>
      </c>
      <c r="AH2851" s="33"/>
    </row>
    <row r="2852" hidden="1" outlineLevel="3">
      <c r="A2852" s="95" t="b">
        <v>0</v>
      </c>
      <c r="B2852" s="96"/>
      <c r="C2852" s="18"/>
      <c r="D2852" s="107"/>
      <c r="E2852" s="108"/>
      <c r="F2852" s="109"/>
      <c r="G2852" s="97"/>
      <c r="H2852" s="97"/>
      <c r="I2852" s="97"/>
      <c r="J2852" s="98"/>
      <c r="K2852" s="99"/>
      <c r="L2852" s="98"/>
      <c r="M2852" s="99"/>
      <c r="N2852" s="99"/>
      <c r="O2852" s="18"/>
      <c r="P2852" s="100" t="b">
        <v>0</v>
      </c>
      <c r="Q2852" s="18"/>
      <c r="R2852" s="101" t="str">
        <f t="shared" si="2792"/>
        <v/>
      </c>
      <c r="S2852" s="32"/>
      <c r="T2852" s="102" t="str">
        <f t="shared" si="2793"/>
        <v/>
      </c>
      <c r="U2852" s="18"/>
      <c r="V2852" s="75" t="s">
        <v>29</v>
      </c>
      <c r="W2852" s="104" t="str">
        <f t="shared" si="2828"/>
        <v>/</v>
      </c>
      <c r="X2852" s="111" t="s">
        <v>872</v>
      </c>
      <c r="Y2852" s="106"/>
      <c r="Z2852" s="26" t="str">
        <f t="shared" si="5"/>
        <v/>
      </c>
      <c r="AA2852" s="26" t="str">
        <f t="shared" si="6"/>
        <v/>
      </c>
      <c r="AB2852" s="32" t="str">
        <f t="shared" si="7"/>
        <v/>
      </c>
      <c r="AC2852" s="32" t="str">
        <f t="shared" ref="AC2852:AG2852" si="2909">IF(J2852&lt;&gt;"", IF(AND($P2852=FALSE, $A2852=FALSE), -J2852, IF(AND($P2852=FALSE, $A2852=TRUE), 0, IF($P2852=TRUE, (J2852 / $R2852) * 100 * ($S2852 / 100)-J2852, ))), )</f>
        <v/>
      </c>
      <c r="AD2852" s="32" t="str">
        <f t="shared" si="2909"/>
        <v/>
      </c>
      <c r="AE2852" s="32" t="str">
        <f t="shared" si="2909"/>
        <v/>
      </c>
      <c r="AF2852" s="32" t="str">
        <f t="shared" si="2909"/>
        <v/>
      </c>
      <c r="AG2852" s="32" t="str">
        <f t="shared" si="2909"/>
        <v/>
      </c>
      <c r="AH2852" s="33"/>
    </row>
    <row r="2853" hidden="1" outlineLevel="2" collapsed="1">
      <c r="A2853" s="95" t="b">
        <v>0</v>
      </c>
      <c r="B2853" s="96"/>
      <c r="C2853" s="18"/>
      <c r="D2853" s="42">
        <v>45592.0</v>
      </c>
      <c r="E2853" s="20" t="s">
        <v>24</v>
      </c>
      <c r="F2853" s="53" t="s">
        <v>1715</v>
      </c>
      <c r="G2853" s="97">
        <v>1.0</v>
      </c>
      <c r="H2853" s="97"/>
      <c r="I2853" s="97"/>
      <c r="J2853" s="98"/>
      <c r="K2853" s="99"/>
      <c r="L2853" s="98"/>
      <c r="M2853" s="99"/>
      <c r="N2853" s="99"/>
      <c r="O2853" s="18"/>
      <c r="P2853" s="100" t="b">
        <v>0</v>
      </c>
      <c r="Q2853" s="18"/>
      <c r="R2853" s="101">
        <f t="shared" si="2792"/>
        <v>1</v>
      </c>
      <c r="S2853" s="32">
        <v>11.02</v>
      </c>
      <c r="T2853" s="102" t="str">
        <f t="shared" si="2793"/>
        <v>+1002</v>
      </c>
      <c r="U2853" s="18"/>
      <c r="V2853" s="103" t="str">
        <f t="shared" ref="V2853:V2855" si="2911">IF(ISBLANK($D2853), "0",)</f>
        <v/>
      </c>
      <c r="W2853" s="104" t="str">
        <f t="shared" si="2828"/>
        <v/>
      </c>
      <c r="X2853" s="105"/>
      <c r="Y2853" s="106"/>
      <c r="Z2853" s="26">
        <f t="shared" si="5"/>
        <v>-1</v>
      </c>
      <c r="AA2853" s="26" t="str">
        <f t="shared" si="6"/>
        <v/>
      </c>
      <c r="AB2853" s="32" t="str">
        <f t="shared" si="7"/>
        <v/>
      </c>
      <c r="AC2853" s="32" t="str">
        <f t="shared" ref="AC2853:AG2853" si="2910">IF(J2853&lt;&gt;"", IF(AND($P2853=FALSE, $A2853=FALSE), -J2853, IF(AND($P2853=FALSE, $A2853=TRUE), 0, IF($P2853=TRUE, (J2853 / $R2853) * 100 * ($S2853 / 100)-J2853, ))), )</f>
        <v/>
      </c>
      <c r="AD2853" s="32" t="str">
        <f t="shared" si="2910"/>
        <v/>
      </c>
      <c r="AE2853" s="32" t="str">
        <f t="shared" si="2910"/>
        <v/>
      </c>
      <c r="AF2853" s="32" t="str">
        <f t="shared" si="2910"/>
        <v/>
      </c>
      <c r="AG2853" s="32" t="str">
        <f t="shared" si="2910"/>
        <v/>
      </c>
      <c r="AH2853" s="33"/>
    </row>
    <row r="2854" hidden="1" outlineLevel="3">
      <c r="A2854" s="95" t="b">
        <v>0</v>
      </c>
      <c r="B2854" s="96"/>
      <c r="C2854" s="18"/>
      <c r="D2854" s="107"/>
      <c r="E2854" s="108"/>
      <c r="F2854" s="109"/>
      <c r="G2854" s="97"/>
      <c r="H2854" s="97"/>
      <c r="I2854" s="97"/>
      <c r="J2854" s="98"/>
      <c r="K2854" s="99"/>
      <c r="L2854" s="98"/>
      <c r="M2854" s="99"/>
      <c r="N2854" s="99"/>
      <c r="O2854" s="18"/>
      <c r="P2854" s="100" t="b">
        <v>0</v>
      </c>
      <c r="Q2854" s="18"/>
      <c r="R2854" s="101" t="str">
        <f t="shared" si="2792"/>
        <v/>
      </c>
      <c r="S2854" s="32"/>
      <c r="T2854" s="102" t="str">
        <f t="shared" si="2793"/>
        <v/>
      </c>
      <c r="U2854" s="18"/>
      <c r="V2854" s="103" t="str">
        <f t="shared" si="2911"/>
        <v>0</v>
      </c>
      <c r="W2854" s="104" t="str">
        <f t="shared" si="2828"/>
        <v>/</v>
      </c>
      <c r="X2854" s="111" t="s">
        <v>1527</v>
      </c>
      <c r="Y2854" s="106"/>
      <c r="Z2854" s="26" t="str">
        <f t="shared" si="5"/>
        <v/>
      </c>
      <c r="AA2854" s="26" t="str">
        <f t="shared" si="6"/>
        <v/>
      </c>
      <c r="AB2854" s="32" t="str">
        <f t="shared" si="7"/>
        <v/>
      </c>
      <c r="AC2854" s="32" t="str">
        <f t="shared" ref="AC2854:AG2854" si="2912">IF(J2854&lt;&gt;"", IF(AND($P2854=FALSE, $A2854=FALSE), -J2854, IF(AND($P2854=FALSE, $A2854=TRUE), 0, IF($P2854=TRUE, (J2854 / $R2854) * 100 * ($S2854 / 100)-J2854, ))), )</f>
        <v/>
      </c>
      <c r="AD2854" s="32" t="str">
        <f t="shared" si="2912"/>
        <v/>
      </c>
      <c r="AE2854" s="32" t="str">
        <f t="shared" si="2912"/>
        <v/>
      </c>
      <c r="AF2854" s="32" t="str">
        <f t="shared" si="2912"/>
        <v/>
      </c>
      <c r="AG2854" s="32" t="str">
        <f t="shared" si="2912"/>
        <v/>
      </c>
      <c r="AH2854" s="33"/>
    </row>
    <row r="2855" hidden="1" outlineLevel="3">
      <c r="A2855" s="95" t="b">
        <v>0</v>
      </c>
      <c r="B2855" s="96"/>
      <c r="C2855" s="18"/>
      <c r="D2855" s="107"/>
      <c r="E2855" s="108"/>
      <c r="F2855" s="109"/>
      <c r="G2855" s="97"/>
      <c r="H2855" s="97"/>
      <c r="I2855" s="97"/>
      <c r="J2855" s="98"/>
      <c r="K2855" s="99"/>
      <c r="L2855" s="98"/>
      <c r="M2855" s="99"/>
      <c r="N2855" s="99"/>
      <c r="O2855" s="18"/>
      <c r="P2855" s="100" t="b">
        <v>0</v>
      </c>
      <c r="Q2855" s="18"/>
      <c r="R2855" s="101" t="str">
        <f t="shared" si="2792"/>
        <v/>
      </c>
      <c r="S2855" s="32"/>
      <c r="T2855" s="102" t="str">
        <f t="shared" si="2793"/>
        <v/>
      </c>
      <c r="U2855" s="18"/>
      <c r="V2855" s="103" t="str">
        <f t="shared" si="2911"/>
        <v>0</v>
      </c>
      <c r="W2855" s="104" t="str">
        <f t="shared" si="2828"/>
        <v>/</v>
      </c>
      <c r="X2855" s="111" t="s">
        <v>964</v>
      </c>
      <c r="Y2855" s="106"/>
      <c r="Z2855" s="26" t="str">
        <f t="shared" si="5"/>
        <v/>
      </c>
      <c r="AA2855" s="26" t="str">
        <f t="shared" si="6"/>
        <v/>
      </c>
      <c r="AB2855" s="32" t="str">
        <f t="shared" si="7"/>
        <v/>
      </c>
      <c r="AC2855" s="32" t="str">
        <f t="shared" ref="AC2855:AG2855" si="2913">IF(J2855&lt;&gt;"", IF(AND($P2855=FALSE, $A2855=FALSE), -J2855, IF(AND($P2855=FALSE, $A2855=TRUE), 0, IF($P2855=TRUE, (J2855 / $R2855) * 100 * ($S2855 / 100)-J2855, ))), )</f>
        <v/>
      </c>
      <c r="AD2855" s="32" t="str">
        <f t="shared" si="2913"/>
        <v/>
      </c>
      <c r="AE2855" s="32" t="str">
        <f t="shared" si="2913"/>
        <v/>
      </c>
      <c r="AF2855" s="32" t="str">
        <f t="shared" si="2913"/>
        <v/>
      </c>
      <c r="AG2855" s="32" t="str">
        <f t="shared" si="2913"/>
        <v/>
      </c>
      <c r="AH2855" s="33"/>
    </row>
    <row r="2856" hidden="1" outlineLevel="3">
      <c r="A2856" s="95" t="b">
        <v>0</v>
      </c>
      <c r="B2856" s="96"/>
      <c r="C2856" s="18"/>
      <c r="D2856" s="107"/>
      <c r="E2856" s="108"/>
      <c r="F2856" s="109"/>
      <c r="G2856" s="97"/>
      <c r="H2856" s="97"/>
      <c r="I2856" s="97"/>
      <c r="J2856" s="98"/>
      <c r="K2856" s="99"/>
      <c r="L2856" s="98"/>
      <c r="M2856" s="99"/>
      <c r="N2856" s="99"/>
      <c r="O2856" s="18"/>
      <c r="P2856" s="100" t="b">
        <v>0</v>
      </c>
      <c r="Q2856" s="18"/>
      <c r="R2856" s="101" t="str">
        <f t="shared" si="2792"/>
        <v/>
      </c>
      <c r="S2856" s="32"/>
      <c r="T2856" s="102" t="str">
        <f t="shared" si="2793"/>
        <v/>
      </c>
      <c r="U2856" s="18"/>
      <c r="V2856" s="75" t="s">
        <v>29</v>
      </c>
      <c r="W2856" s="104" t="str">
        <f t="shared" si="2828"/>
        <v>/</v>
      </c>
      <c r="X2856" s="111" t="s">
        <v>1732</v>
      </c>
      <c r="Y2856" s="106"/>
      <c r="Z2856" s="26" t="str">
        <f t="shared" si="5"/>
        <v/>
      </c>
      <c r="AA2856" s="26" t="str">
        <f t="shared" si="6"/>
        <v/>
      </c>
      <c r="AB2856" s="32" t="str">
        <f t="shared" si="7"/>
        <v/>
      </c>
      <c r="AC2856" s="32" t="str">
        <f t="shared" ref="AC2856:AG2856" si="2914">IF(J2856&lt;&gt;"", IF(AND($P2856=FALSE, $A2856=FALSE), -J2856, IF(AND($P2856=FALSE, $A2856=TRUE), 0, IF($P2856=TRUE, (J2856 / $R2856) * 100 * ($S2856 / 100)-J2856, ))), )</f>
        <v/>
      </c>
      <c r="AD2856" s="32" t="str">
        <f t="shared" si="2914"/>
        <v/>
      </c>
      <c r="AE2856" s="32" t="str">
        <f t="shared" si="2914"/>
        <v/>
      </c>
      <c r="AF2856" s="32" t="str">
        <f t="shared" si="2914"/>
        <v/>
      </c>
      <c r="AG2856" s="32" t="str">
        <f t="shared" si="2914"/>
        <v/>
      </c>
      <c r="AH2856" s="33"/>
    </row>
    <row r="2857" hidden="1" outlineLevel="2" collapsed="1">
      <c r="A2857" s="95" t="b">
        <v>0</v>
      </c>
      <c r="B2857" s="96"/>
      <c r="C2857" s="18"/>
      <c r="D2857" s="42">
        <v>45592.0</v>
      </c>
      <c r="E2857" s="20" t="s">
        <v>24</v>
      </c>
      <c r="F2857" s="53" t="s">
        <v>1715</v>
      </c>
      <c r="G2857" s="97">
        <v>3.0</v>
      </c>
      <c r="H2857" s="97"/>
      <c r="I2857" s="97">
        <v>7.0</v>
      </c>
      <c r="J2857" s="98"/>
      <c r="K2857" s="99"/>
      <c r="L2857" s="98"/>
      <c r="M2857" s="99"/>
      <c r="N2857" s="99"/>
      <c r="O2857" s="18"/>
      <c r="P2857" s="100" t="b">
        <v>1</v>
      </c>
      <c r="Q2857" s="18"/>
      <c r="R2857" s="101">
        <f t="shared" si="2792"/>
        <v>10</v>
      </c>
      <c r="S2857" s="32">
        <v>19.62</v>
      </c>
      <c r="T2857" s="102">
        <f t="shared" si="2793"/>
        <v>-104</v>
      </c>
      <c r="U2857" s="18"/>
      <c r="V2857" s="103" t="str">
        <f>IF(ISBLANK($D2857), "0",)</f>
        <v/>
      </c>
      <c r="W2857" s="104" t="str">
        <f t="shared" si="2828"/>
        <v/>
      </c>
      <c r="X2857" s="105"/>
      <c r="Y2857" s="106"/>
      <c r="Z2857" s="26">
        <f t="shared" si="5"/>
        <v>2.886</v>
      </c>
      <c r="AA2857" s="26">
        <f t="shared" si="6"/>
        <v>6.734</v>
      </c>
      <c r="AB2857" s="32" t="str">
        <f t="shared" si="7"/>
        <v/>
      </c>
      <c r="AC2857" s="32" t="str">
        <f t="shared" ref="AC2857:AG2857" si="2915">IF(J2857&lt;&gt;"", IF(AND($P2857=FALSE, $A2857=FALSE), -J2857, IF(AND($P2857=FALSE, $A2857=TRUE), 0, IF($P2857=TRUE, (J2857 / $R2857) * 100 * ($S2857 / 100)-J2857, ))), )</f>
        <v/>
      </c>
      <c r="AD2857" s="32" t="str">
        <f t="shared" si="2915"/>
        <v/>
      </c>
      <c r="AE2857" s="32" t="str">
        <f t="shared" si="2915"/>
        <v/>
      </c>
      <c r="AF2857" s="32" t="str">
        <f t="shared" si="2915"/>
        <v/>
      </c>
      <c r="AG2857" s="32" t="str">
        <f t="shared" si="2915"/>
        <v/>
      </c>
      <c r="AH2857" s="33"/>
    </row>
    <row r="2858" hidden="1" outlineLevel="3">
      <c r="A2858" s="95" t="b">
        <v>0</v>
      </c>
      <c r="B2858" s="96"/>
      <c r="C2858" s="18"/>
      <c r="D2858" s="107"/>
      <c r="E2858" s="108"/>
      <c r="F2858" s="109"/>
      <c r="G2858" s="97"/>
      <c r="H2858" s="97"/>
      <c r="I2858" s="97"/>
      <c r="J2858" s="98"/>
      <c r="K2858" s="99"/>
      <c r="L2858" s="98"/>
      <c r="M2858" s="99"/>
      <c r="N2858" s="99"/>
      <c r="O2858" s="18"/>
      <c r="P2858" s="100" t="b">
        <v>0</v>
      </c>
      <c r="Q2858" s="18"/>
      <c r="R2858" s="101" t="str">
        <f t="shared" si="2792"/>
        <v/>
      </c>
      <c r="S2858" s="32"/>
      <c r="T2858" s="102" t="str">
        <f t="shared" si="2793"/>
        <v/>
      </c>
      <c r="U2858" s="18"/>
      <c r="V2858" s="75" t="s">
        <v>29</v>
      </c>
      <c r="W2858" s="104" t="str">
        <f t="shared" si="2828"/>
        <v>/</v>
      </c>
      <c r="X2858" s="111" t="s">
        <v>1733</v>
      </c>
      <c r="Y2858" s="106"/>
      <c r="Z2858" s="26" t="str">
        <f t="shared" si="5"/>
        <v/>
      </c>
      <c r="AA2858" s="26" t="str">
        <f t="shared" si="6"/>
        <v/>
      </c>
      <c r="AB2858" s="32" t="str">
        <f t="shared" si="7"/>
        <v/>
      </c>
      <c r="AC2858" s="32" t="str">
        <f t="shared" ref="AC2858:AG2858" si="2916">IF(J2858&lt;&gt;"", IF(AND($P2858=FALSE, $A2858=FALSE), -J2858, IF(AND($P2858=FALSE, $A2858=TRUE), 0, IF($P2858=TRUE, (J2858 / $R2858) * 100 * ($S2858 / 100)-J2858, ))), )</f>
        <v/>
      </c>
      <c r="AD2858" s="32" t="str">
        <f t="shared" si="2916"/>
        <v/>
      </c>
      <c r="AE2858" s="32" t="str">
        <f t="shared" si="2916"/>
        <v/>
      </c>
      <c r="AF2858" s="32" t="str">
        <f t="shared" si="2916"/>
        <v/>
      </c>
      <c r="AG2858" s="32" t="str">
        <f t="shared" si="2916"/>
        <v/>
      </c>
      <c r="AH2858" s="33"/>
    </row>
    <row r="2859" hidden="1" outlineLevel="2" collapsed="1">
      <c r="A2859" s="95" t="b">
        <v>0</v>
      </c>
      <c r="B2859" s="96"/>
      <c r="C2859" s="18"/>
      <c r="D2859" s="42">
        <v>45592.0</v>
      </c>
      <c r="E2859" s="20" t="s">
        <v>24</v>
      </c>
      <c r="F2859" s="53" t="s">
        <v>1715</v>
      </c>
      <c r="G2859" s="97">
        <v>2.0</v>
      </c>
      <c r="H2859" s="97"/>
      <c r="I2859" s="97">
        <v>4.0</v>
      </c>
      <c r="J2859" s="98"/>
      <c r="K2859" s="99"/>
      <c r="L2859" s="98"/>
      <c r="M2859" s="99"/>
      <c r="N2859" s="99"/>
      <c r="O2859" s="18"/>
      <c r="P2859" s="100" t="b">
        <v>1</v>
      </c>
      <c r="Q2859" s="18"/>
      <c r="R2859" s="101">
        <f t="shared" si="2792"/>
        <v>6</v>
      </c>
      <c r="S2859" s="32">
        <v>13.8</v>
      </c>
      <c r="T2859" s="102" t="str">
        <f t="shared" si="2793"/>
        <v>+130</v>
      </c>
      <c r="U2859" s="18"/>
      <c r="V2859" s="103" t="str">
        <f>IF(ISBLANK($D2859), "0",)</f>
        <v/>
      </c>
      <c r="W2859" s="104" t="str">
        <f t="shared" si="2828"/>
        <v/>
      </c>
      <c r="X2859" s="105"/>
      <c r="Y2859" s="106"/>
      <c r="Z2859" s="26">
        <f t="shared" si="5"/>
        <v>2.6</v>
      </c>
      <c r="AA2859" s="26">
        <f t="shared" si="6"/>
        <v>5.2</v>
      </c>
      <c r="AB2859" s="32" t="str">
        <f t="shared" si="7"/>
        <v/>
      </c>
      <c r="AC2859" s="32" t="str">
        <f t="shared" ref="AC2859:AG2859" si="2917">IF(J2859&lt;&gt;"", IF(AND($P2859=FALSE, $A2859=FALSE), -J2859, IF(AND($P2859=FALSE, $A2859=TRUE), 0, IF($P2859=TRUE, (J2859 / $R2859) * 100 * ($S2859 / 100)-J2859, ))), )</f>
        <v/>
      </c>
      <c r="AD2859" s="32" t="str">
        <f t="shared" si="2917"/>
        <v/>
      </c>
      <c r="AE2859" s="32" t="str">
        <f t="shared" si="2917"/>
        <v/>
      </c>
      <c r="AF2859" s="32" t="str">
        <f t="shared" si="2917"/>
        <v/>
      </c>
      <c r="AG2859" s="32" t="str">
        <f t="shared" si="2917"/>
        <v/>
      </c>
      <c r="AH2859" s="33"/>
    </row>
    <row r="2860" hidden="1" outlineLevel="3">
      <c r="A2860" s="95" t="b">
        <v>0</v>
      </c>
      <c r="B2860" s="96"/>
      <c r="C2860" s="18"/>
      <c r="D2860" s="107"/>
      <c r="E2860" s="108"/>
      <c r="F2860" s="109"/>
      <c r="G2860" s="97"/>
      <c r="H2860" s="97"/>
      <c r="I2860" s="97"/>
      <c r="J2860" s="98"/>
      <c r="K2860" s="99"/>
      <c r="L2860" s="98"/>
      <c r="M2860" s="99"/>
      <c r="N2860" s="99"/>
      <c r="O2860" s="18"/>
      <c r="P2860" s="100" t="b">
        <v>0</v>
      </c>
      <c r="Q2860" s="18"/>
      <c r="R2860" s="101" t="str">
        <f t="shared" si="2792"/>
        <v/>
      </c>
      <c r="S2860" s="32"/>
      <c r="T2860" s="102" t="str">
        <f t="shared" si="2793"/>
        <v/>
      </c>
      <c r="U2860" s="18"/>
      <c r="V2860" s="75" t="s">
        <v>29</v>
      </c>
      <c r="W2860" s="104" t="str">
        <f t="shared" si="2828"/>
        <v>/</v>
      </c>
      <c r="X2860" s="111" t="s">
        <v>1734</v>
      </c>
      <c r="Y2860" s="106"/>
      <c r="Z2860" s="26" t="str">
        <f t="shared" si="5"/>
        <v/>
      </c>
      <c r="AA2860" s="26" t="str">
        <f t="shared" si="6"/>
        <v/>
      </c>
      <c r="AB2860" s="32" t="str">
        <f t="shared" si="7"/>
        <v/>
      </c>
      <c r="AC2860" s="32" t="str">
        <f t="shared" ref="AC2860:AG2860" si="2918">IF(J2860&lt;&gt;"", IF(AND($P2860=FALSE, $A2860=FALSE), -J2860, IF(AND($P2860=FALSE, $A2860=TRUE), 0, IF($P2860=TRUE, (J2860 / $R2860) * 100 * ($S2860 / 100)-J2860, ))), )</f>
        <v/>
      </c>
      <c r="AD2860" s="32" t="str">
        <f t="shared" si="2918"/>
        <v/>
      </c>
      <c r="AE2860" s="32" t="str">
        <f t="shared" si="2918"/>
        <v/>
      </c>
      <c r="AF2860" s="32" t="str">
        <f t="shared" si="2918"/>
        <v/>
      </c>
      <c r="AG2860" s="32" t="str">
        <f t="shared" si="2918"/>
        <v/>
      </c>
      <c r="AH2860" s="33"/>
    </row>
    <row r="2861" hidden="1" outlineLevel="3">
      <c r="A2861" s="95" t="b">
        <v>0</v>
      </c>
      <c r="B2861" s="96"/>
      <c r="C2861" s="18"/>
      <c r="D2861" s="107"/>
      <c r="E2861" s="108"/>
      <c r="F2861" s="109"/>
      <c r="G2861" s="97"/>
      <c r="H2861" s="97"/>
      <c r="I2861" s="97"/>
      <c r="J2861" s="98"/>
      <c r="K2861" s="99"/>
      <c r="L2861" s="98"/>
      <c r="M2861" s="99"/>
      <c r="N2861" s="99"/>
      <c r="O2861" s="18"/>
      <c r="P2861" s="100" t="b">
        <v>0</v>
      </c>
      <c r="Q2861" s="18"/>
      <c r="R2861" s="101" t="str">
        <f t="shared" si="2792"/>
        <v/>
      </c>
      <c r="S2861" s="32"/>
      <c r="T2861" s="102" t="str">
        <f t="shared" si="2793"/>
        <v/>
      </c>
      <c r="U2861" s="18"/>
      <c r="V2861" s="75" t="s">
        <v>29</v>
      </c>
      <c r="W2861" s="104" t="str">
        <f t="shared" si="2828"/>
        <v>/</v>
      </c>
      <c r="X2861" s="111" t="s">
        <v>1735</v>
      </c>
      <c r="Y2861" s="106"/>
      <c r="Z2861" s="26" t="str">
        <f t="shared" si="5"/>
        <v/>
      </c>
      <c r="AA2861" s="26" t="str">
        <f t="shared" si="6"/>
        <v/>
      </c>
      <c r="AB2861" s="32" t="str">
        <f t="shared" si="7"/>
        <v/>
      </c>
      <c r="AC2861" s="32" t="str">
        <f t="shared" ref="AC2861:AG2861" si="2919">IF(J2861&lt;&gt;"", IF(AND($P2861=FALSE, $A2861=FALSE), -J2861, IF(AND($P2861=FALSE, $A2861=TRUE), 0, IF($P2861=TRUE, (J2861 / $R2861) * 100 * ($S2861 / 100)-J2861, ))), )</f>
        <v/>
      </c>
      <c r="AD2861" s="32" t="str">
        <f t="shared" si="2919"/>
        <v/>
      </c>
      <c r="AE2861" s="32" t="str">
        <f t="shared" si="2919"/>
        <v/>
      </c>
      <c r="AF2861" s="32" t="str">
        <f t="shared" si="2919"/>
        <v/>
      </c>
      <c r="AG2861" s="32" t="str">
        <f t="shared" si="2919"/>
        <v/>
      </c>
      <c r="AH2861" s="33"/>
    </row>
    <row r="2862" hidden="1" outlineLevel="2" collapsed="1">
      <c r="A2862" s="95" t="b">
        <v>0</v>
      </c>
      <c r="B2862" s="96"/>
      <c r="C2862" s="18"/>
      <c r="D2862" s="42">
        <v>45592.0</v>
      </c>
      <c r="E2862" s="20" t="s">
        <v>24</v>
      </c>
      <c r="F2862" s="53" t="s">
        <v>1715</v>
      </c>
      <c r="G2862" s="97">
        <v>2.0</v>
      </c>
      <c r="H2862" s="97"/>
      <c r="I2862" s="97">
        <v>11.0</v>
      </c>
      <c r="J2862" s="98"/>
      <c r="K2862" s="99"/>
      <c r="L2862" s="98"/>
      <c r="M2862" s="99"/>
      <c r="N2862" s="99"/>
      <c r="O2862" s="18"/>
      <c r="P2862" s="100" t="b">
        <v>0</v>
      </c>
      <c r="Q2862" s="18"/>
      <c r="R2862" s="101">
        <f t="shared" si="2792"/>
        <v>13</v>
      </c>
      <c r="S2862" s="32">
        <v>48.0</v>
      </c>
      <c r="T2862" s="102" t="str">
        <f t="shared" si="2793"/>
        <v>+269</v>
      </c>
      <c r="U2862" s="18"/>
      <c r="V2862" s="103" t="str">
        <f t="shared" ref="V2862:V2867" si="2921">IF(ISBLANK($D2862), "0",)</f>
        <v/>
      </c>
      <c r="W2862" s="104" t="str">
        <f t="shared" si="2828"/>
        <v/>
      </c>
      <c r="X2862" s="105"/>
      <c r="Y2862" s="106"/>
      <c r="Z2862" s="26">
        <f t="shared" si="5"/>
        <v>-2</v>
      </c>
      <c r="AA2862" s="26">
        <f t="shared" si="6"/>
        <v>-11</v>
      </c>
      <c r="AB2862" s="32" t="str">
        <f t="shared" si="7"/>
        <v/>
      </c>
      <c r="AC2862" s="32" t="str">
        <f t="shared" ref="AC2862:AG2862" si="2920">IF(J2862&lt;&gt;"", IF(AND($P2862=FALSE, $A2862=FALSE), -J2862, IF(AND($P2862=FALSE, $A2862=TRUE), 0, IF($P2862=TRUE, (J2862 / $R2862) * 100 * ($S2862 / 100)-J2862, ))), )</f>
        <v/>
      </c>
      <c r="AD2862" s="32" t="str">
        <f t="shared" si="2920"/>
        <v/>
      </c>
      <c r="AE2862" s="32" t="str">
        <f t="shared" si="2920"/>
        <v/>
      </c>
      <c r="AF2862" s="32" t="str">
        <f t="shared" si="2920"/>
        <v/>
      </c>
      <c r="AG2862" s="32" t="str">
        <f t="shared" si="2920"/>
        <v/>
      </c>
      <c r="AH2862" s="33"/>
    </row>
    <row r="2863" hidden="1" outlineLevel="3">
      <c r="A2863" s="95" t="b">
        <v>0</v>
      </c>
      <c r="B2863" s="96"/>
      <c r="C2863" s="18"/>
      <c r="D2863" s="107"/>
      <c r="E2863" s="108"/>
      <c r="F2863" s="109"/>
      <c r="G2863" s="97"/>
      <c r="H2863" s="97"/>
      <c r="I2863" s="97"/>
      <c r="J2863" s="98"/>
      <c r="K2863" s="99"/>
      <c r="L2863" s="98"/>
      <c r="M2863" s="99"/>
      <c r="N2863" s="99"/>
      <c r="O2863" s="18"/>
      <c r="P2863" s="100" t="b">
        <v>0</v>
      </c>
      <c r="Q2863" s="18"/>
      <c r="R2863" s="101" t="str">
        <f t="shared" si="2792"/>
        <v/>
      </c>
      <c r="S2863" s="32"/>
      <c r="T2863" s="102" t="str">
        <f t="shared" si="2793"/>
        <v/>
      </c>
      <c r="U2863" s="18"/>
      <c r="V2863" s="103" t="str">
        <f t="shared" si="2921"/>
        <v>0</v>
      </c>
      <c r="W2863" s="104" t="str">
        <f t="shared" si="2828"/>
        <v>/</v>
      </c>
      <c r="X2863" s="111" t="s">
        <v>1736</v>
      </c>
      <c r="Y2863" s="106"/>
      <c r="Z2863" s="26" t="str">
        <f t="shared" si="5"/>
        <v/>
      </c>
      <c r="AA2863" s="26" t="str">
        <f t="shared" si="6"/>
        <v/>
      </c>
      <c r="AB2863" s="32" t="str">
        <f t="shared" si="7"/>
        <v/>
      </c>
      <c r="AC2863" s="32" t="str">
        <f t="shared" ref="AC2863:AG2863" si="2922">IF(J2863&lt;&gt;"", IF(AND($P2863=FALSE, $A2863=FALSE), -J2863, IF(AND($P2863=FALSE, $A2863=TRUE), 0, IF($P2863=TRUE, (J2863 / $R2863) * 100 * ($S2863 / 100)-J2863, ))), )</f>
        <v/>
      </c>
      <c r="AD2863" s="32" t="str">
        <f t="shared" si="2922"/>
        <v/>
      </c>
      <c r="AE2863" s="32" t="str">
        <f t="shared" si="2922"/>
        <v/>
      </c>
      <c r="AF2863" s="32" t="str">
        <f t="shared" si="2922"/>
        <v/>
      </c>
      <c r="AG2863" s="32" t="str">
        <f t="shared" si="2922"/>
        <v/>
      </c>
      <c r="AH2863" s="33"/>
    </row>
    <row r="2864" hidden="1" outlineLevel="3">
      <c r="A2864" s="95" t="b">
        <v>0</v>
      </c>
      <c r="B2864" s="96"/>
      <c r="C2864" s="18"/>
      <c r="D2864" s="107"/>
      <c r="E2864" s="108"/>
      <c r="F2864" s="109"/>
      <c r="G2864" s="97"/>
      <c r="H2864" s="97"/>
      <c r="I2864" s="97"/>
      <c r="J2864" s="98"/>
      <c r="K2864" s="99"/>
      <c r="L2864" s="98"/>
      <c r="M2864" s="99"/>
      <c r="N2864" s="99"/>
      <c r="O2864" s="18"/>
      <c r="P2864" s="100" t="b">
        <v>0</v>
      </c>
      <c r="Q2864" s="18"/>
      <c r="R2864" s="101" t="str">
        <f t="shared" si="2792"/>
        <v/>
      </c>
      <c r="S2864" s="32"/>
      <c r="T2864" s="102" t="str">
        <f t="shared" si="2793"/>
        <v/>
      </c>
      <c r="U2864" s="18"/>
      <c r="V2864" s="103" t="str">
        <f t="shared" si="2921"/>
        <v>0</v>
      </c>
      <c r="W2864" s="104" t="str">
        <f t="shared" si="2828"/>
        <v>/</v>
      </c>
      <c r="X2864" s="111" t="s">
        <v>1737</v>
      </c>
      <c r="Y2864" s="106"/>
      <c r="Z2864" s="26" t="str">
        <f t="shared" si="5"/>
        <v/>
      </c>
      <c r="AA2864" s="26" t="str">
        <f t="shared" si="6"/>
        <v/>
      </c>
      <c r="AB2864" s="32" t="str">
        <f t="shared" si="7"/>
        <v/>
      </c>
      <c r="AC2864" s="32" t="str">
        <f t="shared" ref="AC2864:AG2864" si="2923">IF(J2864&lt;&gt;"", IF(AND($P2864=FALSE, $A2864=FALSE), -J2864, IF(AND($P2864=FALSE, $A2864=TRUE), 0, IF($P2864=TRUE, (J2864 / $R2864) * 100 * ($S2864 / 100)-J2864, ))), )</f>
        <v/>
      </c>
      <c r="AD2864" s="32" t="str">
        <f t="shared" si="2923"/>
        <v/>
      </c>
      <c r="AE2864" s="32" t="str">
        <f t="shared" si="2923"/>
        <v/>
      </c>
      <c r="AF2864" s="32" t="str">
        <f t="shared" si="2923"/>
        <v/>
      </c>
      <c r="AG2864" s="32" t="str">
        <f t="shared" si="2923"/>
        <v/>
      </c>
      <c r="AH2864" s="33"/>
    </row>
    <row r="2865" hidden="1" outlineLevel="3">
      <c r="A2865" s="95" t="b">
        <v>0</v>
      </c>
      <c r="B2865" s="96"/>
      <c r="C2865" s="18"/>
      <c r="D2865" s="107"/>
      <c r="E2865" s="108"/>
      <c r="F2865" s="109"/>
      <c r="G2865" s="97"/>
      <c r="H2865" s="97"/>
      <c r="I2865" s="97"/>
      <c r="J2865" s="98"/>
      <c r="K2865" s="99"/>
      <c r="L2865" s="98"/>
      <c r="M2865" s="99"/>
      <c r="N2865" s="99"/>
      <c r="O2865" s="18"/>
      <c r="P2865" s="100" t="b">
        <v>0</v>
      </c>
      <c r="Q2865" s="18"/>
      <c r="R2865" s="101" t="str">
        <f t="shared" si="2792"/>
        <v/>
      </c>
      <c r="S2865" s="32"/>
      <c r="T2865" s="102" t="str">
        <f t="shared" si="2793"/>
        <v/>
      </c>
      <c r="U2865" s="18"/>
      <c r="V2865" s="103" t="str">
        <f t="shared" si="2921"/>
        <v>0</v>
      </c>
      <c r="W2865" s="104" t="str">
        <f t="shared" si="2828"/>
        <v>/</v>
      </c>
      <c r="X2865" s="115" t="s">
        <v>1738</v>
      </c>
      <c r="Y2865" s="106"/>
      <c r="Z2865" s="26" t="str">
        <f t="shared" si="5"/>
        <v/>
      </c>
      <c r="AA2865" s="26" t="str">
        <f t="shared" si="6"/>
        <v/>
      </c>
      <c r="AB2865" s="32" t="str">
        <f t="shared" si="7"/>
        <v/>
      </c>
      <c r="AC2865" s="32" t="str">
        <f t="shared" ref="AC2865:AG2865" si="2924">IF(J2865&lt;&gt;"", IF(AND($P2865=FALSE, $A2865=FALSE), -J2865, IF(AND($P2865=FALSE, $A2865=TRUE), 0, IF($P2865=TRUE, (J2865 / $R2865) * 100 * ($S2865 / 100)-J2865, ))), )</f>
        <v/>
      </c>
      <c r="AD2865" s="32" t="str">
        <f t="shared" si="2924"/>
        <v/>
      </c>
      <c r="AE2865" s="32" t="str">
        <f t="shared" si="2924"/>
        <v/>
      </c>
      <c r="AF2865" s="32" t="str">
        <f t="shared" si="2924"/>
        <v/>
      </c>
      <c r="AG2865" s="32" t="str">
        <f t="shared" si="2924"/>
        <v/>
      </c>
      <c r="AH2865" s="33"/>
    </row>
    <row r="2866" hidden="1" outlineLevel="3">
      <c r="A2866" s="95" t="b">
        <v>0</v>
      </c>
      <c r="B2866" s="96"/>
      <c r="C2866" s="18"/>
      <c r="D2866" s="107"/>
      <c r="E2866" s="108"/>
      <c r="F2866" s="109"/>
      <c r="G2866" s="97"/>
      <c r="H2866" s="97"/>
      <c r="I2866" s="97"/>
      <c r="J2866" s="98"/>
      <c r="K2866" s="99"/>
      <c r="L2866" s="98"/>
      <c r="M2866" s="99"/>
      <c r="N2866" s="99"/>
      <c r="O2866" s="18"/>
      <c r="P2866" s="100" t="b">
        <v>0</v>
      </c>
      <c r="Q2866" s="18"/>
      <c r="R2866" s="101" t="str">
        <f t="shared" si="2792"/>
        <v/>
      </c>
      <c r="S2866" s="32"/>
      <c r="T2866" s="102" t="str">
        <f t="shared" si="2793"/>
        <v/>
      </c>
      <c r="U2866" s="18"/>
      <c r="V2866" s="103" t="str">
        <f t="shared" si="2921"/>
        <v>0</v>
      </c>
      <c r="W2866" s="104" t="str">
        <f t="shared" si="2828"/>
        <v>/</v>
      </c>
      <c r="X2866" s="115" t="s">
        <v>1739</v>
      </c>
      <c r="Y2866" s="106"/>
      <c r="Z2866" s="26" t="str">
        <f t="shared" si="5"/>
        <v/>
      </c>
      <c r="AA2866" s="26" t="str">
        <f t="shared" si="6"/>
        <v/>
      </c>
      <c r="AB2866" s="32" t="str">
        <f t="shared" si="7"/>
        <v/>
      </c>
      <c r="AC2866" s="32" t="str">
        <f t="shared" ref="AC2866:AG2866" si="2925">IF(J2866&lt;&gt;"", IF(AND($P2866=FALSE, $A2866=FALSE), -J2866, IF(AND($P2866=FALSE, $A2866=TRUE), 0, IF($P2866=TRUE, (J2866 / $R2866) * 100 * ($S2866 / 100)-J2866, ))), )</f>
        <v/>
      </c>
      <c r="AD2866" s="32" t="str">
        <f t="shared" si="2925"/>
        <v/>
      </c>
      <c r="AE2866" s="32" t="str">
        <f t="shared" si="2925"/>
        <v/>
      </c>
      <c r="AF2866" s="32" t="str">
        <f t="shared" si="2925"/>
        <v/>
      </c>
      <c r="AG2866" s="32" t="str">
        <f t="shared" si="2925"/>
        <v/>
      </c>
      <c r="AH2866" s="33"/>
    </row>
    <row r="2867" hidden="1" outlineLevel="2" collapsed="1">
      <c r="A2867" s="95" t="b">
        <v>0</v>
      </c>
      <c r="B2867" s="96"/>
      <c r="C2867" s="18"/>
      <c r="D2867" s="42">
        <v>45592.0</v>
      </c>
      <c r="E2867" s="20" t="s">
        <v>24</v>
      </c>
      <c r="F2867" s="53" t="s">
        <v>1715</v>
      </c>
      <c r="G2867" s="97">
        <v>1.0</v>
      </c>
      <c r="H2867" s="97"/>
      <c r="I2867" s="97">
        <v>3.0</v>
      </c>
      <c r="J2867" s="98"/>
      <c r="K2867" s="99"/>
      <c r="L2867" s="98"/>
      <c r="M2867" s="99"/>
      <c r="N2867" s="99"/>
      <c r="O2867" s="18"/>
      <c r="P2867" s="100" t="b">
        <v>0</v>
      </c>
      <c r="Q2867" s="18"/>
      <c r="R2867" s="101">
        <f t="shared" si="2792"/>
        <v>4</v>
      </c>
      <c r="S2867" s="32">
        <v>61.58</v>
      </c>
      <c r="T2867" s="102" t="str">
        <f t="shared" si="2793"/>
        <v>+1440</v>
      </c>
      <c r="U2867" s="18"/>
      <c r="V2867" s="103" t="str">
        <f t="shared" si="2921"/>
        <v/>
      </c>
      <c r="W2867" s="104" t="str">
        <f t="shared" si="2828"/>
        <v/>
      </c>
      <c r="X2867" s="105"/>
      <c r="Y2867" s="106"/>
      <c r="Z2867" s="26">
        <f t="shared" si="5"/>
        <v>-1</v>
      </c>
      <c r="AA2867" s="26">
        <f t="shared" si="6"/>
        <v>-3</v>
      </c>
      <c r="AB2867" s="32" t="str">
        <f t="shared" si="7"/>
        <v/>
      </c>
      <c r="AC2867" s="32" t="str">
        <f t="shared" ref="AC2867:AG2867" si="2926">IF(J2867&lt;&gt;"", IF(AND($P2867=FALSE, $A2867=FALSE), -J2867, IF(AND($P2867=FALSE, $A2867=TRUE), 0, IF($P2867=TRUE, (J2867 / $R2867) * 100 * ($S2867 / 100)-J2867, ))), )</f>
        <v/>
      </c>
      <c r="AD2867" s="32" t="str">
        <f t="shared" si="2926"/>
        <v/>
      </c>
      <c r="AE2867" s="32" t="str">
        <f t="shared" si="2926"/>
        <v/>
      </c>
      <c r="AF2867" s="32" t="str">
        <f t="shared" si="2926"/>
        <v/>
      </c>
      <c r="AG2867" s="32" t="str">
        <f t="shared" si="2926"/>
        <v/>
      </c>
      <c r="AH2867" s="33"/>
    </row>
    <row r="2868" hidden="1" outlineLevel="3">
      <c r="A2868" s="95" t="b">
        <v>0</v>
      </c>
      <c r="B2868" s="96"/>
      <c r="C2868" s="18"/>
      <c r="D2868" s="107"/>
      <c r="E2868" s="108"/>
      <c r="F2868" s="109"/>
      <c r="G2868" s="97"/>
      <c r="H2868" s="97"/>
      <c r="I2868" s="97"/>
      <c r="J2868" s="98"/>
      <c r="K2868" s="99"/>
      <c r="L2868" s="98"/>
      <c r="M2868" s="99"/>
      <c r="N2868" s="99"/>
      <c r="O2868" s="18"/>
      <c r="P2868" s="100" t="b">
        <v>0</v>
      </c>
      <c r="Q2868" s="18"/>
      <c r="R2868" s="101" t="str">
        <f t="shared" si="2792"/>
        <v/>
      </c>
      <c r="S2868" s="32"/>
      <c r="T2868" s="102" t="str">
        <f t="shared" si="2793"/>
        <v/>
      </c>
      <c r="U2868" s="18"/>
      <c r="V2868" s="75" t="s">
        <v>29</v>
      </c>
      <c r="W2868" s="104" t="str">
        <f t="shared" si="2828"/>
        <v>/</v>
      </c>
      <c r="X2868" s="111" t="s">
        <v>1740</v>
      </c>
      <c r="Y2868" s="106"/>
      <c r="Z2868" s="26" t="str">
        <f t="shared" si="5"/>
        <v/>
      </c>
      <c r="AA2868" s="26" t="str">
        <f t="shared" si="6"/>
        <v/>
      </c>
      <c r="AB2868" s="32" t="str">
        <f t="shared" si="7"/>
        <v/>
      </c>
      <c r="AC2868" s="32" t="str">
        <f t="shared" ref="AC2868:AG2868" si="2927">IF(J2868&lt;&gt;"", IF(AND($P2868=FALSE, $A2868=FALSE), -J2868, IF(AND($P2868=FALSE, $A2868=TRUE), 0, IF($P2868=TRUE, (J2868 / $R2868) * 100 * ($S2868 / 100)-J2868, ))), )</f>
        <v/>
      </c>
      <c r="AD2868" s="32" t="str">
        <f t="shared" si="2927"/>
        <v/>
      </c>
      <c r="AE2868" s="32" t="str">
        <f t="shared" si="2927"/>
        <v/>
      </c>
      <c r="AF2868" s="32" t="str">
        <f t="shared" si="2927"/>
        <v/>
      </c>
      <c r="AG2868" s="32" t="str">
        <f t="shared" si="2927"/>
        <v/>
      </c>
      <c r="AH2868" s="33"/>
    </row>
    <row r="2869" hidden="1" outlineLevel="3">
      <c r="A2869" s="95" t="b">
        <v>0</v>
      </c>
      <c r="B2869" s="96"/>
      <c r="C2869" s="18"/>
      <c r="D2869" s="107"/>
      <c r="E2869" s="108"/>
      <c r="F2869" s="109"/>
      <c r="G2869" s="97"/>
      <c r="H2869" s="97"/>
      <c r="I2869" s="97"/>
      <c r="J2869" s="98"/>
      <c r="K2869" s="99"/>
      <c r="L2869" s="98"/>
      <c r="M2869" s="99"/>
      <c r="N2869" s="99"/>
      <c r="O2869" s="18"/>
      <c r="P2869" s="100" t="b">
        <v>0</v>
      </c>
      <c r="Q2869" s="18"/>
      <c r="R2869" s="101" t="str">
        <f t="shared" si="2792"/>
        <v/>
      </c>
      <c r="S2869" s="32"/>
      <c r="T2869" s="102" t="str">
        <f t="shared" si="2793"/>
        <v/>
      </c>
      <c r="U2869" s="18"/>
      <c r="V2869" s="75" t="s">
        <v>29</v>
      </c>
      <c r="W2869" s="104" t="str">
        <f t="shared" si="2828"/>
        <v>/</v>
      </c>
      <c r="X2869" s="111" t="s">
        <v>698</v>
      </c>
      <c r="Y2869" s="106"/>
      <c r="Z2869" s="26" t="str">
        <f t="shared" si="5"/>
        <v/>
      </c>
      <c r="AA2869" s="26" t="str">
        <f t="shared" si="6"/>
        <v/>
      </c>
      <c r="AB2869" s="32" t="str">
        <f t="shared" si="7"/>
        <v/>
      </c>
      <c r="AC2869" s="32" t="str">
        <f t="shared" ref="AC2869:AG2869" si="2928">IF(J2869&lt;&gt;"", IF(AND($P2869=FALSE, $A2869=FALSE), -J2869, IF(AND($P2869=FALSE, $A2869=TRUE), 0, IF($P2869=TRUE, (J2869 / $R2869) * 100 * ($S2869 / 100)-J2869, ))), )</f>
        <v/>
      </c>
      <c r="AD2869" s="32" t="str">
        <f t="shared" si="2928"/>
        <v/>
      </c>
      <c r="AE2869" s="32" t="str">
        <f t="shared" si="2928"/>
        <v/>
      </c>
      <c r="AF2869" s="32" t="str">
        <f t="shared" si="2928"/>
        <v/>
      </c>
      <c r="AG2869" s="32" t="str">
        <f t="shared" si="2928"/>
        <v/>
      </c>
      <c r="AH2869" s="33"/>
    </row>
    <row r="2870" hidden="1" outlineLevel="3">
      <c r="A2870" s="95" t="b">
        <v>0</v>
      </c>
      <c r="B2870" s="96"/>
      <c r="C2870" s="18"/>
      <c r="D2870" s="107"/>
      <c r="E2870" s="108"/>
      <c r="F2870" s="109"/>
      <c r="G2870" s="97"/>
      <c r="H2870" s="97"/>
      <c r="I2870" s="97"/>
      <c r="J2870" s="98"/>
      <c r="K2870" s="99"/>
      <c r="L2870" s="98"/>
      <c r="M2870" s="99"/>
      <c r="N2870" s="99"/>
      <c r="O2870" s="18"/>
      <c r="P2870" s="100" t="b">
        <v>0</v>
      </c>
      <c r="Q2870" s="18"/>
      <c r="R2870" s="101" t="str">
        <f t="shared" si="2792"/>
        <v/>
      </c>
      <c r="S2870" s="32"/>
      <c r="T2870" s="102" t="str">
        <f t="shared" si="2793"/>
        <v/>
      </c>
      <c r="U2870" s="18"/>
      <c r="V2870" s="113">
        <v>196.0</v>
      </c>
      <c r="W2870" s="104" t="str">
        <f t="shared" si="2828"/>
        <v>/</v>
      </c>
      <c r="X2870" s="111" t="s">
        <v>1496</v>
      </c>
      <c r="Y2870" s="106"/>
      <c r="Z2870" s="26" t="str">
        <f t="shared" si="5"/>
        <v/>
      </c>
      <c r="AA2870" s="26" t="str">
        <f t="shared" si="6"/>
        <v/>
      </c>
      <c r="AB2870" s="32" t="str">
        <f t="shared" si="7"/>
        <v/>
      </c>
      <c r="AC2870" s="32" t="str">
        <f t="shared" ref="AC2870:AG2870" si="2929">IF(J2870&lt;&gt;"", IF(AND($P2870=FALSE, $A2870=FALSE), -J2870, IF(AND($P2870=FALSE, $A2870=TRUE), 0, IF($P2870=TRUE, (J2870 / $R2870) * 100 * ($S2870 / 100)-J2870, ))), )</f>
        <v/>
      </c>
      <c r="AD2870" s="32" t="str">
        <f t="shared" si="2929"/>
        <v/>
      </c>
      <c r="AE2870" s="32" t="str">
        <f t="shared" si="2929"/>
        <v/>
      </c>
      <c r="AF2870" s="32" t="str">
        <f t="shared" si="2929"/>
        <v/>
      </c>
      <c r="AG2870" s="32" t="str">
        <f t="shared" si="2929"/>
        <v/>
      </c>
      <c r="AH2870" s="33"/>
    </row>
    <row r="2871" hidden="1" outlineLevel="3">
      <c r="A2871" s="95" t="b">
        <v>0</v>
      </c>
      <c r="B2871" s="96"/>
      <c r="C2871" s="18"/>
      <c r="D2871" s="107"/>
      <c r="E2871" s="108"/>
      <c r="F2871" s="109"/>
      <c r="G2871" s="97"/>
      <c r="H2871" s="97"/>
      <c r="I2871" s="97"/>
      <c r="J2871" s="98"/>
      <c r="K2871" s="99"/>
      <c r="L2871" s="98"/>
      <c r="M2871" s="99"/>
      <c r="N2871" s="99"/>
      <c r="O2871" s="18"/>
      <c r="P2871" s="100" t="b">
        <v>0</v>
      </c>
      <c r="Q2871" s="18"/>
      <c r="R2871" s="101" t="str">
        <f t="shared" si="2792"/>
        <v/>
      </c>
      <c r="S2871" s="32"/>
      <c r="T2871" s="102" t="str">
        <f t="shared" si="2793"/>
        <v/>
      </c>
      <c r="U2871" s="18"/>
      <c r="V2871" s="75" t="s">
        <v>29</v>
      </c>
      <c r="W2871" s="104" t="str">
        <f t="shared" si="2828"/>
        <v>/</v>
      </c>
      <c r="X2871" s="111" t="s">
        <v>1741</v>
      </c>
      <c r="Y2871" s="106"/>
      <c r="Z2871" s="26" t="str">
        <f t="shared" si="5"/>
        <v/>
      </c>
      <c r="AA2871" s="26" t="str">
        <f t="shared" si="6"/>
        <v/>
      </c>
      <c r="AB2871" s="32" t="str">
        <f t="shared" si="7"/>
        <v/>
      </c>
      <c r="AC2871" s="32" t="str">
        <f t="shared" ref="AC2871:AG2871" si="2930">IF(J2871&lt;&gt;"", IF(AND($P2871=FALSE, $A2871=FALSE), -J2871, IF(AND($P2871=FALSE, $A2871=TRUE), 0, IF($P2871=TRUE, (J2871 / $R2871) * 100 * ($S2871 / 100)-J2871, ))), )</f>
        <v/>
      </c>
      <c r="AD2871" s="32" t="str">
        <f t="shared" si="2930"/>
        <v/>
      </c>
      <c r="AE2871" s="32" t="str">
        <f t="shared" si="2930"/>
        <v/>
      </c>
      <c r="AF2871" s="32" t="str">
        <f t="shared" si="2930"/>
        <v/>
      </c>
      <c r="AG2871" s="32" t="str">
        <f t="shared" si="2930"/>
        <v/>
      </c>
      <c r="AH2871" s="33"/>
    </row>
    <row r="2872" hidden="1" outlineLevel="3">
      <c r="A2872" s="95" t="b">
        <v>0</v>
      </c>
      <c r="B2872" s="96"/>
      <c r="C2872" s="18"/>
      <c r="D2872" s="107"/>
      <c r="E2872" s="108"/>
      <c r="F2872" s="109"/>
      <c r="G2872" s="97"/>
      <c r="H2872" s="97"/>
      <c r="I2872" s="97"/>
      <c r="J2872" s="98"/>
      <c r="K2872" s="99"/>
      <c r="L2872" s="98"/>
      <c r="M2872" s="99"/>
      <c r="N2872" s="99"/>
      <c r="O2872" s="18"/>
      <c r="P2872" s="100" t="b">
        <v>0</v>
      </c>
      <c r="Q2872" s="18"/>
      <c r="R2872" s="101" t="str">
        <f t="shared" si="2792"/>
        <v/>
      </c>
      <c r="S2872" s="32"/>
      <c r="T2872" s="102" t="str">
        <f t="shared" si="2793"/>
        <v/>
      </c>
      <c r="U2872" s="18"/>
      <c r="V2872" s="113">
        <v>4.0</v>
      </c>
      <c r="W2872" s="104" t="str">
        <f t="shared" si="2828"/>
        <v>/</v>
      </c>
      <c r="X2872" s="111" t="s">
        <v>958</v>
      </c>
      <c r="Y2872" s="106"/>
      <c r="Z2872" s="26" t="str">
        <f t="shared" si="5"/>
        <v/>
      </c>
      <c r="AA2872" s="26" t="str">
        <f t="shared" si="6"/>
        <v/>
      </c>
      <c r="AB2872" s="32" t="str">
        <f t="shared" si="7"/>
        <v/>
      </c>
      <c r="AC2872" s="32" t="str">
        <f t="shared" ref="AC2872:AG2872" si="2931">IF(J2872&lt;&gt;"", IF(AND($P2872=FALSE, $A2872=FALSE), -J2872, IF(AND($P2872=FALSE, $A2872=TRUE), 0, IF($P2872=TRUE, (J2872 / $R2872) * 100 * ($S2872 / 100)-J2872, ))), )</f>
        <v/>
      </c>
      <c r="AD2872" s="32" t="str">
        <f t="shared" si="2931"/>
        <v/>
      </c>
      <c r="AE2872" s="32" t="str">
        <f t="shared" si="2931"/>
        <v/>
      </c>
      <c r="AF2872" s="32" t="str">
        <f t="shared" si="2931"/>
        <v/>
      </c>
      <c r="AG2872" s="32" t="str">
        <f t="shared" si="2931"/>
        <v/>
      </c>
      <c r="AH2872" s="33"/>
    </row>
    <row r="2873" hidden="1" outlineLevel="3">
      <c r="A2873" s="95" t="b">
        <v>0</v>
      </c>
      <c r="B2873" s="96"/>
      <c r="C2873" s="18"/>
      <c r="D2873" s="107"/>
      <c r="E2873" s="108"/>
      <c r="F2873" s="109"/>
      <c r="G2873" s="97"/>
      <c r="H2873" s="97"/>
      <c r="I2873" s="97"/>
      <c r="J2873" s="98"/>
      <c r="K2873" s="99"/>
      <c r="L2873" s="98"/>
      <c r="M2873" s="99"/>
      <c r="N2873" s="99"/>
      <c r="O2873" s="18"/>
      <c r="P2873" s="100" t="b">
        <v>0</v>
      </c>
      <c r="Q2873" s="18"/>
      <c r="R2873" s="101" t="str">
        <f t="shared" si="2792"/>
        <v/>
      </c>
      <c r="S2873" s="32"/>
      <c r="T2873" s="102" t="str">
        <f t="shared" si="2793"/>
        <v/>
      </c>
      <c r="U2873" s="18"/>
      <c r="V2873" s="113">
        <v>3.0</v>
      </c>
      <c r="W2873" s="104" t="str">
        <f t="shared" si="2828"/>
        <v>/</v>
      </c>
      <c r="X2873" s="111" t="s">
        <v>1742</v>
      </c>
      <c r="Y2873" s="106"/>
      <c r="Z2873" s="26" t="str">
        <f t="shared" si="5"/>
        <v/>
      </c>
      <c r="AA2873" s="26" t="str">
        <f t="shared" si="6"/>
        <v/>
      </c>
      <c r="AB2873" s="32" t="str">
        <f t="shared" si="7"/>
        <v/>
      </c>
      <c r="AC2873" s="32" t="str">
        <f t="shared" ref="AC2873:AG2873" si="2932">IF(J2873&lt;&gt;"", IF(AND($P2873=FALSE, $A2873=FALSE), -J2873, IF(AND($P2873=FALSE, $A2873=TRUE), 0, IF($P2873=TRUE, (J2873 / $R2873) * 100 * ($S2873 / 100)-J2873, ))), )</f>
        <v/>
      </c>
      <c r="AD2873" s="32" t="str">
        <f t="shared" si="2932"/>
        <v/>
      </c>
      <c r="AE2873" s="32" t="str">
        <f t="shared" si="2932"/>
        <v/>
      </c>
      <c r="AF2873" s="32" t="str">
        <f t="shared" si="2932"/>
        <v/>
      </c>
      <c r="AG2873" s="32" t="str">
        <f t="shared" si="2932"/>
        <v/>
      </c>
      <c r="AH2873" s="33"/>
    </row>
    <row r="2874" hidden="1" outlineLevel="3">
      <c r="A2874" s="95" t="b">
        <v>0</v>
      </c>
      <c r="B2874" s="96"/>
      <c r="C2874" s="18"/>
      <c r="D2874" s="107"/>
      <c r="E2874" s="108"/>
      <c r="F2874" s="109"/>
      <c r="G2874" s="97"/>
      <c r="H2874" s="97"/>
      <c r="I2874" s="97"/>
      <c r="J2874" s="98"/>
      <c r="K2874" s="99"/>
      <c r="L2874" s="98"/>
      <c r="M2874" s="99"/>
      <c r="N2874" s="99"/>
      <c r="O2874" s="18"/>
      <c r="P2874" s="100" t="b">
        <v>0</v>
      </c>
      <c r="Q2874" s="18"/>
      <c r="R2874" s="101" t="str">
        <f t="shared" si="2792"/>
        <v/>
      </c>
      <c r="S2874" s="32"/>
      <c r="T2874" s="102" t="str">
        <f t="shared" si="2793"/>
        <v/>
      </c>
      <c r="U2874" s="18"/>
      <c r="V2874" s="75" t="s">
        <v>29</v>
      </c>
      <c r="W2874" s="104" t="str">
        <f t="shared" si="2828"/>
        <v>/</v>
      </c>
      <c r="X2874" s="111" t="s">
        <v>959</v>
      </c>
      <c r="Y2874" s="106"/>
      <c r="Z2874" s="26" t="str">
        <f t="shared" si="5"/>
        <v/>
      </c>
      <c r="AA2874" s="26" t="str">
        <f t="shared" si="6"/>
        <v/>
      </c>
      <c r="AB2874" s="32" t="str">
        <f t="shared" si="7"/>
        <v/>
      </c>
      <c r="AC2874" s="32" t="str">
        <f t="shared" ref="AC2874:AG2874" si="2933">IF(J2874&lt;&gt;"", IF(AND($P2874=FALSE, $A2874=FALSE), -J2874, IF(AND($P2874=FALSE, $A2874=TRUE), 0, IF($P2874=TRUE, (J2874 / $R2874) * 100 * ($S2874 / 100)-J2874, ))), )</f>
        <v/>
      </c>
      <c r="AD2874" s="32" t="str">
        <f t="shared" si="2933"/>
        <v/>
      </c>
      <c r="AE2874" s="32" t="str">
        <f t="shared" si="2933"/>
        <v/>
      </c>
      <c r="AF2874" s="32" t="str">
        <f t="shared" si="2933"/>
        <v/>
      </c>
      <c r="AG2874" s="32" t="str">
        <f t="shared" si="2933"/>
        <v/>
      </c>
      <c r="AH2874" s="33"/>
    </row>
    <row r="2875" hidden="1" outlineLevel="3">
      <c r="A2875" s="95" t="b">
        <v>0</v>
      </c>
      <c r="B2875" s="96"/>
      <c r="C2875" s="18"/>
      <c r="D2875" s="107"/>
      <c r="E2875" s="108"/>
      <c r="F2875" s="109"/>
      <c r="G2875" s="97"/>
      <c r="H2875" s="97"/>
      <c r="I2875" s="97"/>
      <c r="J2875" s="98"/>
      <c r="K2875" s="99"/>
      <c r="L2875" s="98"/>
      <c r="M2875" s="99"/>
      <c r="N2875" s="99"/>
      <c r="O2875" s="18"/>
      <c r="P2875" s="100" t="b">
        <v>0</v>
      </c>
      <c r="Q2875" s="18"/>
      <c r="R2875" s="101" t="str">
        <f t="shared" si="2792"/>
        <v/>
      </c>
      <c r="S2875" s="32"/>
      <c r="T2875" s="102" t="str">
        <f t="shared" si="2793"/>
        <v/>
      </c>
      <c r="U2875" s="18"/>
      <c r="V2875" s="103" t="str">
        <f t="shared" ref="V2875:V2876" si="2935">IF(ISBLANK($D2875), "0",)</f>
        <v>0</v>
      </c>
      <c r="W2875" s="104" t="str">
        <f t="shared" si="2828"/>
        <v>/</v>
      </c>
      <c r="X2875" s="111" t="s">
        <v>1497</v>
      </c>
      <c r="Y2875" s="106"/>
      <c r="Z2875" s="26" t="str">
        <f t="shared" si="5"/>
        <v/>
      </c>
      <c r="AA2875" s="26" t="str">
        <f t="shared" si="6"/>
        <v/>
      </c>
      <c r="AB2875" s="32" t="str">
        <f t="shared" si="7"/>
        <v/>
      </c>
      <c r="AC2875" s="32" t="str">
        <f t="shared" ref="AC2875:AG2875" si="2934">IF(J2875&lt;&gt;"", IF(AND($P2875=FALSE, $A2875=FALSE), -J2875, IF(AND($P2875=FALSE, $A2875=TRUE), 0, IF($P2875=TRUE, (J2875 / $R2875) * 100 * ($S2875 / 100)-J2875, ))), )</f>
        <v/>
      </c>
      <c r="AD2875" s="32" t="str">
        <f t="shared" si="2934"/>
        <v/>
      </c>
      <c r="AE2875" s="32" t="str">
        <f t="shared" si="2934"/>
        <v/>
      </c>
      <c r="AF2875" s="32" t="str">
        <f t="shared" si="2934"/>
        <v/>
      </c>
      <c r="AG2875" s="32" t="str">
        <f t="shared" si="2934"/>
        <v/>
      </c>
      <c r="AH2875" s="33"/>
    </row>
    <row r="2876" hidden="1" outlineLevel="2">
      <c r="A2876" s="95" t="b">
        <v>0</v>
      </c>
      <c r="B2876" s="96"/>
      <c r="C2876" s="18"/>
      <c r="D2876" s="42">
        <v>45592.0</v>
      </c>
      <c r="E2876" s="20" t="s">
        <v>24</v>
      </c>
      <c r="F2876" s="53" t="s">
        <v>1715</v>
      </c>
      <c r="G2876" s="97">
        <v>3.0</v>
      </c>
      <c r="H2876" s="97"/>
      <c r="I2876" s="97">
        <v>2.0</v>
      </c>
      <c r="J2876" s="98"/>
      <c r="K2876" s="99"/>
      <c r="L2876" s="98"/>
      <c r="M2876" s="99"/>
      <c r="N2876" s="99"/>
      <c r="O2876" s="18"/>
      <c r="P2876" s="100" t="b">
        <v>0</v>
      </c>
      <c r="Q2876" s="18"/>
      <c r="R2876" s="101">
        <f t="shared" si="2792"/>
        <v>5</v>
      </c>
      <c r="S2876" s="32">
        <v>39.64</v>
      </c>
      <c r="T2876" s="102" t="str">
        <f t="shared" si="2793"/>
        <v>+693</v>
      </c>
      <c r="U2876" s="18"/>
      <c r="V2876" s="103" t="str">
        <f t="shared" si="2935"/>
        <v/>
      </c>
      <c r="W2876" s="104" t="str">
        <f t="shared" si="2828"/>
        <v/>
      </c>
      <c r="X2876" s="105"/>
      <c r="Y2876" s="106"/>
      <c r="Z2876" s="26">
        <f t="shared" si="5"/>
        <v>-3</v>
      </c>
      <c r="AA2876" s="26">
        <f t="shared" si="6"/>
        <v>-2</v>
      </c>
      <c r="AB2876" s="32" t="str">
        <f t="shared" si="7"/>
        <v/>
      </c>
      <c r="AC2876" s="32" t="str">
        <f t="shared" ref="AC2876:AG2876" si="2936">IF(J2876&lt;&gt;"", IF(AND($P2876=FALSE, $A2876=FALSE), -J2876, IF(AND($P2876=FALSE, $A2876=TRUE), 0, IF($P2876=TRUE, (J2876 / $R2876) * 100 * ($S2876 / 100)-J2876, ))), )</f>
        <v/>
      </c>
      <c r="AD2876" s="32" t="str">
        <f t="shared" si="2936"/>
        <v/>
      </c>
      <c r="AE2876" s="32" t="str">
        <f t="shared" si="2936"/>
        <v/>
      </c>
      <c r="AF2876" s="32" t="str">
        <f t="shared" si="2936"/>
        <v/>
      </c>
      <c r="AG2876" s="32" t="str">
        <f t="shared" si="2936"/>
        <v/>
      </c>
      <c r="AH2876" s="33"/>
    </row>
    <row r="2877" hidden="1" outlineLevel="3">
      <c r="A2877" s="95" t="b">
        <v>0</v>
      </c>
      <c r="B2877" s="96"/>
      <c r="C2877" s="18"/>
      <c r="D2877" s="107"/>
      <c r="E2877" s="108"/>
      <c r="F2877" s="109"/>
      <c r="G2877" s="97"/>
      <c r="H2877" s="97"/>
      <c r="I2877" s="97"/>
      <c r="J2877" s="98"/>
      <c r="K2877" s="99"/>
      <c r="L2877" s="98"/>
      <c r="M2877" s="99"/>
      <c r="N2877" s="99"/>
      <c r="O2877" s="18"/>
      <c r="P2877" s="100" t="b">
        <v>0</v>
      </c>
      <c r="Q2877" s="18"/>
      <c r="R2877" s="101" t="str">
        <f t="shared" si="2792"/>
        <v/>
      </c>
      <c r="S2877" s="32"/>
      <c r="T2877" s="102" t="str">
        <f t="shared" si="2793"/>
        <v/>
      </c>
      <c r="U2877" s="18"/>
      <c r="V2877" s="75" t="s">
        <v>29</v>
      </c>
      <c r="W2877" s="104" t="str">
        <f t="shared" si="2828"/>
        <v>/</v>
      </c>
      <c r="X2877" s="111" t="s">
        <v>1743</v>
      </c>
      <c r="Y2877" s="106"/>
      <c r="Z2877" s="26" t="str">
        <f t="shared" si="5"/>
        <v/>
      </c>
      <c r="AA2877" s="26" t="str">
        <f t="shared" si="6"/>
        <v/>
      </c>
      <c r="AB2877" s="32" t="str">
        <f t="shared" si="7"/>
        <v/>
      </c>
      <c r="AC2877" s="32" t="str">
        <f t="shared" ref="AC2877:AG2877" si="2937">IF(J2877&lt;&gt;"", IF(AND($P2877=FALSE, $A2877=FALSE), -J2877, IF(AND($P2877=FALSE, $A2877=TRUE), 0, IF($P2877=TRUE, (J2877 / $R2877) * 100 * ($S2877 / 100)-J2877, ))), )</f>
        <v/>
      </c>
      <c r="AD2877" s="32" t="str">
        <f t="shared" si="2937"/>
        <v/>
      </c>
      <c r="AE2877" s="32" t="str">
        <f t="shared" si="2937"/>
        <v/>
      </c>
      <c r="AF2877" s="32" t="str">
        <f t="shared" si="2937"/>
        <v/>
      </c>
      <c r="AG2877" s="32" t="str">
        <f t="shared" si="2937"/>
        <v/>
      </c>
      <c r="AH2877" s="33"/>
    </row>
    <row r="2878" hidden="1" outlineLevel="3">
      <c r="A2878" s="95" t="b">
        <v>0</v>
      </c>
      <c r="B2878" s="96"/>
      <c r="C2878" s="18"/>
      <c r="D2878" s="107"/>
      <c r="E2878" s="108"/>
      <c r="F2878" s="109"/>
      <c r="G2878" s="97"/>
      <c r="H2878" s="97"/>
      <c r="I2878" s="97"/>
      <c r="J2878" s="98"/>
      <c r="K2878" s="99"/>
      <c r="L2878" s="98"/>
      <c r="M2878" s="99"/>
      <c r="N2878" s="99"/>
      <c r="O2878" s="18"/>
      <c r="P2878" s="100" t="b">
        <v>0</v>
      </c>
      <c r="Q2878" s="18"/>
      <c r="R2878" s="101" t="str">
        <f t="shared" si="2792"/>
        <v/>
      </c>
      <c r="S2878" s="32"/>
      <c r="T2878" s="102" t="str">
        <f t="shared" si="2793"/>
        <v/>
      </c>
      <c r="U2878" s="18"/>
      <c r="V2878" s="75" t="s">
        <v>29</v>
      </c>
      <c r="W2878" s="104" t="str">
        <f t="shared" si="2828"/>
        <v>/</v>
      </c>
      <c r="X2878" s="111" t="s">
        <v>683</v>
      </c>
      <c r="Y2878" s="106"/>
      <c r="Z2878" s="26" t="str">
        <f t="shared" si="5"/>
        <v/>
      </c>
      <c r="AA2878" s="26" t="str">
        <f t="shared" si="6"/>
        <v/>
      </c>
      <c r="AB2878" s="32" t="str">
        <f t="shared" si="7"/>
        <v/>
      </c>
      <c r="AC2878" s="32" t="str">
        <f t="shared" ref="AC2878:AG2878" si="2938">IF(J2878&lt;&gt;"", IF(AND($P2878=FALSE, $A2878=FALSE), -J2878, IF(AND($P2878=FALSE, $A2878=TRUE), 0, IF($P2878=TRUE, (J2878 / $R2878) * 100 * ($S2878 / 100)-J2878, ))), )</f>
        <v/>
      </c>
      <c r="AD2878" s="32" t="str">
        <f t="shared" si="2938"/>
        <v/>
      </c>
      <c r="AE2878" s="32" t="str">
        <f t="shared" si="2938"/>
        <v/>
      </c>
      <c r="AF2878" s="32" t="str">
        <f t="shared" si="2938"/>
        <v/>
      </c>
      <c r="AG2878" s="32" t="str">
        <f t="shared" si="2938"/>
        <v/>
      </c>
      <c r="AH2878" s="33"/>
    </row>
    <row r="2879" hidden="1" outlineLevel="3">
      <c r="A2879" s="95" t="b">
        <v>0</v>
      </c>
      <c r="B2879" s="96"/>
      <c r="C2879" s="18"/>
      <c r="D2879" s="107"/>
      <c r="E2879" s="108"/>
      <c r="F2879" s="109"/>
      <c r="G2879" s="97"/>
      <c r="H2879" s="97"/>
      <c r="I2879" s="97"/>
      <c r="J2879" s="98"/>
      <c r="K2879" s="99"/>
      <c r="L2879" s="98"/>
      <c r="M2879" s="99"/>
      <c r="N2879" s="99"/>
      <c r="O2879" s="18"/>
      <c r="P2879" s="100" t="b">
        <v>0</v>
      </c>
      <c r="Q2879" s="18"/>
      <c r="R2879" s="101" t="str">
        <f t="shared" si="2792"/>
        <v/>
      </c>
      <c r="S2879" s="32"/>
      <c r="T2879" s="102" t="str">
        <f t="shared" si="2793"/>
        <v/>
      </c>
      <c r="U2879" s="18"/>
      <c r="V2879" s="75" t="s">
        <v>29</v>
      </c>
      <c r="W2879" s="104" t="str">
        <f t="shared" si="2828"/>
        <v>/</v>
      </c>
      <c r="X2879" s="111" t="s">
        <v>1744</v>
      </c>
      <c r="Y2879" s="106"/>
      <c r="Z2879" s="26" t="str">
        <f t="shared" si="5"/>
        <v/>
      </c>
      <c r="AA2879" s="26" t="str">
        <f t="shared" si="6"/>
        <v/>
      </c>
      <c r="AB2879" s="32" t="str">
        <f t="shared" si="7"/>
        <v/>
      </c>
      <c r="AC2879" s="32" t="str">
        <f t="shared" ref="AC2879:AG2879" si="2939">IF(J2879&lt;&gt;"", IF(AND($P2879=FALSE, $A2879=FALSE), -J2879, IF(AND($P2879=FALSE, $A2879=TRUE), 0, IF($P2879=TRUE, (J2879 / $R2879) * 100 * ($S2879 / 100)-J2879, ))), )</f>
        <v/>
      </c>
      <c r="AD2879" s="32" t="str">
        <f t="shared" si="2939"/>
        <v/>
      </c>
      <c r="AE2879" s="32" t="str">
        <f t="shared" si="2939"/>
        <v/>
      </c>
      <c r="AF2879" s="32" t="str">
        <f t="shared" si="2939"/>
        <v/>
      </c>
      <c r="AG2879" s="32" t="str">
        <f t="shared" si="2939"/>
        <v/>
      </c>
      <c r="AH2879" s="33"/>
    </row>
    <row r="2880" hidden="1" outlineLevel="3">
      <c r="A2880" s="95" t="b">
        <v>0</v>
      </c>
      <c r="B2880" s="96"/>
      <c r="C2880" s="18"/>
      <c r="D2880" s="107"/>
      <c r="E2880" s="108"/>
      <c r="F2880" s="109"/>
      <c r="G2880" s="97"/>
      <c r="H2880" s="97"/>
      <c r="I2880" s="97"/>
      <c r="J2880" s="98"/>
      <c r="K2880" s="99"/>
      <c r="L2880" s="98"/>
      <c r="M2880" s="99"/>
      <c r="N2880" s="99"/>
      <c r="O2880" s="18"/>
      <c r="P2880" s="100" t="b">
        <v>0</v>
      </c>
      <c r="Q2880" s="18"/>
      <c r="R2880" s="101" t="str">
        <f t="shared" si="2792"/>
        <v/>
      </c>
      <c r="S2880" s="32"/>
      <c r="T2880" s="102" t="str">
        <f t="shared" si="2793"/>
        <v/>
      </c>
      <c r="U2880" s="18"/>
      <c r="V2880" s="113">
        <v>18.0</v>
      </c>
      <c r="W2880" s="104" t="str">
        <f t="shared" si="2828"/>
        <v>/</v>
      </c>
      <c r="X2880" s="111" t="s">
        <v>1612</v>
      </c>
      <c r="Y2880" s="106"/>
      <c r="Z2880" s="26" t="str">
        <f t="shared" si="5"/>
        <v/>
      </c>
      <c r="AA2880" s="26" t="str">
        <f t="shared" si="6"/>
        <v/>
      </c>
      <c r="AB2880" s="32" t="str">
        <f t="shared" si="7"/>
        <v/>
      </c>
      <c r="AC2880" s="32" t="str">
        <f t="shared" ref="AC2880:AG2880" si="2940">IF(J2880&lt;&gt;"", IF(AND($P2880=FALSE, $A2880=FALSE), -J2880, IF(AND($P2880=FALSE, $A2880=TRUE), 0, IF($P2880=TRUE, (J2880 / $R2880) * 100 * ($S2880 / 100)-J2880, ))), )</f>
        <v/>
      </c>
      <c r="AD2880" s="32" t="str">
        <f t="shared" si="2940"/>
        <v/>
      </c>
      <c r="AE2880" s="32" t="str">
        <f t="shared" si="2940"/>
        <v/>
      </c>
      <c r="AF2880" s="32" t="str">
        <f t="shared" si="2940"/>
        <v/>
      </c>
      <c r="AG2880" s="32" t="str">
        <f t="shared" si="2940"/>
        <v/>
      </c>
      <c r="AH2880" s="33"/>
    </row>
    <row r="2881" hidden="1" outlineLevel="3">
      <c r="A2881" s="95" t="b">
        <v>0</v>
      </c>
      <c r="B2881" s="96"/>
      <c r="C2881" s="18"/>
      <c r="D2881" s="107"/>
      <c r="E2881" s="108"/>
      <c r="F2881" s="109"/>
      <c r="G2881" s="97"/>
      <c r="H2881" s="97"/>
      <c r="I2881" s="97"/>
      <c r="J2881" s="98"/>
      <c r="K2881" s="99"/>
      <c r="L2881" s="98"/>
      <c r="M2881" s="99"/>
      <c r="N2881" s="99"/>
      <c r="O2881" s="18"/>
      <c r="P2881" s="100" t="b">
        <v>0</v>
      </c>
      <c r="Q2881" s="18"/>
      <c r="R2881" s="101" t="str">
        <f t="shared" si="2792"/>
        <v/>
      </c>
      <c r="S2881" s="32"/>
      <c r="T2881" s="102" t="str">
        <f t="shared" si="2793"/>
        <v/>
      </c>
      <c r="U2881" s="18"/>
      <c r="V2881" s="75" t="s">
        <v>29</v>
      </c>
      <c r="W2881" s="104" t="str">
        <f t="shared" si="2828"/>
        <v>/</v>
      </c>
      <c r="X2881" s="111" t="s">
        <v>1745</v>
      </c>
      <c r="Y2881" s="106"/>
      <c r="Z2881" s="26" t="str">
        <f t="shared" si="5"/>
        <v/>
      </c>
      <c r="AA2881" s="26" t="str">
        <f t="shared" si="6"/>
        <v/>
      </c>
      <c r="AB2881" s="32" t="str">
        <f t="shared" si="7"/>
        <v/>
      </c>
      <c r="AC2881" s="32" t="str">
        <f t="shared" ref="AC2881:AG2881" si="2941">IF(J2881&lt;&gt;"", IF(AND($P2881=FALSE, $A2881=FALSE), -J2881, IF(AND($P2881=FALSE, $A2881=TRUE), 0, IF($P2881=TRUE, (J2881 / $R2881) * 100 * ($S2881 / 100)-J2881, ))), )</f>
        <v/>
      </c>
      <c r="AD2881" s="32" t="str">
        <f t="shared" si="2941"/>
        <v/>
      </c>
      <c r="AE2881" s="32" t="str">
        <f t="shared" si="2941"/>
        <v/>
      </c>
      <c r="AF2881" s="32" t="str">
        <f t="shared" si="2941"/>
        <v/>
      </c>
      <c r="AG2881" s="32" t="str">
        <f t="shared" si="2941"/>
        <v/>
      </c>
      <c r="AH2881" s="33"/>
    </row>
    <row r="2882" hidden="1" outlineLevel="3">
      <c r="A2882" s="95" t="b">
        <v>0</v>
      </c>
      <c r="B2882" s="96"/>
      <c r="C2882" s="18"/>
      <c r="D2882" s="107"/>
      <c r="E2882" s="108"/>
      <c r="F2882" s="109"/>
      <c r="G2882" s="97"/>
      <c r="H2882" s="97"/>
      <c r="I2882" s="97"/>
      <c r="J2882" s="98"/>
      <c r="K2882" s="99"/>
      <c r="L2882" s="98"/>
      <c r="M2882" s="99"/>
      <c r="N2882" s="99"/>
      <c r="O2882" s="18"/>
      <c r="P2882" s="100" t="b">
        <v>0</v>
      </c>
      <c r="Q2882" s="18"/>
      <c r="R2882" s="101" t="str">
        <f t="shared" si="2792"/>
        <v/>
      </c>
      <c r="S2882" s="32"/>
      <c r="T2882" s="102" t="str">
        <f t="shared" si="2793"/>
        <v/>
      </c>
      <c r="U2882" s="18"/>
      <c r="V2882" s="75" t="s">
        <v>29</v>
      </c>
      <c r="W2882" s="104" t="str">
        <f t="shared" si="2828"/>
        <v>/</v>
      </c>
      <c r="X2882" s="111" t="s">
        <v>376</v>
      </c>
      <c r="Y2882" s="106"/>
      <c r="Z2882" s="26" t="str">
        <f t="shared" si="5"/>
        <v/>
      </c>
      <c r="AA2882" s="26" t="str">
        <f t="shared" si="6"/>
        <v/>
      </c>
      <c r="AB2882" s="32" t="str">
        <f t="shared" si="7"/>
        <v/>
      </c>
      <c r="AC2882" s="32" t="str">
        <f t="shared" ref="AC2882:AG2882" si="2942">IF(J2882&lt;&gt;"", IF(AND($P2882=FALSE, $A2882=FALSE), -J2882, IF(AND($P2882=FALSE, $A2882=TRUE), 0, IF($P2882=TRUE, (J2882 / $R2882) * 100 * ($S2882 / 100)-J2882, ))), )</f>
        <v/>
      </c>
      <c r="AD2882" s="32" t="str">
        <f t="shared" si="2942"/>
        <v/>
      </c>
      <c r="AE2882" s="32" t="str">
        <f t="shared" si="2942"/>
        <v/>
      </c>
      <c r="AF2882" s="32" t="str">
        <f t="shared" si="2942"/>
        <v/>
      </c>
      <c r="AG2882" s="32" t="str">
        <f t="shared" si="2942"/>
        <v/>
      </c>
      <c r="AH2882" s="33"/>
    </row>
    <row r="2883" hidden="1" outlineLevel="3">
      <c r="A2883" s="95" t="b">
        <v>0</v>
      </c>
      <c r="B2883" s="96"/>
      <c r="C2883" s="18"/>
      <c r="D2883" s="107"/>
      <c r="E2883" s="108"/>
      <c r="F2883" s="109"/>
      <c r="G2883" s="97"/>
      <c r="H2883" s="97"/>
      <c r="I2883" s="97"/>
      <c r="J2883" s="98"/>
      <c r="K2883" s="99"/>
      <c r="L2883" s="98"/>
      <c r="M2883" s="99"/>
      <c r="N2883" s="99"/>
      <c r="O2883" s="18"/>
      <c r="P2883" s="100" t="b">
        <v>0</v>
      </c>
      <c r="Q2883" s="18"/>
      <c r="R2883" s="101" t="str">
        <f t="shared" si="2792"/>
        <v/>
      </c>
      <c r="S2883" s="32"/>
      <c r="T2883" s="102" t="str">
        <f t="shared" si="2793"/>
        <v/>
      </c>
      <c r="U2883" s="18"/>
      <c r="V2883" s="75" t="s">
        <v>29</v>
      </c>
      <c r="W2883" s="104" t="str">
        <f t="shared" si="2828"/>
        <v>/</v>
      </c>
      <c r="X2883" s="111" t="s">
        <v>495</v>
      </c>
      <c r="Y2883" s="106"/>
      <c r="Z2883" s="26" t="str">
        <f t="shared" si="5"/>
        <v/>
      </c>
      <c r="AA2883" s="26" t="str">
        <f t="shared" si="6"/>
        <v/>
      </c>
      <c r="AB2883" s="32" t="str">
        <f t="shared" si="7"/>
        <v/>
      </c>
      <c r="AC2883" s="32" t="str">
        <f t="shared" ref="AC2883:AG2883" si="2943">IF(J2883&lt;&gt;"", IF(AND($P2883=FALSE, $A2883=FALSE), -J2883, IF(AND($P2883=FALSE, $A2883=TRUE), 0, IF($P2883=TRUE, (J2883 / $R2883) * 100 * ($S2883 / 100)-J2883, ))), )</f>
        <v/>
      </c>
      <c r="AD2883" s="32" t="str">
        <f t="shared" si="2943"/>
        <v/>
      </c>
      <c r="AE2883" s="32" t="str">
        <f t="shared" si="2943"/>
        <v/>
      </c>
      <c r="AF2883" s="32" t="str">
        <f t="shared" si="2943"/>
        <v/>
      </c>
      <c r="AG2883" s="32" t="str">
        <f t="shared" si="2943"/>
        <v/>
      </c>
      <c r="AH2883" s="33"/>
    </row>
    <row r="2884" hidden="1" outlineLevel="3">
      <c r="A2884" s="95" t="b">
        <v>0</v>
      </c>
      <c r="B2884" s="96"/>
      <c r="C2884" s="18"/>
      <c r="D2884" s="107"/>
      <c r="E2884" s="108"/>
      <c r="F2884" s="109"/>
      <c r="G2884" s="97"/>
      <c r="H2884" s="97"/>
      <c r="I2884" s="97"/>
      <c r="J2884" s="98"/>
      <c r="K2884" s="99"/>
      <c r="L2884" s="98"/>
      <c r="M2884" s="99"/>
      <c r="N2884" s="99"/>
      <c r="O2884" s="18"/>
      <c r="P2884" s="100" t="b">
        <v>0</v>
      </c>
      <c r="Q2884" s="18"/>
      <c r="R2884" s="101" t="str">
        <f t="shared" si="2792"/>
        <v/>
      </c>
      <c r="S2884" s="32"/>
      <c r="T2884" s="102" t="str">
        <f t="shared" si="2793"/>
        <v/>
      </c>
      <c r="U2884" s="18"/>
      <c r="V2884" s="75" t="s">
        <v>29</v>
      </c>
      <c r="W2884" s="104" t="str">
        <f t="shared" si="2828"/>
        <v>/</v>
      </c>
      <c r="X2884" s="111" t="s">
        <v>1746</v>
      </c>
      <c r="Y2884" s="106"/>
      <c r="Z2884" s="26" t="str">
        <f t="shared" si="5"/>
        <v/>
      </c>
      <c r="AA2884" s="26" t="str">
        <f t="shared" si="6"/>
        <v/>
      </c>
      <c r="AB2884" s="32" t="str">
        <f t="shared" si="7"/>
        <v/>
      </c>
      <c r="AC2884" s="32" t="str">
        <f t="shared" ref="AC2884:AG2884" si="2944">IF(J2884&lt;&gt;"", IF(AND($P2884=FALSE, $A2884=FALSE), -J2884, IF(AND($P2884=FALSE, $A2884=TRUE), 0, IF($P2884=TRUE, (J2884 / $R2884) * 100 * ($S2884 / 100)-J2884, ))), )</f>
        <v/>
      </c>
      <c r="AD2884" s="32" t="str">
        <f t="shared" si="2944"/>
        <v/>
      </c>
      <c r="AE2884" s="32" t="str">
        <f t="shared" si="2944"/>
        <v/>
      </c>
      <c r="AF2884" s="32" t="str">
        <f t="shared" si="2944"/>
        <v/>
      </c>
      <c r="AG2884" s="32" t="str">
        <f t="shared" si="2944"/>
        <v/>
      </c>
      <c r="AH2884" s="33"/>
    </row>
    <row r="2885" hidden="1" outlineLevel="1" collapsed="1">
      <c r="A2885" s="95" t="b">
        <v>0</v>
      </c>
      <c r="B2885" s="96"/>
      <c r="C2885" s="18"/>
      <c r="D2885" s="42">
        <v>45593.0</v>
      </c>
      <c r="E2885" s="20" t="s">
        <v>24</v>
      </c>
      <c r="F2885" s="53" t="s">
        <v>1715</v>
      </c>
      <c r="G2885" s="97">
        <v>2.0</v>
      </c>
      <c r="H2885" s="97"/>
      <c r="I2885" s="97">
        <v>5.0</v>
      </c>
      <c r="J2885" s="98"/>
      <c r="K2885" s="99"/>
      <c r="L2885" s="98"/>
      <c r="M2885" s="99"/>
      <c r="N2885" s="99"/>
      <c r="O2885" s="18"/>
      <c r="P2885" s="100" t="b">
        <v>1</v>
      </c>
      <c r="Q2885" s="18"/>
      <c r="R2885" s="101">
        <f t="shared" si="2792"/>
        <v>7</v>
      </c>
      <c r="S2885" s="32">
        <v>14.71</v>
      </c>
      <c r="T2885" s="102" t="str">
        <f t="shared" si="2793"/>
        <v>+110</v>
      </c>
      <c r="U2885" s="18"/>
      <c r="V2885" s="103" t="str">
        <f>IF(ISBLANK($D2885), "0",)</f>
        <v/>
      </c>
      <c r="W2885" s="104" t="str">
        <f t="shared" si="2828"/>
        <v/>
      </c>
      <c r="X2885" s="105"/>
      <c r="Y2885" s="106"/>
      <c r="Z2885" s="26">
        <f t="shared" si="5"/>
        <v>2.202857143</v>
      </c>
      <c r="AA2885" s="26">
        <f t="shared" si="6"/>
        <v>5.507142857</v>
      </c>
      <c r="AB2885" s="32" t="str">
        <f t="shared" si="7"/>
        <v/>
      </c>
      <c r="AC2885" s="32" t="str">
        <f t="shared" ref="AC2885:AG2885" si="2945">IF(J2885&lt;&gt;"", IF(AND($P2885=FALSE, $A2885=FALSE), -J2885, IF(AND($P2885=FALSE, $A2885=TRUE), 0, IF($P2885=TRUE, (J2885 / $R2885) * 100 * ($S2885 / 100)-J2885, ))), )</f>
        <v/>
      </c>
      <c r="AD2885" s="32" t="str">
        <f t="shared" si="2945"/>
        <v/>
      </c>
      <c r="AE2885" s="32" t="str">
        <f t="shared" si="2945"/>
        <v/>
      </c>
      <c r="AF2885" s="32" t="str">
        <f t="shared" si="2945"/>
        <v/>
      </c>
      <c r="AG2885" s="32" t="str">
        <f t="shared" si="2945"/>
        <v/>
      </c>
      <c r="AH2885" s="33"/>
    </row>
    <row r="2886" hidden="1" outlineLevel="3">
      <c r="A2886" s="95" t="b">
        <v>0</v>
      </c>
      <c r="B2886" s="96"/>
      <c r="C2886" s="18"/>
      <c r="D2886" s="107"/>
      <c r="E2886" s="108"/>
      <c r="F2886" s="109"/>
      <c r="G2886" s="97"/>
      <c r="H2886" s="97"/>
      <c r="I2886" s="97"/>
      <c r="J2886" s="98"/>
      <c r="K2886" s="99"/>
      <c r="L2886" s="98"/>
      <c r="M2886" s="99"/>
      <c r="N2886" s="99"/>
      <c r="O2886" s="18"/>
      <c r="P2886" s="100" t="b">
        <v>0</v>
      </c>
      <c r="Q2886" s="18"/>
      <c r="R2886" s="101" t="str">
        <f t="shared" si="2792"/>
        <v/>
      </c>
      <c r="S2886" s="32"/>
      <c r="T2886" s="102" t="str">
        <f t="shared" si="2793"/>
        <v/>
      </c>
      <c r="U2886" s="18"/>
      <c r="V2886" s="75" t="s">
        <v>29</v>
      </c>
      <c r="W2886" s="104" t="str">
        <f t="shared" si="2828"/>
        <v>/</v>
      </c>
      <c r="X2886" s="111" t="s">
        <v>1747</v>
      </c>
      <c r="Y2886" s="106"/>
      <c r="Z2886" s="26" t="str">
        <f t="shared" si="5"/>
        <v/>
      </c>
      <c r="AA2886" s="26" t="str">
        <f t="shared" si="6"/>
        <v/>
      </c>
      <c r="AB2886" s="32" t="str">
        <f t="shared" si="7"/>
        <v/>
      </c>
      <c r="AC2886" s="32" t="str">
        <f t="shared" ref="AC2886:AG2886" si="2946">IF(J2886&lt;&gt;"", IF(AND($P2886=FALSE, $A2886=FALSE), -J2886, IF(AND($P2886=FALSE, $A2886=TRUE), 0, IF($P2886=TRUE, (J2886 / $R2886) * 100 * ($S2886 / 100)-J2886, ))), )</f>
        <v/>
      </c>
      <c r="AD2886" s="32" t="str">
        <f t="shared" si="2946"/>
        <v/>
      </c>
      <c r="AE2886" s="32" t="str">
        <f t="shared" si="2946"/>
        <v/>
      </c>
      <c r="AF2886" s="32" t="str">
        <f t="shared" si="2946"/>
        <v/>
      </c>
      <c r="AG2886" s="32" t="str">
        <f t="shared" si="2946"/>
        <v/>
      </c>
      <c r="AH2886" s="33"/>
    </row>
    <row r="2887" hidden="1" outlineLevel="3">
      <c r="A2887" s="95" t="b">
        <v>0</v>
      </c>
      <c r="B2887" s="96"/>
      <c r="C2887" s="18"/>
      <c r="D2887" s="107"/>
      <c r="E2887" s="108"/>
      <c r="F2887" s="109"/>
      <c r="G2887" s="97"/>
      <c r="H2887" s="97"/>
      <c r="I2887" s="97"/>
      <c r="J2887" s="98"/>
      <c r="K2887" s="99"/>
      <c r="L2887" s="98"/>
      <c r="M2887" s="99"/>
      <c r="N2887" s="99"/>
      <c r="O2887" s="18"/>
      <c r="P2887" s="100" t="b">
        <v>0</v>
      </c>
      <c r="Q2887" s="18"/>
      <c r="R2887" s="101" t="str">
        <f t="shared" si="2792"/>
        <v/>
      </c>
      <c r="S2887" s="32"/>
      <c r="T2887" s="102" t="str">
        <f t="shared" si="2793"/>
        <v/>
      </c>
      <c r="U2887" s="18"/>
      <c r="V2887" s="75" t="s">
        <v>29</v>
      </c>
      <c r="W2887" s="104" t="str">
        <f t="shared" si="2828"/>
        <v>/</v>
      </c>
      <c r="X2887" s="111" t="s">
        <v>1748</v>
      </c>
      <c r="Y2887" s="106"/>
      <c r="Z2887" s="26" t="str">
        <f t="shared" si="5"/>
        <v/>
      </c>
      <c r="AA2887" s="26" t="str">
        <f t="shared" si="6"/>
        <v/>
      </c>
      <c r="AB2887" s="32" t="str">
        <f t="shared" si="7"/>
        <v/>
      </c>
      <c r="AC2887" s="32" t="str">
        <f t="shared" ref="AC2887:AG2887" si="2947">IF(J2887&lt;&gt;"", IF(AND($P2887=FALSE, $A2887=FALSE), -J2887, IF(AND($P2887=FALSE, $A2887=TRUE), 0, IF($P2887=TRUE, (J2887 / $R2887) * 100 * ($S2887 / 100)-J2887, ))), )</f>
        <v/>
      </c>
      <c r="AD2887" s="32" t="str">
        <f t="shared" si="2947"/>
        <v/>
      </c>
      <c r="AE2887" s="32" t="str">
        <f t="shared" si="2947"/>
        <v/>
      </c>
      <c r="AF2887" s="32" t="str">
        <f t="shared" si="2947"/>
        <v/>
      </c>
      <c r="AG2887" s="32" t="str">
        <f t="shared" si="2947"/>
        <v/>
      </c>
      <c r="AH2887" s="33"/>
    </row>
    <row r="2888" hidden="1" outlineLevel="3">
      <c r="A2888" s="95" t="b">
        <v>0</v>
      </c>
      <c r="B2888" s="96"/>
      <c r="C2888" s="18"/>
      <c r="D2888" s="107"/>
      <c r="E2888" s="108"/>
      <c r="F2888" s="109"/>
      <c r="G2888" s="97"/>
      <c r="H2888" s="97"/>
      <c r="I2888" s="97"/>
      <c r="J2888" s="98"/>
      <c r="K2888" s="99"/>
      <c r="L2888" s="98"/>
      <c r="M2888" s="99"/>
      <c r="N2888" s="99"/>
      <c r="O2888" s="18"/>
      <c r="P2888" s="100" t="b">
        <v>0</v>
      </c>
      <c r="Q2888" s="18"/>
      <c r="R2888" s="101" t="str">
        <f t="shared" si="2792"/>
        <v/>
      </c>
      <c r="S2888" s="32"/>
      <c r="T2888" s="102" t="str">
        <f t="shared" si="2793"/>
        <v/>
      </c>
      <c r="U2888" s="18"/>
      <c r="V2888" s="75" t="s">
        <v>29</v>
      </c>
      <c r="W2888" s="104" t="str">
        <f t="shared" si="2828"/>
        <v>/</v>
      </c>
      <c r="X2888" s="111" t="s">
        <v>1749</v>
      </c>
      <c r="Y2888" s="106"/>
      <c r="Z2888" s="26" t="str">
        <f t="shared" si="5"/>
        <v/>
      </c>
      <c r="AA2888" s="26" t="str">
        <f t="shared" si="6"/>
        <v/>
      </c>
      <c r="AB2888" s="32" t="str">
        <f t="shared" si="7"/>
        <v/>
      </c>
      <c r="AC2888" s="32" t="str">
        <f t="shared" ref="AC2888:AG2888" si="2948">IF(J2888&lt;&gt;"", IF(AND($P2888=FALSE, $A2888=FALSE), -J2888, IF(AND($P2888=FALSE, $A2888=TRUE), 0, IF($P2888=TRUE, (J2888 / $R2888) * 100 * ($S2888 / 100)-J2888, ))), )</f>
        <v/>
      </c>
      <c r="AD2888" s="32" t="str">
        <f t="shared" si="2948"/>
        <v/>
      </c>
      <c r="AE2888" s="32" t="str">
        <f t="shared" si="2948"/>
        <v/>
      </c>
      <c r="AF2888" s="32" t="str">
        <f t="shared" si="2948"/>
        <v/>
      </c>
      <c r="AG2888" s="32" t="str">
        <f t="shared" si="2948"/>
        <v/>
      </c>
      <c r="AH2888" s="33"/>
    </row>
    <row r="2889" hidden="1" outlineLevel="2" collapsed="1">
      <c r="A2889" s="95" t="b">
        <v>0</v>
      </c>
      <c r="B2889" s="96"/>
      <c r="C2889" s="18"/>
      <c r="D2889" s="42">
        <v>45593.0</v>
      </c>
      <c r="E2889" s="20" t="s">
        <v>24</v>
      </c>
      <c r="F2889" s="53" t="s">
        <v>1715</v>
      </c>
      <c r="G2889" s="97">
        <v>2.0</v>
      </c>
      <c r="H2889" s="97"/>
      <c r="I2889" s="97">
        <v>3.0</v>
      </c>
      <c r="J2889" s="98"/>
      <c r="K2889" s="99"/>
      <c r="L2889" s="98"/>
      <c r="M2889" s="99"/>
      <c r="N2889" s="99"/>
      <c r="O2889" s="18"/>
      <c r="P2889" s="100" t="b">
        <v>1</v>
      </c>
      <c r="Q2889" s="18"/>
      <c r="R2889" s="101">
        <f t="shared" si="2792"/>
        <v>5</v>
      </c>
      <c r="S2889" s="32">
        <v>10.19</v>
      </c>
      <c r="T2889" s="102" t="str">
        <f t="shared" si="2793"/>
        <v>+104</v>
      </c>
      <c r="U2889" s="18"/>
      <c r="V2889" s="103" t="str">
        <f>IF(ISBLANK($D2889), "0",)</f>
        <v/>
      </c>
      <c r="W2889" s="104" t="str">
        <f t="shared" si="2828"/>
        <v/>
      </c>
      <c r="X2889" s="105"/>
      <c r="Y2889" s="106"/>
      <c r="Z2889" s="26">
        <f t="shared" si="5"/>
        <v>2.076</v>
      </c>
      <c r="AA2889" s="26">
        <f t="shared" si="6"/>
        <v>3.114</v>
      </c>
      <c r="AB2889" s="32" t="str">
        <f t="shared" si="7"/>
        <v/>
      </c>
      <c r="AC2889" s="32" t="str">
        <f t="shared" ref="AC2889:AG2889" si="2949">IF(J2889&lt;&gt;"", IF(AND($P2889=FALSE, $A2889=FALSE), -J2889, IF(AND($P2889=FALSE, $A2889=TRUE), 0, IF($P2889=TRUE, (J2889 / $R2889) * 100 * ($S2889 / 100)-J2889, ))), )</f>
        <v/>
      </c>
      <c r="AD2889" s="32" t="str">
        <f t="shared" si="2949"/>
        <v/>
      </c>
      <c r="AE2889" s="32" t="str">
        <f t="shared" si="2949"/>
        <v/>
      </c>
      <c r="AF2889" s="32" t="str">
        <f t="shared" si="2949"/>
        <v/>
      </c>
      <c r="AG2889" s="32" t="str">
        <f t="shared" si="2949"/>
        <v/>
      </c>
      <c r="AH2889" s="33"/>
    </row>
    <row r="2890" hidden="1" outlineLevel="3">
      <c r="A2890" s="95" t="b">
        <v>0</v>
      </c>
      <c r="B2890" s="96"/>
      <c r="C2890" s="18"/>
      <c r="D2890" s="107"/>
      <c r="E2890" s="108"/>
      <c r="F2890" s="109"/>
      <c r="G2890" s="97"/>
      <c r="H2890" s="97"/>
      <c r="I2890" s="97"/>
      <c r="J2890" s="98"/>
      <c r="K2890" s="99"/>
      <c r="L2890" s="98"/>
      <c r="M2890" s="99"/>
      <c r="N2890" s="99"/>
      <c r="O2890" s="18"/>
      <c r="P2890" s="100" t="b">
        <v>0</v>
      </c>
      <c r="Q2890" s="18"/>
      <c r="R2890" s="101" t="str">
        <f t="shared" si="2792"/>
        <v/>
      </c>
      <c r="S2890" s="32"/>
      <c r="T2890" s="102" t="str">
        <f t="shared" si="2793"/>
        <v/>
      </c>
      <c r="U2890" s="18"/>
      <c r="V2890" s="75" t="s">
        <v>29</v>
      </c>
      <c r="W2890" s="104" t="str">
        <f t="shared" si="2828"/>
        <v>/</v>
      </c>
      <c r="X2890" s="111" t="s">
        <v>1750</v>
      </c>
      <c r="Y2890" s="106"/>
      <c r="Z2890" s="26" t="str">
        <f t="shared" si="5"/>
        <v/>
      </c>
      <c r="AA2890" s="26" t="str">
        <f t="shared" si="6"/>
        <v/>
      </c>
      <c r="AB2890" s="32" t="str">
        <f t="shared" si="7"/>
        <v/>
      </c>
      <c r="AC2890" s="32" t="str">
        <f t="shared" ref="AC2890:AG2890" si="2950">IF(J2890&lt;&gt;"", IF(AND($P2890=FALSE, $A2890=FALSE), -J2890, IF(AND($P2890=FALSE, $A2890=TRUE), 0, IF($P2890=TRUE, (J2890 / $R2890) * 100 * ($S2890 / 100)-J2890, ))), )</f>
        <v/>
      </c>
      <c r="AD2890" s="32" t="str">
        <f t="shared" si="2950"/>
        <v/>
      </c>
      <c r="AE2890" s="32" t="str">
        <f t="shared" si="2950"/>
        <v/>
      </c>
      <c r="AF2890" s="32" t="str">
        <f t="shared" si="2950"/>
        <v/>
      </c>
      <c r="AG2890" s="32" t="str">
        <f t="shared" si="2950"/>
        <v/>
      </c>
      <c r="AH2890" s="33"/>
    </row>
    <row r="2891" hidden="1" outlineLevel="3">
      <c r="A2891" s="95" t="b">
        <v>0</v>
      </c>
      <c r="B2891" s="96"/>
      <c r="C2891" s="18"/>
      <c r="D2891" s="107"/>
      <c r="E2891" s="108"/>
      <c r="F2891" s="109"/>
      <c r="G2891" s="97"/>
      <c r="H2891" s="97"/>
      <c r="I2891" s="97"/>
      <c r="J2891" s="98"/>
      <c r="K2891" s="99"/>
      <c r="L2891" s="98"/>
      <c r="M2891" s="99"/>
      <c r="N2891" s="99"/>
      <c r="O2891" s="18"/>
      <c r="P2891" s="100" t="b">
        <v>0</v>
      </c>
      <c r="Q2891" s="18"/>
      <c r="R2891" s="101" t="str">
        <f t="shared" si="2792"/>
        <v/>
      </c>
      <c r="S2891" s="32"/>
      <c r="T2891" s="102" t="str">
        <f t="shared" si="2793"/>
        <v/>
      </c>
      <c r="U2891" s="18"/>
      <c r="V2891" s="75" t="s">
        <v>29</v>
      </c>
      <c r="W2891" s="104" t="str">
        <f t="shared" si="2828"/>
        <v>/</v>
      </c>
      <c r="X2891" s="111" t="s">
        <v>1751</v>
      </c>
      <c r="Y2891" s="106"/>
      <c r="Z2891" s="26" t="str">
        <f t="shared" si="5"/>
        <v/>
      </c>
      <c r="AA2891" s="26" t="str">
        <f t="shared" si="6"/>
        <v/>
      </c>
      <c r="AB2891" s="32" t="str">
        <f t="shared" si="7"/>
        <v/>
      </c>
      <c r="AC2891" s="32" t="str">
        <f t="shared" ref="AC2891:AG2891" si="2951">IF(J2891&lt;&gt;"", IF(AND($P2891=FALSE, $A2891=FALSE), -J2891, IF(AND($P2891=FALSE, $A2891=TRUE), 0, IF($P2891=TRUE, (J2891 / $R2891) * 100 * ($S2891 / 100)-J2891, ))), )</f>
        <v/>
      </c>
      <c r="AD2891" s="32" t="str">
        <f t="shared" si="2951"/>
        <v/>
      </c>
      <c r="AE2891" s="32" t="str">
        <f t="shared" si="2951"/>
        <v/>
      </c>
      <c r="AF2891" s="32" t="str">
        <f t="shared" si="2951"/>
        <v/>
      </c>
      <c r="AG2891" s="32" t="str">
        <f t="shared" si="2951"/>
        <v/>
      </c>
      <c r="AH2891" s="33"/>
    </row>
    <row r="2892" hidden="1" outlineLevel="3">
      <c r="A2892" s="95" t="b">
        <v>0</v>
      </c>
      <c r="B2892" s="96"/>
      <c r="C2892" s="18"/>
      <c r="D2892" s="107"/>
      <c r="E2892" s="108"/>
      <c r="F2892" s="109"/>
      <c r="G2892" s="97"/>
      <c r="H2892" s="97"/>
      <c r="I2892" s="97"/>
      <c r="J2892" s="98"/>
      <c r="K2892" s="99"/>
      <c r="L2892" s="98"/>
      <c r="M2892" s="99"/>
      <c r="N2892" s="99"/>
      <c r="O2892" s="18"/>
      <c r="P2892" s="100" t="b">
        <v>0</v>
      </c>
      <c r="Q2892" s="18"/>
      <c r="R2892" s="101" t="str">
        <f t="shared" si="2792"/>
        <v/>
      </c>
      <c r="S2892" s="32"/>
      <c r="T2892" s="102" t="str">
        <f t="shared" si="2793"/>
        <v/>
      </c>
      <c r="U2892" s="18"/>
      <c r="V2892" s="75" t="s">
        <v>29</v>
      </c>
      <c r="W2892" s="104" t="str">
        <f t="shared" si="2828"/>
        <v>/</v>
      </c>
      <c r="X2892" s="111" t="s">
        <v>670</v>
      </c>
      <c r="Y2892" s="106"/>
      <c r="Z2892" s="26" t="str">
        <f t="shared" si="5"/>
        <v/>
      </c>
      <c r="AA2892" s="26" t="str">
        <f t="shared" si="6"/>
        <v/>
      </c>
      <c r="AB2892" s="32" t="str">
        <f t="shared" si="7"/>
        <v/>
      </c>
      <c r="AC2892" s="32" t="str">
        <f t="shared" ref="AC2892:AG2892" si="2952">IF(J2892&lt;&gt;"", IF(AND($P2892=FALSE, $A2892=FALSE), -J2892, IF(AND($P2892=FALSE, $A2892=TRUE), 0, IF($P2892=TRUE, (J2892 / $R2892) * 100 * ($S2892 / 100)-J2892, ))), )</f>
        <v/>
      </c>
      <c r="AD2892" s="32" t="str">
        <f t="shared" si="2952"/>
        <v/>
      </c>
      <c r="AE2892" s="32" t="str">
        <f t="shared" si="2952"/>
        <v/>
      </c>
      <c r="AF2892" s="32" t="str">
        <f t="shared" si="2952"/>
        <v/>
      </c>
      <c r="AG2892" s="32" t="str">
        <f t="shared" si="2952"/>
        <v/>
      </c>
      <c r="AH2892" s="33"/>
    </row>
    <row r="2893" hidden="1" outlineLevel="2" collapsed="1">
      <c r="A2893" s="95" t="b">
        <v>0</v>
      </c>
      <c r="B2893" s="96"/>
      <c r="C2893" s="18"/>
      <c r="D2893" s="42">
        <v>45593.0</v>
      </c>
      <c r="E2893" s="20" t="s">
        <v>24</v>
      </c>
      <c r="F2893" s="53" t="s">
        <v>1715</v>
      </c>
      <c r="G2893" s="97">
        <v>1.0</v>
      </c>
      <c r="H2893" s="97"/>
      <c r="I2893" s="97">
        <v>2.0</v>
      </c>
      <c r="J2893" s="98"/>
      <c r="K2893" s="99"/>
      <c r="L2893" s="98"/>
      <c r="M2893" s="99"/>
      <c r="N2893" s="99"/>
      <c r="O2893" s="18"/>
      <c r="P2893" s="100" t="b">
        <v>0</v>
      </c>
      <c r="Q2893" s="18"/>
      <c r="R2893" s="101">
        <f t="shared" si="2792"/>
        <v>3</v>
      </c>
      <c r="S2893" s="32">
        <v>423.0</v>
      </c>
      <c r="T2893" s="102" t="str">
        <f t="shared" si="2793"/>
        <v>+14000</v>
      </c>
      <c r="U2893" s="18"/>
      <c r="V2893" s="103" t="str">
        <f t="shared" ref="V2893:V2896" si="2954">IF(ISBLANK($D2893), "0",)</f>
        <v/>
      </c>
      <c r="W2893" s="104" t="str">
        <f t="shared" si="2828"/>
        <v/>
      </c>
      <c r="X2893" s="105"/>
      <c r="Y2893" s="106"/>
      <c r="Z2893" s="26">
        <f t="shared" si="5"/>
        <v>-1</v>
      </c>
      <c r="AA2893" s="26">
        <f t="shared" si="6"/>
        <v>-2</v>
      </c>
      <c r="AB2893" s="32" t="str">
        <f t="shared" si="7"/>
        <v/>
      </c>
      <c r="AC2893" s="32" t="str">
        <f t="shared" ref="AC2893:AG2893" si="2953">IF(J2893&lt;&gt;"", IF(AND($P2893=FALSE, $A2893=FALSE), -J2893, IF(AND($P2893=FALSE, $A2893=TRUE), 0, IF($P2893=TRUE, (J2893 / $R2893) * 100 * ($S2893 / 100)-J2893, ))), )</f>
        <v/>
      </c>
      <c r="AD2893" s="32" t="str">
        <f t="shared" si="2953"/>
        <v/>
      </c>
      <c r="AE2893" s="32" t="str">
        <f t="shared" si="2953"/>
        <v/>
      </c>
      <c r="AF2893" s="32" t="str">
        <f t="shared" si="2953"/>
        <v/>
      </c>
      <c r="AG2893" s="32" t="str">
        <f t="shared" si="2953"/>
        <v/>
      </c>
      <c r="AH2893" s="33"/>
    </row>
    <row r="2894" hidden="1" outlineLevel="3">
      <c r="A2894" s="95" t="b">
        <v>0</v>
      </c>
      <c r="B2894" s="96"/>
      <c r="C2894" s="18"/>
      <c r="D2894" s="107"/>
      <c r="E2894" s="108"/>
      <c r="F2894" s="109"/>
      <c r="G2894" s="97"/>
      <c r="H2894" s="97"/>
      <c r="I2894" s="97"/>
      <c r="J2894" s="98"/>
      <c r="K2894" s="99"/>
      <c r="L2894" s="98"/>
      <c r="M2894" s="99"/>
      <c r="N2894" s="99"/>
      <c r="O2894" s="18"/>
      <c r="P2894" s="100" t="b">
        <v>0</v>
      </c>
      <c r="Q2894" s="18"/>
      <c r="R2894" s="101" t="str">
        <f t="shared" si="2792"/>
        <v/>
      </c>
      <c r="S2894" s="32"/>
      <c r="T2894" s="102" t="str">
        <f t="shared" si="2793"/>
        <v/>
      </c>
      <c r="U2894" s="18"/>
      <c r="V2894" s="103" t="str">
        <f t="shared" si="2954"/>
        <v>0</v>
      </c>
      <c r="W2894" s="104" t="str">
        <f t="shared" si="2828"/>
        <v>/</v>
      </c>
      <c r="X2894" s="111" t="s">
        <v>1752</v>
      </c>
      <c r="Y2894" s="106"/>
      <c r="Z2894" s="26" t="str">
        <f t="shared" si="5"/>
        <v/>
      </c>
      <c r="AA2894" s="26" t="str">
        <f t="shared" si="6"/>
        <v/>
      </c>
      <c r="AB2894" s="32" t="str">
        <f t="shared" si="7"/>
        <v/>
      </c>
      <c r="AC2894" s="32" t="str">
        <f t="shared" ref="AC2894:AG2894" si="2955">IF(J2894&lt;&gt;"", IF(AND($P2894=FALSE, $A2894=FALSE), -J2894, IF(AND($P2894=FALSE, $A2894=TRUE), 0, IF($P2894=TRUE, (J2894 / $R2894) * 100 * ($S2894 / 100)-J2894, ))), )</f>
        <v/>
      </c>
      <c r="AD2894" s="32" t="str">
        <f t="shared" si="2955"/>
        <v/>
      </c>
      <c r="AE2894" s="32" t="str">
        <f t="shared" si="2955"/>
        <v/>
      </c>
      <c r="AF2894" s="32" t="str">
        <f t="shared" si="2955"/>
        <v/>
      </c>
      <c r="AG2894" s="32" t="str">
        <f t="shared" si="2955"/>
        <v/>
      </c>
      <c r="AH2894" s="33"/>
    </row>
    <row r="2895" hidden="1" outlineLevel="3">
      <c r="A2895" s="95" t="b">
        <v>0</v>
      </c>
      <c r="B2895" s="96"/>
      <c r="C2895" s="18"/>
      <c r="D2895" s="107"/>
      <c r="E2895" s="108"/>
      <c r="F2895" s="109"/>
      <c r="G2895" s="97"/>
      <c r="H2895" s="97"/>
      <c r="I2895" s="97"/>
      <c r="J2895" s="98"/>
      <c r="K2895" s="99"/>
      <c r="L2895" s="98"/>
      <c r="M2895" s="99"/>
      <c r="N2895" s="99"/>
      <c r="O2895" s="18"/>
      <c r="P2895" s="100" t="b">
        <v>0</v>
      </c>
      <c r="Q2895" s="18"/>
      <c r="R2895" s="101" t="str">
        <f t="shared" si="2792"/>
        <v/>
      </c>
      <c r="S2895" s="32"/>
      <c r="T2895" s="102" t="str">
        <f t="shared" si="2793"/>
        <v/>
      </c>
      <c r="U2895" s="18"/>
      <c r="V2895" s="103" t="str">
        <f t="shared" si="2954"/>
        <v>0</v>
      </c>
      <c r="W2895" s="104" t="str">
        <f t="shared" si="2828"/>
        <v>/</v>
      </c>
      <c r="X2895" s="111" t="s">
        <v>1753</v>
      </c>
      <c r="Y2895" s="106"/>
      <c r="Z2895" s="26" t="str">
        <f t="shared" si="5"/>
        <v/>
      </c>
      <c r="AA2895" s="26" t="str">
        <f t="shared" si="6"/>
        <v/>
      </c>
      <c r="AB2895" s="32" t="str">
        <f t="shared" si="7"/>
        <v/>
      </c>
      <c r="AC2895" s="32" t="str">
        <f t="shared" ref="AC2895:AG2895" si="2956">IF(J2895&lt;&gt;"", IF(AND($P2895=FALSE, $A2895=FALSE), -J2895, IF(AND($P2895=FALSE, $A2895=TRUE), 0, IF($P2895=TRUE, (J2895 / $R2895) * 100 * ($S2895 / 100)-J2895, ))), )</f>
        <v/>
      </c>
      <c r="AD2895" s="32" t="str">
        <f t="shared" si="2956"/>
        <v/>
      </c>
      <c r="AE2895" s="32" t="str">
        <f t="shared" si="2956"/>
        <v/>
      </c>
      <c r="AF2895" s="32" t="str">
        <f t="shared" si="2956"/>
        <v/>
      </c>
      <c r="AG2895" s="32" t="str">
        <f t="shared" si="2956"/>
        <v/>
      </c>
      <c r="AH2895" s="33"/>
    </row>
    <row r="2896" hidden="1" outlineLevel="3">
      <c r="A2896" s="95" t="b">
        <v>0</v>
      </c>
      <c r="B2896" s="96"/>
      <c r="C2896" s="18"/>
      <c r="D2896" s="107"/>
      <c r="E2896" s="108"/>
      <c r="F2896" s="109"/>
      <c r="G2896" s="97"/>
      <c r="H2896" s="97"/>
      <c r="I2896" s="97"/>
      <c r="J2896" s="98"/>
      <c r="K2896" s="99"/>
      <c r="L2896" s="98"/>
      <c r="M2896" s="99"/>
      <c r="N2896" s="99"/>
      <c r="O2896" s="18"/>
      <c r="P2896" s="100" t="b">
        <v>0</v>
      </c>
      <c r="Q2896" s="18"/>
      <c r="R2896" s="101" t="str">
        <f t="shared" si="2792"/>
        <v/>
      </c>
      <c r="S2896" s="32"/>
      <c r="T2896" s="102" t="str">
        <f t="shared" si="2793"/>
        <v/>
      </c>
      <c r="U2896" s="18"/>
      <c r="V2896" s="103" t="str">
        <f t="shared" si="2954"/>
        <v>0</v>
      </c>
      <c r="W2896" s="104" t="str">
        <f t="shared" si="2828"/>
        <v>/</v>
      </c>
      <c r="X2896" s="115" t="s">
        <v>1754</v>
      </c>
      <c r="Y2896" s="106"/>
      <c r="Z2896" s="26" t="str">
        <f t="shared" si="5"/>
        <v/>
      </c>
      <c r="AA2896" s="26" t="str">
        <f t="shared" si="6"/>
        <v/>
      </c>
      <c r="AB2896" s="32" t="str">
        <f t="shared" si="7"/>
        <v/>
      </c>
      <c r="AC2896" s="32" t="str">
        <f t="shared" ref="AC2896:AG2896" si="2957">IF(J2896&lt;&gt;"", IF(AND($P2896=FALSE, $A2896=FALSE), -J2896, IF(AND($P2896=FALSE, $A2896=TRUE), 0, IF($P2896=TRUE, (J2896 / $R2896) * 100 * ($S2896 / 100)-J2896, ))), )</f>
        <v/>
      </c>
      <c r="AD2896" s="32" t="str">
        <f t="shared" si="2957"/>
        <v/>
      </c>
      <c r="AE2896" s="32" t="str">
        <f t="shared" si="2957"/>
        <v/>
      </c>
      <c r="AF2896" s="32" t="str">
        <f t="shared" si="2957"/>
        <v/>
      </c>
      <c r="AG2896" s="32" t="str">
        <f t="shared" si="2957"/>
        <v/>
      </c>
      <c r="AH2896" s="33"/>
    </row>
    <row r="2897" hidden="1" outlineLevel="3">
      <c r="A2897" s="95" t="b">
        <v>0</v>
      </c>
      <c r="B2897" s="96"/>
      <c r="C2897" s="18"/>
      <c r="D2897" s="107"/>
      <c r="E2897" s="108"/>
      <c r="F2897" s="109"/>
      <c r="G2897" s="97"/>
      <c r="H2897" s="97"/>
      <c r="I2897" s="97"/>
      <c r="J2897" s="98"/>
      <c r="K2897" s="99"/>
      <c r="L2897" s="98"/>
      <c r="M2897" s="99"/>
      <c r="N2897" s="99"/>
      <c r="O2897" s="18"/>
      <c r="P2897" s="100" t="b">
        <v>0</v>
      </c>
      <c r="Q2897" s="18"/>
      <c r="R2897" s="101" t="str">
        <f t="shared" si="2792"/>
        <v/>
      </c>
      <c r="S2897" s="32"/>
      <c r="T2897" s="102" t="str">
        <f t="shared" si="2793"/>
        <v/>
      </c>
      <c r="U2897" s="18"/>
      <c r="V2897" s="75" t="s">
        <v>29</v>
      </c>
      <c r="W2897" s="104" t="str">
        <f t="shared" si="2828"/>
        <v>/</v>
      </c>
      <c r="X2897" s="115" t="s">
        <v>1755</v>
      </c>
      <c r="Y2897" s="106"/>
      <c r="Z2897" s="26" t="str">
        <f t="shared" si="5"/>
        <v/>
      </c>
      <c r="AA2897" s="26" t="str">
        <f t="shared" si="6"/>
        <v/>
      </c>
      <c r="AB2897" s="32" t="str">
        <f t="shared" si="7"/>
        <v/>
      </c>
      <c r="AC2897" s="32" t="str">
        <f t="shared" ref="AC2897:AG2897" si="2958">IF(J2897&lt;&gt;"", IF(AND($P2897=FALSE, $A2897=FALSE), -J2897, IF(AND($P2897=FALSE, $A2897=TRUE), 0, IF($P2897=TRUE, (J2897 / $R2897) * 100 * ($S2897 / 100)-J2897, ))), )</f>
        <v/>
      </c>
      <c r="AD2897" s="32" t="str">
        <f t="shared" si="2958"/>
        <v/>
      </c>
      <c r="AE2897" s="32" t="str">
        <f t="shared" si="2958"/>
        <v/>
      </c>
      <c r="AF2897" s="32" t="str">
        <f t="shared" si="2958"/>
        <v/>
      </c>
      <c r="AG2897" s="32" t="str">
        <f t="shared" si="2958"/>
        <v/>
      </c>
      <c r="AH2897" s="33"/>
    </row>
    <row r="2898" hidden="1" outlineLevel="2">
      <c r="A2898" s="95" t="b">
        <v>0</v>
      </c>
      <c r="B2898" s="96"/>
      <c r="C2898" s="18"/>
      <c r="D2898" s="42">
        <v>45593.0</v>
      </c>
      <c r="E2898" s="20" t="s">
        <v>24</v>
      </c>
      <c r="F2898" s="53" t="s">
        <v>1715</v>
      </c>
      <c r="G2898" s="97">
        <v>2.0</v>
      </c>
      <c r="H2898" s="97"/>
      <c r="I2898" s="97">
        <v>3.0</v>
      </c>
      <c r="J2898" s="98"/>
      <c r="K2898" s="99"/>
      <c r="L2898" s="98"/>
      <c r="M2898" s="99"/>
      <c r="N2898" s="99"/>
      <c r="O2898" s="18"/>
      <c r="P2898" s="100" t="b">
        <v>0</v>
      </c>
      <c r="Q2898" s="18"/>
      <c r="R2898" s="101">
        <f t="shared" si="2792"/>
        <v>5</v>
      </c>
      <c r="S2898" s="32">
        <v>125.67</v>
      </c>
      <c r="T2898" s="102" t="str">
        <f t="shared" si="2793"/>
        <v>+2413</v>
      </c>
      <c r="U2898" s="18"/>
      <c r="V2898" s="103" t="str">
        <f>IF(ISBLANK($D2898), "0",)</f>
        <v/>
      </c>
      <c r="W2898" s="104" t="str">
        <f t="shared" si="2828"/>
        <v/>
      </c>
      <c r="X2898" s="105"/>
      <c r="Y2898" s="106"/>
      <c r="Z2898" s="26">
        <f t="shared" si="5"/>
        <v>-2</v>
      </c>
      <c r="AA2898" s="26">
        <f t="shared" si="6"/>
        <v>-3</v>
      </c>
      <c r="AB2898" s="32" t="str">
        <f t="shared" si="7"/>
        <v/>
      </c>
      <c r="AC2898" s="32" t="str">
        <f t="shared" ref="AC2898:AG2898" si="2959">IF(J2898&lt;&gt;"", IF(AND($P2898=FALSE, $A2898=FALSE), -J2898, IF(AND($P2898=FALSE, $A2898=TRUE), 0, IF($P2898=TRUE, (J2898 / $R2898) * 100 * ($S2898 / 100)-J2898, ))), )</f>
        <v/>
      </c>
      <c r="AD2898" s="32" t="str">
        <f t="shared" si="2959"/>
        <v/>
      </c>
      <c r="AE2898" s="32" t="str">
        <f t="shared" si="2959"/>
        <v/>
      </c>
      <c r="AF2898" s="32" t="str">
        <f t="shared" si="2959"/>
        <v/>
      </c>
      <c r="AG2898" s="32" t="str">
        <f t="shared" si="2959"/>
        <v/>
      </c>
      <c r="AH2898" s="33"/>
    </row>
    <row r="2899" hidden="1" outlineLevel="3">
      <c r="A2899" s="95" t="b">
        <v>0</v>
      </c>
      <c r="B2899" s="96"/>
      <c r="C2899" s="18"/>
      <c r="D2899" s="107"/>
      <c r="E2899" s="108"/>
      <c r="F2899" s="109"/>
      <c r="G2899" s="97"/>
      <c r="H2899" s="97"/>
      <c r="I2899" s="97"/>
      <c r="J2899" s="98"/>
      <c r="K2899" s="99"/>
      <c r="L2899" s="98"/>
      <c r="M2899" s="99"/>
      <c r="N2899" s="99"/>
      <c r="O2899" s="18"/>
      <c r="P2899" s="100" t="b">
        <v>0</v>
      </c>
      <c r="Q2899" s="18"/>
      <c r="R2899" s="101" t="str">
        <f t="shared" si="2792"/>
        <v/>
      </c>
      <c r="S2899" s="32"/>
      <c r="T2899" s="102" t="str">
        <f t="shared" si="2793"/>
        <v/>
      </c>
      <c r="U2899" s="18"/>
      <c r="V2899" s="75" t="s">
        <v>29</v>
      </c>
      <c r="W2899" s="104" t="str">
        <f t="shared" si="2828"/>
        <v>/</v>
      </c>
      <c r="X2899" s="111" t="s">
        <v>1107</v>
      </c>
      <c r="Y2899" s="106"/>
      <c r="Z2899" s="26" t="str">
        <f t="shared" si="5"/>
        <v/>
      </c>
      <c r="AA2899" s="26" t="str">
        <f t="shared" si="6"/>
        <v/>
      </c>
      <c r="AB2899" s="32" t="str">
        <f t="shared" si="7"/>
        <v/>
      </c>
      <c r="AC2899" s="32" t="str">
        <f t="shared" ref="AC2899:AG2899" si="2960">IF(J2899&lt;&gt;"", IF(AND($P2899=FALSE, $A2899=FALSE), -J2899, IF(AND($P2899=FALSE, $A2899=TRUE), 0, IF($P2899=TRUE, (J2899 / $R2899) * 100 * ($S2899 / 100)-J2899, ))), )</f>
        <v/>
      </c>
      <c r="AD2899" s="32" t="str">
        <f t="shared" si="2960"/>
        <v/>
      </c>
      <c r="AE2899" s="32" t="str">
        <f t="shared" si="2960"/>
        <v/>
      </c>
      <c r="AF2899" s="32" t="str">
        <f t="shared" si="2960"/>
        <v/>
      </c>
      <c r="AG2899" s="32" t="str">
        <f t="shared" si="2960"/>
        <v/>
      </c>
      <c r="AH2899" s="33"/>
    </row>
    <row r="2900" hidden="1" outlineLevel="3">
      <c r="A2900" s="95" t="b">
        <v>0</v>
      </c>
      <c r="B2900" s="96"/>
      <c r="C2900" s="18"/>
      <c r="D2900" s="107"/>
      <c r="E2900" s="108"/>
      <c r="F2900" s="109"/>
      <c r="G2900" s="97"/>
      <c r="H2900" s="97"/>
      <c r="I2900" s="97"/>
      <c r="J2900" s="98"/>
      <c r="K2900" s="99"/>
      <c r="L2900" s="98"/>
      <c r="M2900" s="99"/>
      <c r="N2900" s="99"/>
      <c r="O2900" s="18"/>
      <c r="P2900" s="100" t="b">
        <v>0</v>
      </c>
      <c r="Q2900" s="18"/>
      <c r="R2900" s="101" t="str">
        <f t="shared" si="2792"/>
        <v/>
      </c>
      <c r="S2900" s="32"/>
      <c r="T2900" s="102" t="str">
        <f t="shared" si="2793"/>
        <v/>
      </c>
      <c r="U2900" s="18"/>
      <c r="V2900" s="75" t="s">
        <v>29</v>
      </c>
      <c r="W2900" s="104" t="str">
        <f t="shared" si="2828"/>
        <v>/</v>
      </c>
      <c r="X2900" s="111" t="s">
        <v>1756</v>
      </c>
      <c r="Y2900" s="106"/>
      <c r="Z2900" s="26" t="str">
        <f t="shared" si="5"/>
        <v/>
      </c>
      <c r="AA2900" s="26" t="str">
        <f t="shared" si="6"/>
        <v/>
      </c>
      <c r="AB2900" s="32" t="str">
        <f t="shared" si="7"/>
        <v/>
      </c>
      <c r="AC2900" s="32" t="str">
        <f t="shared" ref="AC2900:AG2900" si="2961">IF(J2900&lt;&gt;"", IF(AND($P2900=FALSE, $A2900=FALSE), -J2900, IF(AND($P2900=FALSE, $A2900=TRUE), 0, IF($P2900=TRUE, (J2900 / $R2900) * 100 * ($S2900 / 100)-J2900, ))), )</f>
        <v/>
      </c>
      <c r="AD2900" s="32" t="str">
        <f t="shared" si="2961"/>
        <v/>
      </c>
      <c r="AE2900" s="32" t="str">
        <f t="shared" si="2961"/>
        <v/>
      </c>
      <c r="AF2900" s="32" t="str">
        <f t="shared" si="2961"/>
        <v/>
      </c>
      <c r="AG2900" s="32" t="str">
        <f t="shared" si="2961"/>
        <v/>
      </c>
      <c r="AH2900" s="33"/>
    </row>
    <row r="2901" hidden="1" outlineLevel="3">
      <c r="A2901" s="95" t="b">
        <v>0</v>
      </c>
      <c r="B2901" s="96"/>
      <c r="C2901" s="18"/>
      <c r="D2901" s="107"/>
      <c r="E2901" s="108"/>
      <c r="F2901" s="109"/>
      <c r="G2901" s="97"/>
      <c r="H2901" s="97"/>
      <c r="I2901" s="97"/>
      <c r="J2901" s="98"/>
      <c r="K2901" s="99"/>
      <c r="L2901" s="98"/>
      <c r="M2901" s="99"/>
      <c r="N2901" s="99"/>
      <c r="O2901" s="18"/>
      <c r="P2901" s="100" t="b">
        <v>0</v>
      </c>
      <c r="Q2901" s="18"/>
      <c r="R2901" s="101" t="str">
        <f t="shared" si="2792"/>
        <v/>
      </c>
      <c r="S2901" s="32"/>
      <c r="T2901" s="102" t="str">
        <f t="shared" si="2793"/>
        <v/>
      </c>
      <c r="U2901" s="18"/>
      <c r="V2901" s="75" t="s">
        <v>29</v>
      </c>
      <c r="W2901" s="104" t="str">
        <f t="shared" si="2828"/>
        <v>/</v>
      </c>
      <c r="X2901" s="111" t="s">
        <v>1757</v>
      </c>
      <c r="Y2901" s="106"/>
      <c r="Z2901" s="26" t="str">
        <f t="shared" si="5"/>
        <v/>
      </c>
      <c r="AA2901" s="26" t="str">
        <f t="shared" si="6"/>
        <v/>
      </c>
      <c r="AB2901" s="32" t="str">
        <f t="shared" si="7"/>
        <v/>
      </c>
      <c r="AC2901" s="32" t="str">
        <f t="shared" ref="AC2901:AG2901" si="2962">IF(J2901&lt;&gt;"", IF(AND($P2901=FALSE, $A2901=FALSE), -J2901, IF(AND($P2901=FALSE, $A2901=TRUE), 0, IF($P2901=TRUE, (J2901 / $R2901) * 100 * ($S2901 / 100)-J2901, ))), )</f>
        <v/>
      </c>
      <c r="AD2901" s="32" t="str">
        <f t="shared" si="2962"/>
        <v/>
      </c>
      <c r="AE2901" s="32" t="str">
        <f t="shared" si="2962"/>
        <v/>
      </c>
      <c r="AF2901" s="32" t="str">
        <f t="shared" si="2962"/>
        <v/>
      </c>
      <c r="AG2901" s="32" t="str">
        <f t="shared" si="2962"/>
        <v/>
      </c>
      <c r="AH2901" s="33"/>
    </row>
    <row r="2902" hidden="1" outlineLevel="3">
      <c r="A2902" s="95" t="b">
        <v>0</v>
      </c>
      <c r="B2902" s="96"/>
      <c r="C2902" s="18"/>
      <c r="D2902" s="107"/>
      <c r="E2902" s="108"/>
      <c r="F2902" s="109"/>
      <c r="G2902" s="97"/>
      <c r="H2902" s="97"/>
      <c r="I2902" s="97"/>
      <c r="J2902" s="98"/>
      <c r="K2902" s="99"/>
      <c r="L2902" s="98"/>
      <c r="M2902" s="99"/>
      <c r="N2902" s="99"/>
      <c r="O2902" s="18"/>
      <c r="P2902" s="100" t="b">
        <v>0</v>
      </c>
      <c r="Q2902" s="18"/>
      <c r="R2902" s="101" t="str">
        <f t="shared" si="2792"/>
        <v/>
      </c>
      <c r="S2902" s="32"/>
      <c r="T2902" s="102" t="str">
        <f t="shared" si="2793"/>
        <v/>
      </c>
      <c r="U2902" s="18"/>
      <c r="V2902" s="75" t="s">
        <v>29</v>
      </c>
      <c r="W2902" s="104" t="str">
        <f t="shared" si="2828"/>
        <v>/</v>
      </c>
      <c r="X2902" s="111" t="s">
        <v>1758</v>
      </c>
      <c r="Y2902" s="106"/>
      <c r="Z2902" s="26" t="str">
        <f t="shared" si="5"/>
        <v/>
      </c>
      <c r="AA2902" s="26" t="str">
        <f t="shared" si="6"/>
        <v/>
      </c>
      <c r="AB2902" s="32" t="str">
        <f t="shared" si="7"/>
        <v/>
      </c>
      <c r="AC2902" s="32" t="str">
        <f t="shared" ref="AC2902:AG2902" si="2963">IF(J2902&lt;&gt;"", IF(AND($P2902=FALSE, $A2902=FALSE), -J2902, IF(AND($P2902=FALSE, $A2902=TRUE), 0, IF($P2902=TRUE, (J2902 / $R2902) * 100 * ($S2902 / 100)-J2902, ))), )</f>
        <v/>
      </c>
      <c r="AD2902" s="32" t="str">
        <f t="shared" si="2963"/>
        <v/>
      </c>
      <c r="AE2902" s="32" t="str">
        <f t="shared" si="2963"/>
        <v/>
      </c>
      <c r="AF2902" s="32" t="str">
        <f t="shared" si="2963"/>
        <v/>
      </c>
      <c r="AG2902" s="32" t="str">
        <f t="shared" si="2963"/>
        <v/>
      </c>
      <c r="AH2902" s="33"/>
    </row>
    <row r="2903" hidden="1" outlineLevel="3">
      <c r="A2903" s="95" t="b">
        <v>0</v>
      </c>
      <c r="B2903" s="96"/>
      <c r="C2903" s="18"/>
      <c r="D2903" s="107"/>
      <c r="E2903" s="108"/>
      <c r="F2903" s="109"/>
      <c r="G2903" s="97"/>
      <c r="H2903" s="97"/>
      <c r="I2903" s="97"/>
      <c r="J2903" s="98"/>
      <c r="K2903" s="99"/>
      <c r="L2903" s="98"/>
      <c r="M2903" s="99"/>
      <c r="N2903" s="99"/>
      <c r="O2903" s="18"/>
      <c r="P2903" s="100" t="b">
        <v>0</v>
      </c>
      <c r="Q2903" s="18"/>
      <c r="R2903" s="101" t="str">
        <f t="shared" si="2792"/>
        <v/>
      </c>
      <c r="S2903" s="32"/>
      <c r="T2903" s="102" t="str">
        <f t="shared" si="2793"/>
        <v/>
      </c>
      <c r="U2903" s="18"/>
      <c r="V2903" s="75" t="s">
        <v>29</v>
      </c>
      <c r="W2903" s="104" t="str">
        <f t="shared" si="2828"/>
        <v>/</v>
      </c>
      <c r="X2903" s="111" t="s">
        <v>1628</v>
      </c>
      <c r="Y2903" s="106"/>
      <c r="Z2903" s="26" t="str">
        <f t="shared" si="5"/>
        <v/>
      </c>
      <c r="AA2903" s="26" t="str">
        <f t="shared" si="6"/>
        <v/>
      </c>
      <c r="AB2903" s="32" t="str">
        <f t="shared" si="7"/>
        <v/>
      </c>
      <c r="AC2903" s="32" t="str">
        <f t="shared" ref="AC2903:AG2903" si="2964">IF(J2903&lt;&gt;"", IF(AND($P2903=FALSE, $A2903=FALSE), -J2903, IF(AND($P2903=FALSE, $A2903=TRUE), 0, IF($P2903=TRUE, (J2903 / $R2903) * 100 * ($S2903 / 100)-J2903, ))), )</f>
        <v/>
      </c>
      <c r="AD2903" s="32" t="str">
        <f t="shared" si="2964"/>
        <v/>
      </c>
      <c r="AE2903" s="32" t="str">
        <f t="shared" si="2964"/>
        <v/>
      </c>
      <c r="AF2903" s="32" t="str">
        <f t="shared" si="2964"/>
        <v/>
      </c>
      <c r="AG2903" s="32" t="str">
        <f t="shared" si="2964"/>
        <v/>
      </c>
      <c r="AH2903" s="33"/>
    </row>
    <row r="2904" hidden="1" outlineLevel="3">
      <c r="A2904" s="95" t="b">
        <v>0</v>
      </c>
      <c r="B2904" s="96"/>
      <c r="C2904" s="18"/>
      <c r="D2904" s="107"/>
      <c r="E2904" s="108"/>
      <c r="F2904" s="109"/>
      <c r="G2904" s="97"/>
      <c r="H2904" s="97"/>
      <c r="I2904" s="97"/>
      <c r="J2904" s="98"/>
      <c r="K2904" s="99"/>
      <c r="L2904" s="98"/>
      <c r="M2904" s="99"/>
      <c r="N2904" s="99"/>
      <c r="O2904" s="18"/>
      <c r="P2904" s="100" t="b">
        <v>0</v>
      </c>
      <c r="Q2904" s="18"/>
      <c r="R2904" s="101" t="str">
        <f t="shared" si="2792"/>
        <v/>
      </c>
      <c r="S2904" s="32"/>
      <c r="T2904" s="102" t="str">
        <f t="shared" si="2793"/>
        <v/>
      </c>
      <c r="U2904" s="18"/>
      <c r="V2904" s="113">
        <v>19.0</v>
      </c>
      <c r="W2904" s="104" t="str">
        <f t="shared" si="2828"/>
        <v>/</v>
      </c>
      <c r="X2904" s="111" t="s">
        <v>1759</v>
      </c>
      <c r="Y2904" s="106"/>
      <c r="Z2904" s="26" t="str">
        <f t="shared" si="5"/>
        <v/>
      </c>
      <c r="AA2904" s="26" t="str">
        <f t="shared" si="6"/>
        <v/>
      </c>
      <c r="AB2904" s="32" t="str">
        <f t="shared" si="7"/>
        <v/>
      </c>
      <c r="AC2904" s="32" t="str">
        <f t="shared" ref="AC2904:AG2904" si="2965">IF(J2904&lt;&gt;"", IF(AND($P2904=FALSE, $A2904=FALSE), -J2904, IF(AND($P2904=FALSE, $A2904=TRUE), 0, IF($P2904=TRUE, (J2904 / $R2904) * 100 * ($S2904 / 100)-J2904, ))), )</f>
        <v/>
      </c>
      <c r="AD2904" s="32" t="str">
        <f t="shared" si="2965"/>
        <v/>
      </c>
      <c r="AE2904" s="32" t="str">
        <f t="shared" si="2965"/>
        <v/>
      </c>
      <c r="AF2904" s="32" t="str">
        <f t="shared" si="2965"/>
        <v/>
      </c>
      <c r="AG2904" s="32" t="str">
        <f t="shared" si="2965"/>
        <v/>
      </c>
      <c r="AH2904" s="33"/>
    </row>
    <row r="2905" hidden="1" outlineLevel="3">
      <c r="A2905" s="95" t="b">
        <v>0</v>
      </c>
      <c r="B2905" s="96"/>
      <c r="C2905" s="18"/>
      <c r="D2905" s="107"/>
      <c r="E2905" s="108"/>
      <c r="F2905" s="109"/>
      <c r="G2905" s="97"/>
      <c r="H2905" s="97"/>
      <c r="I2905" s="97"/>
      <c r="J2905" s="98"/>
      <c r="K2905" s="99"/>
      <c r="L2905" s="98"/>
      <c r="M2905" s="99"/>
      <c r="N2905" s="99"/>
      <c r="O2905" s="18"/>
      <c r="P2905" s="100" t="b">
        <v>0</v>
      </c>
      <c r="Q2905" s="18"/>
      <c r="R2905" s="101" t="str">
        <f t="shared" si="2792"/>
        <v/>
      </c>
      <c r="S2905" s="32"/>
      <c r="T2905" s="102" t="str">
        <f t="shared" si="2793"/>
        <v/>
      </c>
      <c r="U2905" s="18"/>
      <c r="V2905" s="75" t="s">
        <v>29</v>
      </c>
      <c r="W2905" s="104" t="str">
        <f t="shared" si="2828"/>
        <v>/</v>
      </c>
      <c r="X2905" s="111" t="s">
        <v>538</v>
      </c>
      <c r="Y2905" s="106"/>
      <c r="Z2905" s="26" t="str">
        <f t="shared" si="5"/>
        <v/>
      </c>
      <c r="AA2905" s="26" t="str">
        <f t="shared" si="6"/>
        <v/>
      </c>
      <c r="AB2905" s="32" t="str">
        <f t="shared" si="7"/>
        <v/>
      </c>
      <c r="AC2905" s="32" t="str">
        <f t="shared" ref="AC2905:AG2905" si="2966">IF(J2905&lt;&gt;"", IF(AND($P2905=FALSE, $A2905=FALSE), -J2905, IF(AND($P2905=FALSE, $A2905=TRUE), 0, IF($P2905=TRUE, (J2905 / $R2905) * 100 * ($S2905 / 100)-J2905, ))), )</f>
        <v/>
      </c>
      <c r="AD2905" s="32" t="str">
        <f t="shared" si="2966"/>
        <v/>
      </c>
      <c r="AE2905" s="32" t="str">
        <f t="shared" si="2966"/>
        <v/>
      </c>
      <c r="AF2905" s="32" t="str">
        <f t="shared" si="2966"/>
        <v/>
      </c>
      <c r="AG2905" s="32" t="str">
        <f t="shared" si="2966"/>
        <v/>
      </c>
      <c r="AH2905" s="33"/>
    </row>
    <row r="2906" hidden="1" outlineLevel="3">
      <c r="A2906" s="95" t="b">
        <v>0</v>
      </c>
      <c r="B2906" s="96"/>
      <c r="C2906" s="18"/>
      <c r="D2906" s="107"/>
      <c r="E2906" s="108"/>
      <c r="F2906" s="109"/>
      <c r="G2906" s="97"/>
      <c r="H2906" s="97"/>
      <c r="I2906" s="97"/>
      <c r="J2906" s="98"/>
      <c r="K2906" s="99"/>
      <c r="L2906" s="98"/>
      <c r="M2906" s="99"/>
      <c r="N2906" s="99"/>
      <c r="O2906" s="18"/>
      <c r="P2906" s="100" t="b">
        <v>0</v>
      </c>
      <c r="Q2906" s="18"/>
      <c r="R2906" s="101" t="str">
        <f t="shared" si="2792"/>
        <v/>
      </c>
      <c r="S2906" s="32"/>
      <c r="T2906" s="102" t="str">
        <f t="shared" si="2793"/>
        <v/>
      </c>
      <c r="U2906" s="18"/>
      <c r="V2906" s="75" t="s">
        <v>29</v>
      </c>
      <c r="W2906" s="104" t="str">
        <f t="shared" si="2828"/>
        <v>/</v>
      </c>
      <c r="X2906" s="111" t="s">
        <v>1760</v>
      </c>
      <c r="Y2906" s="106"/>
      <c r="Z2906" s="26" t="str">
        <f t="shared" si="5"/>
        <v/>
      </c>
      <c r="AA2906" s="26" t="str">
        <f t="shared" si="6"/>
        <v/>
      </c>
      <c r="AB2906" s="32" t="str">
        <f t="shared" si="7"/>
        <v/>
      </c>
      <c r="AC2906" s="32" t="str">
        <f t="shared" ref="AC2906:AG2906" si="2967">IF(J2906&lt;&gt;"", IF(AND($P2906=FALSE, $A2906=FALSE), -J2906, IF(AND($P2906=FALSE, $A2906=TRUE), 0, IF($P2906=TRUE, (J2906 / $R2906) * 100 * ($S2906 / 100)-J2906, ))), )</f>
        <v/>
      </c>
      <c r="AD2906" s="32" t="str">
        <f t="shared" si="2967"/>
        <v/>
      </c>
      <c r="AE2906" s="32" t="str">
        <f t="shared" si="2967"/>
        <v/>
      </c>
      <c r="AF2906" s="32" t="str">
        <f t="shared" si="2967"/>
        <v/>
      </c>
      <c r="AG2906" s="32" t="str">
        <f t="shared" si="2967"/>
        <v/>
      </c>
      <c r="AH2906" s="33"/>
    </row>
    <row r="2907" hidden="1" outlineLevel="3">
      <c r="A2907" s="95" t="b">
        <v>0</v>
      </c>
      <c r="B2907" s="96"/>
      <c r="C2907" s="18"/>
      <c r="D2907" s="107"/>
      <c r="E2907" s="108"/>
      <c r="F2907" s="109"/>
      <c r="G2907" s="97"/>
      <c r="H2907" s="97"/>
      <c r="I2907" s="97"/>
      <c r="J2907" s="98"/>
      <c r="K2907" s="99"/>
      <c r="L2907" s="98"/>
      <c r="M2907" s="99"/>
      <c r="N2907" s="99"/>
      <c r="O2907" s="18"/>
      <c r="P2907" s="100" t="b">
        <v>0</v>
      </c>
      <c r="Q2907" s="18"/>
      <c r="R2907" s="101" t="str">
        <f t="shared" si="2792"/>
        <v/>
      </c>
      <c r="S2907" s="32"/>
      <c r="T2907" s="102" t="str">
        <f t="shared" si="2793"/>
        <v/>
      </c>
      <c r="U2907" s="18"/>
      <c r="V2907" s="103" t="str">
        <f>IF(ISBLANK($D2907), "0",)</f>
        <v>0</v>
      </c>
      <c r="W2907" s="104" t="str">
        <f t="shared" si="2828"/>
        <v>/</v>
      </c>
      <c r="X2907" s="111" t="s">
        <v>1761</v>
      </c>
      <c r="Y2907" s="106"/>
      <c r="Z2907" s="26" t="str">
        <f t="shared" si="5"/>
        <v/>
      </c>
      <c r="AA2907" s="26" t="str">
        <f t="shared" si="6"/>
        <v/>
      </c>
      <c r="AB2907" s="32" t="str">
        <f t="shared" si="7"/>
        <v/>
      </c>
      <c r="AC2907" s="32" t="str">
        <f t="shared" ref="AC2907:AG2907" si="2968">IF(J2907&lt;&gt;"", IF(AND($P2907=FALSE, $A2907=FALSE), -J2907, IF(AND($P2907=FALSE, $A2907=TRUE), 0, IF($P2907=TRUE, (J2907 / $R2907) * 100 * ($S2907 / 100)-J2907, ))), )</f>
        <v/>
      </c>
      <c r="AD2907" s="32" t="str">
        <f t="shared" si="2968"/>
        <v/>
      </c>
      <c r="AE2907" s="32" t="str">
        <f t="shared" si="2968"/>
        <v/>
      </c>
      <c r="AF2907" s="32" t="str">
        <f t="shared" si="2968"/>
        <v/>
      </c>
      <c r="AG2907" s="32" t="str">
        <f t="shared" si="2968"/>
        <v/>
      </c>
      <c r="AH2907" s="33"/>
    </row>
    <row r="2908" hidden="1" outlineLevel="3">
      <c r="A2908" s="95" t="b">
        <v>0</v>
      </c>
      <c r="B2908" s="96"/>
      <c r="C2908" s="18"/>
      <c r="D2908" s="107"/>
      <c r="E2908" s="108"/>
      <c r="F2908" s="109"/>
      <c r="G2908" s="97"/>
      <c r="H2908" s="97"/>
      <c r="I2908" s="97"/>
      <c r="J2908" s="98"/>
      <c r="K2908" s="99"/>
      <c r="L2908" s="98"/>
      <c r="M2908" s="99"/>
      <c r="N2908" s="99"/>
      <c r="O2908" s="18"/>
      <c r="P2908" s="100" t="b">
        <v>0</v>
      </c>
      <c r="Q2908" s="18"/>
      <c r="R2908" s="101" t="str">
        <f t="shared" si="2792"/>
        <v/>
      </c>
      <c r="S2908" s="32"/>
      <c r="T2908" s="102" t="str">
        <f t="shared" si="2793"/>
        <v/>
      </c>
      <c r="U2908" s="18"/>
      <c r="V2908" s="75" t="s">
        <v>29</v>
      </c>
      <c r="W2908" s="104" t="str">
        <f t="shared" si="2828"/>
        <v>/</v>
      </c>
      <c r="X2908" s="111" t="s">
        <v>1762</v>
      </c>
      <c r="Y2908" s="106"/>
      <c r="Z2908" s="26" t="str">
        <f t="shared" si="5"/>
        <v/>
      </c>
      <c r="AA2908" s="26" t="str">
        <f t="shared" si="6"/>
        <v/>
      </c>
      <c r="AB2908" s="32" t="str">
        <f t="shared" si="7"/>
        <v/>
      </c>
      <c r="AC2908" s="32" t="str">
        <f t="shared" ref="AC2908:AG2908" si="2969">IF(J2908&lt;&gt;"", IF(AND($P2908=FALSE, $A2908=FALSE), -J2908, IF(AND($P2908=FALSE, $A2908=TRUE), 0, IF($P2908=TRUE, (J2908 / $R2908) * 100 * ($S2908 / 100)-J2908, ))), )</f>
        <v/>
      </c>
      <c r="AD2908" s="32" t="str">
        <f t="shared" si="2969"/>
        <v/>
      </c>
      <c r="AE2908" s="32" t="str">
        <f t="shared" si="2969"/>
        <v/>
      </c>
      <c r="AF2908" s="32" t="str">
        <f t="shared" si="2969"/>
        <v/>
      </c>
      <c r="AG2908" s="32" t="str">
        <f t="shared" si="2969"/>
        <v/>
      </c>
      <c r="AH2908" s="33"/>
    </row>
    <row r="2909" hidden="1" outlineLevel="1" collapsed="1">
      <c r="A2909" s="95" t="b">
        <v>0</v>
      </c>
      <c r="B2909" s="96"/>
      <c r="C2909" s="18"/>
      <c r="D2909" s="42">
        <v>45596.0</v>
      </c>
      <c r="E2909" s="20" t="s">
        <v>24</v>
      </c>
      <c r="F2909" s="53" t="s">
        <v>1763</v>
      </c>
      <c r="G2909" s="97">
        <v>5.0</v>
      </c>
      <c r="H2909" s="97"/>
      <c r="I2909" s="97">
        <v>5.0</v>
      </c>
      <c r="J2909" s="98"/>
      <c r="K2909" s="99"/>
      <c r="L2909" s="98"/>
      <c r="M2909" s="99"/>
      <c r="N2909" s="99"/>
      <c r="O2909" s="18"/>
      <c r="P2909" s="100" t="b">
        <v>0</v>
      </c>
      <c r="Q2909" s="18"/>
      <c r="R2909" s="101">
        <f t="shared" si="2792"/>
        <v>10</v>
      </c>
      <c r="S2909" s="32">
        <v>80.47</v>
      </c>
      <c r="T2909" s="102" t="str">
        <f t="shared" si="2793"/>
        <v>+705</v>
      </c>
      <c r="U2909" s="18"/>
      <c r="V2909" s="103" t="str">
        <f>IF(ISBLANK($D2909), "0",)</f>
        <v/>
      </c>
      <c r="W2909" s="104" t="str">
        <f t="shared" si="2828"/>
        <v/>
      </c>
      <c r="X2909" s="105"/>
      <c r="Y2909" s="106"/>
      <c r="Z2909" s="26">
        <f t="shared" si="5"/>
        <v>-5</v>
      </c>
      <c r="AA2909" s="26">
        <f t="shared" si="6"/>
        <v>-5</v>
      </c>
      <c r="AB2909" s="32" t="str">
        <f t="shared" si="7"/>
        <v/>
      </c>
      <c r="AC2909" s="32" t="str">
        <f t="shared" ref="AC2909:AG2909" si="2970">IF(J2909&lt;&gt;"", IF(AND($P2909=FALSE, $A2909=FALSE), -J2909, IF(AND($P2909=FALSE, $A2909=TRUE), 0, IF($P2909=TRUE, (J2909 / $R2909) * 100 * ($S2909 / 100)-J2909, ))), )</f>
        <v/>
      </c>
      <c r="AD2909" s="32" t="str">
        <f t="shared" si="2970"/>
        <v/>
      </c>
      <c r="AE2909" s="32" t="str">
        <f t="shared" si="2970"/>
        <v/>
      </c>
      <c r="AF2909" s="32" t="str">
        <f t="shared" si="2970"/>
        <v/>
      </c>
      <c r="AG2909" s="32" t="str">
        <f t="shared" si="2970"/>
        <v/>
      </c>
      <c r="AH2909" s="33"/>
    </row>
    <row r="2910" hidden="1" outlineLevel="3">
      <c r="A2910" s="95" t="b">
        <v>0</v>
      </c>
      <c r="B2910" s="96"/>
      <c r="C2910" s="18"/>
      <c r="D2910" s="107"/>
      <c r="E2910" s="108"/>
      <c r="F2910" s="109"/>
      <c r="G2910" s="97"/>
      <c r="H2910" s="97"/>
      <c r="I2910" s="97"/>
      <c r="J2910" s="98"/>
      <c r="K2910" s="99"/>
      <c r="L2910" s="98"/>
      <c r="M2910" s="99"/>
      <c r="N2910" s="99"/>
      <c r="O2910" s="18"/>
      <c r="P2910" s="100" t="b">
        <v>0</v>
      </c>
      <c r="Q2910" s="18"/>
      <c r="R2910" s="101" t="str">
        <f t="shared" si="2792"/>
        <v/>
      </c>
      <c r="S2910" s="32"/>
      <c r="T2910" s="102" t="str">
        <f t="shared" si="2793"/>
        <v/>
      </c>
      <c r="U2910" s="18"/>
      <c r="V2910" s="75" t="s">
        <v>29</v>
      </c>
      <c r="W2910" s="104" t="str">
        <f t="shared" si="2828"/>
        <v>/</v>
      </c>
      <c r="X2910" s="111" t="s">
        <v>1764</v>
      </c>
      <c r="Y2910" s="106"/>
      <c r="Z2910" s="26" t="str">
        <f t="shared" si="5"/>
        <v/>
      </c>
      <c r="AA2910" s="26" t="str">
        <f t="shared" si="6"/>
        <v/>
      </c>
      <c r="AB2910" s="32" t="str">
        <f t="shared" si="7"/>
        <v/>
      </c>
      <c r="AC2910" s="32" t="str">
        <f t="shared" ref="AC2910:AG2910" si="2971">IF(J2910&lt;&gt;"", IF(AND($P2910=FALSE, $A2910=FALSE), -J2910, IF(AND($P2910=FALSE, $A2910=TRUE), 0, IF($P2910=TRUE, (J2910 / $R2910) * 100 * ($S2910 / 100)-J2910, ))), )</f>
        <v/>
      </c>
      <c r="AD2910" s="32" t="str">
        <f t="shared" si="2971"/>
        <v/>
      </c>
      <c r="AE2910" s="32" t="str">
        <f t="shared" si="2971"/>
        <v/>
      </c>
      <c r="AF2910" s="32" t="str">
        <f t="shared" si="2971"/>
        <v/>
      </c>
      <c r="AG2910" s="32" t="str">
        <f t="shared" si="2971"/>
        <v/>
      </c>
      <c r="AH2910" s="33"/>
    </row>
    <row r="2911" hidden="1" outlineLevel="3">
      <c r="A2911" s="95" t="b">
        <v>0</v>
      </c>
      <c r="B2911" s="96"/>
      <c r="C2911" s="18"/>
      <c r="D2911" s="107"/>
      <c r="E2911" s="108"/>
      <c r="F2911" s="109"/>
      <c r="G2911" s="97"/>
      <c r="H2911" s="97"/>
      <c r="I2911" s="97"/>
      <c r="J2911" s="98"/>
      <c r="K2911" s="99"/>
      <c r="L2911" s="98"/>
      <c r="M2911" s="99"/>
      <c r="N2911" s="99"/>
      <c r="O2911" s="18"/>
      <c r="P2911" s="100" t="b">
        <v>0</v>
      </c>
      <c r="Q2911" s="18"/>
      <c r="R2911" s="101" t="str">
        <f t="shared" si="2792"/>
        <v/>
      </c>
      <c r="S2911" s="32"/>
      <c r="T2911" s="102" t="str">
        <f t="shared" si="2793"/>
        <v/>
      </c>
      <c r="U2911" s="18"/>
      <c r="V2911" s="75" t="s">
        <v>29</v>
      </c>
      <c r="W2911" s="104" t="str">
        <f t="shared" si="2828"/>
        <v>/</v>
      </c>
      <c r="X2911" s="111" t="s">
        <v>1765</v>
      </c>
      <c r="Y2911" s="106"/>
      <c r="Z2911" s="26" t="str">
        <f t="shared" si="5"/>
        <v/>
      </c>
      <c r="AA2911" s="26" t="str">
        <f t="shared" si="6"/>
        <v/>
      </c>
      <c r="AB2911" s="32" t="str">
        <f t="shared" si="7"/>
        <v/>
      </c>
      <c r="AC2911" s="32" t="str">
        <f t="shared" ref="AC2911:AG2911" si="2972">IF(J2911&lt;&gt;"", IF(AND($P2911=FALSE, $A2911=FALSE), -J2911, IF(AND($P2911=FALSE, $A2911=TRUE), 0, IF($P2911=TRUE, (J2911 / $R2911) * 100 * ($S2911 / 100)-J2911, ))), )</f>
        <v/>
      </c>
      <c r="AD2911" s="32" t="str">
        <f t="shared" si="2972"/>
        <v/>
      </c>
      <c r="AE2911" s="32" t="str">
        <f t="shared" si="2972"/>
        <v/>
      </c>
      <c r="AF2911" s="32" t="str">
        <f t="shared" si="2972"/>
        <v/>
      </c>
      <c r="AG2911" s="32" t="str">
        <f t="shared" si="2972"/>
        <v/>
      </c>
      <c r="AH2911" s="33"/>
    </row>
    <row r="2912" hidden="1" outlineLevel="3">
      <c r="A2912" s="95" t="b">
        <v>0</v>
      </c>
      <c r="B2912" s="96"/>
      <c r="C2912" s="18"/>
      <c r="D2912" s="107"/>
      <c r="E2912" s="108"/>
      <c r="F2912" s="109"/>
      <c r="G2912" s="97"/>
      <c r="H2912" s="97"/>
      <c r="I2912" s="97"/>
      <c r="J2912" s="98"/>
      <c r="K2912" s="99"/>
      <c r="L2912" s="98"/>
      <c r="M2912" s="99"/>
      <c r="N2912" s="99"/>
      <c r="O2912" s="18"/>
      <c r="P2912" s="100" t="b">
        <v>0</v>
      </c>
      <c r="Q2912" s="18"/>
      <c r="R2912" s="101" t="str">
        <f t="shared" si="2792"/>
        <v/>
      </c>
      <c r="S2912" s="32"/>
      <c r="T2912" s="102" t="str">
        <f t="shared" si="2793"/>
        <v/>
      </c>
      <c r="U2912" s="18"/>
      <c r="V2912" s="75" t="s">
        <v>29</v>
      </c>
      <c r="W2912" s="104" t="str">
        <f t="shared" si="2828"/>
        <v>/</v>
      </c>
      <c r="X2912" s="111" t="s">
        <v>1766</v>
      </c>
      <c r="Y2912" s="106"/>
      <c r="Z2912" s="26" t="str">
        <f t="shared" si="5"/>
        <v/>
      </c>
      <c r="AA2912" s="26" t="str">
        <f t="shared" si="6"/>
        <v/>
      </c>
      <c r="AB2912" s="32" t="str">
        <f t="shared" si="7"/>
        <v/>
      </c>
      <c r="AC2912" s="32" t="str">
        <f t="shared" ref="AC2912:AG2912" si="2973">IF(J2912&lt;&gt;"", IF(AND($P2912=FALSE, $A2912=FALSE), -J2912, IF(AND($P2912=FALSE, $A2912=TRUE), 0, IF($P2912=TRUE, (J2912 / $R2912) * 100 * ($S2912 / 100)-J2912, ))), )</f>
        <v/>
      </c>
      <c r="AD2912" s="32" t="str">
        <f t="shared" si="2973"/>
        <v/>
      </c>
      <c r="AE2912" s="32" t="str">
        <f t="shared" si="2973"/>
        <v/>
      </c>
      <c r="AF2912" s="32" t="str">
        <f t="shared" si="2973"/>
        <v/>
      </c>
      <c r="AG2912" s="32" t="str">
        <f t="shared" si="2973"/>
        <v/>
      </c>
      <c r="AH2912" s="33"/>
    </row>
    <row r="2913" hidden="1" outlineLevel="3">
      <c r="A2913" s="95" t="b">
        <v>0</v>
      </c>
      <c r="B2913" s="96"/>
      <c r="C2913" s="18"/>
      <c r="D2913" s="107"/>
      <c r="E2913" s="108"/>
      <c r="F2913" s="109"/>
      <c r="G2913" s="97"/>
      <c r="H2913" s="97"/>
      <c r="I2913" s="97"/>
      <c r="J2913" s="98"/>
      <c r="K2913" s="99"/>
      <c r="L2913" s="98"/>
      <c r="M2913" s="99"/>
      <c r="N2913" s="99"/>
      <c r="O2913" s="18"/>
      <c r="P2913" s="100" t="b">
        <v>0</v>
      </c>
      <c r="Q2913" s="18"/>
      <c r="R2913" s="101" t="str">
        <f t="shared" si="2792"/>
        <v/>
      </c>
      <c r="S2913" s="32"/>
      <c r="T2913" s="102" t="str">
        <f t="shared" si="2793"/>
        <v/>
      </c>
      <c r="U2913" s="18"/>
      <c r="V2913" s="75" t="s">
        <v>29</v>
      </c>
      <c r="W2913" s="104" t="str">
        <f t="shared" si="2828"/>
        <v>/</v>
      </c>
      <c r="X2913" s="111" t="s">
        <v>1767</v>
      </c>
      <c r="Y2913" s="106"/>
      <c r="Z2913" s="26" t="str">
        <f t="shared" si="5"/>
        <v/>
      </c>
      <c r="AA2913" s="26" t="str">
        <f t="shared" si="6"/>
        <v/>
      </c>
      <c r="AB2913" s="32" t="str">
        <f t="shared" si="7"/>
        <v/>
      </c>
      <c r="AC2913" s="32" t="str">
        <f t="shared" ref="AC2913:AG2913" si="2974">IF(J2913&lt;&gt;"", IF(AND($P2913=FALSE, $A2913=FALSE), -J2913, IF(AND($P2913=FALSE, $A2913=TRUE), 0, IF($P2913=TRUE, (J2913 / $R2913) * 100 * ($S2913 / 100)-J2913, ))), )</f>
        <v/>
      </c>
      <c r="AD2913" s="32" t="str">
        <f t="shared" si="2974"/>
        <v/>
      </c>
      <c r="AE2913" s="32" t="str">
        <f t="shared" si="2974"/>
        <v/>
      </c>
      <c r="AF2913" s="32" t="str">
        <f t="shared" si="2974"/>
        <v/>
      </c>
      <c r="AG2913" s="32" t="str">
        <f t="shared" si="2974"/>
        <v/>
      </c>
      <c r="AH2913" s="33"/>
    </row>
    <row r="2914" hidden="1" outlineLevel="3">
      <c r="A2914" s="95" t="b">
        <v>0</v>
      </c>
      <c r="B2914" s="96"/>
      <c r="C2914" s="18"/>
      <c r="D2914" s="107"/>
      <c r="E2914" s="108"/>
      <c r="F2914" s="109"/>
      <c r="G2914" s="97"/>
      <c r="H2914" s="97"/>
      <c r="I2914" s="97"/>
      <c r="J2914" s="98"/>
      <c r="K2914" s="99"/>
      <c r="L2914" s="98"/>
      <c r="M2914" s="99"/>
      <c r="N2914" s="99"/>
      <c r="O2914" s="18"/>
      <c r="P2914" s="100" t="b">
        <v>0</v>
      </c>
      <c r="Q2914" s="18"/>
      <c r="R2914" s="101" t="str">
        <f t="shared" si="2792"/>
        <v/>
      </c>
      <c r="S2914" s="32"/>
      <c r="T2914" s="102" t="str">
        <f t="shared" si="2793"/>
        <v/>
      </c>
      <c r="U2914" s="18"/>
      <c r="V2914" s="75" t="s">
        <v>29</v>
      </c>
      <c r="W2914" s="104" t="str">
        <f t="shared" si="2828"/>
        <v>/</v>
      </c>
      <c r="X2914" s="111" t="s">
        <v>1768</v>
      </c>
      <c r="Y2914" s="106"/>
      <c r="Z2914" s="26" t="str">
        <f t="shared" si="5"/>
        <v/>
      </c>
      <c r="AA2914" s="26" t="str">
        <f t="shared" si="6"/>
        <v/>
      </c>
      <c r="AB2914" s="32" t="str">
        <f t="shared" si="7"/>
        <v/>
      </c>
      <c r="AC2914" s="32" t="str">
        <f t="shared" ref="AC2914:AG2914" si="2975">IF(J2914&lt;&gt;"", IF(AND($P2914=FALSE, $A2914=FALSE), -J2914, IF(AND($P2914=FALSE, $A2914=TRUE), 0, IF($P2914=TRUE, (J2914 / $R2914) * 100 * ($S2914 / 100)-J2914, ))), )</f>
        <v/>
      </c>
      <c r="AD2914" s="32" t="str">
        <f t="shared" si="2975"/>
        <v/>
      </c>
      <c r="AE2914" s="32" t="str">
        <f t="shared" si="2975"/>
        <v/>
      </c>
      <c r="AF2914" s="32" t="str">
        <f t="shared" si="2975"/>
        <v/>
      </c>
      <c r="AG2914" s="32" t="str">
        <f t="shared" si="2975"/>
        <v/>
      </c>
      <c r="AH2914" s="33"/>
    </row>
    <row r="2915" hidden="1" outlineLevel="3">
      <c r="A2915" s="95" t="b">
        <v>0</v>
      </c>
      <c r="B2915" s="96"/>
      <c r="C2915" s="18"/>
      <c r="D2915" s="107"/>
      <c r="E2915" s="108"/>
      <c r="F2915" s="109"/>
      <c r="G2915" s="97"/>
      <c r="H2915" s="97"/>
      <c r="I2915" s="97"/>
      <c r="J2915" s="98"/>
      <c r="K2915" s="99"/>
      <c r="L2915" s="98"/>
      <c r="M2915" s="99"/>
      <c r="N2915" s="99"/>
      <c r="O2915" s="18"/>
      <c r="P2915" s="100" t="b">
        <v>0</v>
      </c>
      <c r="Q2915" s="18"/>
      <c r="R2915" s="101" t="str">
        <f t="shared" si="2792"/>
        <v/>
      </c>
      <c r="S2915" s="32"/>
      <c r="T2915" s="102" t="str">
        <f t="shared" si="2793"/>
        <v/>
      </c>
      <c r="U2915" s="18"/>
      <c r="V2915" s="75" t="s">
        <v>29</v>
      </c>
      <c r="W2915" s="104" t="str">
        <f t="shared" si="2828"/>
        <v>/</v>
      </c>
      <c r="X2915" s="111" t="s">
        <v>1769</v>
      </c>
      <c r="Y2915" s="106"/>
      <c r="Z2915" s="26" t="str">
        <f t="shared" si="5"/>
        <v/>
      </c>
      <c r="AA2915" s="26" t="str">
        <f t="shared" si="6"/>
        <v/>
      </c>
      <c r="AB2915" s="32" t="str">
        <f t="shared" si="7"/>
        <v/>
      </c>
      <c r="AC2915" s="32" t="str">
        <f t="shared" ref="AC2915:AG2915" si="2976">IF(J2915&lt;&gt;"", IF(AND($P2915=FALSE, $A2915=FALSE), -J2915, IF(AND($P2915=FALSE, $A2915=TRUE), 0, IF($P2915=TRUE, (J2915 / $R2915) * 100 * ($S2915 / 100)-J2915, ))), )</f>
        <v/>
      </c>
      <c r="AD2915" s="32" t="str">
        <f t="shared" si="2976"/>
        <v/>
      </c>
      <c r="AE2915" s="32" t="str">
        <f t="shared" si="2976"/>
        <v/>
      </c>
      <c r="AF2915" s="32" t="str">
        <f t="shared" si="2976"/>
        <v/>
      </c>
      <c r="AG2915" s="32" t="str">
        <f t="shared" si="2976"/>
        <v/>
      </c>
      <c r="AH2915" s="33"/>
    </row>
    <row r="2916" hidden="1" outlineLevel="3">
      <c r="A2916" s="95" t="b">
        <v>0</v>
      </c>
      <c r="B2916" s="96"/>
      <c r="C2916" s="18"/>
      <c r="D2916" s="107"/>
      <c r="E2916" s="108"/>
      <c r="F2916" s="109"/>
      <c r="G2916" s="97"/>
      <c r="H2916" s="97"/>
      <c r="I2916" s="97"/>
      <c r="J2916" s="98"/>
      <c r="K2916" s="99"/>
      <c r="L2916" s="98"/>
      <c r="M2916" s="99"/>
      <c r="N2916" s="99"/>
      <c r="O2916" s="18"/>
      <c r="P2916" s="100" t="b">
        <v>0</v>
      </c>
      <c r="Q2916" s="18"/>
      <c r="R2916" s="101" t="str">
        <f t="shared" si="2792"/>
        <v/>
      </c>
      <c r="S2916" s="32"/>
      <c r="T2916" s="102" t="str">
        <f t="shared" si="2793"/>
        <v/>
      </c>
      <c r="U2916" s="18"/>
      <c r="V2916" s="113">
        <v>34.0</v>
      </c>
      <c r="W2916" s="104" t="str">
        <f t="shared" si="2828"/>
        <v>/</v>
      </c>
      <c r="X2916" s="111" t="s">
        <v>1770</v>
      </c>
      <c r="Y2916" s="106"/>
      <c r="Z2916" s="26" t="str">
        <f t="shared" si="5"/>
        <v/>
      </c>
      <c r="AA2916" s="26" t="str">
        <f t="shared" si="6"/>
        <v/>
      </c>
      <c r="AB2916" s="32" t="str">
        <f t="shared" si="7"/>
        <v/>
      </c>
      <c r="AC2916" s="32" t="str">
        <f t="shared" ref="AC2916:AG2916" si="2977">IF(J2916&lt;&gt;"", IF(AND($P2916=FALSE, $A2916=FALSE), -J2916, IF(AND($P2916=FALSE, $A2916=TRUE), 0, IF($P2916=TRUE, (J2916 / $R2916) * 100 * ($S2916 / 100)-J2916, ))), )</f>
        <v/>
      </c>
      <c r="AD2916" s="32" t="str">
        <f t="shared" si="2977"/>
        <v/>
      </c>
      <c r="AE2916" s="32" t="str">
        <f t="shared" si="2977"/>
        <v/>
      </c>
      <c r="AF2916" s="32" t="str">
        <f t="shared" si="2977"/>
        <v/>
      </c>
      <c r="AG2916" s="32" t="str">
        <f t="shared" si="2977"/>
        <v/>
      </c>
      <c r="AH2916" s="33"/>
    </row>
    <row r="2917" hidden="1" outlineLevel="3">
      <c r="A2917" s="95" t="b">
        <v>0</v>
      </c>
      <c r="B2917" s="96"/>
      <c r="C2917" s="18"/>
      <c r="D2917" s="107"/>
      <c r="E2917" s="108"/>
      <c r="F2917" s="109"/>
      <c r="G2917" s="97"/>
      <c r="H2917" s="97"/>
      <c r="I2917" s="97"/>
      <c r="J2917" s="98"/>
      <c r="K2917" s="99"/>
      <c r="L2917" s="98"/>
      <c r="M2917" s="99"/>
      <c r="N2917" s="99"/>
      <c r="O2917" s="18"/>
      <c r="P2917" s="100" t="b">
        <v>0</v>
      </c>
      <c r="Q2917" s="18"/>
      <c r="R2917" s="101" t="str">
        <f t="shared" si="2792"/>
        <v/>
      </c>
      <c r="S2917" s="32"/>
      <c r="T2917" s="102" t="str">
        <f t="shared" si="2793"/>
        <v/>
      </c>
      <c r="U2917" s="18"/>
      <c r="V2917" s="75" t="s">
        <v>29</v>
      </c>
      <c r="W2917" s="104" t="str">
        <f t="shared" si="2828"/>
        <v>/</v>
      </c>
      <c r="X2917" s="111" t="s">
        <v>1771</v>
      </c>
      <c r="Y2917" s="106"/>
      <c r="Z2917" s="26" t="str">
        <f t="shared" si="5"/>
        <v/>
      </c>
      <c r="AA2917" s="26" t="str">
        <f t="shared" si="6"/>
        <v/>
      </c>
      <c r="AB2917" s="32" t="str">
        <f t="shared" si="7"/>
        <v/>
      </c>
      <c r="AC2917" s="32" t="str">
        <f t="shared" ref="AC2917:AG2917" si="2978">IF(J2917&lt;&gt;"", IF(AND($P2917=FALSE, $A2917=FALSE), -J2917, IF(AND($P2917=FALSE, $A2917=TRUE), 0, IF($P2917=TRUE, (J2917 / $R2917) * 100 * ($S2917 / 100)-J2917, ))), )</f>
        <v/>
      </c>
      <c r="AD2917" s="32" t="str">
        <f t="shared" si="2978"/>
        <v/>
      </c>
      <c r="AE2917" s="32" t="str">
        <f t="shared" si="2978"/>
        <v/>
      </c>
      <c r="AF2917" s="32" t="str">
        <f t="shared" si="2978"/>
        <v/>
      </c>
      <c r="AG2917" s="32" t="str">
        <f t="shared" si="2978"/>
        <v/>
      </c>
      <c r="AH2917" s="33"/>
    </row>
    <row r="2918" hidden="1" outlineLevel="2" collapsed="1">
      <c r="A2918" s="95" t="b">
        <v>0</v>
      </c>
      <c r="B2918" s="96"/>
      <c r="C2918" s="18"/>
      <c r="D2918" s="42">
        <v>45596.0</v>
      </c>
      <c r="E2918" s="20" t="s">
        <v>24</v>
      </c>
      <c r="F2918" s="53" t="s">
        <v>1763</v>
      </c>
      <c r="G2918" s="97">
        <v>4.0</v>
      </c>
      <c r="H2918" s="97"/>
      <c r="I2918" s="97">
        <v>10.0</v>
      </c>
      <c r="J2918" s="98"/>
      <c r="K2918" s="99"/>
      <c r="L2918" s="98"/>
      <c r="M2918" s="99"/>
      <c r="N2918" s="99"/>
      <c r="O2918" s="18"/>
      <c r="P2918" s="100" t="b">
        <v>0</v>
      </c>
      <c r="Q2918" s="18"/>
      <c r="R2918" s="101">
        <f t="shared" si="2792"/>
        <v>14</v>
      </c>
      <c r="S2918" s="32">
        <v>42.0</v>
      </c>
      <c r="T2918" s="102" t="str">
        <f t="shared" si="2793"/>
        <v>+200</v>
      </c>
      <c r="U2918" s="18"/>
      <c r="V2918" s="103" t="str">
        <f>IF(ISBLANK($D2918), "0",)</f>
        <v/>
      </c>
      <c r="W2918" s="104" t="str">
        <f t="shared" si="2828"/>
        <v/>
      </c>
      <c r="X2918" s="105"/>
      <c r="Y2918" s="106"/>
      <c r="Z2918" s="26">
        <f t="shared" si="5"/>
        <v>-4</v>
      </c>
      <c r="AA2918" s="26">
        <f t="shared" si="6"/>
        <v>-10</v>
      </c>
      <c r="AB2918" s="32" t="str">
        <f t="shared" si="7"/>
        <v/>
      </c>
      <c r="AC2918" s="32" t="str">
        <f t="shared" ref="AC2918:AG2918" si="2979">IF(J2918&lt;&gt;"", IF(AND($P2918=FALSE, $A2918=FALSE), -J2918, IF(AND($P2918=FALSE, $A2918=TRUE), 0, IF($P2918=TRUE, (J2918 / $R2918) * 100 * ($S2918 / 100)-J2918, ))), )</f>
        <v/>
      </c>
      <c r="AD2918" s="32" t="str">
        <f t="shared" si="2979"/>
        <v/>
      </c>
      <c r="AE2918" s="32" t="str">
        <f t="shared" si="2979"/>
        <v/>
      </c>
      <c r="AF2918" s="32" t="str">
        <f t="shared" si="2979"/>
        <v/>
      </c>
      <c r="AG2918" s="32" t="str">
        <f t="shared" si="2979"/>
        <v/>
      </c>
      <c r="AH2918" s="33"/>
    </row>
    <row r="2919" hidden="1" outlineLevel="3">
      <c r="A2919" s="95" t="b">
        <v>0</v>
      </c>
      <c r="B2919" s="96"/>
      <c r="C2919" s="18"/>
      <c r="D2919" s="107"/>
      <c r="E2919" s="108"/>
      <c r="F2919" s="109"/>
      <c r="G2919" s="97"/>
      <c r="H2919" s="97"/>
      <c r="I2919" s="97"/>
      <c r="J2919" s="98"/>
      <c r="K2919" s="99"/>
      <c r="L2919" s="98"/>
      <c r="M2919" s="99"/>
      <c r="N2919" s="99"/>
      <c r="O2919" s="18"/>
      <c r="P2919" s="100" t="b">
        <v>0</v>
      </c>
      <c r="Q2919" s="18"/>
      <c r="R2919" s="101" t="str">
        <f t="shared" si="2792"/>
        <v/>
      </c>
      <c r="S2919" s="32"/>
      <c r="T2919" s="102" t="str">
        <f t="shared" si="2793"/>
        <v/>
      </c>
      <c r="U2919" s="18"/>
      <c r="V2919" s="113">
        <v>9.0</v>
      </c>
      <c r="W2919" s="104" t="str">
        <f t="shared" si="2828"/>
        <v>/</v>
      </c>
      <c r="X2919" s="111" t="s">
        <v>1772</v>
      </c>
      <c r="Y2919" s="106"/>
      <c r="Z2919" s="26" t="str">
        <f t="shared" si="5"/>
        <v/>
      </c>
      <c r="AA2919" s="26" t="str">
        <f t="shared" si="6"/>
        <v/>
      </c>
      <c r="AB2919" s="32" t="str">
        <f t="shared" si="7"/>
        <v/>
      </c>
      <c r="AC2919" s="32" t="str">
        <f t="shared" ref="AC2919:AG2919" si="2980">IF(J2919&lt;&gt;"", IF(AND($P2919=FALSE, $A2919=FALSE), -J2919, IF(AND($P2919=FALSE, $A2919=TRUE), 0, IF($P2919=TRUE, (J2919 / $R2919) * 100 * ($S2919 / 100)-J2919, ))), )</f>
        <v/>
      </c>
      <c r="AD2919" s="32" t="str">
        <f t="shared" si="2980"/>
        <v/>
      </c>
      <c r="AE2919" s="32" t="str">
        <f t="shared" si="2980"/>
        <v/>
      </c>
      <c r="AF2919" s="32" t="str">
        <f t="shared" si="2980"/>
        <v/>
      </c>
      <c r="AG2919" s="32" t="str">
        <f t="shared" si="2980"/>
        <v/>
      </c>
      <c r="AH2919" s="33"/>
    </row>
    <row r="2920" hidden="1" outlineLevel="3">
      <c r="A2920" s="95" t="b">
        <v>0</v>
      </c>
      <c r="B2920" s="96"/>
      <c r="C2920" s="18"/>
      <c r="D2920" s="107"/>
      <c r="E2920" s="108"/>
      <c r="F2920" s="109"/>
      <c r="G2920" s="97"/>
      <c r="H2920" s="97"/>
      <c r="I2920" s="97"/>
      <c r="J2920" s="98"/>
      <c r="K2920" s="99"/>
      <c r="L2920" s="98"/>
      <c r="M2920" s="99"/>
      <c r="N2920" s="99"/>
      <c r="O2920" s="18"/>
      <c r="P2920" s="100" t="b">
        <v>0</v>
      </c>
      <c r="Q2920" s="18"/>
      <c r="R2920" s="101" t="str">
        <f t="shared" si="2792"/>
        <v/>
      </c>
      <c r="S2920" s="32"/>
      <c r="T2920" s="102" t="str">
        <f t="shared" si="2793"/>
        <v/>
      </c>
      <c r="U2920" s="18"/>
      <c r="V2920" s="75" t="s">
        <v>29</v>
      </c>
      <c r="W2920" s="104" t="str">
        <f t="shared" si="2828"/>
        <v>/</v>
      </c>
      <c r="X2920" s="111" t="s">
        <v>1773</v>
      </c>
      <c r="Y2920" s="106"/>
      <c r="Z2920" s="26" t="str">
        <f t="shared" si="5"/>
        <v/>
      </c>
      <c r="AA2920" s="26" t="str">
        <f t="shared" si="6"/>
        <v/>
      </c>
      <c r="AB2920" s="32" t="str">
        <f t="shared" si="7"/>
        <v/>
      </c>
      <c r="AC2920" s="32" t="str">
        <f t="shared" ref="AC2920:AG2920" si="2981">IF(J2920&lt;&gt;"", IF(AND($P2920=FALSE, $A2920=FALSE), -J2920, IF(AND($P2920=FALSE, $A2920=TRUE), 0, IF($P2920=TRUE, (J2920 / $R2920) * 100 * ($S2920 / 100)-J2920, ))), )</f>
        <v/>
      </c>
      <c r="AD2920" s="32" t="str">
        <f t="shared" si="2981"/>
        <v/>
      </c>
      <c r="AE2920" s="32" t="str">
        <f t="shared" si="2981"/>
        <v/>
      </c>
      <c r="AF2920" s="32" t="str">
        <f t="shared" si="2981"/>
        <v/>
      </c>
      <c r="AG2920" s="32" t="str">
        <f t="shared" si="2981"/>
        <v/>
      </c>
      <c r="AH2920" s="33"/>
    </row>
    <row r="2921" hidden="1" outlineLevel="2" collapsed="1">
      <c r="A2921" s="95" t="b">
        <v>0</v>
      </c>
      <c r="B2921" s="96"/>
      <c r="C2921" s="18"/>
      <c r="D2921" s="42">
        <v>45596.0</v>
      </c>
      <c r="E2921" s="20" t="s">
        <v>24</v>
      </c>
      <c r="F2921" s="53" t="s">
        <v>1763</v>
      </c>
      <c r="G2921" s="97">
        <v>2.0</v>
      </c>
      <c r="H2921" s="97"/>
      <c r="I2921" s="97">
        <v>3.0</v>
      </c>
      <c r="J2921" s="98"/>
      <c r="K2921" s="99"/>
      <c r="L2921" s="98"/>
      <c r="M2921" s="99"/>
      <c r="N2921" s="99"/>
      <c r="O2921" s="18"/>
      <c r="P2921" s="100" t="b">
        <v>1</v>
      </c>
      <c r="Q2921" s="18"/>
      <c r="R2921" s="101">
        <f t="shared" si="2792"/>
        <v>5</v>
      </c>
      <c r="S2921" s="32">
        <v>10.1</v>
      </c>
      <c r="T2921" s="102" t="str">
        <f t="shared" si="2793"/>
        <v>+102</v>
      </c>
      <c r="U2921" s="18"/>
      <c r="V2921" s="103" t="str">
        <f>IF(ISBLANK($D2921), "0",)</f>
        <v/>
      </c>
      <c r="W2921" s="104" t="str">
        <f t="shared" si="2828"/>
        <v/>
      </c>
      <c r="X2921" s="105"/>
      <c r="Y2921" s="106"/>
      <c r="Z2921" s="26">
        <f t="shared" si="5"/>
        <v>2.04</v>
      </c>
      <c r="AA2921" s="26">
        <f t="shared" si="6"/>
        <v>3.06</v>
      </c>
      <c r="AB2921" s="32" t="str">
        <f t="shared" si="7"/>
        <v/>
      </c>
      <c r="AC2921" s="32" t="str">
        <f t="shared" ref="AC2921:AG2921" si="2982">IF(J2921&lt;&gt;"", IF(AND($P2921=FALSE, $A2921=FALSE), -J2921, IF(AND($P2921=FALSE, $A2921=TRUE), 0, IF($P2921=TRUE, (J2921 / $R2921) * 100 * ($S2921 / 100)-J2921, ))), )</f>
        <v/>
      </c>
      <c r="AD2921" s="32" t="str">
        <f t="shared" si="2982"/>
        <v/>
      </c>
      <c r="AE2921" s="32" t="str">
        <f t="shared" si="2982"/>
        <v/>
      </c>
      <c r="AF2921" s="32" t="str">
        <f t="shared" si="2982"/>
        <v/>
      </c>
      <c r="AG2921" s="32" t="str">
        <f t="shared" si="2982"/>
        <v/>
      </c>
      <c r="AH2921" s="33"/>
    </row>
    <row r="2922" hidden="1" outlineLevel="3">
      <c r="A2922" s="95" t="b">
        <v>0</v>
      </c>
      <c r="B2922" s="96"/>
      <c r="C2922" s="18"/>
      <c r="D2922" s="107"/>
      <c r="E2922" s="108"/>
      <c r="F2922" s="109"/>
      <c r="G2922" s="97"/>
      <c r="H2922" s="97"/>
      <c r="I2922" s="97"/>
      <c r="J2922" s="98"/>
      <c r="K2922" s="99"/>
      <c r="L2922" s="98"/>
      <c r="M2922" s="99"/>
      <c r="N2922" s="99"/>
      <c r="O2922" s="18"/>
      <c r="P2922" s="100" t="b">
        <v>0</v>
      </c>
      <c r="Q2922" s="18"/>
      <c r="R2922" s="101" t="str">
        <f t="shared" si="2792"/>
        <v/>
      </c>
      <c r="S2922" s="32"/>
      <c r="T2922" s="102" t="str">
        <f t="shared" si="2793"/>
        <v/>
      </c>
      <c r="U2922" s="18"/>
      <c r="V2922" s="75" t="s">
        <v>29</v>
      </c>
      <c r="W2922" s="104" t="str">
        <f t="shared" si="2828"/>
        <v>/</v>
      </c>
      <c r="X2922" s="111" t="s">
        <v>1774</v>
      </c>
      <c r="Y2922" s="106"/>
      <c r="Z2922" s="26" t="str">
        <f t="shared" si="5"/>
        <v/>
      </c>
      <c r="AA2922" s="26" t="str">
        <f t="shared" si="6"/>
        <v/>
      </c>
      <c r="AB2922" s="32" t="str">
        <f t="shared" si="7"/>
        <v/>
      </c>
      <c r="AC2922" s="32" t="str">
        <f t="shared" ref="AC2922:AG2922" si="2983">IF(J2922&lt;&gt;"", IF(AND($P2922=FALSE, $A2922=FALSE), -J2922, IF(AND($P2922=FALSE, $A2922=TRUE), 0, IF($P2922=TRUE, (J2922 / $R2922) * 100 * ($S2922 / 100)-J2922, ))), )</f>
        <v/>
      </c>
      <c r="AD2922" s="32" t="str">
        <f t="shared" si="2983"/>
        <v/>
      </c>
      <c r="AE2922" s="32" t="str">
        <f t="shared" si="2983"/>
        <v/>
      </c>
      <c r="AF2922" s="32" t="str">
        <f t="shared" si="2983"/>
        <v/>
      </c>
      <c r="AG2922" s="32" t="str">
        <f t="shared" si="2983"/>
        <v/>
      </c>
      <c r="AH2922" s="33"/>
    </row>
    <row r="2923" hidden="1" outlineLevel="2">
      <c r="A2923" s="95" t="b">
        <v>0</v>
      </c>
      <c r="B2923" s="96"/>
      <c r="C2923" s="18"/>
      <c r="D2923" s="42">
        <v>45596.0</v>
      </c>
      <c r="E2923" s="20" t="s">
        <v>24</v>
      </c>
      <c r="F2923" s="53" t="s">
        <v>1763</v>
      </c>
      <c r="G2923" s="97">
        <v>2.0</v>
      </c>
      <c r="H2923" s="97"/>
      <c r="I2923" s="97">
        <v>3.0</v>
      </c>
      <c r="J2923" s="98"/>
      <c r="K2923" s="99"/>
      <c r="L2923" s="98"/>
      <c r="M2923" s="99"/>
      <c r="N2923" s="99"/>
      <c r="O2923" s="18"/>
      <c r="P2923" s="100" t="b">
        <v>0</v>
      </c>
      <c r="Q2923" s="18"/>
      <c r="R2923" s="101">
        <f t="shared" si="2792"/>
        <v>5</v>
      </c>
      <c r="S2923" s="32">
        <v>15.4</v>
      </c>
      <c r="T2923" s="102" t="str">
        <f t="shared" si="2793"/>
        <v>+208</v>
      </c>
      <c r="U2923" s="18"/>
      <c r="V2923" s="103" t="str">
        <f>IF(ISBLANK($D2923), "0",)</f>
        <v/>
      </c>
      <c r="W2923" s="104" t="str">
        <f t="shared" si="2828"/>
        <v/>
      </c>
      <c r="X2923" s="105"/>
      <c r="Y2923" s="106"/>
      <c r="Z2923" s="26">
        <f t="shared" si="5"/>
        <v>-2</v>
      </c>
      <c r="AA2923" s="26">
        <f t="shared" si="6"/>
        <v>-3</v>
      </c>
      <c r="AB2923" s="32" t="str">
        <f t="shared" si="7"/>
        <v/>
      </c>
      <c r="AC2923" s="32" t="str">
        <f t="shared" ref="AC2923:AG2923" si="2984">IF(J2923&lt;&gt;"", IF(AND($P2923=FALSE, $A2923=FALSE), -J2923, IF(AND($P2923=FALSE, $A2923=TRUE), 0, IF($P2923=TRUE, (J2923 / $R2923) * 100 * ($S2923 / 100)-J2923, ))), )</f>
        <v/>
      </c>
      <c r="AD2923" s="32" t="str">
        <f t="shared" si="2984"/>
        <v/>
      </c>
      <c r="AE2923" s="32" t="str">
        <f t="shared" si="2984"/>
        <v/>
      </c>
      <c r="AF2923" s="32" t="str">
        <f t="shared" si="2984"/>
        <v/>
      </c>
      <c r="AG2923" s="32" t="str">
        <f t="shared" si="2984"/>
        <v/>
      </c>
      <c r="AH2923" s="33"/>
    </row>
    <row r="2924" hidden="1" outlineLevel="3">
      <c r="A2924" s="95" t="b">
        <v>0</v>
      </c>
      <c r="B2924" s="96"/>
      <c r="C2924" s="18"/>
      <c r="D2924" s="107"/>
      <c r="E2924" s="108"/>
      <c r="F2924" s="109"/>
      <c r="G2924" s="97"/>
      <c r="H2924" s="97"/>
      <c r="I2924" s="97"/>
      <c r="J2924" s="98"/>
      <c r="K2924" s="99"/>
      <c r="L2924" s="98"/>
      <c r="M2924" s="99"/>
      <c r="N2924" s="99"/>
      <c r="O2924" s="18"/>
      <c r="P2924" s="100" t="b">
        <v>0</v>
      </c>
      <c r="Q2924" s="18"/>
      <c r="R2924" s="101" t="str">
        <f t="shared" si="2792"/>
        <v/>
      </c>
      <c r="S2924" s="32"/>
      <c r="T2924" s="102" t="str">
        <f t="shared" si="2793"/>
        <v/>
      </c>
      <c r="U2924" s="18"/>
      <c r="V2924" s="75" t="s">
        <v>29</v>
      </c>
      <c r="W2924" s="104" t="str">
        <f t="shared" si="2828"/>
        <v>/</v>
      </c>
      <c r="X2924" s="111" t="s">
        <v>1775</v>
      </c>
      <c r="Y2924" s="106"/>
      <c r="Z2924" s="26" t="str">
        <f t="shared" si="5"/>
        <v/>
      </c>
      <c r="AA2924" s="26" t="str">
        <f t="shared" si="6"/>
        <v/>
      </c>
      <c r="AB2924" s="32" t="str">
        <f t="shared" si="7"/>
        <v/>
      </c>
      <c r="AC2924" s="32" t="str">
        <f t="shared" ref="AC2924:AG2924" si="2985">IF(J2924&lt;&gt;"", IF(AND($P2924=FALSE, $A2924=FALSE), -J2924, IF(AND($P2924=FALSE, $A2924=TRUE), 0, IF($P2924=TRUE, (J2924 / $R2924) * 100 * ($S2924 / 100)-J2924, ))), )</f>
        <v/>
      </c>
      <c r="AD2924" s="32" t="str">
        <f t="shared" si="2985"/>
        <v/>
      </c>
      <c r="AE2924" s="32" t="str">
        <f t="shared" si="2985"/>
        <v/>
      </c>
      <c r="AF2924" s="32" t="str">
        <f t="shared" si="2985"/>
        <v/>
      </c>
      <c r="AG2924" s="32" t="str">
        <f t="shared" si="2985"/>
        <v/>
      </c>
      <c r="AH2924" s="33"/>
    </row>
    <row r="2925" hidden="1" outlineLevel="3">
      <c r="A2925" s="95" t="b">
        <v>0</v>
      </c>
      <c r="B2925" s="96"/>
      <c r="C2925" s="18"/>
      <c r="D2925" s="107"/>
      <c r="E2925" s="108"/>
      <c r="F2925" s="109"/>
      <c r="G2925" s="97"/>
      <c r="H2925" s="97"/>
      <c r="I2925" s="97"/>
      <c r="J2925" s="98"/>
      <c r="K2925" s="99"/>
      <c r="L2925" s="98"/>
      <c r="M2925" s="99"/>
      <c r="N2925" s="99"/>
      <c r="O2925" s="18"/>
      <c r="P2925" s="100" t="b">
        <v>0</v>
      </c>
      <c r="Q2925" s="18"/>
      <c r="R2925" s="101" t="str">
        <f t="shared" si="2792"/>
        <v/>
      </c>
      <c r="S2925" s="32"/>
      <c r="T2925" s="102" t="str">
        <f t="shared" si="2793"/>
        <v/>
      </c>
      <c r="U2925" s="18"/>
      <c r="V2925" s="75" t="s">
        <v>29</v>
      </c>
      <c r="W2925" s="104" t="str">
        <f t="shared" si="2828"/>
        <v>/</v>
      </c>
      <c r="X2925" s="111" t="s">
        <v>1776</v>
      </c>
      <c r="Y2925" s="106"/>
      <c r="Z2925" s="26" t="str">
        <f t="shared" si="5"/>
        <v/>
      </c>
      <c r="AA2925" s="26" t="str">
        <f t="shared" si="6"/>
        <v/>
      </c>
      <c r="AB2925" s="32" t="str">
        <f t="shared" si="7"/>
        <v/>
      </c>
      <c r="AC2925" s="32" t="str">
        <f t="shared" ref="AC2925:AG2925" si="2986">IF(J2925&lt;&gt;"", IF(AND($P2925=FALSE, $A2925=FALSE), -J2925, IF(AND($P2925=FALSE, $A2925=TRUE), 0, IF($P2925=TRUE, (J2925 / $R2925) * 100 * ($S2925 / 100)-J2925, ))), )</f>
        <v/>
      </c>
      <c r="AD2925" s="32" t="str">
        <f t="shared" si="2986"/>
        <v/>
      </c>
      <c r="AE2925" s="32" t="str">
        <f t="shared" si="2986"/>
        <v/>
      </c>
      <c r="AF2925" s="32" t="str">
        <f t="shared" si="2986"/>
        <v/>
      </c>
      <c r="AG2925" s="32" t="str">
        <f t="shared" si="2986"/>
        <v/>
      </c>
      <c r="AH2925" s="33"/>
    </row>
    <row r="2926" hidden="1" outlineLevel="3">
      <c r="A2926" s="95" t="b">
        <v>0</v>
      </c>
      <c r="B2926" s="96"/>
      <c r="C2926" s="18"/>
      <c r="D2926" s="107"/>
      <c r="E2926" s="108"/>
      <c r="F2926" s="109"/>
      <c r="G2926" s="97"/>
      <c r="H2926" s="97"/>
      <c r="I2926" s="97"/>
      <c r="J2926" s="98"/>
      <c r="K2926" s="99"/>
      <c r="L2926" s="98"/>
      <c r="M2926" s="99"/>
      <c r="N2926" s="99"/>
      <c r="O2926" s="18"/>
      <c r="P2926" s="100" t="b">
        <v>0</v>
      </c>
      <c r="Q2926" s="18"/>
      <c r="R2926" s="101" t="str">
        <f t="shared" si="2792"/>
        <v/>
      </c>
      <c r="S2926" s="32"/>
      <c r="T2926" s="102" t="str">
        <f t="shared" si="2793"/>
        <v/>
      </c>
      <c r="U2926" s="18"/>
      <c r="V2926" s="113">
        <v>21.0</v>
      </c>
      <c r="W2926" s="104" t="str">
        <f t="shared" si="2828"/>
        <v>/</v>
      </c>
      <c r="X2926" s="111" t="s">
        <v>1777</v>
      </c>
      <c r="Y2926" s="106"/>
      <c r="Z2926" s="26" t="str">
        <f t="shared" si="5"/>
        <v/>
      </c>
      <c r="AA2926" s="26" t="str">
        <f t="shared" si="6"/>
        <v/>
      </c>
      <c r="AB2926" s="32" t="str">
        <f t="shared" si="7"/>
        <v/>
      </c>
      <c r="AC2926" s="32" t="str">
        <f t="shared" ref="AC2926:AG2926" si="2987">IF(J2926&lt;&gt;"", IF(AND($P2926=FALSE, $A2926=FALSE), -J2926, IF(AND($P2926=FALSE, $A2926=TRUE), 0, IF($P2926=TRUE, (J2926 / $R2926) * 100 * ($S2926 / 100)-J2926, ))), )</f>
        <v/>
      </c>
      <c r="AD2926" s="32" t="str">
        <f t="shared" si="2987"/>
        <v/>
      </c>
      <c r="AE2926" s="32" t="str">
        <f t="shared" si="2987"/>
        <v/>
      </c>
      <c r="AF2926" s="32" t="str">
        <f t="shared" si="2987"/>
        <v/>
      </c>
      <c r="AG2926" s="32" t="str">
        <f t="shared" si="2987"/>
        <v/>
      </c>
      <c r="AH2926" s="33"/>
    </row>
    <row r="2927" hidden="1" outlineLevel="1" collapsed="1">
      <c r="A2927" s="95" t="b">
        <v>0</v>
      </c>
      <c r="B2927" s="96"/>
      <c r="C2927" s="18"/>
      <c r="D2927" s="42">
        <v>45599.0</v>
      </c>
      <c r="E2927" s="20" t="s">
        <v>24</v>
      </c>
      <c r="F2927" s="53" t="s">
        <v>1763</v>
      </c>
      <c r="G2927" s="97">
        <v>4.0</v>
      </c>
      <c r="H2927" s="97"/>
      <c r="I2927" s="97">
        <v>10.0</v>
      </c>
      <c r="J2927" s="98"/>
      <c r="K2927" s="99"/>
      <c r="L2927" s="98"/>
      <c r="M2927" s="99"/>
      <c r="N2927" s="99"/>
      <c r="O2927" s="18"/>
      <c r="P2927" s="100" t="b">
        <v>0</v>
      </c>
      <c r="Q2927" s="18"/>
      <c r="R2927" s="101">
        <f t="shared" si="2792"/>
        <v>14</v>
      </c>
      <c r="S2927" s="32">
        <v>41.47</v>
      </c>
      <c r="T2927" s="102" t="str">
        <f t="shared" si="2793"/>
        <v>+196</v>
      </c>
      <c r="U2927" s="18"/>
      <c r="V2927" s="103" t="str">
        <f>IF(ISBLANK($D2927), "0",)</f>
        <v/>
      </c>
      <c r="W2927" s="104" t="str">
        <f t="shared" si="2828"/>
        <v/>
      </c>
      <c r="X2927" s="105"/>
      <c r="Y2927" s="106"/>
      <c r="Z2927" s="26">
        <f t="shared" si="5"/>
        <v>-4</v>
      </c>
      <c r="AA2927" s="26">
        <f t="shared" si="6"/>
        <v>-10</v>
      </c>
      <c r="AB2927" s="32" t="str">
        <f t="shared" si="7"/>
        <v/>
      </c>
      <c r="AC2927" s="32" t="str">
        <f t="shared" ref="AC2927:AG2927" si="2988">IF(J2927&lt;&gt;"", IF(AND($P2927=FALSE, $A2927=FALSE), -J2927, IF(AND($P2927=FALSE, $A2927=TRUE), 0, IF($P2927=TRUE, (J2927 / $R2927) * 100 * ($S2927 / 100)-J2927, ))), )</f>
        <v/>
      </c>
      <c r="AD2927" s="32" t="str">
        <f t="shared" si="2988"/>
        <v/>
      </c>
      <c r="AE2927" s="32" t="str">
        <f t="shared" si="2988"/>
        <v/>
      </c>
      <c r="AF2927" s="32" t="str">
        <f t="shared" si="2988"/>
        <v/>
      </c>
      <c r="AG2927" s="32" t="str">
        <f t="shared" si="2988"/>
        <v/>
      </c>
      <c r="AH2927" s="33"/>
    </row>
    <row r="2928" hidden="1" outlineLevel="3">
      <c r="A2928" s="95" t="b">
        <v>0</v>
      </c>
      <c r="B2928" s="96"/>
      <c r="C2928" s="18"/>
      <c r="D2928" s="107"/>
      <c r="E2928" s="108"/>
      <c r="F2928" s="109"/>
      <c r="G2928" s="97"/>
      <c r="H2928" s="97"/>
      <c r="I2928" s="97"/>
      <c r="J2928" s="98"/>
      <c r="K2928" s="99"/>
      <c r="L2928" s="98"/>
      <c r="M2928" s="99"/>
      <c r="N2928" s="99"/>
      <c r="O2928" s="18"/>
      <c r="P2928" s="100" t="b">
        <v>0</v>
      </c>
      <c r="Q2928" s="18"/>
      <c r="R2928" s="101" t="str">
        <f t="shared" si="2792"/>
        <v/>
      </c>
      <c r="S2928" s="32"/>
      <c r="T2928" s="102" t="str">
        <f t="shared" si="2793"/>
        <v/>
      </c>
      <c r="U2928" s="18"/>
      <c r="V2928" s="113">
        <v>222.0</v>
      </c>
      <c r="W2928" s="104" t="str">
        <f t="shared" si="2828"/>
        <v>/</v>
      </c>
      <c r="X2928" s="111" t="s">
        <v>1507</v>
      </c>
      <c r="Y2928" s="106"/>
      <c r="Z2928" s="26" t="str">
        <f t="shared" si="5"/>
        <v/>
      </c>
      <c r="AA2928" s="26" t="str">
        <f t="shared" si="6"/>
        <v/>
      </c>
      <c r="AB2928" s="32" t="str">
        <f t="shared" si="7"/>
        <v/>
      </c>
      <c r="AC2928" s="32" t="str">
        <f t="shared" ref="AC2928:AG2928" si="2989">IF(J2928&lt;&gt;"", IF(AND($P2928=FALSE, $A2928=FALSE), -J2928, IF(AND($P2928=FALSE, $A2928=TRUE), 0, IF($P2928=TRUE, (J2928 / $R2928) * 100 * ($S2928 / 100)-J2928, ))), )</f>
        <v/>
      </c>
      <c r="AD2928" s="32" t="str">
        <f t="shared" si="2989"/>
        <v/>
      </c>
      <c r="AE2928" s="32" t="str">
        <f t="shared" si="2989"/>
        <v/>
      </c>
      <c r="AF2928" s="32" t="str">
        <f t="shared" si="2989"/>
        <v/>
      </c>
      <c r="AG2928" s="32" t="str">
        <f t="shared" si="2989"/>
        <v/>
      </c>
      <c r="AH2928" s="33"/>
    </row>
    <row r="2929" hidden="1" outlineLevel="3">
      <c r="A2929" s="95" t="b">
        <v>0</v>
      </c>
      <c r="B2929" s="96"/>
      <c r="C2929" s="18"/>
      <c r="D2929" s="107"/>
      <c r="E2929" s="108"/>
      <c r="F2929" s="109"/>
      <c r="G2929" s="97"/>
      <c r="H2929" s="97"/>
      <c r="I2929" s="97"/>
      <c r="J2929" s="98"/>
      <c r="K2929" s="99"/>
      <c r="L2929" s="98"/>
      <c r="M2929" s="99"/>
      <c r="N2929" s="99"/>
      <c r="O2929" s="18"/>
      <c r="P2929" s="100" t="b">
        <v>0</v>
      </c>
      <c r="Q2929" s="18"/>
      <c r="R2929" s="101" t="str">
        <f t="shared" si="2792"/>
        <v/>
      </c>
      <c r="S2929" s="32"/>
      <c r="T2929" s="102" t="str">
        <f t="shared" si="2793"/>
        <v/>
      </c>
      <c r="U2929" s="18"/>
      <c r="V2929" s="75" t="s">
        <v>29</v>
      </c>
      <c r="W2929" s="104" t="str">
        <f t="shared" si="2828"/>
        <v>/</v>
      </c>
      <c r="X2929" s="111" t="s">
        <v>1778</v>
      </c>
      <c r="Y2929" s="106"/>
      <c r="Z2929" s="26" t="str">
        <f t="shared" si="5"/>
        <v/>
      </c>
      <c r="AA2929" s="26" t="str">
        <f t="shared" si="6"/>
        <v/>
      </c>
      <c r="AB2929" s="32" t="str">
        <f t="shared" si="7"/>
        <v/>
      </c>
      <c r="AC2929" s="32" t="str">
        <f t="shared" ref="AC2929:AG2929" si="2990">IF(J2929&lt;&gt;"", IF(AND($P2929=FALSE, $A2929=FALSE), -J2929, IF(AND($P2929=FALSE, $A2929=TRUE), 0, IF($P2929=TRUE, (J2929 / $R2929) * 100 * ($S2929 / 100)-J2929, ))), )</f>
        <v/>
      </c>
      <c r="AD2929" s="32" t="str">
        <f t="shared" si="2990"/>
        <v/>
      </c>
      <c r="AE2929" s="32" t="str">
        <f t="shared" si="2990"/>
        <v/>
      </c>
      <c r="AF2929" s="32" t="str">
        <f t="shared" si="2990"/>
        <v/>
      </c>
      <c r="AG2929" s="32" t="str">
        <f t="shared" si="2990"/>
        <v/>
      </c>
      <c r="AH2929" s="33"/>
    </row>
    <row r="2930" hidden="1" outlineLevel="3">
      <c r="A2930" s="95" t="b">
        <v>0</v>
      </c>
      <c r="B2930" s="96"/>
      <c r="C2930" s="18"/>
      <c r="D2930" s="107"/>
      <c r="E2930" s="108"/>
      <c r="F2930" s="109"/>
      <c r="G2930" s="97"/>
      <c r="H2930" s="97"/>
      <c r="I2930" s="97"/>
      <c r="J2930" s="98"/>
      <c r="K2930" s="99"/>
      <c r="L2930" s="98"/>
      <c r="M2930" s="99"/>
      <c r="N2930" s="99"/>
      <c r="O2930" s="18"/>
      <c r="P2930" s="100" t="b">
        <v>0</v>
      </c>
      <c r="Q2930" s="18"/>
      <c r="R2930" s="101" t="str">
        <f t="shared" si="2792"/>
        <v/>
      </c>
      <c r="S2930" s="32"/>
      <c r="T2930" s="102" t="str">
        <f t="shared" si="2793"/>
        <v/>
      </c>
      <c r="U2930" s="18"/>
      <c r="V2930" s="75" t="s">
        <v>29</v>
      </c>
      <c r="W2930" s="104" t="str">
        <f t="shared" si="2828"/>
        <v>/</v>
      </c>
      <c r="X2930" s="111" t="s">
        <v>1522</v>
      </c>
      <c r="Y2930" s="106"/>
      <c r="Z2930" s="26" t="str">
        <f t="shared" si="5"/>
        <v/>
      </c>
      <c r="AA2930" s="26" t="str">
        <f t="shared" si="6"/>
        <v/>
      </c>
      <c r="AB2930" s="32" t="str">
        <f t="shared" si="7"/>
        <v/>
      </c>
      <c r="AC2930" s="32" t="str">
        <f t="shared" ref="AC2930:AG2930" si="2991">IF(J2930&lt;&gt;"", IF(AND($P2930=FALSE, $A2930=FALSE), -J2930, IF(AND($P2930=FALSE, $A2930=TRUE), 0, IF($P2930=TRUE, (J2930 / $R2930) * 100 * ($S2930 / 100)-J2930, ))), )</f>
        <v/>
      </c>
      <c r="AD2930" s="32" t="str">
        <f t="shared" si="2991"/>
        <v/>
      </c>
      <c r="AE2930" s="32" t="str">
        <f t="shared" si="2991"/>
        <v/>
      </c>
      <c r="AF2930" s="32" t="str">
        <f t="shared" si="2991"/>
        <v/>
      </c>
      <c r="AG2930" s="32" t="str">
        <f t="shared" si="2991"/>
        <v/>
      </c>
      <c r="AH2930" s="33"/>
    </row>
    <row r="2931" hidden="1" outlineLevel="2" collapsed="1">
      <c r="A2931" s="95" t="b">
        <v>0</v>
      </c>
      <c r="B2931" s="96"/>
      <c r="C2931" s="18"/>
      <c r="D2931" s="42">
        <v>45599.0</v>
      </c>
      <c r="E2931" s="20" t="s">
        <v>24</v>
      </c>
      <c r="F2931" s="53" t="s">
        <v>1763</v>
      </c>
      <c r="G2931" s="97">
        <v>3.0</v>
      </c>
      <c r="H2931" s="97"/>
      <c r="I2931" s="97">
        <v>3.0</v>
      </c>
      <c r="J2931" s="98"/>
      <c r="K2931" s="99"/>
      <c r="L2931" s="98"/>
      <c r="M2931" s="99"/>
      <c r="N2931" s="99"/>
      <c r="O2931" s="18"/>
      <c r="P2931" s="100" t="b">
        <v>1</v>
      </c>
      <c r="Q2931" s="18"/>
      <c r="R2931" s="101">
        <f t="shared" si="2792"/>
        <v>6</v>
      </c>
      <c r="S2931" s="32">
        <v>23.48</v>
      </c>
      <c r="T2931" s="102" t="str">
        <f t="shared" si="2793"/>
        <v>+291</v>
      </c>
      <c r="U2931" s="18"/>
      <c r="V2931" s="103" t="str">
        <f>IF(ISBLANK($D2931), "0",)</f>
        <v/>
      </c>
      <c r="W2931" s="104" t="str">
        <f t="shared" si="2828"/>
        <v/>
      </c>
      <c r="X2931" s="105"/>
      <c r="Y2931" s="106"/>
      <c r="Z2931" s="26">
        <f t="shared" si="5"/>
        <v>8.74</v>
      </c>
      <c r="AA2931" s="26">
        <f t="shared" si="6"/>
        <v>8.74</v>
      </c>
      <c r="AB2931" s="32" t="str">
        <f t="shared" si="7"/>
        <v/>
      </c>
      <c r="AC2931" s="32" t="str">
        <f t="shared" ref="AC2931:AG2931" si="2992">IF(J2931&lt;&gt;"", IF(AND($P2931=FALSE, $A2931=FALSE), -J2931, IF(AND($P2931=FALSE, $A2931=TRUE), 0, IF($P2931=TRUE, (J2931 / $R2931) * 100 * ($S2931 / 100)-J2931, ))), )</f>
        <v/>
      </c>
      <c r="AD2931" s="32" t="str">
        <f t="shared" si="2992"/>
        <v/>
      </c>
      <c r="AE2931" s="32" t="str">
        <f t="shared" si="2992"/>
        <v/>
      </c>
      <c r="AF2931" s="32" t="str">
        <f t="shared" si="2992"/>
        <v/>
      </c>
      <c r="AG2931" s="32" t="str">
        <f t="shared" si="2992"/>
        <v/>
      </c>
      <c r="AH2931" s="33"/>
    </row>
    <row r="2932" hidden="1" outlineLevel="3">
      <c r="A2932" s="95" t="b">
        <v>0</v>
      </c>
      <c r="B2932" s="96"/>
      <c r="C2932" s="18"/>
      <c r="D2932" s="107"/>
      <c r="E2932" s="108"/>
      <c r="F2932" s="109"/>
      <c r="G2932" s="97"/>
      <c r="H2932" s="97"/>
      <c r="I2932" s="97"/>
      <c r="J2932" s="98"/>
      <c r="K2932" s="99"/>
      <c r="L2932" s="98"/>
      <c r="M2932" s="99"/>
      <c r="N2932" s="99"/>
      <c r="O2932" s="18"/>
      <c r="P2932" s="100" t="b">
        <v>0</v>
      </c>
      <c r="Q2932" s="18"/>
      <c r="R2932" s="101" t="str">
        <f t="shared" si="2792"/>
        <v/>
      </c>
      <c r="S2932" s="32"/>
      <c r="T2932" s="102" t="str">
        <f t="shared" si="2793"/>
        <v/>
      </c>
      <c r="U2932" s="18"/>
      <c r="V2932" s="75" t="s">
        <v>29</v>
      </c>
      <c r="W2932" s="104" t="str">
        <f t="shared" si="2828"/>
        <v>/</v>
      </c>
      <c r="X2932" s="111" t="s">
        <v>1683</v>
      </c>
      <c r="Y2932" s="106"/>
      <c r="Z2932" s="26" t="str">
        <f t="shared" si="5"/>
        <v/>
      </c>
      <c r="AA2932" s="26" t="str">
        <f t="shared" si="6"/>
        <v/>
      </c>
      <c r="AB2932" s="32" t="str">
        <f t="shared" si="7"/>
        <v/>
      </c>
      <c r="AC2932" s="32" t="str">
        <f t="shared" ref="AC2932:AG2932" si="2993">IF(J2932&lt;&gt;"", IF(AND($P2932=FALSE, $A2932=FALSE), -J2932, IF(AND($P2932=FALSE, $A2932=TRUE), 0, IF($P2932=TRUE, (J2932 / $R2932) * 100 * ($S2932 / 100)-J2932, ))), )</f>
        <v/>
      </c>
      <c r="AD2932" s="32" t="str">
        <f t="shared" si="2993"/>
        <v/>
      </c>
      <c r="AE2932" s="32" t="str">
        <f t="shared" si="2993"/>
        <v/>
      </c>
      <c r="AF2932" s="32" t="str">
        <f t="shared" si="2993"/>
        <v/>
      </c>
      <c r="AG2932" s="32" t="str">
        <f t="shared" si="2993"/>
        <v/>
      </c>
      <c r="AH2932" s="33"/>
    </row>
    <row r="2933" hidden="1" outlineLevel="3">
      <c r="A2933" s="95" t="b">
        <v>0</v>
      </c>
      <c r="B2933" s="96"/>
      <c r="C2933" s="18"/>
      <c r="D2933" s="107"/>
      <c r="E2933" s="108"/>
      <c r="F2933" s="109"/>
      <c r="G2933" s="97"/>
      <c r="H2933" s="97"/>
      <c r="I2933" s="97"/>
      <c r="J2933" s="98"/>
      <c r="K2933" s="99"/>
      <c r="L2933" s="98"/>
      <c r="M2933" s="99"/>
      <c r="N2933" s="99"/>
      <c r="O2933" s="18"/>
      <c r="P2933" s="100" t="b">
        <v>0</v>
      </c>
      <c r="Q2933" s="18"/>
      <c r="R2933" s="101" t="str">
        <f t="shared" si="2792"/>
        <v/>
      </c>
      <c r="S2933" s="32"/>
      <c r="T2933" s="102" t="str">
        <f t="shared" si="2793"/>
        <v/>
      </c>
      <c r="U2933" s="18"/>
      <c r="V2933" s="75" t="s">
        <v>29</v>
      </c>
      <c r="W2933" s="104" t="str">
        <f t="shared" si="2828"/>
        <v>/</v>
      </c>
      <c r="X2933" s="111" t="s">
        <v>1779</v>
      </c>
      <c r="Y2933" s="106"/>
      <c r="Z2933" s="26" t="str">
        <f t="shared" si="5"/>
        <v/>
      </c>
      <c r="AA2933" s="26" t="str">
        <f t="shared" si="6"/>
        <v/>
      </c>
      <c r="AB2933" s="32" t="str">
        <f t="shared" si="7"/>
        <v/>
      </c>
      <c r="AC2933" s="32" t="str">
        <f t="shared" ref="AC2933:AG2933" si="2994">IF(J2933&lt;&gt;"", IF(AND($P2933=FALSE, $A2933=FALSE), -J2933, IF(AND($P2933=FALSE, $A2933=TRUE), 0, IF($P2933=TRUE, (J2933 / $R2933) * 100 * ($S2933 / 100)-J2933, ))), )</f>
        <v/>
      </c>
      <c r="AD2933" s="32" t="str">
        <f t="shared" si="2994"/>
        <v/>
      </c>
      <c r="AE2933" s="32" t="str">
        <f t="shared" si="2994"/>
        <v/>
      </c>
      <c r="AF2933" s="32" t="str">
        <f t="shared" si="2994"/>
        <v/>
      </c>
      <c r="AG2933" s="32" t="str">
        <f t="shared" si="2994"/>
        <v/>
      </c>
      <c r="AH2933" s="33"/>
    </row>
    <row r="2934" hidden="1" outlineLevel="3">
      <c r="A2934" s="95" t="b">
        <v>0</v>
      </c>
      <c r="B2934" s="96"/>
      <c r="C2934" s="18"/>
      <c r="D2934" s="107"/>
      <c r="E2934" s="108"/>
      <c r="F2934" s="109"/>
      <c r="G2934" s="97"/>
      <c r="H2934" s="97"/>
      <c r="I2934" s="97"/>
      <c r="J2934" s="98"/>
      <c r="K2934" s="99"/>
      <c r="L2934" s="98"/>
      <c r="M2934" s="99"/>
      <c r="N2934" s="99"/>
      <c r="O2934" s="18"/>
      <c r="P2934" s="100" t="b">
        <v>0</v>
      </c>
      <c r="Q2934" s="18"/>
      <c r="R2934" s="101" t="str">
        <f t="shared" si="2792"/>
        <v/>
      </c>
      <c r="S2934" s="32"/>
      <c r="T2934" s="102" t="str">
        <f t="shared" si="2793"/>
        <v/>
      </c>
      <c r="U2934" s="18"/>
      <c r="V2934" s="75" t="s">
        <v>29</v>
      </c>
      <c r="W2934" s="104" t="str">
        <f t="shared" si="2828"/>
        <v>/</v>
      </c>
      <c r="X2934" s="111" t="s">
        <v>1780</v>
      </c>
      <c r="Y2934" s="106"/>
      <c r="Z2934" s="26" t="str">
        <f t="shared" si="5"/>
        <v/>
      </c>
      <c r="AA2934" s="26" t="str">
        <f t="shared" si="6"/>
        <v/>
      </c>
      <c r="AB2934" s="32" t="str">
        <f t="shared" si="7"/>
        <v/>
      </c>
      <c r="AC2934" s="32" t="str">
        <f t="shared" ref="AC2934:AG2934" si="2995">IF(J2934&lt;&gt;"", IF(AND($P2934=FALSE, $A2934=FALSE), -J2934, IF(AND($P2934=FALSE, $A2934=TRUE), 0, IF($P2934=TRUE, (J2934 / $R2934) * 100 * ($S2934 / 100)-J2934, ))), )</f>
        <v/>
      </c>
      <c r="AD2934" s="32" t="str">
        <f t="shared" si="2995"/>
        <v/>
      </c>
      <c r="AE2934" s="32" t="str">
        <f t="shared" si="2995"/>
        <v/>
      </c>
      <c r="AF2934" s="32" t="str">
        <f t="shared" si="2995"/>
        <v/>
      </c>
      <c r="AG2934" s="32" t="str">
        <f t="shared" si="2995"/>
        <v/>
      </c>
      <c r="AH2934" s="33"/>
    </row>
    <row r="2935" hidden="1" outlineLevel="2" collapsed="1">
      <c r="A2935" s="95" t="b">
        <v>0</v>
      </c>
      <c r="B2935" s="96"/>
      <c r="C2935" s="18"/>
      <c r="D2935" s="42">
        <v>45599.0</v>
      </c>
      <c r="E2935" s="20" t="s">
        <v>24</v>
      </c>
      <c r="F2935" s="53" t="s">
        <v>1763</v>
      </c>
      <c r="G2935" s="97">
        <v>2.0</v>
      </c>
      <c r="H2935" s="97"/>
      <c r="I2935" s="97">
        <v>3.0</v>
      </c>
      <c r="J2935" s="98"/>
      <c r="K2935" s="99"/>
      <c r="L2935" s="98"/>
      <c r="M2935" s="99"/>
      <c r="N2935" s="99"/>
      <c r="O2935" s="18"/>
      <c r="P2935" s="100" t="b">
        <v>0</v>
      </c>
      <c r="Q2935" s="18"/>
      <c r="R2935" s="101">
        <f t="shared" si="2792"/>
        <v>5</v>
      </c>
      <c r="S2935" s="32">
        <v>13.9</v>
      </c>
      <c r="T2935" s="102" t="str">
        <f t="shared" si="2793"/>
        <v>+178</v>
      </c>
      <c r="U2935" s="18"/>
      <c r="V2935" s="103" t="str">
        <f t="shared" ref="V2935:V2936" si="2997">IF(ISBLANK($D2935), "0",)</f>
        <v/>
      </c>
      <c r="W2935" s="104" t="str">
        <f t="shared" si="2828"/>
        <v/>
      </c>
      <c r="X2935" s="105"/>
      <c r="Y2935" s="106"/>
      <c r="Z2935" s="26">
        <f t="shared" si="5"/>
        <v>-2</v>
      </c>
      <c r="AA2935" s="26">
        <f t="shared" si="6"/>
        <v>-3</v>
      </c>
      <c r="AB2935" s="32" t="str">
        <f t="shared" si="7"/>
        <v/>
      </c>
      <c r="AC2935" s="32" t="str">
        <f t="shared" ref="AC2935:AG2935" si="2996">IF(J2935&lt;&gt;"", IF(AND($P2935=FALSE, $A2935=FALSE), -J2935, IF(AND($P2935=FALSE, $A2935=TRUE), 0, IF($P2935=TRUE, (J2935 / $R2935) * 100 * ($S2935 / 100)-J2935, ))), )</f>
        <v/>
      </c>
      <c r="AD2935" s="32" t="str">
        <f t="shared" si="2996"/>
        <v/>
      </c>
      <c r="AE2935" s="32" t="str">
        <f t="shared" si="2996"/>
        <v/>
      </c>
      <c r="AF2935" s="32" t="str">
        <f t="shared" si="2996"/>
        <v/>
      </c>
      <c r="AG2935" s="32" t="str">
        <f t="shared" si="2996"/>
        <v/>
      </c>
      <c r="AH2935" s="33"/>
    </row>
    <row r="2936" hidden="1" outlineLevel="3">
      <c r="A2936" s="95" t="b">
        <v>0</v>
      </c>
      <c r="B2936" s="96"/>
      <c r="C2936" s="18"/>
      <c r="D2936" s="107"/>
      <c r="E2936" s="108"/>
      <c r="F2936" s="109"/>
      <c r="G2936" s="97"/>
      <c r="H2936" s="97"/>
      <c r="I2936" s="97"/>
      <c r="J2936" s="98"/>
      <c r="K2936" s="99"/>
      <c r="L2936" s="98"/>
      <c r="M2936" s="99"/>
      <c r="N2936" s="99"/>
      <c r="O2936" s="18"/>
      <c r="P2936" s="100" t="b">
        <v>0</v>
      </c>
      <c r="Q2936" s="18"/>
      <c r="R2936" s="101" t="str">
        <f t="shared" si="2792"/>
        <v/>
      </c>
      <c r="S2936" s="32"/>
      <c r="T2936" s="102" t="str">
        <f t="shared" si="2793"/>
        <v/>
      </c>
      <c r="U2936" s="18"/>
      <c r="V2936" s="103" t="str">
        <f t="shared" si="2997"/>
        <v>0</v>
      </c>
      <c r="W2936" s="104" t="str">
        <f t="shared" si="2828"/>
        <v>/</v>
      </c>
      <c r="X2936" s="111" t="s">
        <v>1093</v>
      </c>
      <c r="Y2936" s="106"/>
      <c r="Z2936" s="26" t="str">
        <f t="shared" si="5"/>
        <v/>
      </c>
      <c r="AA2936" s="26" t="str">
        <f t="shared" si="6"/>
        <v/>
      </c>
      <c r="AB2936" s="32" t="str">
        <f t="shared" si="7"/>
        <v/>
      </c>
      <c r="AC2936" s="32" t="str">
        <f t="shared" ref="AC2936:AG2936" si="2998">IF(J2936&lt;&gt;"", IF(AND($P2936=FALSE, $A2936=FALSE), -J2936, IF(AND($P2936=FALSE, $A2936=TRUE), 0, IF($P2936=TRUE, (J2936 / $R2936) * 100 * ($S2936 / 100)-J2936, ))), )</f>
        <v/>
      </c>
      <c r="AD2936" s="32" t="str">
        <f t="shared" si="2998"/>
        <v/>
      </c>
      <c r="AE2936" s="32" t="str">
        <f t="shared" si="2998"/>
        <v/>
      </c>
      <c r="AF2936" s="32" t="str">
        <f t="shared" si="2998"/>
        <v/>
      </c>
      <c r="AG2936" s="32" t="str">
        <f t="shared" si="2998"/>
        <v/>
      </c>
      <c r="AH2936" s="33"/>
    </row>
    <row r="2937" hidden="1" outlineLevel="3">
      <c r="A2937" s="95" t="b">
        <v>0</v>
      </c>
      <c r="B2937" s="96"/>
      <c r="C2937" s="18"/>
      <c r="D2937" s="107"/>
      <c r="E2937" s="108"/>
      <c r="F2937" s="109"/>
      <c r="G2937" s="97"/>
      <c r="H2937" s="97"/>
      <c r="I2937" s="97"/>
      <c r="J2937" s="98"/>
      <c r="K2937" s="99"/>
      <c r="L2937" s="98"/>
      <c r="M2937" s="99"/>
      <c r="N2937" s="99"/>
      <c r="O2937" s="18"/>
      <c r="P2937" s="100" t="b">
        <v>0</v>
      </c>
      <c r="Q2937" s="18"/>
      <c r="R2937" s="101" t="str">
        <f t="shared" si="2792"/>
        <v/>
      </c>
      <c r="S2937" s="32"/>
      <c r="T2937" s="102" t="str">
        <f t="shared" si="2793"/>
        <v/>
      </c>
      <c r="U2937" s="18"/>
      <c r="V2937" s="75" t="s">
        <v>29</v>
      </c>
      <c r="W2937" s="104" t="str">
        <f t="shared" si="2828"/>
        <v>/</v>
      </c>
      <c r="X2937" s="111" t="s">
        <v>872</v>
      </c>
      <c r="Y2937" s="106"/>
      <c r="Z2937" s="26" t="str">
        <f t="shared" si="5"/>
        <v/>
      </c>
      <c r="AA2937" s="26" t="str">
        <f t="shared" si="6"/>
        <v/>
      </c>
      <c r="AB2937" s="32" t="str">
        <f t="shared" si="7"/>
        <v/>
      </c>
      <c r="AC2937" s="32" t="str">
        <f t="shared" ref="AC2937:AG2937" si="2999">IF(J2937&lt;&gt;"", IF(AND($P2937=FALSE, $A2937=FALSE), -J2937, IF(AND($P2937=FALSE, $A2937=TRUE), 0, IF($P2937=TRUE, (J2937 / $R2937) * 100 * ($S2937 / 100)-J2937, ))), )</f>
        <v/>
      </c>
      <c r="AD2937" s="32" t="str">
        <f t="shared" si="2999"/>
        <v/>
      </c>
      <c r="AE2937" s="32" t="str">
        <f t="shared" si="2999"/>
        <v/>
      </c>
      <c r="AF2937" s="32" t="str">
        <f t="shared" si="2999"/>
        <v/>
      </c>
      <c r="AG2937" s="32" t="str">
        <f t="shared" si="2999"/>
        <v/>
      </c>
      <c r="AH2937" s="33"/>
    </row>
    <row r="2938" hidden="1" outlineLevel="3">
      <c r="A2938" s="95" t="b">
        <v>0</v>
      </c>
      <c r="B2938" s="96"/>
      <c r="C2938" s="18"/>
      <c r="D2938" s="107"/>
      <c r="E2938" s="108"/>
      <c r="F2938" s="109"/>
      <c r="G2938" s="97"/>
      <c r="H2938" s="97"/>
      <c r="I2938" s="97"/>
      <c r="J2938" s="98"/>
      <c r="K2938" s="99"/>
      <c r="L2938" s="98"/>
      <c r="M2938" s="99"/>
      <c r="N2938" s="99"/>
      <c r="O2938" s="18"/>
      <c r="P2938" s="100" t="b">
        <v>0</v>
      </c>
      <c r="Q2938" s="18"/>
      <c r="R2938" s="101" t="str">
        <f t="shared" si="2792"/>
        <v/>
      </c>
      <c r="S2938" s="32"/>
      <c r="T2938" s="102" t="str">
        <f t="shared" si="2793"/>
        <v/>
      </c>
      <c r="U2938" s="18"/>
      <c r="V2938" s="112" t="s">
        <v>1571</v>
      </c>
      <c r="W2938" s="104" t="str">
        <f t="shared" si="2828"/>
        <v>/</v>
      </c>
      <c r="X2938" s="111" t="s">
        <v>771</v>
      </c>
      <c r="Y2938" s="106"/>
      <c r="Z2938" s="26" t="str">
        <f t="shared" si="5"/>
        <v/>
      </c>
      <c r="AA2938" s="26" t="str">
        <f t="shared" si="6"/>
        <v/>
      </c>
      <c r="AB2938" s="32" t="str">
        <f t="shared" si="7"/>
        <v/>
      </c>
      <c r="AC2938" s="32" t="str">
        <f t="shared" ref="AC2938:AG2938" si="3000">IF(J2938&lt;&gt;"", IF(AND($P2938=FALSE, $A2938=FALSE), -J2938, IF(AND($P2938=FALSE, $A2938=TRUE), 0, IF($P2938=TRUE, (J2938 / $R2938) * 100 * ($S2938 / 100)-J2938, ))), )</f>
        <v/>
      </c>
      <c r="AD2938" s="32" t="str">
        <f t="shared" si="3000"/>
        <v/>
      </c>
      <c r="AE2938" s="32" t="str">
        <f t="shared" si="3000"/>
        <v/>
      </c>
      <c r="AF2938" s="32" t="str">
        <f t="shared" si="3000"/>
        <v/>
      </c>
      <c r="AG2938" s="32" t="str">
        <f t="shared" si="3000"/>
        <v/>
      </c>
      <c r="AH2938" s="33"/>
    </row>
    <row r="2939" hidden="1" outlineLevel="2" collapsed="1">
      <c r="A2939" s="95" t="b">
        <v>0</v>
      </c>
      <c r="B2939" s="96"/>
      <c r="C2939" s="18"/>
      <c r="D2939" s="42">
        <v>45599.0</v>
      </c>
      <c r="E2939" s="20" t="s">
        <v>24</v>
      </c>
      <c r="F2939" s="53" t="s">
        <v>1763</v>
      </c>
      <c r="G2939" s="97">
        <v>2.0</v>
      </c>
      <c r="H2939" s="97"/>
      <c r="I2939" s="97">
        <v>4.0</v>
      </c>
      <c r="J2939" s="98"/>
      <c r="K2939" s="99"/>
      <c r="L2939" s="98"/>
      <c r="M2939" s="99"/>
      <c r="N2939" s="99"/>
      <c r="O2939" s="18"/>
      <c r="P2939" s="100" t="b">
        <v>1</v>
      </c>
      <c r="Q2939" s="18"/>
      <c r="R2939" s="101">
        <f t="shared" si="2792"/>
        <v>6</v>
      </c>
      <c r="S2939" s="32">
        <v>12.38</v>
      </c>
      <c r="T2939" s="102" t="str">
        <f t="shared" si="2793"/>
        <v>+106</v>
      </c>
      <c r="U2939" s="18"/>
      <c r="V2939" s="103" t="str">
        <f>IF(ISBLANK($D2939), "0",)</f>
        <v/>
      </c>
      <c r="W2939" s="104" t="str">
        <f t="shared" si="2828"/>
        <v/>
      </c>
      <c r="X2939" s="105"/>
      <c r="Y2939" s="106"/>
      <c r="Z2939" s="26">
        <f t="shared" si="5"/>
        <v>2.126666667</v>
      </c>
      <c r="AA2939" s="26">
        <f t="shared" si="6"/>
        <v>4.253333333</v>
      </c>
      <c r="AB2939" s="32" t="str">
        <f t="shared" si="7"/>
        <v/>
      </c>
      <c r="AC2939" s="32" t="str">
        <f t="shared" ref="AC2939:AG2939" si="3001">IF(J2939&lt;&gt;"", IF(AND($P2939=FALSE, $A2939=FALSE), -J2939, IF(AND($P2939=FALSE, $A2939=TRUE), 0, IF($P2939=TRUE, (J2939 / $R2939) * 100 * ($S2939 / 100)-J2939, ))), )</f>
        <v/>
      </c>
      <c r="AD2939" s="32" t="str">
        <f t="shared" si="3001"/>
        <v/>
      </c>
      <c r="AE2939" s="32" t="str">
        <f t="shared" si="3001"/>
        <v/>
      </c>
      <c r="AF2939" s="32" t="str">
        <f t="shared" si="3001"/>
        <v/>
      </c>
      <c r="AG2939" s="32" t="str">
        <f t="shared" si="3001"/>
        <v/>
      </c>
      <c r="AH2939" s="33"/>
    </row>
    <row r="2940" hidden="1" outlineLevel="3">
      <c r="A2940" s="95" t="b">
        <v>0</v>
      </c>
      <c r="B2940" s="96"/>
      <c r="C2940" s="18"/>
      <c r="D2940" s="107"/>
      <c r="E2940" s="108"/>
      <c r="F2940" s="109"/>
      <c r="G2940" s="97"/>
      <c r="H2940" s="97"/>
      <c r="I2940" s="97"/>
      <c r="J2940" s="98"/>
      <c r="K2940" s="99"/>
      <c r="L2940" s="98"/>
      <c r="M2940" s="99"/>
      <c r="N2940" s="99"/>
      <c r="O2940" s="18"/>
      <c r="P2940" s="100" t="b">
        <v>0</v>
      </c>
      <c r="Q2940" s="18"/>
      <c r="R2940" s="101" t="str">
        <f t="shared" si="2792"/>
        <v/>
      </c>
      <c r="S2940" s="32"/>
      <c r="T2940" s="102" t="str">
        <f t="shared" si="2793"/>
        <v/>
      </c>
      <c r="U2940" s="18"/>
      <c r="V2940" s="75" t="s">
        <v>29</v>
      </c>
      <c r="W2940" s="104" t="str">
        <f t="shared" si="2828"/>
        <v>/</v>
      </c>
      <c r="X2940" s="111" t="s">
        <v>1781</v>
      </c>
      <c r="Y2940" s="106"/>
      <c r="Z2940" s="26" t="str">
        <f t="shared" si="5"/>
        <v/>
      </c>
      <c r="AA2940" s="26" t="str">
        <f t="shared" si="6"/>
        <v/>
      </c>
      <c r="AB2940" s="32" t="str">
        <f t="shared" si="7"/>
        <v/>
      </c>
      <c r="AC2940" s="32" t="str">
        <f t="shared" ref="AC2940:AG2940" si="3002">IF(J2940&lt;&gt;"", IF(AND($P2940=FALSE, $A2940=FALSE), -J2940, IF(AND($P2940=FALSE, $A2940=TRUE), 0, IF($P2940=TRUE, (J2940 / $R2940) * 100 * ($S2940 / 100)-J2940, ))), )</f>
        <v/>
      </c>
      <c r="AD2940" s="32" t="str">
        <f t="shared" si="3002"/>
        <v/>
      </c>
      <c r="AE2940" s="32" t="str">
        <f t="shared" si="3002"/>
        <v/>
      </c>
      <c r="AF2940" s="32" t="str">
        <f t="shared" si="3002"/>
        <v/>
      </c>
      <c r="AG2940" s="32" t="str">
        <f t="shared" si="3002"/>
        <v/>
      </c>
      <c r="AH2940" s="33"/>
    </row>
    <row r="2941" hidden="1" outlineLevel="3">
      <c r="A2941" s="95" t="b">
        <v>0</v>
      </c>
      <c r="B2941" s="96"/>
      <c r="C2941" s="18"/>
      <c r="D2941" s="107"/>
      <c r="E2941" s="108"/>
      <c r="F2941" s="109"/>
      <c r="G2941" s="97"/>
      <c r="H2941" s="97"/>
      <c r="I2941" s="97"/>
      <c r="J2941" s="98"/>
      <c r="K2941" s="99"/>
      <c r="L2941" s="98"/>
      <c r="M2941" s="99"/>
      <c r="N2941" s="99"/>
      <c r="O2941" s="18"/>
      <c r="P2941" s="100" t="b">
        <v>0</v>
      </c>
      <c r="Q2941" s="18"/>
      <c r="R2941" s="101" t="str">
        <f t="shared" si="2792"/>
        <v/>
      </c>
      <c r="S2941" s="32"/>
      <c r="T2941" s="102" t="str">
        <f t="shared" si="2793"/>
        <v/>
      </c>
      <c r="U2941" s="18"/>
      <c r="V2941" s="75" t="s">
        <v>29</v>
      </c>
      <c r="W2941" s="104" t="str">
        <f t="shared" si="2828"/>
        <v>/</v>
      </c>
      <c r="X2941" s="111" t="s">
        <v>1192</v>
      </c>
      <c r="Y2941" s="106"/>
      <c r="Z2941" s="26" t="str">
        <f t="shared" si="5"/>
        <v/>
      </c>
      <c r="AA2941" s="26" t="str">
        <f t="shared" si="6"/>
        <v/>
      </c>
      <c r="AB2941" s="32" t="str">
        <f t="shared" si="7"/>
        <v/>
      </c>
      <c r="AC2941" s="32" t="str">
        <f t="shared" ref="AC2941:AG2941" si="3003">IF(J2941&lt;&gt;"", IF(AND($P2941=FALSE, $A2941=FALSE), -J2941, IF(AND($P2941=FALSE, $A2941=TRUE), 0, IF($P2941=TRUE, (J2941 / $R2941) * 100 * ($S2941 / 100)-J2941, ))), )</f>
        <v/>
      </c>
      <c r="AD2941" s="32" t="str">
        <f t="shared" si="3003"/>
        <v/>
      </c>
      <c r="AE2941" s="32" t="str">
        <f t="shared" si="3003"/>
        <v/>
      </c>
      <c r="AF2941" s="32" t="str">
        <f t="shared" si="3003"/>
        <v/>
      </c>
      <c r="AG2941" s="32" t="str">
        <f t="shared" si="3003"/>
        <v/>
      </c>
      <c r="AH2941" s="33"/>
    </row>
    <row r="2942" hidden="1" outlineLevel="3">
      <c r="A2942" s="95" t="b">
        <v>0</v>
      </c>
      <c r="B2942" s="96"/>
      <c r="C2942" s="18"/>
      <c r="D2942" s="107"/>
      <c r="E2942" s="108"/>
      <c r="F2942" s="109"/>
      <c r="G2942" s="97"/>
      <c r="H2942" s="97"/>
      <c r="I2942" s="97"/>
      <c r="J2942" s="98"/>
      <c r="K2942" s="99"/>
      <c r="L2942" s="98"/>
      <c r="M2942" s="99"/>
      <c r="N2942" s="99"/>
      <c r="O2942" s="18"/>
      <c r="P2942" s="100" t="b">
        <v>0</v>
      </c>
      <c r="Q2942" s="18"/>
      <c r="R2942" s="101" t="str">
        <f t="shared" si="2792"/>
        <v/>
      </c>
      <c r="S2942" s="32"/>
      <c r="T2942" s="102" t="str">
        <f t="shared" si="2793"/>
        <v/>
      </c>
      <c r="U2942" s="18"/>
      <c r="V2942" s="75" t="s">
        <v>29</v>
      </c>
      <c r="W2942" s="104" t="str">
        <f t="shared" si="2828"/>
        <v>/</v>
      </c>
      <c r="X2942" s="111" t="s">
        <v>1778</v>
      </c>
      <c r="Y2942" s="106"/>
      <c r="Z2942" s="26" t="str">
        <f t="shared" si="5"/>
        <v/>
      </c>
      <c r="AA2942" s="26" t="str">
        <f t="shared" si="6"/>
        <v/>
      </c>
      <c r="AB2942" s="32" t="str">
        <f t="shared" si="7"/>
        <v/>
      </c>
      <c r="AC2942" s="32" t="str">
        <f t="shared" ref="AC2942:AG2942" si="3004">IF(J2942&lt;&gt;"", IF(AND($P2942=FALSE, $A2942=FALSE), -J2942, IF(AND($P2942=FALSE, $A2942=TRUE), 0, IF($P2942=TRUE, (J2942 / $R2942) * 100 * ($S2942 / 100)-J2942, ))), )</f>
        <v/>
      </c>
      <c r="AD2942" s="32" t="str">
        <f t="shared" si="3004"/>
        <v/>
      </c>
      <c r="AE2942" s="32" t="str">
        <f t="shared" si="3004"/>
        <v/>
      </c>
      <c r="AF2942" s="32" t="str">
        <f t="shared" si="3004"/>
        <v/>
      </c>
      <c r="AG2942" s="32" t="str">
        <f t="shared" si="3004"/>
        <v/>
      </c>
      <c r="AH2942" s="33"/>
    </row>
    <row r="2943" hidden="1" outlineLevel="2" collapsed="1">
      <c r="A2943" s="95" t="b">
        <v>0</v>
      </c>
      <c r="B2943" s="96"/>
      <c r="C2943" s="18"/>
      <c r="D2943" s="42">
        <v>45599.0</v>
      </c>
      <c r="E2943" s="20" t="s">
        <v>24</v>
      </c>
      <c r="F2943" s="53" t="s">
        <v>1763</v>
      </c>
      <c r="G2943" s="97">
        <v>2.0</v>
      </c>
      <c r="H2943" s="97"/>
      <c r="I2943" s="97">
        <v>2.0</v>
      </c>
      <c r="J2943" s="98"/>
      <c r="K2943" s="99"/>
      <c r="L2943" s="98"/>
      <c r="M2943" s="99"/>
      <c r="N2943" s="99"/>
      <c r="O2943" s="18"/>
      <c r="P2943" s="100" t="b">
        <v>0</v>
      </c>
      <c r="Q2943" s="18"/>
      <c r="R2943" s="101">
        <f t="shared" si="2792"/>
        <v>4</v>
      </c>
      <c r="S2943" s="32">
        <v>11.04</v>
      </c>
      <c r="T2943" s="102" t="str">
        <f t="shared" si="2793"/>
        <v>+176</v>
      </c>
      <c r="U2943" s="18"/>
      <c r="V2943" s="103" t="str">
        <f>IF(ISBLANK($D2943), "0",)</f>
        <v/>
      </c>
      <c r="W2943" s="104" t="str">
        <f t="shared" si="2828"/>
        <v/>
      </c>
      <c r="X2943" s="105"/>
      <c r="Y2943" s="106"/>
      <c r="Z2943" s="26">
        <f t="shared" si="5"/>
        <v>-2</v>
      </c>
      <c r="AA2943" s="26">
        <f t="shared" si="6"/>
        <v>-2</v>
      </c>
      <c r="AB2943" s="32" t="str">
        <f t="shared" si="7"/>
        <v/>
      </c>
      <c r="AC2943" s="32" t="str">
        <f t="shared" ref="AC2943:AG2943" si="3005">IF(J2943&lt;&gt;"", IF(AND($P2943=FALSE, $A2943=FALSE), -J2943, IF(AND($P2943=FALSE, $A2943=TRUE), 0, IF($P2943=TRUE, (J2943 / $R2943) * 100 * ($S2943 / 100)-J2943, ))), )</f>
        <v/>
      </c>
      <c r="AD2943" s="32" t="str">
        <f t="shared" si="3005"/>
        <v/>
      </c>
      <c r="AE2943" s="32" t="str">
        <f t="shared" si="3005"/>
        <v/>
      </c>
      <c r="AF2943" s="32" t="str">
        <f t="shared" si="3005"/>
        <v/>
      </c>
      <c r="AG2943" s="32" t="str">
        <f t="shared" si="3005"/>
        <v/>
      </c>
      <c r="AH2943" s="33"/>
    </row>
    <row r="2944" hidden="1" outlineLevel="3">
      <c r="A2944" s="95" t="b">
        <v>0</v>
      </c>
      <c r="B2944" s="96"/>
      <c r="C2944" s="18"/>
      <c r="D2944" s="107"/>
      <c r="E2944" s="108"/>
      <c r="F2944" s="109"/>
      <c r="G2944" s="97"/>
      <c r="H2944" s="97"/>
      <c r="I2944" s="97"/>
      <c r="J2944" s="98"/>
      <c r="K2944" s="99"/>
      <c r="L2944" s="98"/>
      <c r="M2944" s="99"/>
      <c r="N2944" s="99"/>
      <c r="O2944" s="18"/>
      <c r="P2944" s="100" t="b">
        <v>0</v>
      </c>
      <c r="Q2944" s="18"/>
      <c r="R2944" s="101" t="str">
        <f t="shared" si="2792"/>
        <v/>
      </c>
      <c r="S2944" s="32"/>
      <c r="T2944" s="102" t="str">
        <f t="shared" si="2793"/>
        <v/>
      </c>
      <c r="U2944" s="18"/>
      <c r="V2944" s="113">
        <v>86.0</v>
      </c>
      <c r="W2944" s="104" t="str">
        <f t="shared" si="2828"/>
        <v>/</v>
      </c>
      <c r="X2944" s="111" t="s">
        <v>1782</v>
      </c>
      <c r="Y2944" s="106"/>
      <c r="Z2944" s="26" t="str">
        <f t="shared" si="5"/>
        <v/>
      </c>
      <c r="AA2944" s="26" t="str">
        <f t="shared" si="6"/>
        <v/>
      </c>
      <c r="AB2944" s="32" t="str">
        <f t="shared" si="7"/>
        <v/>
      </c>
      <c r="AC2944" s="32" t="str">
        <f t="shared" ref="AC2944:AG2944" si="3006">IF(J2944&lt;&gt;"", IF(AND($P2944=FALSE, $A2944=FALSE), -J2944, IF(AND($P2944=FALSE, $A2944=TRUE), 0, IF($P2944=TRUE, (J2944 / $R2944) * 100 * ($S2944 / 100)-J2944, ))), )</f>
        <v/>
      </c>
      <c r="AD2944" s="32" t="str">
        <f t="shared" si="3006"/>
        <v/>
      </c>
      <c r="AE2944" s="32" t="str">
        <f t="shared" si="3006"/>
        <v/>
      </c>
      <c r="AF2944" s="32" t="str">
        <f t="shared" si="3006"/>
        <v/>
      </c>
      <c r="AG2944" s="32" t="str">
        <f t="shared" si="3006"/>
        <v/>
      </c>
      <c r="AH2944" s="33"/>
    </row>
    <row r="2945" hidden="1" outlineLevel="2" collapsed="1">
      <c r="A2945" s="95" t="b">
        <v>0</v>
      </c>
      <c r="B2945" s="96"/>
      <c r="C2945" s="18"/>
      <c r="D2945" s="42">
        <v>45599.0</v>
      </c>
      <c r="E2945" s="20" t="s">
        <v>24</v>
      </c>
      <c r="F2945" s="53" t="s">
        <v>1763</v>
      </c>
      <c r="G2945" s="97">
        <v>3.0</v>
      </c>
      <c r="H2945" s="97"/>
      <c r="I2945" s="97">
        <v>2.0</v>
      </c>
      <c r="J2945" s="98"/>
      <c r="K2945" s="99"/>
      <c r="L2945" s="98"/>
      <c r="M2945" s="99"/>
      <c r="N2945" s="99"/>
      <c r="O2945" s="18"/>
      <c r="P2945" s="100" t="b">
        <v>0</v>
      </c>
      <c r="Q2945" s="18"/>
      <c r="R2945" s="101">
        <f t="shared" si="2792"/>
        <v>5</v>
      </c>
      <c r="S2945" s="32">
        <v>18.21</v>
      </c>
      <c r="T2945" s="102" t="str">
        <f t="shared" si="2793"/>
        <v>+264</v>
      </c>
      <c r="U2945" s="18"/>
      <c r="V2945" s="103" t="str">
        <f>IF(ISBLANK($D2945), "0",)</f>
        <v/>
      </c>
      <c r="W2945" s="104" t="str">
        <f t="shared" si="2828"/>
        <v/>
      </c>
      <c r="X2945" s="105"/>
      <c r="Y2945" s="106"/>
      <c r="Z2945" s="26">
        <f t="shared" si="5"/>
        <v>-3</v>
      </c>
      <c r="AA2945" s="26">
        <f t="shared" si="6"/>
        <v>-2</v>
      </c>
      <c r="AB2945" s="32" t="str">
        <f t="shared" si="7"/>
        <v/>
      </c>
      <c r="AC2945" s="32" t="str">
        <f t="shared" ref="AC2945:AG2945" si="3007">IF(J2945&lt;&gt;"", IF(AND($P2945=FALSE, $A2945=FALSE), -J2945, IF(AND($P2945=FALSE, $A2945=TRUE), 0, IF($P2945=TRUE, (J2945 / $R2945) * 100 * ($S2945 / 100)-J2945, ))), )</f>
        <v/>
      </c>
      <c r="AD2945" s="32" t="str">
        <f t="shared" si="3007"/>
        <v/>
      </c>
      <c r="AE2945" s="32" t="str">
        <f t="shared" si="3007"/>
        <v/>
      </c>
      <c r="AF2945" s="32" t="str">
        <f t="shared" si="3007"/>
        <v/>
      </c>
      <c r="AG2945" s="32" t="str">
        <f t="shared" si="3007"/>
        <v/>
      </c>
      <c r="AH2945" s="33"/>
    </row>
    <row r="2946" hidden="1" outlineLevel="3">
      <c r="A2946" s="95" t="b">
        <v>0</v>
      </c>
      <c r="B2946" s="96"/>
      <c r="C2946" s="18"/>
      <c r="D2946" s="107"/>
      <c r="E2946" s="108"/>
      <c r="F2946" s="109"/>
      <c r="G2946" s="97"/>
      <c r="H2946" s="97"/>
      <c r="I2946" s="97"/>
      <c r="J2946" s="98"/>
      <c r="K2946" s="99"/>
      <c r="L2946" s="98"/>
      <c r="M2946" s="99"/>
      <c r="N2946" s="99"/>
      <c r="O2946" s="18"/>
      <c r="P2946" s="100" t="b">
        <v>0</v>
      </c>
      <c r="Q2946" s="18"/>
      <c r="R2946" s="101" t="str">
        <f t="shared" si="2792"/>
        <v/>
      </c>
      <c r="S2946" s="32"/>
      <c r="T2946" s="102" t="str">
        <f t="shared" si="2793"/>
        <v/>
      </c>
      <c r="U2946" s="18"/>
      <c r="V2946" s="113">
        <v>222.0</v>
      </c>
      <c r="W2946" s="104" t="str">
        <f t="shared" si="2828"/>
        <v>/</v>
      </c>
      <c r="X2946" s="111" t="s">
        <v>1507</v>
      </c>
      <c r="Y2946" s="106"/>
      <c r="Z2946" s="26" t="str">
        <f t="shared" si="5"/>
        <v/>
      </c>
      <c r="AA2946" s="26" t="str">
        <f t="shared" si="6"/>
        <v/>
      </c>
      <c r="AB2946" s="32" t="str">
        <f t="shared" si="7"/>
        <v/>
      </c>
      <c r="AC2946" s="32" t="str">
        <f t="shared" ref="AC2946:AG2946" si="3008">IF(J2946&lt;&gt;"", IF(AND($P2946=FALSE, $A2946=FALSE), -J2946, IF(AND($P2946=FALSE, $A2946=TRUE), 0, IF($P2946=TRUE, (J2946 / $R2946) * 100 * ($S2946 / 100)-J2946, ))), )</f>
        <v/>
      </c>
      <c r="AD2946" s="32" t="str">
        <f t="shared" si="3008"/>
        <v/>
      </c>
      <c r="AE2946" s="32" t="str">
        <f t="shared" si="3008"/>
        <v/>
      </c>
      <c r="AF2946" s="32" t="str">
        <f t="shared" si="3008"/>
        <v/>
      </c>
      <c r="AG2946" s="32" t="str">
        <f t="shared" si="3008"/>
        <v/>
      </c>
      <c r="AH2946" s="33"/>
    </row>
    <row r="2947" hidden="1" outlineLevel="3">
      <c r="A2947" s="95" t="b">
        <v>0</v>
      </c>
      <c r="B2947" s="96"/>
      <c r="C2947" s="18"/>
      <c r="D2947" s="107"/>
      <c r="E2947" s="108"/>
      <c r="F2947" s="109"/>
      <c r="G2947" s="97"/>
      <c r="H2947" s="97"/>
      <c r="I2947" s="97"/>
      <c r="J2947" s="98"/>
      <c r="K2947" s="99"/>
      <c r="L2947" s="98"/>
      <c r="M2947" s="99"/>
      <c r="N2947" s="99"/>
      <c r="O2947" s="18"/>
      <c r="P2947" s="100" t="b">
        <v>0</v>
      </c>
      <c r="Q2947" s="18"/>
      <c r="R2947" s="101" t="str">
        <f t="shared" si="2792"/>
        <v/>
      </c>
      <c r="S2947" s="32"/>
      <c r="T2947" s="102" t="str">
        <f t="shared" si="2793"/>
        <v/>
      </c>
      <c r="U2947" s="18"/>
      <c r="V2947" s="75" t="s">
        <v>29</v>
      </c>
      <c r="W2947" s="104" t="str">
        <f t="shared" si="2828"/>
        <v>/</v>
      </c>
      <c r="X2947" s="111" t="s">
        <v>1783</v>
      </c>
      <c r="Y2947" s="106"/>
      <c r="Z2947" s="26" t="str">
        <f t="shared" si="5"/>
        <v/>
      </c>
      <c r="AA2947" s="26" t="str">
        <f t="shared" si="6"/>
        <v/>
      </c>
      <c r="AB2947" s="32" t="str">
        <f t="shared" si="7"/>
        <v/>
      </c>
      <c r="AC2947" s="32" t="str">
        <f t="shared" ref="AC2947:AG2947" si="3009">IF(J2947&lt;&gt;"", IF(AND($P2947=FALSE, $A2947=FALSE), -J2947, IF(AND($P2947=FALSE, $A2947=TRUE), 0, IF($P2947=TRUE, (J2947 / $R2947) * 100 * ($S2947 / 100)-J2947, ))), )</f>
        <v/>
      </c>
      <c r="AD2947" s="32" t="str">
        <f t="shared" si="3009"/>
        <v/>
      </c>
      <c r="AE2947" s="32" t="str">
        <f t="shared" si="3009"/>
        <v/>
      </c>
      <c r="AF2947" s="32" t="str">
        <f t="shared" si="3009"/>
        <v/>
      </c>
      <c r="AG2947" s="32" t="str">
        <f t="shared" si="3009"/>
        <v/>
      </c>
      <c r="AH2947" s="33"/>
    </row>
    <row r="2948" hidden="1" outlineLevel="3">
      <c r="A2948" s="95" t="b">
        <v>0</v>
      </c>
      <c r="B2948" s="96"/>
      <c r="C2948" s="18"/>
      <c r="D2948" s="107"/>
      <c r="E2948" s="108"/>
      <c r="F2948" s="109"/>
      <c r="G2948" s="97"/>
      <c r="H2948" s="97"/>
      <c r="I2948" s="97"/>
      <c r="J2948" s="98"/>
      <c r="K2948" s="99"/>
      <c r="L2948" s="98"/>
      <c r="M2948" s="99"/>
      <c r="N2948" s="99"/>
      <c r="O2948" s="18"/>
      <c r="P2948" s="100" t="b">
        <v>0</v>
      </c>
      <c r="Q2948" s="18"/>
      <c r="R2948" s="101" t="str">
        <f t="shared" si="2792"/>
        <v/>
      </c>
      <c r="S2948" s="32"/>
      <c r="T2948" s="102" t="str">
        <f t="shared" si="2793"/>
        <v/>
      </c>
      <c r="U2948" s="18"/>
      <c r="V2948" s="113">
        <v>27.0</v>
      </c>
      <c r="W2948" s="104" t="str">
        <f t="shared" si="2828"/>
        <v>/</v>
      </c>
      <c r="X2948" s="111" t="s">
        <v>1577</v>
      </c>
      <c r="Y2948" s="106"/>
      <c r="Z2948" s="26" t="str">
        <f t="shared" si="5"/>
        <v/>
      </c>
      <c r="AA2948" s="26" t="str">
        <f t="shared" si="6"/>
        <v/>
      </c>
      <c r="AB2948" s="32" t="str">
        <f t="shared" si="7"/>
        <v/>
      </c>
      <c r="AC2948" s="32" t="str">
        <f t="shared" ref="AC2948:AG2948" si="3010">IF(J2948&lt;&gt;"", IF(AND($P2948=FALSE, $A2948=FALSE), -J2948, IF(AND($P2948=FALSE, $A2948=TRUE), 0, IF($P2948=TRUE, (J2948 / $R2948) * 100 * ($S2948 / 100)-J2948, ))), )</f>
        <v/>
      </c>
      <c r="AD2948" s="32" t="str">
        <f t="shared" si="3010"/>
        <v/>
      </c>
      <c r="AE2948" s="32" t="str">
        <f t="shared" si="3010"/>
        <v/>
      </c>
      <c r="AF2948" s="32" t="str">
        <f t="shared" si="3010"/>
        <v/>
      </c>
      <c r="AG2948" s="32" t="str">
        <f t="shared" si="3010"/>
        <v/>
      </c>
      <c r="AH2948" s="33"/>
    </row>
    <row r="2949" hidden="1" outlineLevel="3">
      <c r="A2949" s="95" t="b">
        <v>0</v>
      </c>
      <c r="B2949" s="96"/>
      <c r="C2949" s="18"/>
      <c r="D2949" s="42"/>
      <c r="E2949" s="20"/>
      <c r="F2949" s="53"/>
      <c r="G2949" s="97"/>
      <c r="H2949" s="97"/>
      <c r="I2949" s="97"/>
      <c r="J2949" s="98"/>
      <c r="K2949" s="99"/>
      <c r="L2949" s="98"/>
      <c r="M2949" s="99"/>
      <c r="N2949" s="99"/>
      <c r="O2949" s="18"/>
      <c r="P2949" s="100" t="b">
        <v>0</v>
      </c>
      <c r="Q2949" s="18"/>
      <c r="R2949" s="101" t="str">
        <f t="shared" si="2792"/>
        <v/>
      </c>
      <c r="S2949" s="32"/>
      <c r="T2949" s="102" t="str">
        <f t="shared" si="2793"/>
        <v/>
      </c>
      <c r="U2949" s="18"/>
      <c r="V2949" s="113">
        <v>47.0</v>
      </c>
      <c r="W2949" s="104" t="str">
        <f t="shared" si="2828"/>
        <v>/</v>
      </c>
      <c r="X2949" s="111" t="s">
        <v>376</v>
      </c>
      <c r="Y2949" s="106"/>
      <c r="Z2949" s="26" t="str">
        <f t="shared" si="5"/>
        <v/>
      </c>
      <c r="AA2949" s="26" t="str">
        <f t="shared" si="6"/>
        <v/>
      </c>
      <c r="AB2949" s="32" t="str">
        <f t="shared" si="7"/>
        <v/>
      </c>
      <c r="AC2949" s="32" t="str">
        <f t="shared" ref="AC2949:AG2949" si="3011">IF(J2949&lt;&gt;"", IF(AND($P2949=FALSE, $A2949=FALSE), -J2949, IF(AND($P2949=FALSE, $A2949=TRUE), 0, IF($P2949=TRUE, (J2949 / $R2949) * 100 * ($S2949 / 100)-J2949, ))), )</f>
        <v/>
      </c>
      <c r="AD2949" s="32" t="str">
        <f t="shared" si="3011"/>
        <v/>
      </c>
      <c r="AE2949" s="32" t="str">
        <f t="shared" si="3011"/>
        <v/>
      </c>
      <c r="AF2949" s="32" t="str">
        <f t="shared" si="3011"/>
        <v/>
      </c>
      <c r="AG2949" s="32" t="str">
        <f t="shared" si="3011"/>
        <v/>
      </c>
      <c r="AH2949" s="33"/>
    </row>
    <row r="2950" hidden="1" outlineLevel="2">
      <c r="A2950" s="95" t="b">
        <v>0</v>
      </c>
      <c r="B2950" s="96"/>
      <c r="C2950" s="18"/>
      <c r="D2950" s="42">
        <v>45599.0</v>
      </c>
      <c r="E2950" s="20" t="s">
        <v>24</v>
      </c>
      <c r="F2950" s="53" t="s">
        <v>1763</v>
      </c>
      <c r="G2950" s="97">
        <v>2.0</v>
      </c>
      <c r="H2950" s="97"/>
      <c r="I2950" s="97">
        <v>3.0</v>
      </c>
      <c r="J2950" s="98"/>
      <c r="K2950" s="99"/>
      <c r="L2950" s="98"/>
      <c r="M2950" s="99"/>
      <c r="N2950" s="99"/>
      <c r="O2950" s="18"/>
      <c r="P2950" s="100" t="b">
        <v>0</v>
      </c>
      <c r="Q2950" s="18"/>
      <c r="R2950" s="101">
        <f t="shared" si="2792"/>
        <v>5</v>
      </c>
      <c r="S2950" s="32">
        <v>31.22</v>
      </c>
      <c r="T2950" s="102" t="str">
        <f t="shared" si="2793"/>
        <v>+524</v>
      </c>
      <c r="U2950" s="18"/>
      <c r="V2950" s="103" t="str">
        <f>IF(ISBLANK($D2950), "0",)</f>
        <v/>
      </c>
      <c r="W2950" s="104" t="str">
        <f t="shared" si="2828"/>
        <v/>
      </c>
      <c r="X2950" s="105"/>
      <c r="Y2950" s="106"/>
      <c r="Z2950" s="26">
        <f t="shared" si="5"/>
        <v>-2</v>
      </c>
      <c r="AA2950" s="26">
        <f t="shared" si="6"/>
        <v>-3</v>
      </c>
      <c r="AB2950" s="32" t="str">
        <f t="shared" si="7"/>
        <v/>
      </c>
      <c r="AC2950" s="32" t="str">
        <f t="shared" ref="AC2950:AG2950" si="3012">IF(J2950&lt;&gt;"", IF(AND($P2950=FALSE, $A2950=FALSE), -J2950, IF(AND($P2950=FALSE, $A2950=TRUE), 0, IF($P2950=TRUE, (J2950 / $R2950) * 100 * ($S2950 / 100)-J2950, ))), )</f>
        <v/>
      </c>
      <c r="AD2950" s="32" t="str">
        <f t="shared" si="3012"/>
        <v/>
      </c>
      <c r="AE2950" s="32" t="str">
        <f t="shared" si="3012"/>
        <v/>
      </c>
      <c r="AF2950" s="32" t="str">
        <f t="shared" si="3012"/>
        <v/>
      </c>
      <c r="AG2950" s="32" t="str">
        <f t="shared" si="3012"/>
        <v/>
      </c>
      <c r="AH2950" s="33"/>
    </row>
    <row r="2951" hidden="1" outlineLevel="3">
      <c r="A2951" s="95" t="b">
        <v>0</v>
      </c>
      <c r="B2951" s="96"/>
      <c r="C2951" s="18"/>
      <c r="D2951" s="107"/>
      <c r="E2951" s="108"/>
      <c r="F2951" s="109"/>
      <c r="G2951" s="97"/>
      <c r="H2951" s="97"/>
      <c r="I2951" s="97"/>
      <c r="J2951" s="98"/>
      <c r="K2951" s="99"/>
      <c r="L2951" s="98"/>
      <c r="M2951" s="99"/>
      <c r="N2951" s="99"/>
      <c r="O2951" s="18"/>
      <c r="P2951" s="100" t="b">
        <v>0</v>
      </c>
      <c r="Q2951" s="18"/>
      <c r="R2951" s="101" t="str">
        <f t="shared" si="2792"/>
        <v/>
      </c>
      <c r="S2951" s="32"/>
      <c r="T2951" s="102" t="str">
        <f t="shared" si="2793"/>
        <v/>
      </c>
      <c r="U2951" s="18"/>
      <c r="V2951" s="75" t="s">
        <v>29</v>
      </c>
      <c r="W2951" s="104" t="str">
        <f t="shared" si="2828"/>
        <v>/</v>
      </c>
      <c r="X2951" s="111" t="s">
        <v>1082</v>
      </c>
      <c r="Y2951" s="106"/>
      <c r="Z2951" s="26" t="str">
        <f t="shared" si="5"/>
        <v/>
      </c>
      <c r="AA2951" s="26" t="str">
        <f t="shared" si="6"/>
        <v/>
      </c>
      <c r="AB2951" s="32" t="str">
        <f t="shared" si="7"/>
        <v/>
      </c>
      <c r="AC2951" s="32" t="str">
        <f t="shared" ref="AC2951:AG2951" si="3013">IF(J2951&lt;&gt;"", IF(AND($P2951=FALSE, $A2951=FALSE), -J2951, IF(AND($P2951=FALSE, $A2951=TRUE), 0, IF($P2951=TRUE, (J2951 / $R2951) * 100 * ($S2951 / 100)-J2951, ))), )</f>
        <v/>
      </c>
      <c r="AD2951" s="32" t="str">
        <f t="shared" si="3013"/>
        <v/>
      </c>
      <c r="AE2951" s="32" t="str">
        <f t="shared" si="3013"/>
        <v/>
      </c>
      <c r="AF2951" s="32" t="str">
        <f t="shared" si="3013"/>
        <v/>
      </c>
      <c r="AG2951" s="32" t="str">
        <f t="shared" si="3013"/>
        <v/>
      </c>
      <c r="AH2951" s="33"/>
    </row>
    <row r="2952" hidden="1" outlineLevel="3">
      <c r="A2952" s="95" t="b">
        <v>0</v>
      </c>
      <c r="B2952" s="96"/>
      <c r="C2952" s="18"/>
      <c r="D2952" s="107"/>
      <c r="E2952" s="108"/>
      <c r="F2952" s="109"/>
      <c r="G2952" s="97"/>
      <c r="H2952" s="97"/>
      <c r="I2952" s="97"/>
      <c r="J2952" s="98"/>
      <c r="K2952" s="99"/>
      <c r="L2952" s="98"/>
      <c r="M2952" s="99"/>
      <c r="N2952" s="99"/>
      <c r="O2952" s="18"/>
      <c r="P2952" s="100" t="b">
        <v>0</v>
      </c>
      <c r="Q2952" s="18"/>
      <c r="R2952" s="101" t="str">
        <f t="shared" si="2792"/>
        <v/>
      </c>
      <c r="S2952" s="32"/>
      <c r="T2952" s="102" t="str">
        <f t="shared" si="2793"/>
        <v/>
      </c>
      <c r="U2952" s="18"/>
      <c r="V2952" s="113">
        <v>145.0</v>
      </c>
      <c r="W2952" s="104" t="str">
        <f t="shared" si="2828"/>
        <v>/</v>
      </c>
      <c r="X2952" s="111" t="s">
        <v>1784</v>
      </c>
      <c r="Y2952" s="106"/>
      <c r="Z2952" s="26" t="str">
        <f t="shared" si="5"/>
        <v/>
      </c>
      <c r="AA2952" s="26" t="str">
        <f t="shared" si="6"/>
        <v/>
      </c>
      <c r="AB2952" s="32" t="str">
        <f t="shared" si="7"/>
        <v/>
      </c>
      <c r="AC2952" s="32" t="str">
        <f t="shared" ref="AC2952:AG2952" si="3014">IF(J2952&lt;&gt;"", IF(AND($P2952=FALSE, $A2952=FALSE), -J2952, IF(AND($P2952=FALSE, $A2952=TRUE), 0, IF($P2952=TRUE, (J2952 / $R2952) * 100 * ($S2952 / 100)-J2952, ))), )</f>
        <v/>
      </c>
      <c r="AD2952" s="32" t="str">
        <f t="shared" si="3014"/>
        <v/>
      </c>
      <c r="AE2952" s="32" t="str">
        <f t="shared" si="3014"/>
        <v/>
      </c>
      <c r="AF2952" s="32" t="str">
        <f t="shared" si="3014"/>
        <v/>
      </c>
      <c r="AG2952" s="32" t="str">
        <f t="shared" si="3014"/>
        <v/>
      </c>
      <c r="AH2952" s="33"/>
    </row>
    <row r="2953" hidden="1" outlineLevel="3">
      <c r="A2953" s="95" t="b">
        <v>0</v>
      </c>
      <c r="B2953" s="96"/>
      <c r="C2953" s="18"/>
      <c r="D2953" s="107"/>
      <c r="E2953" s="108"/>
      <c r="F2953" s="109"/>
      <c r="G2953" s="97"/>
      <c r="H2953" s="97"/>
      <c r="I2953" s="97"/>
      <c r="J2953" s="98"/>
      <c r="K2953" s="99"/>
      <c r="L2953" s="98"/>
      <c r="M2953" s="99"/>
      <c r="N2953" s="99"/>
      <c r="O2953" s="18"/>
      <c r="P2953" s="100" t="b">
        <v>0</v>
      </c>
      <c r="Q2953" s="18"/>
      <c r="R2953" s="101" t="str">
        <f t="shared" si="2792"/>
        <v/>
      </c>
      <c r="S2953" s="32"/>
      <c r="T2953" s="102" t="str">
        <f t="shared" si="2793"/>
        <v/>
      </c>
      <c r="U2953" s="18"/>
      <c r="V2953" s="103" t="str">
        <f>IF(ISBLANK($D2953), "0",)</f>
        <v>0</v>
      </c>
      <c r="W2953" s="104" t="str">
        <f t="shared" si="2828"/>
        <v>/</v>
      </c>
      <c r="X2953" s="111" t="s">
        <v>800</v>
      </c>
      <c r="Y2953" s="106"/>
      <c r="Z2953" s="26" t="str">
        <f t="shared" si="5"/>
        <v/>
      </c>
      <c r="AA2953" s="26" t="str">
        <f t="shared" si="6"/>
        <v/>
      </c>
      <c r="AB2953" s="32" t="str">
        <f t="shared" si="7"/>
        <v/>
      </c>
      <c r="AC2953" s="32" t="str">
        <f t="shared" ref="AC2953:AG2953" si="3015">IF(J2953&lt;&gt;"", IF(AND($P2953=FALSE, $A2953=FALSE), -J2953, IF(AND($P2953=FALSE, $A2953=TRUE), 0, IF($P2953=TRUE, (J2953 / $R2953) * 100 * ($S2953 / 100)-J2953, ))), )</f>
        <v/>
      </c>
      <c r="AD2953" s="32" t="str">
        <f t="shared" si="3015"/>
        <v/>
      </c>
      <c r="AE2953" s="32" t="str">
        <f t="shared" si="3015"/>
        <v/>
      </c>
      <c r="AF2953" s="32" t="str">
        <f t="shared" si="3015"/>
        <v/>
      </c>
      <c r="AG2953" s="32" t="str">
        <f t="shared" si="3015"/>
        <v/>
      </c>
      <c r="AH2953" s="33"/>
    </row>
    <row r="2954" hidden="1" outlineLevel="3">
      <c r="A2954" s="95" t="b">
        <v>0</v>
      </c>
      <c r="B2954" s="96"/>
      <c r="C2954" s="18"/>
      <c r="D2954" s="107"/>
      <c r="E2954" s="108"/>
      <c r="F2954" s="109"/>
      <c r="G2954" s="97"/>
      <c r="H2954" s="97"/>
      <c r="I2954" s="97"/>
      <c r="J2954" s="98"/>
      <c r="K2954" s="99"/>
      <c r="L2954" s="98"/>
      <c r="M2954" s="99"/>
      <c r="N2954" s="99"/>
      <c r="O2954" s="18"/>
      <c r="P2954" s="100" t="b">
        <v>0</v>
      </c>
      <c r="Q2954" s="18"/>
      <c r="R2954" s="101" t="str">
        <f t="shared" si="2792"/>
        <v/>
      </c>
      <c r="S2954" s="32"/>
      <c r="T2954" s="102" t="str">
        <f t="shared" si="2793"/>
        <v/>
      </c>
      <c r="U2954" s="18"/>
      <c r="V2954" s="75" t="s">
        <v>29</v>
      </c>
      <c r="W2954" s="104" t="str">
        <f t="shared" si="2828"/>
        <v>/</v>
      </c>
      <c r="X2954" s="111" t="s">
        <v>851</v>
      </c>
      <c r="Y2954" s="106"/>
      <c r="Z2954" s="26" t="str">
        <f t="shared" si="5"/>
        <v/>
      </c>
      <c r="AA2954" s="26" t="str">
        <f t="shared" si="6"/>
        <v/>
      </c>
      <c r="AB2954" s="32" t="str">
        <f t="shared" si="7"/>
        <v/>
      </c>
      <c r="AC2954" s="32" t="str">
        <f t="shared" ref="AC2954:AG2954" si="3016">IF(J2954&lt;&gt;"", IF(AND($P2954=FALSE, $A2954=FALSE), -J2954, IF(AND($P2954=FALSE, $A2954=TRUE), 0, IF($P2954=TRUE, (J2954 / $R2954) * 100 * ($S2954 / 100)-J2954, ))), )</f>
        <v/>
      </c>
      <c r="AD2954" s="32" t="str">
        <f t="shared" si="3016"/>
        <v/>
      </c>
      <c r="AE2954" s="32" t="str">
        <f t="shared" si="3016"/>
        <v/>
      </c>
      <c r="AF2954" s="32" t="str">
        <f t="shared" si="3016"/>
        <v/>
      </c>
      <c r="AG2954" s="32" t="str">
        <f t="shared" si="3016"/>
        <v/>
      </c>
      <c r="AH2954" s="33"/>
    </row>
    <row r="2955" hidden="1" outlineLevel="3">
      <c r="A2955" s="95" t="b">
        <v>0</v>
      </c>
      <c r="B2955" s="96"/>
      <c r="C2955" s="18"/>
      <c r="D2955" s="107"/>
      <c r="E2955" s="108"/>
      <c r="F2955" s="109"/>
      <c r="G2955" s="97"/>
      <c r="H2955" s="97"/>
      <c r="I2955" s="97"/>
      <c r="J2955" s="98"/>
      <c r="K2955" s="99"/>
      <c r="L2955" s="98"/>
      <c r="M2955" s="99"/>
      <c r="N2955" s="99"/>
      <c r="O2955" s="18"/>
      <c r="P2955" s="100" t="b">
        <v>0</v>
      </c>
      <c r="Q2955" s="18"/>
      <c r="R2955" s="101" t="str">
        <f t="shared" si="2792"/>
        <v/>
      </c>
      <c r="S2955" s="32"/>
      <c r="T2955" s="102" t="str">
        <f t="shared" si="2793"/>
        <v/>
      </c>
      <c r="U2955" s="18"/>
      <c r="V2955" s="75" t="s">
        <v>29</v>
      </c>
      <c r="W2955" s="104" t="str">
        <f t="shared" si="2828"/>
        <v>/</v>
      </c>
      <c r="X2955" s="111" t="s">
        <v>344</v>
      </c>
      <c r="Y2955" s="106"/>
      <c r="Z2955" s="26" t="str">
        <f t="shared" si="5"/>
        <v/>
      </c>
      <c r="AA2955" s="26" t="str">
        <f t="shared" si="6"/>
        <v/>
      </c>
      <c r="AB2955" s="32" t="str">
        <f t="shared" si="7"/>
        <v/>
      </c>
      <c r="AC2955" s="32" t="str">
        <f t="shared" ref="AC2955:AG2955" si="3017">IF(J2955&lt;&gt;"", IF(AND($P2955=FALSE, $A2955=FALSE), -J2955, IF(AND($P2955=FALSE, $A2955=TRUE), 0, IF($P2955=TRUE, (J2955 / $R2955) * 100 * ($S2955 / 100)-J2955, ))), )</f>
        <v/>
      </c>
      <c r="AD2955" s="32" t="str">
        <f t="shared" si="3017"/>
        <v/>
      </c>
      <c r="AE2955" s="32" t="str">
        <f t="shared" si="3017"/>
        <v/>
      </c>
      <c r="AF2955" s="32" t="str">
        <f t="shared" si="3017"/>
        <v/>
      </c>
      <c r="AG2955" s="32" t="str">
        <f t="shared" si="3017"/>
        <v/>
      </c>
      <c r="AH2955" s="33"/>
    </row>
    <row r="2956" hidden="1" outlineLevel="3">
      <c r="A2956" s="95" t="b">
        <v>0</v>
      </c>
      <c r="B2956" s="96"/>
      <c r="C2956" s="18"/>
      <c r="D2956" s="107"/>
      <c r="E2956" s="108"/>
      <c r="F2956" s="109"/>
      <c r="G2956" s="97"/>
      <c r="H2956" s="97"/>
      <c r="I2956" s="97"/>
      <c r="J2956" s="98"/>
      <c r="K2956" s="99"/>
      <c r="L2956" s="98"/>
      <c r="M2956" s="99"/>
      <c r="N2956" s="99"/>
      <c r="O2956" s="18"/>
      <c r="P2956" s="100" t="b">
        <v>0</v>
      </c>
      <c r="Q2956" s="18"/>
      <c r="R2956" s="101" t="str">
        <f t="shared" si="2792"/>
        <v/>
      </c>
      <c r="S2956" s="32"/>
      <c r="T2956" s="102" t="str">
        <f t="shared" si="2793"/>
        <v/>
      </c>
      <c r="U2956" s="18"/>
      <c r="V2956" s="113">
        <v>2.0</v>
      </c>
      <c r="W2956" s="104" t="str">
        <f t="shared" si="2828"/>
        <v>/</v>
      </c>
      <c r="X2956" s="111" t="s">
        <v>1785</v>
      </c>
      <c r="Y2956" s="106"/>
      <c r="Z2956" s="26" t="str">
        <f t="shared" si="5"/>
        <v/>
      </c>
      <c r="AA2956" s="26" t="str">
        <f t="shared" si="6"/>
        <v/>
      </c>
      <c r="AB2956" s="32" t="str">
        <f t="shared" si="7"/>
        <v/>
      </c>
      <c r="AC2956" s="32" t="str">
        <f t="shared" ref="AC2956:AG2956" si="3018">IF(J2956&lt;&gt;"", IF(AND($P2956=FALSE, $A2956=FALSE), -J2956, IF(AND($P2956=FALSE, $A2956=TRUE), 0, IF($P2956=TRUE, (J2956 / $R2956) * 100 * ($S2956 / 100)-J2956, ))), )</f>
        <v/>
      </c>
      <c r="AD2956" s="32" t="str">
        <f t="shared" si="3018"/>
        <v/>
      </c>
      <c r="AE2956" s="32" t="str">
        <f t="shared" si="3018"/>
        <v/>
      </c>
      <c r="AF2956" s="32" t="str">
        <f t="shared" si="3018"/>
        <v/>
      </c>
      <c r="AG2956" s="32" t="str">
        <f t="shared" si="3018"/>
        <v/>
      </c>
      <c r="AH2956" s="33"/>
    </row>
    <row r="2957" hidden="1" outlineLevel="3">
      <c r="A2957" s="95" t="b">
        <v>0</v>
      </c>
      <c r="B2957" s="96"/>
      <c r="C2957" s="18"/>
      <c r="D2957" s="107"/>
      <c r="E2957" s="108"/>
      <c r="F2957" s="109"/>
      <c r="G2957" s="97"/>
      <c r="H2957" s="97"/>
      <c r="I2957" s="97"/>
      <c r="J2957" s="98"/>
      <c r="K2957" s="99"/>
      <c r="L2957" s="98"/>
      <c r="M2957" s="99"/>
      <c r="N2957" s="99"/>
      <c r="O2957" s="18"/>
      <c r="P2957" s="100" t="b">
        <v>0</v>
      </c>
      <c r="Q2957" s="18"/>
      <c r="R2957" s="101" t="str">
        <f t="shared" si="2792"/>
        <v/>
      </c>
      <c r="S2957" s="32"/>
      <c r="T2957" s="102" t="str">
        <f t="shared" si="2793"/>
        <v/>
      </c>
      <c r="U2957" s="18"/>
      <c r="V2957" s="75" t="s">
        <v>29</v>
      </c>
      <c r="W2957" s="104" t="str">
        <f t="shared" si="2828"/>
        <v>/</v>
      </c>
      <c r="X2957" s="111" t="s">
        <v>1786</v>
      </c>
      <c r="Y2957" s="106"/>
      <c r="Z2957" s="26" t="str">
        <f t="shared" si="5"/>
        <v/>
      </c>
      <c r="AA2957" s="26" t="str">
        <f t="shared" si="6"/>
        <v/>
      </c>
      <c r="AB2957" s="32" t="str">
        <f t="shared" si="7"/>
        <v/>
      </c>
      <c r="AC2957" s="32" t="str">
        <f t="shared" ref="AC2957:AG2957" si="3019">IF(J2957&lt;&gt;"", IF(AND($P2957=FALSE, $A2957=FALSE), -J2957, IF(AND($P2957=FALSE, $A2957=TRUE), 0, IF($P2957=TRUE, (J2957 / $R2957) * 100 * ($S2957 / 100)-J2957, ))), )</f>
        <v/>
      </c>
      <c r="AD2957" s="32" t="str">
        <f t="shared" si="3019"/>
        <v/>
      </c>
      <c r="AE2957" s="32" t="str">
        <f t="shared" si="3019"/>
        <v/>
      </c>
      <c r="AF2957" s="32" t="str">
        <f t="shared" si="3019"/>
        <v/>
      </c>
      <c r="AG2957" s="32" t="str">
        <f t="shared" si="3019"/>
        <v/>
      </c>
      <c r="AH2957" s="33"/>
    </row>
    <row r="2958" hidden="1" outlineLevel="1" collapsed="1">
      <c r="A2958" s="95" t="b">
        <v>0</v>
      </c>
      <c r="B2958" s="96"/>
      <c r="C2958" s="18"/>
      <c r="D2958" s="42">
        <v>45600.0</v>
      </c>
      <c r="E2958" s="20" t="s">
        <v>24</v>
      </c>
      <c r="F2958" s="53" t="s">
        <v>1763</v>
      </c>
      <c r="G2958" s="97">
        <v>2.0</v>
      </c>
      <c r="H2958" s="97"/>
      <c r="I2958" s="97">
        <v>3.0</v>
      </c>
      <c r="J2958" s="98"/>
      <c r="K2958" s="99"/>
      <c r="L2958" s="98"/>
      <c r="M2958" s="99"/>
      <c r="N2958" s="99"/>
      <c r="O2958" s="18"/>
      <c r="P2958" s="100" t="b">
        <v>0</v>
      </c>
      <c r="Q2958" s="18"/>
      <c r="R2958" s="101">
        <f t="shared" si="2792"/>
        <v>5</v>
      </c>
      <c r="S2958" s="32">
        <v>27.73</v>
      </c>
      <c r="T2958" s="102" t="str">
        <f t="shared" si="2793"/>
        <v>+455</v>
      </c>
      <c r="U2958" s="18"/>
      <c r="V2958" s="103" t="str">
        <f>IF(ISBLANK($D2958), "0",)</f>
        <v/>
      </c>
      <c r="W2958" s="104" t="str">
        <f t="shared" si="2828"/>
        <v/>
      </c>
      <c r="X2958" s="105"/>
      <c r="Y2958" s="106"/>
      <c r="Z2958" s="26">
        <f t="shared" si="5"/>
        <v>-2</v>
      </c>
      <c r="AA2958" s="26">
        <f t="shared" si="6"/>
        <v>-3</v>
      </c>
      <c r="AB2958" s="32" t="str">
        <f t="shared" si="7"/>
        <v/>
      </c>
      <c r="AC2958" s="32" t="str">
        <f t="shared" ref="AC2958:AG2958" si="3020">IF(J2958&lt;&gt;"", IF(AND($P2958=FALSE, $A2958=FALSE), -J2958, IF(AND($P2958=FALSE, $A2958=TRUE), 0, IF($P2958=TRUE, (J2958 / $R2958) * 100 * ($S2958 / 100)-J2958, ))), )</f>
        <v/>
      </c>
      <c r="AD2958" s="32" t="str">
        <f t="shared" si="3020"/>
        <v/>
      </c>
      <c r="AE2958" s="32" t="str">
        <f t="shared" si="3020"/>
        <v/>
      </c>
      <c r="AF2958" s="32" t="str">
        <f t="shared" si="3020"/>
        <v/>
      </c>
      <c r="AG2958" s="32" t="str">
        <f t="shared" si="3020"/>
        <v/>
      </c>
      <c r="AH2958" s="33"/>
    </row>
    <row r="2959" hidden="1" outlineLevel="3">
      <c r="A2959" s="95" t="b">
        <v>0</v>
      </c>
      <c r="B2959" s="96"/>
      <c r="C2959" s="18"/>
      <c r="D2959" s="107"/>
      <c r="E2959" s="108"/>
      <c r="F2959" s="109"/>
      <c r="G2959" s="97"/>
      <c r="H2959" s="97"/>
      <c r="I2959" s="97"/>
      <c r="J2959" s="98"/>
      <c r="K2959" s="99"/>
      <c r="L2959" s="98"/>
      <c r="M2959" s="99"/>
      <c r="N2959" s="99"/>
      <c r="O2959" s="18"/>
      <c r="P2959" s="100" t="b">
        <v>0</v>
      </c>
      <c r="Q2959" s="18"/>
      <c r="R2959" s="101" t="str">
        <f t="shared" si="2792"/>
        <v/>
      </c>
      <c r="S2959" s="32"/>
      <c r="T2959" s="102" t="str">
        <f t="shared" si="2793"/>
        <v/>
      </c>
      <c r="U2959" s="18"/>
      <c r="V2959" s="113">
        <v>48.0</v>
      </c>
      <c r="W2959" s="104" t="str">
        <f t="shared" si="2828"/>
        <v>/</v>
      </c>
      <c r="X2959" s="111" t="s">
        <v>1787</v>
      </c>
      <c r="Y2959" s="106"/>
      <c r="Z2959" s="26" t="str">
        <f t="shared" si="5"/>
        <v/>
      </c>
      <c r="AA2959" s="26" t="str">
        <f t="shared" si="6"/>
        <v/>
      </c>
      <c r="AB2959" s="32" t="str">
        <f t="shared" si="7"/>
        <v/>
      </c>
      <c r="AC2959" s="32" t="str">
        <f t="shared" ref="AC2959:AG2959" si="3021">IF(J2959&lt;&gt;"", IF(AND($P2959=FALSE, $A2959=FALSE), -J2959, IF(AND($P2959=FALSE, $A2959=TRUE), 0, IF($P2959=TRUE, (J2959 / $R2959) * 100 * ($S2959 / 100)-J2959, ))), )</f>
        <v/>
      </c>
      <c r="AD2959" s="32" t="str">
        <f t="shared" si="3021"/>
        <v/>
      </c>
      <c r="AE2959" s="32" t="str">
        <f t="shared" si="3021"/>
        <v/>
      </c>
      <c r="AF2959" s="32" t="str">
        <f t="shared" si="3021"/>
        <v/>
      </c>
      <c r="AG2959" s="32" t="str">
        <f t="shared" si="3021"/>
        <v/>
      </c>
      <c r="AH2959" s="33"/>
    </row>
    <row r="2960" hidden="1" outlineLevel="3">
      <c r="A2960" s="95" t="b">
        <v>0</v>
      </c>
      <c r="B2960" s="96"/>
      <c r="C2960" s="18"/>
      <c r="D2960" s="107"/>
      <c r="E2960" s="108"/>
      <c r="F2960" s="109"/>
      <c r="G2960" s="97"/>
      <c r="H2960" s="97"/>
      <c r="I2960" s="97"/>
      <c r="J2960" s="98"/>
      <c r="K2960" s="99"/>
      <c r="L2960" s="98"/>
      <c r="M2960" s="99"/>
      <c r="N2960" s="99"/>
      <c r="O2960" s="18"/>
      <c r="P2960" s="100" t="b">
        <v>0</v>
      </c>
      <c r="Q2960" s="18"/>
      <c r="R2960" s="101" t="str">
        <f t="shared" si="2792"/>
        <v/>
      </c>
      <c r="S2960" s="32"/>
      <c r="T2960" s="102" t="str">
        <f t="shared" si="2793"/>
        <v/>
      </c>
      <c r="U2960" s="18"/>
      <c r="V2960" s="113">
        <v>199.0</v>
      </c>
      <c r="W2960" s="104" t="str">
        <f t="shared" si="2828"/>
        <v>/</v>
      </c>
      <c r="X2960" s="111" t="s">
        <v>320</v>
      </c>
      <c r="Y2960" s="106"/>
      <c r="Z2960" s="26" t="str">
        <f t="shared" si="5"/>
        <v/>
      </c>
      <c r="AA2960" s="26" t="str">
        <f t="shared" si="6"/>
        <v/>
      </c>
      <c r="AB2960" s="32" t="str">
        <f t="shared" si="7"/>
        <v/>
      </c>
      <c r="AC2960" s="32" t="str">
        <f t="shared" ref="AC2960:AG2960" si="3022">IF(J2960&lt;&gt;"", IF(AND($P2960=FALSE, $A2960=FALSE), -J2960, IF(AND($P2960=FALSE, $A2960=TRUE), 0, IF($P2960=TRUE, (J2960 / $R2960) * 100 * ($S2960 / 100)-J2960, ))), )</f>
        <v/>
      </c>
      <c r="AD2960" s="32" t="str">
        <f t="shared" si="3022"/>
        <v/>
      </c>
      <c r="AE2960" s="32" t="str">
        <f t="shared" si="3022"/>
        <v/>
      </c>
      <c r="AF2960" s="32" t="str">
        <f t="shared" si="3022"/>
        <v/>
      </c>
      <c r="AG2960" s="32" t="str">
        <f t="shared" si="3022"/>
        <v/>
      </c>
      <c r="AH2960" s="33"/>
    </row>
    <row r="2961" hidden="1" outlineLevel="3">
      <c r="A2961" s="95" t="b">
        <v>0</v>
      </c>
      <c r="B2961" s="96"/>
      <c r="C2961" s="18"/>
      <c r="D2961" s="107"/>
      <c r="E2961" s="108"/>
      <c r="F2961" s="109"/>
      <c r="G2961" s="97"/>
      <c r="H2961" s="97"/>
      <c r="I2961" s="97"/>
      <c r="J2961" s="98"/>
      <c r="K2961" s="99"/>
      <c r="L2961" s="98"/>
      <c r="M2961" s="99"/>
      <c r="N2961" s="99"/>
      <c r="O2961" s="18"/>
      <c r="P2961" s="100" t="b">
        <v>0</v>
      </c>
      <c r="Q2961" s="18"/>
      <c r="R2961" s="101" t="str">
        <f t="shared" si="2792"/>
        <v/>
      </c>
      <c r="S2961" s="32"/>
      <c r="T2961" s="102" t="str">
        <f t="shared" si="2793"/>
        <v/>
      </c>
      <c r="U2961" s="18"/>
      <c r="V2961" s="75" t="s">
        <v>29</v>
      </c>
      <c r="W2961" s="104" t="str">
        <f t="shared" si="2828"/>
        <v>/</v>
      </c>
      <c r="X2961" s="111" t="s">
        <v>1788</v>
      </c>
      <c r="Y2961" s="106"/>
      <c r="Z2961" s="26" t="str">
        <f t="shared" si="5"/>
        <v/>
      </c>
      <c r="AA2961" s="26" t="str">
        <f t="shared" si="6"/>
        <v/>
      </c>
      <c r="AB2961" s="32" t="str">
        <f t="shared" si="7"/>
        <v/>
      </c>
      <c r="AC2961" s="32" t="str">
        <f t="shared" ref="AC2961:AG2961" si="3023">IF(J2961&lt;&gt;"", IF(AND($P2961=FALSE, $A2961=FALSE), -J2961, IF(AND($P2961=FALSE, $A2961=TRUE), 0, IF($P2961=TRUE, (J2961 / $R2961) * 100 * ($S2961 / 100)-J2961, ))), )</f>
        <v/>
      </c>
      <c r="AD2961" s="32" t="str">
        <f t="shared" si="3023"/>
        <v/>
      </c>
      <c r="AE2961" s="32" t="str">
        <f t="shared" si="3023"/>
        <v/>
      </c>
      <c r="AF2961" s="32" t="str">
        <f t="shared" si="3023"/>
        <v/>
      </c>
      <c r="AG2961" s="32" t="str">
        <f t="shared" si="3023"/>
        <v/>
      </c>
      <c r="AH2961" s="33"/>
    </row>
    <row r="2962" hidden="1" outlineLevel="3">
      <c r="A2962" s="95" t="b">
        <v>0</v>
      </c>
      <c r="B2962" s="96"/>
      <c r="C2962" s="18"/>
      <c r="D2962" s="107"/>
      <c r="E2962" s="108"/>
      <c r="F2962" s="109"/>
      <c r="G2962" s="97"/>
      <c r="H2962" s="97"/>
      <c r="I2962" s="97"/>
      <c r="J2962" s="98"/>
      <c r="K2962" s="99"/>
      <c r="L2962" s="98"/>
      <c r="M2962" s="99"/>
      <c r="N2962" s="99"/>
      <c r="O2962" s="18"/>
      <c r="P2962" s="100" t="b">
        <v>0</v>
      </c>
      <c r="Q2962" s="18"/>
      <c r="R2962" s="101" t="str">
        <f t="shared" si="2792"/>
        <v/>
      </c>
      <c r="S2962" s="32"/>
      <c r="T2962" s="102" t="str">
        <f t="shared" si="2793"/>
        <v/>
      </c>
      <c r="U2962" s="18"/>
      <c r="V2962" s="75" t="s">
        <v>29</v>
      </c>
      <c r="W2962" s="104" t="str">
        <f t="shared" si="2828"/>
        <v>/</v>
      </c>
      <c r="X2962" s="111" t="s">
        <v>1111</v>
      </c>
      <c r="Y2962" s="106"/>
      <c r="Z2962" s="26" t="str">
        <f t="shared" si="5"/>
        <v/>
      </c>
      <c r="AA2962" s="26" t="str">
        <f t="shared" si="6"/>
        <v/>
      </c>
      <c r="AB2962" s="32" t="str">
        <f t="shared" si="7"/>
        <v/>
      </c>
      <c r="AC2962" s="32" t="str">
        <f t="shared" ref="AC2962:AG2962" si="3024">IF(J2962&lt;&gt;"", IF(AND($P2962=FALSE, $A2962=FALSE), -J2962, IF(AND($P2962=FALSE, $A2962=TRUE), 0, IF($P2962=TRUE, (J2962 / $R2962) * 100 * ($S2962 / 100)-J2962, ))), )</f>
        <v/>
      </c>
      <c r="AD2962" s="32" t="str">
        <f t="shared" si="3024"/>
        <v/>
      </c>
      <c r="AE2962" s="32" t="str">
        <f t="shared" si="3024"/>
        <v/>
      </c>
      <c r="AF2962" s="32" t="str">
        <f t="shared" si="3024"/>
        <v/>
      </c>
      <c r="AG2962" s="32" t="str">
        <f t="shared" si="3024"/>
        <v/>
      </c>
      <c r="AH2962" s="33"/>
    </row>
    <row r="2963" hidden="1" outlineLevel="3">
      <c r="A2963" s="95" t="b">
        <v>0</v>
      </c>
      <c r="B2963" s="96"/>
      <c r="C2963" s="18"/>
      <c r="D2963" s="107"/>
      <c r="E2963" s="108"/>
      <c r="F2963" s="109"/>
      <c r="G2963" s="97"/>
      <c r="H2963" s="97"/>
      <c r="I2963" s="97"/>
      <c r="J2963" s="98"/>
      <c r="K2963" s="99"/>
      <c r="L2963" s="98"/>
      <c r="M2963" s="99"/>
      <c r="N2963" s="99"/>
      <c r="O2963" s="18"/>
      <c r="P2963" s="100" t="b">
        <v>0</v>
      </c>
      <c r="Q2963" s="18"/>
      <c r="R2963" s="101" t="str">
        <f t="shared" si="2792"/>
        <v/>
      </c>
      <c r="S2963" s="32"/>
      <c r="T2963" s="102" t="str">
        <f t="shared" si="2793"/>
        <v/>
      </c>
      <c r="U2963" s="18"/>
      <c r="V2963" s="75" t="s">
        <v>29</v>
      </c>
      <c r="W2963" s="104" t="str">
        <f t="shared" si="2828"/>
        <v>/</v>
      </c>
      <c r="X2963" s="111" t="s">
        <v>1789</v>
      </c>
      <c r="Y2963" s="106"/>
      <c r="Z2963" s="26" t="str">
        <f t="shared" si="5"/>
        <v/>
      </c>
      <c r="AA2963" s="26" t="str">
        <f t="shared" si="6"/>
        <v/>
      </c>
      <c r="AB2963" s="32" t="str">
        <f t="shared" si="7"/>
        <v/>
      </c>
      <c r="AC2963" s="32" t="str">
        <f t="shared" ref="AC2963:AG2963" si="3025">IF(J2963&lt;&gt;"", IF(AND($P2963=FALSE, $A2963=FALSE), -J2963, IF(AND($P2963=FALSE, $A2963=TRUE), 0, IF($P2963=TRUE, (J2963 / $R2963) * 100 * ($S2963 / 100)-J2963, ))), )</f>
        <v/>
      </c>
      <c r="AD2963" s="32" t="str">
        <f t="shared" si="3025"/>
        <v/>
      </c>
      <c r="AE2963" s="32" t="str">
        <f t="shared" si="3025"/>
        <v/>
      </c>
      <c r="AF2963" s="32" t="str">
        <f t="shared" si="3025"/>
        <v/>
      </c>
      <c r="AG2963" s="32" t="str">
        <f t="shared" si="3025"/>
        <v/>
      </c>
      <c r="AH2963" s="33"/>
    </row>
    <row r="2964" hidden="1" outlineLevel="2" collapsed="1">
      <c r="A2964" s="95" t="b">
        <v>0</v>
      </c>
      <c r="B2964" s="96"/>
      <c r="C2964" s="18"/>
      <c r="D2964" s="42">
        <v>45600.0</v>
      </c>
      <c r="E2964" s="20" t="s">
        <v>24</v>
      </c>
      <c r="F2964" s="53" t="s">
        <v>1763</v>
      </c>
      <c r="G2964" s="97">
        <v>0.01</v>
      </c>
      <c r="H2964" s="97"/>
      <c r="I2964" s="97">
        <v>0.01</v>
      </c>
      <c r="J2964" s="98"/>
      <c r="K2964" s="99"/>
      <c r="L2964" s="98"/>
      <c r="M2964" s="99"/>
      <c r="N2964" s="99"/>
      <c r="O2964" s="18"/>
      <c r="P2964" s="100" t="b">
        <v>1</v>
      </c>
      <c r="Q2964" s="18"/>
      <c r="R2964" s="101">
        <f t="shared" si="2792"/>
        <v>0.02</v>
      </c>
      <c r="S2964" s="32">
        <v>14.69</v>
      </c>
      <c r="T2964" s="102" t="str">
        <f t="shared" si="2793"/>
        <v>+73350</v>
      </c>
      <c r="U2964" s="18"/>
      <c r="V2964" s="103" t="str">
        <f>IF(ISBLANK($D2964), "0",)</f>
        <v/>
      </c>
      <c r="W2964" s="104" t="str">
        <f t="shared" si="2828"/>
        <v/>
      </c>
      <c r="X2964" s="105"/>
      <c r="Y2964" s="106"/>
      <c r="Z2964" s="26">
        <f t="shared" si="5"/>
        <v>7.335</v>
      </c>
      <c r="AA2964" s="26">
        <f t="shared" si="6"/>
        <v>7.335</v>
      </c>
      <c r="AB2964" s="32" t="str">
        <f t="shared" si="7"/>
        <v/>
      </c>
      <c r="AC2964" s="32" t="str">
        <f t="shared" ref="AC2964:AG2964" si="3026">IF(J2964&lt;&gt;"", IF(AND($P2964=FALSE, $A2964=FALSE), -J2964, IF(AND($P2964=FALSE, $A2964=TRUE), 0, IF($P2964=TRUE, (J2964 / $R2964) * 100 * ($S2964 / 100)-J2964, ))), )</f>
        <v/>
      </c>
      <c r="AD2964" s="32" t="str">
        <f t="shared" si="3026"/>
        <v/>
      </c>
      <c r="AE2964" s="32" t="str">
        <f t="shared" si="3026"/>
        <v/>
      </c>
      <c r="AF2964" s="32" t="str">
        <f t="shared" si="3026"/>
        <v/>
      </c>
      <c r="AG2964" s="32" t="str">
        <f t="shared" si="3026"/>
        <v/>
      </c>
      <c r="AH2964" s="33"/>
    </row>
    <row r="2965" hidden="1" outlineLevel="3">
      <c r="A2965" s="95" t="b">
        <v>0</v>
      </c>
      <c r="B2965" s="96"/>
      <c r="C2965" s="18"/>
      <c r="D2965" s="107"/>
      <c r="E2965" s="108"/>
      <c r="F2965" s="109"/>
      <c r="G2965" s="97"/>
      <c r="H2965" s="97"/>
      <c r="I2965" s="97"/>
      <c r="J2965" s="98"/>
      <c r="K2965" s="99"/>
      <c r="L2965" s="98"/>
      <c r="M2965" s="99"/>
      <c r="N2965" s="99"/>
      <c r="O2965" s="18"/>
      <c r="P2965" s="100" t="b">
        <v>0</v>
      </c>
      <c r="Q2965" s="18"/>
      <c r="R2965" s="101" t="str">
        <f t="shared" si="2792"/>
        <v/>
      </c>
      <c r="S2965" s="32"/>
      <c r="T2965" s="102" t="str">
        <f t="shared" si="2793"/>
        <v/>
      </c>
      <c r="U2965" s="18"/>
      <c r="V2965" s="75" t="s">
        <v>29</v>
      </c>
      <c r="W2965" s="104" t="str">
        <f t="shared" si="2828"/>
        <v>/</v>
      </c>
      <c r="X2965" s="111" t="s">
        <v>1711</v>
      </c>
      <c r="Y2965" s="106"/>
      <c r="Z2965" s="26" t="str">
        <f t="shared" si="5"/>
        <v/>
      </c>
      <c r="AA2965" s="26" t="str">
        <f t="shared" si="6"/>
        <v/>
      </c>
      <c r="AB2965" s="32" t="str">
        <f t="shared" si="7"/>
        <v/>
      </c>
      <c r="AC2965" s="32" t="str">
        <f t="shared" ref="AC2965:AG2965" si="3027">IF(J2965&lt;&gt;"", IF(AND($P2965=FALSE, $A2965=FALSE), -J2965, IF(AND($P2965=FALSE, $A2965=TRUE), 0, IF($P2965=TRUE, (J2965 / $R2965) * 100 * ($S2965 / 100)-J2965, ))), )</f>
        <v/>
      </c>
      <c r="AD2965" s="32" t="str">
        <f t="shared" si="3027"/>
        <v/>
      </c>
      <c r="AE2965" s="32" t="str">
        <f t="shared" si="3027"/>
        <v/>
      </c>
      <c r="AF2965" s="32" t="str">
        <f t="shared" si="3027"/>
        <v/>
      </c>
      <c r="AG2965" s="32" t="str">
        <f t="shared" si="3027"/>
        <v/>
      </c>
      <c r="AH2965" s="33"/>
    </row>
    <row r="2966" hidden="1" outlineLevel="2">
      <c r="A2966" s="95" t="b">
        <v>0</v>
      </c>
      <c r="B2966" s="96"/>
      <c r="C2966" s="18"/>
      <c r="D2966" s="42">
        <v>45600.0</v>
      </c>
      <c r="E2966" s="20" t="s">
        <v>24</v>
      </c>
      <c r="F2966" s="53" t="s">
        <v>1763</v>
      </c>
      <c r="G2966" s="97">
        <v>3.0</v>
      </c>
      <c r="H2966" s="97"/>
      <c r="I2966" s="97">
        <v>2.0</v>
      </c>
      <c r="J2966" s="98"/>
      <c r="K2966" s="99"/>
      <c r="L2966" s="98"/>
      <c r="M2966" s="99"/>
      <c r="N2966" s="99"/>
      <c r="O2966" s="18"/>
      <c r="P2966" s="100" t="b">
        <v>0</v>
      </c>
      <c r="Q2966" s="18"/>
      <c r="R2966" s="101">
        <f t="shared" si="2792"/>
        <v>5</v>
      </c>
      <c r="S2966" s="32">
        <v>19.45</v>
      </c>
      <c r="T2966" s="102" t="str">
        <f t="shared" si="2793"/>
        <v>+289</v>
      </c>
      <c r="U2966" s="18"/>
      <c r="V2966" s="103" t="str">
        <f>IF(ISBLANK($D2966), "0",)</f>
        <v/>
      </c>
      <c r="W2966" s="104" t="str">
        <f t="shared" si="2828"/>
        <v/>
      </c>
      <c r="X2966" s="105"/>
      <c r="Y2966" s="106"/>
      <c r="Z2966" s="26">
        <f t="shared" si="5"/>
        <v>-3</v>
      </c>
      <c r="AA2966" s="26">
        <f t="shared" si="6"/>
        <v>-2</v>
      </c>
      <c r="AB2966" s="32" t="str">
        <f t="shared" si="7"/>
        <v/>
      </c>
      <c r="AC2966" s="32" t="str">
        <f t="shared" ref="AC2966:AG2966" si="3028">IF(J2966&lt;&gt;"", IF(AND($P2966=FALSE, $A2966=FALSE), -J2966, IF(AND($P2966=FALSE, $A2966=TRUE), 0, IF($P2966=TRUE, (J2966 / $R2966) * 100 * ($S2966 / 100)-J2966, ))), )</f>
        <v/>
      </c>
      <c r="AD2966" s="32" t="str">
        <f t="shared" si="3028"/>
        <v/>
      </c>
      <c r="AE2966" s="32" t="str">
        <f t="shared" si="3028"/>
        <v/>
      </c>
      <c r="AF2966" s="32" t="str">
        <f t="shared" si="3028"/>
        <v/>
      </c>
      <c r="AG2966" s="32" t="str">
        <f t="shared" si="3028"/>
        <v/>
      </c>
      <c r="AH2966" s="33"/>
    </row>
    <row r="2967" hidden="1" outlineLevel="3">
      <c r="A2967" s="95" t="b">
        <v>0</v>
      </c>
      <c r="B2967" s="96"/>
      <c r="C2967" s="18"/>
      <c r="D2967" s="107"/>
      <c r="E2967" s="108"/>
      <c r="F2967" s="109"/>
      <c r="G2967" s="97"/>
      <c r="H2967" s="97"/>
      <c r="I2967" s="97"/>
      <c r="J2967" s="98"/>
      <c r="K2967" s="99"/>
      <c r="L2967" s="98"/>
      <c r="M2967" s="99"/>
      <c r="N2967" s="99"/>
      <c r="O2967" s="18"/>
      <c r="P2967" s="100" t="b">
        <v>0</v>
      </c>
      <c r="Q2967" s="18"/>
      <c r="R2967" s="101" t="str">
        <f t="shared" si="2792"/>
        <v/>
      </c>
      <c r="S2967" s="32"/>
      <c r="T2967" s="102" t="str">
        <f t="shared" si="2793"/>
        <v/>
      </c>
      <c r="U2967" s="18"/>
      <c r="V2967" s="113">
        <v>199.0</v>
      </c>
      <c r="W2967" s="104" t="str">
        <f t="shared" si="2828"/>
        <v>/</v>
      </c>
      <c r="X2967" s="111" t="s">
        <v>320</v>
      </c>
      <c r="Y2967" s="106"/>
      <c r="Z2967" s="26" t="str">
        <f t="shared" si="5"/>
        <v/>
      </c>
      <c r="AA2967" s="26" t="str">
        <f t="shared" si="6"/>
        <v/>
      </c>
      <c r="AB2967" s="32" t="str">
        <f t="shared" si="7"/>
        <v/>
      </c>
      <c r="AC2967" s="32" t="str">
        <f t="shared" ref="AC2967:AG2967" si="3029">IF(J2967&lt;&gt;"", IF(AND($P2967=FALSE, $A2967=FALSE), -J2967, IF(AND($P2967=FALSE, $A2967=TRUE), 0, IF($P2967=TRUE, (J2967 / $R2967) * 100 * ($S2967 / 100)-J2967, ))), )</f>
        <v/>
      </c>
      <c r="AD2967" s="32" t="str">
        <f t="shared" si="3029"/>
        <v/>
      </c>
      <c r="AE2967" s="32" t="str">
        <f t="shared" si="3029"/>
        <v/>
      </c>
      <c r="AF2967" s="32" t="str">
        <f t="shared" si="3029"/>
        <v/>
      </c>
      <c r="AG2967" s="32" t="str">
        <f t="shared" si="3029"/>
        <v/>
      </c>
      <c r="AH2967" s="33"/>
    </row>
    <row r="2968" hidden="1" outlineLevel="3">
      <c r="A2968" s="95" t="b">
        <v>0</v>
      </c>
      <c r="B2968" s="96"/>
      <c r="C2968" s="18"/>
      <c r="D2968" s="107"/>
      <c r="E2968" s="108"/>
      <c r="F2968" s="109"/>
      <c r="G2968" s="97"/>
      <c r="H2968" s="97"/>
      <c r="I2968" s="97"/>
      <c r="J2968" s="98"/>
      <c r="K2968" s="99"/>
      <c r="L2968" s="98"/>
      <c r="M2968" s="99"/>
      <c r="N2968" s="99"/>
      <c r="O2968" s="18"/>
      <c r="P2968" s="100" t="b">
        <v>0</v>
      </c>
      <c r="Q2968" s="18"/>
      <c r="R2968" s="101" t="str">
        <f t="shared" si="2792"/>
        <v/>
      </c>
      <c r="S2968" s="32"/>
      <c r="T2968" s="102" t="str">
        <f t="shared" si="2793"/>
        <v/>
      </c>
      <c r="U2968" s="18"/>
      <c r="V2968" s="75" t="s">
        <v>29</v>
      </c>
      <c r="W2968" s="104" t="str">
        <f t="shared" si="2828"/>
        <v>/</v>
      </c>
      <c r="X2968" s="111" t="s">
        <v>1788</v>
      </c>
      <c r="Y2968" s="106"/>
      <c r="Z2968" s="26" t="str">
        <f t="shared" si="5"/>
        <v/>
      </c>
      <c r="AA2968" s="26" t="str">
        <f t="shared" si="6"/>
        <v/>
      </c>
      <c r="AB2968" s="32" t="str">
        <f t="shared" si="7"/>
        <v/>
      </c>
      <c r="AC2968" s="32" t="str">
        <f t="shared" ref="AC2968:AG2968" si="3030">IF(J2968&lt;&gt;"", IF(AND($P2968=FALSE, $A2968=FALSE), -J2968, IF(AND($P2968=FALSE, $A2968=TRUE), 0, IF($P2968=TRUE, (J2968 / $R2968) * 100 * ($S2968 / 100)-J2968, ))), )</f>
        <v/>
      </c>
      <c r="AD2968" s="32" t="str">
        <f t="shared" si="3030"/>
        <v/>
      </c>
      <c r="AE2968" s="32" t="str">
        <f t="shared" si="3030"/>
        <v/>
      </c>
      <c r="AF2968" s="32" t="str">
        <f t="shared" si="3030"/>
        <v/>
      </c>
      <c r="AG2968" s="32" t="str">
        <f t="shared" si="3030"/>
        <v/>
      </c>
      <c r="AH2968" s="33"/>
    </row>
    <row r="2969" hidden="1" outlineLevel="3">
      <c r="A2969" s="95" t="b">
        <v>0</v>
      </c>
      <c r="B2969" s="96"/>
      <c r="C2969" s="18"/>
      <c r="D2969" s="107"/>
      <c r="E2969" s="108"/>
      <c r="F2969" s="109"/>
      <c r="G2969" s="97"/>
      <c r="H2969" s="97"/>
      <c r="I2969" s="97"/>
      <c r="J2969" s="98"/>
      <c r="K2969" s="99"/>
      <c r="L2969" s="98"/>
      <c r="M2969" s="99"/>
      <c r="N2969" s="99"/>
      <c r="O2969" s="18"/>
      <c r="P2969" s="100" t="b">
        <v>0</v>
      </c>
      <c r="Q2969" s="18"/>
      <c r="R2969" s="101" t="str">
        <f t="shared" si="2792"/>
        <v/>
      </c>
      <c r="S2969" s="32"/>
      <c r="T2969" s="102" t="str">
        <f t="shared" si="2793"/>
        <v/>
      </c>
      <c r="U2969" s="18"/>
      <c r="V2969" s="75" t="s">
        <v>29</v>
      </c>
      <c r="W2969" s="104" t="str">
        <f t="shared" si="2828"/>
        <v>/</v>
      </c>
      <c r="X2969" s="111" t="s">
        <v>1111</v>
      </c>
      <c r="Y2969" s="106"/>
      <c r="Z2969" s="26" t="str">
        <f t="shared" si="5"/>
        <v/>
      </c>
      <c r="AA2969" s="26" t="str">
        <f t="shared" si="6"/>
        <v/>
      </c>
      <c r="AB2969" s="32" t="str">
        <f t="shared" si="7"/>
        <v/>
      </c>
      <c r="AC2969" s="32" t="str">
        <f t="shared" ref="AC2969:AG2969" si="3031">IF(J2969&lt;&gt;"", IF(AND($P2969=FALSE, $A2969=FALSE), -J2969, IF(AND($P2969=FALSE, $A2969=TRUE), 0, IF($P2969=TRUE, (J2969 / $R2969) * 100 * ($S2969 / 100)-J2969, ))), )</f>
        <v/>
      </c>
      <c r="AD2969" s="32" t="str">
        <f t="shared" si="3031"/>
        <v/>
      </c>
      <c r="AE2969" s="32" t="str">
        <f t="shared" si="3031"/>
        <v/>
      </c>
      <c r="AF2969" s="32" t="str">
        <f t="shared" si="3031"/>
        <v/>
      </c>
      <c r="AG2969" s="32" t="str">
        <f t="shared" si="3031"/>
        <v/>
      </c>
      <c r="AH2969" s="33"/>
    </row>
    <row r="2970" hidden="1" outlineLevel="3">
      <c r="A2970" s="95" t="b">
        <v>0</v>
      </c>
      <c r="B2970" s="96"/>
      <c r="C2970" s="18"/>
      <c r="D2970" s="107"/>
      <c r="E2970" s="108"/>
      <c r="F2970" s="109"/>
      <c r="G2970" s="97"/>
      <c r="H2970" s="97"/>
      <c r="I2970" s="97"/>
      <c r="J2970" s="98"/>
      <c r="K2970" s="99"/>
      <c r="L2970" s="98"/>
      <c r="M2970" s="99"/>
      <c r="N2970" s="99"/>
      <c r="O2970" s="18"/>
      <c r="P2970" s="100" t="b">
        <v>0</v>
      </c>
      <c r="Q2970" s="18"/>
      <c r="R2970" s="101" t="str">
        <f t="shared" si="2792"/>
        <v/>
      </c>
      <c r="S2970" s="32"/>
      <c r="T2970" s="102" t="str">
        <f t="shared" si="2793"/>
        <v/>
      </c>
      <c r="U2970" s="18"/>
      <c r="V2970" s="75" t="s">
        <v>29</v>
      </c>
      <c r="W2970" s="104" t="str">
        <f t="shared" si="2828"/>
        <v>/</v>
      </c>
      <c r="X2970" s="111" t="s">
        <v>1789</v>
      </c>
      <c r="Y2970" s="106"/>
      <c r="Z2970" s="26" t="str">
        <f t="shared" si="5"/>
        <v/>
      </c>
      <c r="AA2970" s="26" t="str">
        <f t="shared" si="6"/>
        <v/>
      </c>
      <c r="AB2970" s="32" t="str">
        <f t="shared" si="7"/>
        <v/>
      </c>
      <c r="AC2970" s="32" t="str">
        <f t="shared" ref="AC2970:AG2970" si="3032">IF(J2970&lt;&gt;"", IF(AND($P2970=FALSE, $A2970=FALSE), -J2970, IF(AND($P2970=FALSE, $A2970=TRUE), 0, IF($P2970=TRUE, (J2970 / $R2970) * 100 * ($S2970 / 100)-J2970, ))), )</f>
        <v/>
      </c>
      <c r="AD2970" s="32" t="str">
        <f t="shared" si="3032"/>
        <v/>
      </c>
      <c r="AE2970" s="32" t="str">
        <f t="shared" si="3032"/>
        <v/>
      </c>
      <c r="AF2970" s="32" t="str">
        <f t="shared" si="3032"/>
        <v/>
      </c>
      <c r="AG2970" s="32" t="str">
        <f t="shared" si="3032"/>
        <v/>
      </c>
      <c r="AH2970" s="33"/>
    </row>
    <row r="2971" hidden="1" outlineLevel="1" collapsed="1">
      <c r="A2971" s="95" t="b">
        <v>0</v>
      </c>
      <c r="B2971" s="96"/>
      <c r="C2971" s="18"/>
      <c r="D2971" s="42">
        <v>45603.0</v>
      </c>
      <c r="E2971" s="20" t="s">
        <v>24</v>
      </c>
      <c r="F2971" s="53" t="s">
        <v>1790</v>
      </c>
      <c r="G2971" s="97">
        <v>4.0</v>
      </c>
      <c r="H2971" s="97"/>
      <c r="I2971" s="97">
        <v>6.0</v>
      </c>
      <c r="J2971" s="98"/>
      <c r="K2971" s="99"/>
      <c r="L2971" s="98"/>
      <c r="M2971" s="99"/>
      <c r="N2971" s="99"/>
      <c r="O2971" s="18"/>
      <c r="P2971" s="100" t="b">
        <v>1</v>
      </c>
      <c r="Q2971" s="18"/>
      <c r="R2971" s="101">
        <f t="shared" si="2792"/>
        <v>10</v>
      </c>
      <c r="S2971" s="32">
        <v>32.19</v>
      </c>
      <c r="T2971" s="102" t="str">
        <f t="shared" si="2793"/>
        <v>+222</v>
      </c>
      <c r="U2971" s="18"/>
      <c r="V2971" s="103" t="str">
        <f>IF(ISBLANK($D2971), "0",)</f>
        <v/>
      </c>
      <c r="W2971" s="104" t="str">
        <f t="shared" si="2828"/>
        <v/>
      </c>
      <c r="X2971" s="105"/>
      <c r="Y2971" s="106"/>
      <c r="Z2971" s="26">
        <f t="shared" si="5"/>
        <v>8.876</v>
      </c>
      <c r="AA2971" s="26">
        <f t="shared" si="6"/>
        <v>13.314</v>
      </c>
      <c r="AB2971" s="32" t="str">
        <f t="shared" si="7"/>
        <v/>
      </c>
      <c r="AC2971" s="32" t="str">
        <f t="shared" ref="AC2971:AG2971" si="3033">IF(J2971&lt;&gt;"", IF(AND($P2971=FALSE, $A2971=FALSE), -J2971, IF(AND($P2971=FALSE, $A2971=TRUE), 0, IF($P2971=TRUE, (J2971 / $R2971) * 100 * ($S2971 / 100)-J2971, ))), )</f>
        <v/>
      </c>
      <c r="AD2971" s="32" t="str">
        <f t="shared" si="3033"/>
        <v/>
      </c>
      <c r="AE2971" s="32" t="str">
        <f t="shared" si="3033"/>
        <v/>
      </c>
      <c r="AF2971" s="32" t="str">
        <f t="shared" si="3033"/>
        <v/>
      </c>
      <c r="AG2971" s="32" t="str">
        <f t="shared" si="3033"/>
        <v/>
      </c>
      <c r="AH2971" s="33"/>
    </row>
    <row r="2972" hidden="1" outlineLevel="3">
      <c r="A2972" s="95" t="b">
        <v>0</v>
      </c>
      <c r="B2972" s="96"/>
      <c r="C2972" s="18"/>
      <c r="D2972" s="107"/>
      <c r="E2972" s="108"/>
      <c r="F2972" s="109"/>
      <c r="G2972" s="97"/>
      <c r="H2972" s="97"/>
      <c r="I2972" s="97"/>
      <c r="J2972" s="98"/>
      <c r="K2972" s="99"/>
      <c r="L2972" s="98"/>
      <c r="M2972" s="99"/>
      <c r="N2972" s="99"/>
      <c r="O2972" s="18"/>
      <c r="P2972" s="100" t="b">
        <v>0</v>
      </c>
      <c r="Q2972" s="18"/>
      <c r="R2972" s="101" t="str">
        <f t="shared" si="2792"/>
        <v/>
      </c>
      <c r="S2972" s="32"/>
      <c r="T2972" s="102" t="str">
        <f t="shared" si="2793"/>
        <v/>
      </c>
      <c r="U2972" s="18"/>
      <c r="V2972" s="75" t="s">
        <v>29</v>
      </c>
      <c r="W2972" s="104" t="str">
        <f t="shared" si="2828"/>
        <v>/</v>
      </c>
      <c r="X2972" s="111" t="s">
        <v>1791</v>
      </c>
      <c r="Y2972" s="106"/>
      <c r="Z2972" s="26" t="str">
        <f t="shared" si="5"/>
        <v/>
      </c>
      <c r="AA2972" s="26" t="str">
        <f t="shared" si="6"/>
        <v/>
      </c>
      <c r="AB2972" s="32" t="str">
        <f t="shared" si="7"/>
        <v/>
      </c>
      <c r="AC2972" s="32" t="str">
        <f t="shared" ref="AC2972:AG2972" si="3034">IF(J2972&lt;&gt;"", IF(AND($P2972=FALSE, $A2972=FALSE), -J2972, IF(AND($P2972=FALSE, $A2972=TRUE), 0, IF($P2972=TRUE, (J2972 / $R2972) * 100 * ($S2972 / 100)-J2972, ))), )</f>
        <v/>
      </c>
      <c r="AD2972" s="32" t="str">
        <f t="shared" si="3034"/>
        <v/>
      </c>
      <c r="AE2972" s="32" t="str">
        <f t="shared" si="3034"/>
        <v/>
      </c>
      <c r="AF2972" s="32" t="str">
        <f t="shared" si="3034"/>
        <v/>
      </c>
      <c r="AG2972" s="32" t="str">
        <f t="shared" si="3034"/>
        <v/>
      </c>
      <c r="AH2972" s="33"/>
    </row>
    <row r="2973" hidden="1" outlineLevel="3">
      <c r="A2973" s="95" t="b">
        <v>0</v>
      </c>
      <c r="B2973" s="96"/>
      <c r="C2973" s="18"/>
      <c r="D2973" s="107"/>
      <c r="E2973" s="108"/>
      <c r="F2973" s="109"/>
      <c r="G2973" s="97"/>
      <c r="H2973" s="97"/>
      <c r="I2973" s="97"/>
      <c r="J2973" s="98"/>
      <c r="K2973" s="99"/>
      <c r="L2973" s="98"/>
      <c r="M2973" s="99"/>
      <c r="N2973" s="99"/>
      <c r="O2973" s="18"/>
      <c r="P2973" s="100" t="b">
        <v>0</v>
      </c>
      <c r="Q2973" s="18"/>
      <c r="R2973" s="101" t="str">
        <f t="shared" si="2792"/>
        <v/>
      </c>
      <c r="S2973" s="32"/>
      <c r="T2973" s="102" t="str">
        <f t="shared" si="2793"/>
        <v/>
      </c>
      <c r="U2973" s="18"/>
      <c r="V2973" s="75" t="s">
        <v>29</v>
      </c>
      <c r="W2973" s="104" t="str">
        <f t="shared" si="2828"/>
        <v>/</v>
      </c>
      <c r="X2973" s="111" t="s">
        <v>1792</v>
      </c>
      <c r="Y2973" s="106"/>
      <c r="Z2973" s="26" t="str">
        <f t="shared" si="5"/>
        <v/>
      </c>
      <c r="AA2973" s="26" t="str">
        <f t="shared" si="6"/>
        <v/>
      </c>
      <c r="AB2973" s="32" t="str">
        <f t="shared" si="7"/>
        <v/>
      </c>
      <c r="AC2973" s="32" t="str">
        <f t="shared" ref="AC2973:AG2973" si="3035">IF(J2973&lt;&gt;"", IF(AND($P2973=FALSE, $A2973=FALSE), -J2973, IF(AND($P2973=FALSE, $A2973=TRUE), 0, IF($P2973=TRUE, (J2973 / $R2973) * 100 * ($S2973 / 100)-J2973, ))), )</f>
        <v/>
      </c>
      <c r="AD2973" s="32" t="str">
        <f t="shared" si="3035"/>
        <v/>
      </c>
      <c r="AE2973" s="32" t="str">
        <f t="shared" si="3035"/>
        <v/>
      </c>
      <c r="AF2973" s="32" t="str">
        <f t="shared" si="3035"/>
        <v/>
      </c>
      <c r="AG2973" s="32" t="str">
        <f t="shared" si="3035"/>
        <v/>
      </c>
      <c r="AH2973" s="33"/>
    </row>
    <row r="2974" hidden="1" outlineLevel="3">
      <c r="A2974" s="95" t="b">
        <v>0</v>
      </c>
      <c r="B2974" s="96"/>
      <c r="C2974" s="18"/>
      <c r="D2974" s="107"/>
      <c r="E2974" s="108"/>
      <c r="F2974" s="109"/>
      <c r="G2974" s="97"/>
      <c r="H2974" s="97"/>
      <c r="I2974" s="97"/>
      <c r="J2974" s="98"/>
      <c r="K2974" s="99"/>
      <c r="L2974" s="98"/>
      <c r="M2974" s="99"/>
      <c r="N2974" s="99"/>
      <c r="O2974" s="18"/>
      <c r="P2974" s="100" t="b">
        <v>0</v>
      </c>
      <c r="Q2974" s="18"/>
      <c r="R2974" s="101" t="str">
        <f t="shared" si="2792"/>
        <v/>
      </c>
      <c r="S2974" s="32"/>
      <c r="T2974" s="102" t="str">
        <f t="shared" si="2793"/>
        <v/>
      </c>
      <c r="U2974" s="18"/>
      <c r="V2974" s="75" t="s">
        <v>29</v>
      </c>
      <c r="W2974" s="104" t="str">
        <f t="shared" si="2828"/>
        <v>/</v>
      </c>
      <c r="X2974" s="111" t="s">
        <v>1793</v>
      </c>
      <c r="Y2974" s="106"/>
      <c r="Z2974" s="26" t="str">
        <f t="shared" si="5"/>
        <v/>
      </c>
      <c r="AA2974" s="26" t="str">
        <f t="shared" si="6"/>
        <v/>
      </c>
      <c r="AB2974" s="32" t="str">
        <f t="shared" si="7"/>
        <v/>
      </c>
      <c r="AC2974" s="32" t="str">
        <f t="shared" ref="AC2974:AG2974" si="3036">IF(J2974&lt;&gt;"", IF(AND($P2974=FALSE, $A2974=FALSE), -J2974, IF(AND($P2974=FALSE, $A2974=TRUE), 0, IF($P2974=TRUE, (J2974 / $R2974) * 100 * ($S2974 / 100)-J2974, ))), )</f>
        <v/>
      </c>
      <c r="AD2974" s="32" t="str">
        <f t="shared" si="3036"/>
        <v/>
      </c>
      <c r="AE2974" s="32" t="str">
        <f t="shared" si="3036"/>
        <v/>
      </c>
      <c r="AF2974" s="32" t="str">
        <f t="shared" si="3036"/>
        <v/>
      </c>
      <c r="AG2974" s="32" t="str">
        <f t="shared" si="3036"/>
        <v/>
      </c>
      <c r="AH2974" s="33"/>
    </row>
    <row r="2975" hidden="1" outlineLevel="2" collapsed="1">
      <c r="A2975" s="95" t="b">
        <v>0</v>
      </c>
      <c r="B2975" s="96"/>
      <c r="C2975" s="18"/>
      <c r="D2975" s="42">
        <v>45603.0</v>
      </c>
      <c r="E2975" s="20" t="s">
        <v>24</v>
      </c>
      <c r="F2975" s="53" t="s">
        <v>1790</v>
      </c>
      <c r="G2975" s="97">
        <v>3.0</v>
      </c>
      <c r="H2975" s="97"/>
      <c r="I2975" s="97">
        <v>2.0</v>
      </c>
      <c r="J2975" s="98"/>
      <c r="K2975" s="99"/>
      <c r="L2975" s="98"/>
      <c r="M2975" s="99"/>
      <c r="N2975" s="99"/>
      <c r="O2975" s="18"/>
      <c r="P2975" s="100" t="b">
        <v>1</v>
      </c>
      <c r="Q2975" s="18"/>
      <c r="R2975" s="101">
        <f t="shared" si="2792"/>
        <v>5</v>
      </c>
      <c r="S2975" s="32">
        <v>10.0</v>
      </c>
      <c r="T2975" s="102">
        <f t="shared" si="2793"/>
        <v>-100</v>
      </c>
      <c r="U2975" s="18"/>
      <c r="V2975" s="103" t="str">
        <f>IF(ISBLANK($D2975), "0",)</f>
        <v/>
      </c>
      <c r="W2975" s="104" t="str">
        <f t="shared" si="2828"/>
        <v/>
      </c>
      <c r="X2975" s="105"/>
      <c r="Y2975" s="106"/>
      <c r="Z2975" s="26">
        <f t="shared" si="5"/>
        <v>3</v>
      </c>
      <c r="AA2975" s="26">
        <f t="shared" si="6"/>
        <v>2</v>
      </c>
      <c r="AB2975" s="32" t="str">
        <f t="shared" si="7"/>
        <v/>
      </c>
      <c r="AC2975" s="32" t="str">
        <f t="shared" ref="AC2975:AG2975" si="3037">IF(J2975&lt;&gt;"", IF(AND($P2975=FALSE, $A2975=FALSE), -J2975, IF(AND($P2975=FALSE, $A2975=TRUE), 0, IF($P2975=TRUE, (J2975 / $R2975) * 100 * ($S2975 / 100)-J2975, ))), )</f>
        <v/>
      </c>
      <c r="AD2975" s="32" t="str">
        <f t="shared" si="3037"/>
        <v/>
      </c>
      <c r="AE2975" s="32" t="str">
        <f t="shared" si="3037"/>
        <v/>
      </c>
      <c r="AF2975" s="32" t="str">
        <f t="shared" si="3037"/>
        <v/>
      </c>
      <c r="AG2975" s="32" t="str">
        <f t="shared" si="3037"/>
        <v/>
      </c>
      <c r="AH2975" s="33"/>
    </row>
    <row r="2976" hidden="1" outlineLevel="3">
      <c r="A2976" s="95" t="b">
        <v>0</v>
      </c>
      <c r="B2976" s="96"/>
      <c r="C2976" s="18"/>
      <c r="D2976" s="107"/>
      <c r="E2976" s="108"/>
      <c r="F2976" s="109"/>
      <c r="G2976" s="97"/>
      <c r="H2976" s="97"/>
      <c r="I2976" s="97"/>
      <c r="J2976" s="98"/>
      <c r="K2976" s="99"/>
      <c r="L2976" s="98"/>
      <c r="M2976" s="99"/>
      <c r="N2976" s="99"/>
      <c r="O2976" s="18"/>
      <c r="P2976" s="100" t="b">
        <v>0</v>
      </c>
      <c r="Q2976" s="18"/>
      <c r="R2976" s="101" t="str">
        <f t="shared" si="2792"/>
        <v/>
      </c>
      <c r="S2976" s="32"/>
      <c r="T2976" s="102" t="str">
        <f t="shared" si="2793"/>
        <v/>
      </c>
      <c r="U2976" s="18"/>
      <c r="V2976" s="75" t="s">
        <v>29</v>
      </c>
      <c r="W2976" s="104" t="str">
        <f t="shared" si="2828"/>
        <v>/</v>
      </c>
      <c r="X2976" s="111" t="s">
        <v>1794</v>
      </c>
      <c r="Y2976" s="106"/>
      <c r="Z2976" s="26" t="str">
        <f t="shared" si="5"/>
        <v/>
      </c>
      <c r="AA2976" s="26" t="str">
        <f t="shared" si="6"/>
        <v/>
      </c>
      <c r="AB2976" s="32" t="str">
        <f t="shared" si="7"/>
        <v/>
      </c>
      <c r="AC2976" s="32" t="str">
        <f t="shared" ref="AC2976:AG2976" si="3038">IF(J2976&lt;&gt;"", IF(AND($P2976=FALSE, $A2976=FALSE), -J2976, IF(AND($P2976=FALSE, $A2976=TRUE), 0, IF($P2976=TRUE, (J2976 / $R2976) * 100 * ($S2976 / 100)-J2976, ))), )</f>
        <v/>
      </c>
      <c r="AD2976" s="32" t="str">
        <f t="shared" si="3038"/>
        <v/>
      </c>
      <c r="AE2976" s="32" t="str">
        <f t="shared" si="3038"/>
        <v/>
      </c>
      <c r="AF2976" s="32" t="str">
        <f t="shared" si="3038"/>
        <v/>
      </c>
      <c r="AG2976" s="32" t="str">
        <f t="shared" si="3038"/>
        <v/>
      </c>
      <c r="AH2976" s="33"/>
    </row>
    <row r="2977" hidden="1" outlineLevel="2">
      <c r="A2977" s="95" t="b">
        <v>0</v>
      </c>
      <c r="B2977" s="96"/>
      <c r="C2977" s="18"/>
      <c r="D2977" s="42">
        <v>45603.0</v>
      </c>
      <c r="E2977" s="20" t="s">
        <v>24</v>
      </c>
      <c r="F2977" s="53" t="s">
        <v>1790</v>
      </c>
      <c r="G2977" s="97">
        <v>2.0</v>
      </c>
      <c r="H2977" s="97"/>
      <c r="I2977" s="97">
        <v>3.0</v>
      </c>
      <c r="J2977" s="98"/>
      <c r="K2977" s="99"/>
      <c r="L2977" s="98"/>
      <c r="M2977" s="99"/>
      <c r="N2977" s="99"/>
      <c r="O2977" s="18"/>
      <c r="P2977" s="100" t="b">
        <v>0</v>
      </c>
      <c r="Q2977" s="18"/>
      <c r="R2977" s="101">
        <f t="shared" si="2792"/>
        <v>5</v>
      </c>
      <c r="S2977" s="32">
        <v>64.1</v>
      </c>
      <c r="T2977" s="102" t="str">
        <f t="shared" si="2793"/>
        <v>+1182</v>
      </c>
      <c r="U2977" s="18"/>
      <c r="V2977" s="103" t="str">
        <f>IF(ISBLANK($D2977), "0",)</f>
        <v/>
      </c>
      <c r="W2977" s="104" t="str">
        <f t="shared" si="2828"/>
        <v/>
      </c>
      <c r="X2977" s="105"/>
      <c r="Y2977" s="106"/>
      <c r="Z2977" s="26">
        <f t="shared" si="5"/>
        <v>-2</v>
      </c>
      <c r="AA2977" s="26">
        <f t="shared" si="6"/>
        <v>-3</v>
      </c>
      <c r="AB2977" s="32" t="str">
        <f t="shared" si="7"/>
        <v/>
      </c>
      <c r="AC2977" s="32" t="str">
        <f t="shared" ref="AC2977:AG2977" si="3039">IF(J2977&lt;&gt;"", IF(AND($P2977=FALSE, $A2977=FALSE), -J2977, IF(AND($P2977=FALSE, $A2977=TRUE), 0, IF($P2977=TRUE, (J2977 / $R2977) * 100 * ($S2977 / 100)-J2977, ))), )</f>
        <v/>
      </c>
      <c r="AD2977" s="32" t="str">
        <f t="shared" si="3039"/>
        <v/>
      </c>
      <c r="AE2977" s="32" t="str">
        <f t="shared" si="3039"/>
        <v/>
      </c>
      <c r="AF2977" s="32" t="str">
        <f t="shared" si="3039"/>
        <v/>
      </c>
      <c r="AG2977" s="32" t="str">
        <f t="shared" si="3039"/>
        <v/>
      </c>
      <c r="AH2977" s="33"/>
    </row>
    <row r="2978" hidden="1" outlineLevel="3">
      <c r="A2978" s="95" t="b">
        <v>0</v>
      </c>
      <c r="B2978" s="96"/>
      <c r="C2978" s="18"/>
      <c r="D2978" s="107"/>
      <c r="E2978" s="108"/>
      <c r="F2978" s="109"/>
      <c r="G2978" s="97"/>
      <c r="H2978" s="97"/>
      <c r="I2978" s="97"/>
      <c r="J2978" s="98"/>
      <c r="K2978" s="99"/>
      <c r="L2978" s="98"/>
      <c r="M2978" s="99"/>
      <c r="N2978" s="99"/>
      <c r="O2978" s="18"/>
      <c r="P2978" s="100" t="b">
        <v>0</v>
      </c>
      <c r="Q2978" s="18"/>
      <c r="R2978" s="101" t="str">
        <f t="shared" si="2792"/>
        <v/>
      </c>
      <c r="S2978" s="32"/>
      <c r="T2978" s="102" t="str">
        <f t="shared" si="2793"/>
        <v/>
      </c>
      <c r="U2978" s="18"/>
      <c r="V2978" s="75" t="s">
        <v>29</v>
      </c>
      <c r="W2978" s="104" t="str">
        <f t="shared" si="2828"/>
        <v>/</v>
      </c>
      <c r="X2978" s="111" t="s">
        <v>1795</v>
      </c>
      <c r="Y2978" s="106"/>
      <c r="Z2978" s="26" t="str">
        <f t="shared" si="5"/>
        <v/>
      </c>
      <c r="AA2978" s="26" t="str">
        <f t="shared" si="6"/>
        <v/>
      </c>
      <c r="AB2978" s="32" t="str">
        <f t="shared" si="7"/>
        <v/>
      </c>
      <c r="AC2978" s="32" t="str">
        <f t="shared" ref="AC2978:AG2978" si="3040">IF(J2978&lt;&gt;"", IF(AND($P2978=FALSE, $A2978=FALSE), -J2978, IF(AND($P2978=FALSE, $A2978=TRUE), 0, IF($P2978=TRUE, (J2978 / $R2978) * 100 * ($S2978 / 100)-J2978, ))), )</f>
        <v/>
      </c>
      <c r="AD2978" s="32" t="str">
        <f t="shared" si="3040"/>
        <v/>
      </c>
      <c r="AE2978" s="32" t="str">
        <f t="shared" si="3040"/>
        <v/>
      </c>
      <c r="AF2978" s="32" t="str">
        <f t="shared" si="3040"/>
        <v/>
      </c>
      <c r="AG2978" s="32" t="str">
        <f t="shared" si="3040"/>
        <v/>
      </c>
      <c r="AH2978" s="33"/>
    </row>
    <row r="2979" hidden="1" outlineLevel="3">
      <c r="A2979" s="95" t="b">
        <v>0</v>
      </c>
      <c r="B2979" s="96"/>
      <c r="C2979" s="18"/>
      <c r="D2979" s="107"/>
      <c r="E2979" s="108"/>
      <c r="F2979" s="109"/>
      <c r="G2979" s="97"/>
      <c r="H2979" s="97"/>
      <c r="I2979" s="97"/>
      <c r="J2979" s="98"/>
      <c r="K2979" s="99"/>
      <c r="L2979" s="98"/>
      <c r="M2979" s="99"/>
      <c r="N2979" s="99"/>
      <c r="O2979" s="18"/>
      <c r="P2979" s="100" t="b">
        <v>0</v>
      </c>
      <c r="Q2979" s="18"/>
      <c r="R2979" s="101" t="str">
        <f t="shared" si="2792"/>
        <v/>
      </c>
      <c r="S2979" s="32"/>
      <c r="T2979" s="102" t="str">
        <f t="shared" si="2793"/>
        <v/>
      </c>
      <c r="U2979" s="18"/>
      <c r="V2979" s="113">
        <v>34.0</v>
      </c>
      <c r="W2979" s="104" t="str">
        <f t="shared" si="2828"/>
        <v>/</v>
      </c>
      <c r="X2979" s="111" t="s">
        <v>1796</v>
      </c>
      <c r="Y2979" s="106"/>
      <c r="Z2979" s="26" t="str">
        <f t="shared" si="5"/>
        <v/>
      </c>
      <c r="AA2979" s="26" t="str">
        <f t="shared" si="6"/>
        <v/>
      </c>
      <c r="AB2979" s="32" t="str">
        <f t="shared" si="7"/>
        <v/>
      </c>
      <c r="AC2979" s="32" t="str">
        <f t="shared" ref="AC2979:AG2979" si="3041">IF(J2979&lt;&gt;"", IF(AND($P2979=FALSE, $A2979=FALSE), -J2979, IF(AND($P2979=FALSE, $A2979=TRUE), 0, IF($P2979=TRUE, (J2979 / $R2979) * 100 * ($S2979 / 100)-J2979, ))), )</f>
        <v/>
      </c>
      <c r="AD2979" s="32" t="str">
        <f t="shared" si="3041"/>
        <v/>
      </c>
      <c r="AE2979" s="32" t="str">
        <f t="shared" si="3041"/>
        <v/>
      </c>
      <c r="AF2979" s="32" t="str">
        <f t="shared" si="3041"/>
        <v/>
      </c>
      <c r="AG2979" s="32" t="str">
        <f t="shared" si="3041"/>
        <v/>
      </c>
      <c r="AH2979" s="33"/>
    </row>
    <row r="2980" hidden="1" outlineLevel="3">
      <c r="A2980" s="95" t="b">
        <v>0</v>
      </c>
      <c r="B2980" s="96"/>
      <c r="C2980" s="18"/>
      <c r="D2980" s="107"/>
      <c r="E2980" s="108"/>
      <c r="F2980" s="109"/>
      <c r="G2980" s="97"/>
      <c r="H2980" s="97"/>
      <c r="I2980" s="97"/>
      <c r="J2980" s="98"/>
      <c r="K2980" s="99"/>
      <c r="L2980" s="98"/>
      <c r="M2980" s="99"/>
      <c r="N2980" s="99"/>
      <c r="O2980" s="18"/>
      <c r="P2980" s="100" t="b">
        <v>0</v>
      </c>
      <c r="Q2980" s="18"/>
      <c r="R2980" s="101" t="str">
        <f t="shared" si="2792"/>
        <v/>
      </c>
      <c r="S2980" s="32"/>
      <c r="T2980" s="102" t="str">
        <f t="shared" si="2793"/>
        <v/>
      </c>
      <c r="U2980" s="18"/>
      <c r="V2980" s="75" t="s">
        <v>29</v>
      </c>
      <c r="W2980" s="104" t="str">
        <f t="shared" si="2828"/>
        <v>/</v>
      </c>
      <c r="X2980" s="111" t="s">
        <v>1726</v>
      </c>
      <c r="Y2980" s="106"/>
      <c r="Z2980" s="26" t="str">
        <f t="shared" si="5"/>
        <v/>
      </c>
      <c r="AA2980" s="26" t="str">
        <f t="shared" si="6"/>
        <v/>
      </c>
      <c r="AB2980" s="32" t="str">
        <f t="shared" si="7"/>
        <v/>
      </c>
      <c r="AC2980" s="32" t="str">
        <f t="shared" ref="AC2980:AG2980" si="3042">IF(J2980&lt;&gt;"", IF(AND($P2980=FALSE, $A2980=FALSE), -J2980, IF(AND($P2980=FALSE, $A2980=TRUE), 0, IF($P2980=TRUE, (J2980 / $R2980) * 100 * ($S2980 / 100)-J2980, ))), )</f>
        <v/>
      </c>
      <c r="AD2980" s="32" t="str">
        <f t="shared" si="3042"/>
        <v/>
      </c>
      <c r="AE2980" s="32" t="str">
        <f t="shared" si="3042"/>
        <v/>
      </c>
      <c r="AF2980" s="32" t="str">
        <f t="shared" si="3042"/>
        <v/>
      </c>
      <c r="AG2980" s="32" t="str">
        <f t="shared" si="3042"/>
        <v/>
      </c>
      <c r="AH2980" s="33"/>
    </row>
    <row r="2981" hidden="1" outlineLevel="3">
      <c r="A2981" s="95" t="b">
        <v>0</v>
      </c>
      <c r="B2981" s="96"/>
      <c r="C2981" s="18"/>
      <c r="D2981" s="107"/>
      <c r="E2981" s="108"/>
      <c r="F2981" s="109"/>
      <c r="G2981" s="97"/>
      <c r="H2981" s="97"/>
      <c r="I2981" s="97"/>
      <c r="J2981" s="98"/>
      <c r="K2981" s="99"/>
      <c r="L2981" s="98"/>
      <c r="M2981" s="99"/>
      <c r="N2981" s="99"/>
      <c r="O2981" s="18"/>
      <c r="P2981" s="100" t="b">
        <v>0</v>
      </c>
      <c r="Q2981" s="18"/>
      <c r="R2981" s="101" t="str">
        <f t="shared" si="2792"/>
        <v/>
      </c>
      <c r="S2981" s="32"/>
      <c r="T2981" s="102" t="str">
        <f t="shared" si="2793"/>
        <v/>
      </c>
      <c r="U2981" s="18"/>
      <c r="V2981" s="113">
        <v>68.0</v>
      </c>
      <c r="W2981" s="104" t="str">
        <f t="shared" si="2828"/>
        <v>/</v>
      </c>
      <c r="X2981" s="111" t="s">
        <v>1725</v>
      </c>
      <c r="Y2981" s="106"/>
      <c r="Z2981" s="26" t="str">
        <f t="shared" si="5"/>
        <v/>
      </c>
      <c r="AA2981" s="26" t="str">
        <f t="shared" si="6"/>
        <v/>
      </c>
      <c r="AB2981" s="32" t="str">
        <f t="shared" si="7"/>
        <v/>
      </c>
      <c r="AC2981" s="32" t="str">
        <f t="shared" ref="AC2981:AG2981" si="3043">IF(J2981&lt;&gt;"", IF(AND($P2981=FALSE, $A2981=FALSE), -J2981, IF(AND($P2981=FALSE, $A2981=TRUE), 0, IF($P2981=TRUE, (J2981 / $R2981) * 100 * ($S2981 / 100)-J2981, ))), )</f>
        <v/>
      </c>
      <c r="AD2981" s="32" t="str">
        <f t="shared" si="3043"/>
        <v/>
      </c>
      <c r="AE2981" s="32" t="str">
        <f t="shared" si="3043"/>
        <v/>
      </c>
      <c r="AF2981" s="32" t="str">
        <f t="shared" si="3043"/>
        <v/>
      </c>
      <c r="AG2981" s="32" t="str">
        <f t="shared" si="3043"/>
        <v/>
      </c>
      <c r="AH2981" s="33"/>
    </row>
    <row r="2982" hidden="1" outlineLevel="3">
      <c r="A2982" s="95" t="b">
        <v>0</v>
      </c>
      <c r="B2982" s="96"/>
      <c r="C2982" s="18"/>
      <c r="D2982" s="107"/>
      <c r="E2982" s="108"/>
      <c r="F2982" s="109"/>
      <c r="G2982" s="97"/>
      <c r="H2982" s="97"/>
      <c r="I2982" s="97"/>
      <c r="J2982" s="98"/>
      <c r="K2982" s="99"/>
      <c r="L2982" s="98"/>
      <c r="M2982" s="99"/>
      <c r="N2982" s="99"/>
      <c r="O2982" s="18"/>
      <c r="P2982" s="100" t="b">
        <v>0</v>
      </c>
      <c r="Q2982" s="18"/>
      <c r="R2982" s="101" t="str">
        <f t="shared" si="2792"/>
        <v/>
      </c>
      <c r="S2982" s="32"/>
      <c r="T2982" s="102" t="str">
        <f t="shared" si="2793"/>
        <v/>
      </c>
      <c r="U2982" s="18"/>
      <c r="V2982" s="113">
        <v>33.0</v>
      </c>
      <c r="W2982" s="104" t="str">
        <f t="shared" si="2828"/>
        <v>/</v>
      </c>
      <c r="X2982" s="111" t="s">
        <v>1193</v>
      </c>
      <c r="Y2982" s="106"/>
      <c r="Z2982" s="26" t="str">
        <f t="shared" si="5"/>
        <v/>
      </c>
      <c r="AA2982" s="26" t="str">
        <f t="shared" si="6"/>
        <v/>
      </c>
      <c r="AB2982" s="32" t="str">
        <f t="shared" si="7"/>
        <v/>
      </c>
      <c r="AC2982" s="32" t="str">
        <f t="shared" ref="AC2982:AG2982" si="3044">IF(J2982&lt;&gt;"", IF(AND($P2982=FALSE, $A2982=FALSE), -J2982, IF(AND($P2982=FALSE, $A2982=TRUE), 0, IF($P2982=TRUE, (J2982 / $R2982) * 100 * ($S2982 / 100)-J2982, ))), )</f>
        <v/>
      </c>
      <c r="AD2982" s="32" t="str">
        <f t="shared" si="3044"/>
        <v/>
      </c>
      <c r="AE2982" s="32" t="str">
        <f t="shared" si="3044"/>
        <v/>
      </c>
      <c r="AF2982" s="32" t="str">
        <f t="shared" si="3044"/>
        <v/>
      </c>
      <c r="AG2982" s="32" t="str">
        <f t="shared" si="3044"/>
        <v/>
      </c>
      <c r="AH2982" s="33"/>
    </row>
    <row r="2983" hidden="1" outlineLevel="3">
      <c r="A2983" s="95" t="b">
        <v>0</v>
      </c>
      <c r="B2983" s="96"/>
      <c r="C2983" s="18"/>
      <c r="D2983" s="107"/>
      <c r="E2983" s="108"/>
      <c r="F2983" s="109"/>
      <c r="G2983" s="97"/>
      <c r="H2983" s="97"/>
      <c r="I2983" s="97"/>
      <c r="J2983" s="98"/>
      <c r="K2983" s="99"/>
      <c r="L2983" s="98"/>
      <c r="M2983" s="99"/>
      <c r="N2983" s="99"/>
      <c r="O2983" s="18"/>
      <c r="P2983" s="100" t="b">
        <v>0</v>
      </c>
      <c r="Q2983" s="18"/>
      <c r="R2983" s="101" t="str">
        <f t="shared" si="2792"/>
        <v/>
      </c>
      <c r="S2983" s="32"/>
      <c r="T2983" s="102" t="str">
        <f t="shared" si="2793"/>
        <v/>
      </c>
      <c r="U2983" s="18"/>
      <c r="V2983" s="75" t="s">
        <v>29</v>
      </c>
      <c r="W2983" s="104" t="str">
        <f t="shared" si="2828"/>
        <v>/</v>
      </c>
      <c r="X2983" s="111" t="s">
        <v>1797</v>
      </c>
      <c r="Y2983" s="106"/>
      <c r="Z2983" s="26" t="str">
        <f t="shared" si="5"/>
        <v/>
      </c>
      <c r="AA2983" s="26" t="str">
        <f t="shared" si="6"/>
        <v/>
      </c>
      <c r="AB2983" s="32" t="str">
        <f t="shared" si="7"/>
        <v/>
      </c>
      <c r="AC2983" s="32" t="str">
        <f t="shared" ref="AC2983:AG2983" si="3045">IF(J2983&lt;&gt;"", IF(AND($P2983=FALSE, $A2983=FALSE), -J2983, IF(AND($P2983=FALSE, $A2983=TRUE), 0, IF($P2983=TRUE, (J2983 / $R2983) * 100 * ($S2983 / 100)-J2983, ))), )</f>
        <v/>
      </c>
      <c r="AD2983" s="32" t="str">
        <f t="shared" si="3045"/>
        <v/>
      </c>
      <c r="AE2983" s="32" t="str">
        <f t="shared" si="3045"/>
        <v/>
      </c>
      <c r="AF2983" s="32" t="str">
        <f t="shared" si="3045"/>
        <v/>
      </c>
      <c r="AG2983" s="32" t="str">
        <f t="shared" si="3045"/>
        <v/>
      </c>
      <c r="AH2983" s="33"/>
    </row>
    <row r="2984" hidden="1" outlineLevel="1" collapsed="1">
      <c r="A2984" s="95" t="b">
        <v>0</v>
      </c>
      <c r="B2984" s="96"/>
      <c r="C2984" s="18"/>
      <c r="D2984" s="42">
        <v>45607.0</v>
      </c>
      <c r="E2984" s="20" t="s">
        <v>24</v>
      </c>
      <c r="F2984" s="53" t="s">
        <v>1790</v>
      </c>
      <c r="G2984" s="97">
        <v>3.0</v>
      </c>
      <c r="H2984" s="97"/>
      <c r="I2984" s="97">
        <v>7.0</v>
      </c>
      <c r="J2984" s="98"/>
      <c r="K2984" s="99"/>
      <c r="L2984" s="98"/>
      <c r="M2984" s="99"/>
      <c r="N2984" s="99"/>
      <c r="O2984" s="18"/>
      <c r="P2984" s="100" t="b">
        <v>0</v>
      </c>
      <c r="Q2984" s="18"/>
      <c r="R2984" s="101">
        <f t="shared" si="2792"/>
        <v>10</v>
      </c>
      <c r="S2984" s="32">
        <v>26.34</v>
      </c>
      <c r="T2984" s="102" t="str">
        <f t="shared" si="2793"/>
        <v>+163</v>
      </c>
      <c r="U2984" s="18"/>
      <c r="V2984" s="103" t="str">
        <f t="shared" ref="V2984:V2985" si="3047">IF(ISBLANK($D2984), "0",)</f>
        <v/>
      </c>
      <c r="W2984" s="104" t="str">
        <f t="shared" si="2828"/>
        <v/>
      </c>
      <c r="X2984" s="105"/>
      <c r="Y2984" s="106"/>
      <c r="Z2984" s="26">
        <f t="shared" si="5"/>
        <v>-3</v>
      </c>
      <c r="AA2984" s="26">
        <f t="shared" si="6"/>
        <v>-7</v>
      </c>
      <c r="AB2984" s="32" t="str">
        <f t="shared" si="7"/>
        <v/>
      </c>
      <c r="AC2984" s="32" t="str">
        <f t="shared" ref="AC2984:AG2984" si="3046">IF(J2984&lt;&gt;"", IF(AND($P2984=FALSE, $A2984=FALSE), -J2984, IF(AND($P2984=FALSE, $A2984=TRUE), 0, IF($P2984=TRUE, (J2984 / $R2984) * 100 * ($S2984 / 100)-J2984, ))), )</f>
        <v/>
      </c>
      <c r="AD2984" s="32" t="str">
        <f t="shared" si="3046"/>
        <v/>
      </c>
      <c r="AE2984" s="32" t="str">
        <f t="shared" si="3046"/>
        <v/>
      </c>
      <c r="AF2984" s="32" t="str">
        <f t="shared" si="3046"/>
        <v/>
      </c>
      <c r="AG2984" s="32" t="str">
        <f t="shared" si="3046"/>
        <v/>
      </c>
      <c r="AH2984" s="33"/>
    </row>
    <row r="2985" hidden="1" outlineLevel="3">
      <c r="A2985" s="95" t="b">
        <v>0</v>
      </c>
      <c r="B2985" s="96"/>
      <c r="C2985" s="18"/>
      <c r="D2985" s="107"/>
      <c r="E2985" s="108"/>
      <c r="F2985" s="109"/>
      <c r="G2985" s="97"/>
      <c r="H2985" s="97"/>
      <c r="I2985" s="97"/>
      <c r="J2985" s="98"/>
      <c r="K2985" s="99"/>
      <c r="L2985" s="98"/>
      <c r="M2985" s="99"/>
      <c r="N2985" s="99"/>
      <c r="O2985" s="18"/>
      <c r="P2985" s="100" t="b">
        <v>0</v>
      </c>
      <c r="Q2985" s="18"/>
      <c r="R2985" s="101" t="str">
        <f t="shared" si="2792"/>
        <v/>
      </c>
      <c r="S2985" s="32"/>
      <c r="T2985" s="102" t="str">
        <f t="shared" si="2793"/>
        <v/>
      </c>
      <c r="U2985" s="18"/>
      <c r="V2985" s="103" t="str">
        <f t="shared" si="3047"/>
        <v>0</v>
      </c>
      <c r="W2985" s="104" t="str">
        <f t="shared" si="2828"/>
        <v>/</v>
      </c>
      <c r="X2985" s="111" t="s">
        <v>1093</v>
      </c>
      <c r="Y2985" s="106"/>
      <c r="Z2985" s="26" t="str">
        <f t="shared" si="5"/>
        <v/>
      </c>
      <c r="AA2985" s="26" t="str">
        <f t="shared" si="6"/>
        <v/>
      </c>
      <c r="AB2985" s="32" t="str">
        <f t="shared" si="7"/>
        <v/>
      </c>
      <c r="AC2985" s="32" t="str">
        <f t="shared" ref="AC2985:AG2985" si="3048">IF(J2985&lt;&gt;"", IF(AND($P2985=FALSE, $A2985=FALSE), -J2985, IF(AND($P2985=FALSE, $A2985=TRUE), 0, IF($P2985=TRUE, (J2985 / $R2985) * 100 * ($S2985 / 100)-J2985, ))), )</f>
        <v/>
      </c>
      <c r="AD2985" s="32" t="str">
        <f t="shared" si="3048"/>
        <v/>
      </c>
      <c r="AE2985" s="32" t="str">
        <f t="shared" si="3048"/>
        <v/>
      </c>
      <c r="AF2985" s="32" t="str">
        <f t="shared" si="3048"/>
        <v/>
      </c>
      <c r="AG2985" s="32" t="str">
        <f t="shared" si="3048"/>
        <v/>
      </c>
      <c r="AH2985" s="33"/>
    </row>
    <row r="2986" hidden="1" outlineLevel="3">
      <c r="A2986" s="95" t="b">
        <v>0</v>
      </c>
      <c r="B2986" s="96"/>
      <c r="C2986" s="18"/>
      <c r="D2986" s="107"/>
      <c r="E2986" s="108"/>
      <c r="F2986" s="109"/>
      <c r="G2986" s="97"/>
      <c r="H2986" s="97"/>
      <c r="I2986" s="97"/>
      <c r="J2986" s="98"/>
      <c r="K2986" s="99"/>
      <c r="L2986" s="98"/>
      <c r="M2986" s="99"/>
      <c r="N2986" s="99"/>
      <c r="O2986" s="18"/>
      <c r="P2986" s="100" t="b">
        <v>0</v>
      </c>
      <c r="Q2986" s="18"/>
      <c r="R2986" s="101" t="str">
        <f t="shared" si="2792"/>
        <v/>
      </c>
      <c r="S2986" s="32"/>
      <c r="T2986" s="102" t="str">
        <f t="shared" si="2793"/>
        <v/>
      </c>
      <c r="U2986" s="18"/>
      <c r="V2986" s="75" t="s">
        <v>29</v>
      </c>
      <c r="W2986" s="104" t="str">
        <f t="shared" si="2828"/>
        <v>/</v>
      </c>
      <c r="X2986" s="111" t="s">
        <v>765</v>
      </c>
      <c r="Y2986" s="106"/>
      <c r="Z2986" s="26" t="str">
        <f t="shared" si="5"/>
        <v/>
      </c>
      <c r="AA2986" s="26" t="str">
        <f t="shared" si="6"/>
        <v/>
      </c>
      <c r="AB2986" s="32" t="str">
        <f t="shared" si="7"/>
        <v/>
      </c>
      <c r="AC2986" s="32" t="str">
        <f t="shared" ref="AC2986:AG2986" si="3049">IF(J2986&lt;&gt;"", IF(AND($P2986=FALSE, $A2986=FALSE), -J2986, IF(AND($P2986=FALSE, $A2986=TRUE), 0, IF($P2986=TRUE, (J2986 / $R2986) * 100 * ($S2986 / 100)-J2986, ))), )</f>
        <v/>
      </c>
      <c r="AD2986" s="32" t="str">
        <f t="shared" si="3049"/>
        <v/>
      </c>
      <c r="AE2986" s="32" t="str">
        <f t="shared" si="3049"/>
        <v/>
      </c>
      <c r="AF2986" s="32" t="str">
        <f t="shared" si="3049"/>
        <v/>
      </c>
      <c r="AG2986" s="32" t="str">
        <f t="shared" si="3049"/>
        <v/>
      </c>
      <c r="AH2986" s="33"/>
    </row>
    <row r="2987" hidden="1" outlineLevel="3">
      <c r="A2987" s="95" t="b">
        <v>0</v>
      </c>
      <c r="B2987" s="96"/>
      <c r="C2987" s="18"/>
      <c r="D2987" s="107"/>
      <c r="E2987" s="108"/>
      <c r="F2987" s="109"/>
      <c r="G2987" s="97"/>
      <c r="H2987" s="97"/>
      <c r="I2987" s="97"/>
      <c r="J2987" s="98"/>
      <c r="K2987" s="99"/>
      <c r="L2987" s="98"/>
      <c r="M2987" s="99"/>
      <c r="N2987" s="99"/>
      <c r="O2987" s="18"/>
      <c r="P2987" s="100" t="b">
        <v>0</v>
      </c>
      <c r="Q2987" s="18"/>
      <c r="R2987" s="101" t="str">
        <f t="shared" si="2792"/>
        <v/>
      </c>
      <c r="S2987" s="32"/>
      <c r="T2987" s="102" t="str">
        <f t="shared" si="2793"/>
        <v/>
      </c>
      <c r="U2987" s="18"/>
      <c r="V2987" s="113">
        <v>38.0</v>
      </c>
      <c r="W2987" s="104" t="str">
        <f t="shared" si="2828"/>
        <v>/</v>
      </c>
      <c r="X2987" s="111" t="s">
        <v>1798</v>
      </c>
      <c r="Y2987" s="106"/>
      <c r="Z2987" s="26" t="str">
        <f t="shared" si="5"/>
        <v/>
      </c>
      <c r="AA2987" s="26" t="str">
        <f t="shared" si="6"/>
        <v/>
      </c>
      <c r="AB2987" s="32" t="str">
        <f t="shared" si="7"/>
        <v/>
      </c>
      <c r="AC2987" s="32" t="str">
        <f t="shared" ref="AC2987:AG2987" si="3050">IF(J2987&lt;&gt;"", IF(AND($P2987=FALSE, $A2987=FALSE), -J2987, IF(AND($P2987=FALSE, $A2987=TRUE), 0, IF($P2987=TRUE, (J2987 / $R2987) * 100 * ($S2987 / 100)-J2987, ))), )</f>
        <v/>
      </c>
      <c r="AD2987" s="32" t="str">
        <f t="shared" si="3050"/>
        <v/>
      </c>
      <c r="AE2987" s="32" t="str">
        <f t="shared" si="3050"/>
        <v/>
      </c>
      <c r="AF2987" s="32" t="str">
        <f t="shared" si="3050"/>
        <v/>
      </c>
      <c r="AG2987" s="32" t="str">
        <f t="shared" si="3050"/>
        <v/>
      </c>
      <c r="AH2987" s="33"/>
    </row>
    <row r="2988" hidden="1" outlineLevel="2" collapsed="1">
      <c r="A2988" s="95" t="b">
        <v>0</v>
      </c>
      <c r="B2988" s="96"/>
      <c r="C2988" s="18"/>
      <c r="D2988" s="42">
        <v>45607.0</v>
      </c>
      <c r="E2988" s="20" t="s">
        <v>24</v>
      </c>
      <c r="F2988" s="53" t="s">
        <v>1790</v>
      </c>
      <c r="G2988" s="97">
        <v>2.0</v>
      </c>
      <c r="H2988" s="97"/>
      <c r="I2988" s="97">
        <v>6.0</v>
      </c>
      <c r="J2988" s="98"/>
      <c r="K2988" s="99"/>
      <c r="L2988" s="98"/>
      <c r="M2988" s="99"/>
      <c r="N2988" s="99"/>
      <c r="O2988" s="18"/>
      <c r="P2988" s="100" t="b">
        <v>1</v>
      </c>
      <c r="Q2988" s="18"/>
      <c r="R2988" s="101">
        <f t="shared" si="2792"/>
        <v>8</v>
      </c>
      <c r="S2988" s="32">
        <v>18.78</v>
      </c>
      <c r="T2988" s="102" t="str">
        <f t="shared" si="2793"/>
        <v>+135</v>
      </c>
      <c r="U2988" s="18"/>
      <c r="V2988" s="103" t="str">
        <f>IF(ISBLANK($D2988), "0",)</f>
        <v/>
      </c>
      <c r="W2988" s="104" t="str">
        <f t="shared" si="2828"/>
        <v/>
      </c>
      <c r="X2988" s="105"/>
      <c r="Y2988" s="106"/>
      <c r="Z2988" s="26">
        <f t="shared" si="5"/>
        <v>2.695</v>
      </c>
      <c r="AA2988" s="26">
        <f t="shared" si="6"/>
        <v>8.085</v>
      </c>
      <c r="AB2988" s="32" t="str">
        <f t="shared" si="7"/>
        <v/>
      </c>
      <c r="AC2988" s="32" t="str">
        <f t="shared" ref="AC2988:AG2988" si="3051">IF(J2988&lt;&gt;"", IF(AND($P2988=FALSE, $A2988=FALSE), -J2988, IF(AND($P2988=FALSE, $A2988=TRUE), 0, IF($P2988=TRUE, (J2988 / $R2988) * 100 * ($S2988 / 100)-J2988, ))), )</f>
        <v/>
      </c>
      <c r="AD2988" s="32" t="str">
        <f t="shared" si="3051"/>
        <v/>
      </c>
      <c r="AE2988" s="32" t="str">
        <f t="shared" si="3051"/>
        <v/>
      </c>
      <c r="AF2988" s="32" t="str">
        <f t="shared" si="3051"/>
        <v/>
      </c>
      <c r="AG2988" s="32" t="str">
        <f t="shared" si="3051"/>
        <v/>
      </c>
      <c r="AH2988" s="33"/>
    </row>
    <row r="2989" hidden="1" outlineLevel="3">
      <c r="A2989" s="95" t="b">
        <v>0</v>
      </c>
      <c r="B2989" s="96"/>
      <c r="C2989" s="18"/>
      <c r="D2989" s="107"/>
      <c r="E2989" s="108"/>
      <c r="F2989" s="109"/>
      <c r="G2989" s="97"/>
      <c r="H2989" s="97"/>
      <c r="I2989" s="97"/>
      <c r="J2989" s="98"/>
      <c r="K2989" s="99"/>
      <c r="L2989" s="98"/>
      <c r="M2989" s="99"/>
      <c r="N2989" s="99"/>
      <c r="O2989" s="18"/>
      <c r="P2989" s="100" t="b">
        <v>0</v>
      </c>
      <c r="Q2989" s="18"/>
      <c r="R2989" s="101" t="str">
        <f t="shared" si="2792"/>
        <v/>
      </c>
      <c r="S2989" s="32"/>
      <c r="T2989" s="102" t="str">
        <f t="shared" si="2793"/>
        <v/>
      </c>
      <c r="U2989" s="18"/>
      <c r="V2989" s="75" t="s">
        <v>29</v>
      </c>
      <c r="W2989" s="104" t="str">
        <f t="shared" si="2828"/>
        <v>/</v>
      </c>
      <c r="X2989" s="111" t="s">
        <v>1521</v>
      </c>
      <c r="Y2989" s="106"/>
      <c r="Z2989" s="26" t="str">
        <f t="shared" si="5"/>
        <v/>
      </c>
      <c r="AA2989" s="26" t="str">
        <f t="shared" si="6"/>
        <v/>
      </c>
      <c r="AB2989" s="32" t="str">
        <f t="shared" si="7"/>
        <v/>
      </c>
      <c r="AC2989" s="32" t="str">
        <f t="shared" ref="AC2989:AG2989" si="3052">IF(J2989&lt;&gt;"", IF(AND($P2989=FALSE, $A2989=FALSE), -J2989, IF(AND($P2989=FALSE, $A2989=TRUE), 0, IF($P2989=TRUE, (J2989 / $R2989) * 100 * ($S2989 / 100)-J2989, ))), )</f>
        <v/>
      </c>
      <c r="AD2989" s="32" t="str">
        <f t="shared" si="3052"/>
        <v/>
      </c>
      <c r="AE2989" s="32" t="str">
        <f t="shared" si="3052"/>
        <v/>
      </c>
      <c r="AF2989" s="32" t="str">
        <f t="shared" si="3052"/>
        <v/>
      </c>
      <c r="AG2989" s="32" t="str">
        <f t="shared" si="3052"/>
        <v/>
      </c>
      <c r="AH2989" s="33"/>
    </row>
    <row r="2990" hidden="1" outlineLevel="3">
      <c r="A2990" s="95" t="b">
        <v>0</v>
      </c>
      <c r="B2990" s="96"/>
      <c r="C2990" s="18"/>
      <c r="D2990" s="107"/>
      <c r="E2990" s="108"/>
      <c r="F2990" s="109"/>
      <c r="G2990" s="97"/>
      <c r="H2990" s="97"/>
      <c r="I2990" s="97"/>
      <c r="J2990" s="98"/>
      <c r="K2990" s="99"/>
      <c r="L2990" s="98"/>
      <c r="M2990" s="99"/>
      <c r="N2990" s="99"/>
      <c r="O2990" s="18"/>
      <c r="P2990" s="100" t="b">
        <v>0</v>
      </c>
      <c r="Q2990" s="18"/>
      <c r="R2990" s="101" t="str">
        <f t="shared" si="2792"/>
        <v/>
      </c>
      <c r="S2990" s="32"/>
      <c r="T2990" s="102" t="str">
        <f t="shared" si="2793"/>
        <v/>
      </c>
      <c r="U2990" s="18"/>
      <c r="V2990" s="75" t="s">
        <v>29</v>
      </c>
      <c r="W2990" s="104" t="str">
        <f t="shared" si="2828"/>
        <v>/</v>
      </c>
      <c r="X2990" s="111" t="s">
        <v>1799</v>
      </c>
      <c r="Y2990" s="106"/>
      <c r="Z2990" s="26" t="str">
        <f t="shared" si="5"/>
        <v/>
      </c>
      <c r="AA2990" s="26" t="str">
        <f t="shared" si="6"/>
        <v/>
      </c>
      <c r="AB2990" s="32" t="str">
        <f t="shared" si="7"/>
        <v/>
      </c>
      <c r="AC2990" s="32" t="str">
        <f t="shared" ref="AC2990:AG2990" si="3053">IF(J2990&lt;&gt;"", IF(AND($P2990=FALSE, $A2990=FALSE), -J2990, IF(AND($P2990=FALSE, $A2990=TRUE), 0, IF($P2990=TRUE, (J2990 / $R2990) * 100 * ($S2990 / 100)-J2990, ))), )</f>
        <v/>
      </c>
      <c r="AD2990" s="32" t="str">
        <f t="shared" si="3053"/>
        <v/>
      </c>
      <c r="AE2990" s="32" t="str">
        <f t="shared" si="3053"/>
        <v/>
      </c>
      <c r="AF2990" s="32" t="str">
        <f t="shared" si="3053"/>
        <v/>
      </c>
      <c r="AG2990" s="32" t="str">
        <f t="shared" si="3053"/>
        <v/>
      </c>
      <c r="AH2990" s="33"/>
    </row>
    <row r="2991" hidden="1" outlineLevel="3">
      <c r="A2991" s="95" t="b">
        <v>0</v>
      </c>
      <c r="B2991" s="96"/>
      <c r="C2991" s="18"/>
      <c r="D2991" s="107"/>
      <c r="E2991" s="108"/>
      <c r="F2991" s="109"/>
      <c r="G2991" s="97"/>
      <c r="H2991" s="97"/>
      <c r="I2991" s="97"/>
      <c r="J2991" s="98"/>
      <c r="K2991" s="99"/>
      <c r="L2991" s="98"/>
      <c r="M2991" s="99"/>
      <c r="N2991" s="99"/>
      <c r="O2991" s="18"/>
      <c r="P2991" s="100" t="b">
        <v>0</v>
      </c>
      <c r="Q2991" s="18"/>
      <c r="R2991" s="101" t="str">
        <f t="shared" si="2792"/>
        <v/>
      </c>
      <c r="S2991" s="32"/>
      <c r="T2991" s="102" t="str">
        <f t="shared" si="2793"/>
        <v/>
      </c>
      <c r="U2991" s="18"/>
      <c r="V2991" s="75" t="s">
        <v>29</v>
      </c>
      <c r="W2991" s="104" t="str">
        <f t="shared" si="2828"/>
        <v>/</v>
      </c>
      <c r="X2991" s="111" t="s">
        <v>1520</v>
      </c>
      <c r="Y2991" s="106"/>
      <c r="Z2991" s="26" t="str">
        <f t="shared" si="5"/>
        <v/>
      </c>
      <c r="AA2991" s="26" t="str">
        <f t="shared" si="6"/>
        <v/>
      </c>
      <c r="AB2991" s="32" t="str">
        <f t="shared" si="7"/>
        <v/>
      </c>
      <c r="AC2991" s="32" t="str">
        <f t="shared" ref="AC2991:AG2991" si="3054">IF(J2991&lt;&gt;"", IF(AND($P2991=FALSE, $A2991=FALSE), -J2991, IF(AND($P2991=FALSE, $A2991=TRUE), 0, IF($P2991=TRUE, (J2991 / $R2991) * 100 * ($S2991 / 100)-J2991, ))), )</f>
        <v/>
      </c>
      <c r="AD2991" s="32" t="str">
        <f t="shared" si="3054"/>
        <v/>
      </c>
      <c r="AE2991" s="32" t="str">
        <f t="shared" si="3054"/>
        <v/>
      </c>
      <c r="AF2991" s="32" t="str">
        <f t="shared" si="3054"/>
        <v/>
      </c>
      <c r="AG2991" s="32" t="str">
        <f t="shared" si="3054"/>
        <v/>
      </c>
      <c r="AH2991" s="33"/>
    </row>
    <row r="2992" hidden="1" outlineLevel="2" collapsed="1">
      <c r="A2992" s="95" t="b">
        <v>0</v>
      </c>
      <c r="B2992" s="96"/>
      <c r="C2992" s="18"/>
      <c r="D2992" s="42">
        <v>45607.0</v>
      </c>
      <c r="E2992" s="20" t="s">
        <v>24</v>
      </c>
      <c r="F2992" s="53" t="s">
        <v>1790</v>
      </c>
      <c r="G2992" s="97">
        <v>0.5</v>
      </c>
      <c r="H2992" s="97"/>
      <c r="I2992" s="97">
        <v>2.0</v>
      </c>
      <c r="J2992" s="98"/>
      <c r="K2992" s="99"/>
      <c r="L2992" s="98"/>
      <c r="M2992" s="99"/>
      <c r="N2992" s="99"/>
      <c r="O2992" s="18"/>
      <c r="P2992" s="100" t="b">
        <v>0</v>
      </c>
      <c r="Q2992" s="18"/>
      <c r="R2992" s="101">
        <f t="shared" si="2792"/>
        <v>2.5</v>
      </c>
      <c r="S2992" s="32">
        <v>115.81</v>
      </c>
      <c r="T2992" s="102" t="str">
        <f t="shared" si="2793"/>
        <v>+4532</v>
      </c>
      <c r="U2992" s="18"/>
      <c r="V2992" s="103" t="str">
        <f t="shared" ref="V2992:V2993" si="3056">IF(ISBLANK($D2992), "0",)</f>
        <v/>
      </c>
      <c r="W2992" s="104" t="str">
        <f t="shared" si="2828"/>
        <v/>
      </c>
      <c r="X2992" s="105"/>
      <c r="Y2992" s="106"/>
      <c r="Z2992" s="26">
        <f t="shared" si="5"/>
        <v>-0.5</v>
      </c>
      <c r="AA2992" s="26">
        <f t="shared" si="6"/>
        <v>-2</v>
      </c>
      <c r="AB2992" s="32" t="str">
        <f t="shared" si="7"/>
        <v/>
      </c>
      <c r="AC2992" s="32" t="str">
        <f t="shared" ref="AC2992:AG2992" si="3055">IF(J2992&lt;&gt;"", IF(AND($P2992=FALSE, $A2992=FALSE), -J2992, IF(AND($P2992=FALSE, $A2992=TRUE), 0, IF($P2992=TRUE, (J2992 / $R2992) * 100 * ($S2992 / 100)-J2992, ))), )</f>
        <v/>
      </c>
      <c r="AD2992" s="32" t="str">
        <f t="shared" si="3055"/>
        <v/>
      </c>
      <c r="AE2992" s="32" t="str">
        <f t="shared" si="3055"/>
        <v/>
      </c>
      <c r="AF2992" s="32" t="str">
        <f t="shared" si="3055"/>
        <v/>
      </c>
      <c r="AG2992" s="32" t="str">
        <f t="shared" si="3055"/>
        <v/>
      </c>
      <c r="AH2992" s="33"/>
    </row>
    <row r="2993" hidden="1" outlineLevel="3">
      <c r="A2993" s="95" t="b">
        <v>0</v>
      </c>
      <c r="B2993" s="96"/>
      <c r="C2993" s="18"/>
      <c r="D2993" s="107"/>
      <c r="E2993" s="108"/>
      <c r="F2993" s="109"/>
      <c r="G2993" s="97"/>
      <c r="H2993" s="97"/>
      <c r="I2993" s="97"/>
      <c r="J2993" s="98"/>
      <c r="K2993" s="99"/>
      <c r="L2993" s="98"/>
      <c r="M2993" s="99"/>
      <c r="N2993" s="99"/>
      <c r="O2993" s="18"/>
      <c r="P2993" s="100" t="b">
        <v>0</v>
      </c>
      <c r="Q2993" s="18"/>
      <c r="R2993" s="101" t="str">
        <f t="shared" si="2792"/>
        <v/>
      </c>
      <c r="S2993" s="32"/>
      <c r="T2993" s="102" t="str">
        <f t="shared" si="2793"/>
        <v/>
      </c>
      <c r="U2993" s="18"/>
      <c r="V2993" s="103" t="str">
        <f t="shared" si="3056"/>
        <v>0</v>
      </c>
      <c r="W2993" s="104" t="str">
        <f t="shared" si="2828"/>
        <v>/</v>
      </c>
      <c r="X2993" s="111" t="s">
        <v>1800</v>
      </c>
      <c r="Y2993" s="106"/>
      <c r="Z2993" s="26" t="str">
        <f t="shared" si="5"/>
        <v/>
      </c>
      <c r="AA2993" s="26" t="str">
        <f t="shared" si="6"/>
        <v/>
      </c>
      <c r="AB2993" s="32" t="str">
        <f t="shared" si="7"/>
        <v/>
      </c>
      <c r="AC2993" s="32" t="str">
        <f t="shared" ref="AC2993:AG2993" si="3057">IF(J2993&lt;&gt;"", IF(AND($P2993=FALSE, $A2993=FALSE), -J2993, IF(AND($P2993=FALSE, $A2993=TRUE), 0, IF($P2993=TRUE, (J2993 / $R2993) * 100 * ($S2993 / 100)-J2993, ))), )</f>
        <v/>
      </c>
      <c r="AD2993" s="32" t="str">
        <f t="shared" si="3057"/>
        <v/>
      </c>
      <c r="AE2993" s="32" t="str">
        <f t="shared" si="3057"/>
        <v/>
      </c>
      <c r="AF2993" s="32" t="str">
        <f t="shared" si="3057"/>
        <v/>
      </c>
      <c r="AG2993" s="32" t="str">
        <f t="shared" si="3057"/>
        <v/>
      </c>
      <c r="AH2993" s="33"/>
    </row>
    <row r="2994" hidden="1" outlineLevel="3">
      <c r="A2994" s="95" t="b">
        <v>0</v>
      </c>
      <c r="B2994" s="96"/>
      <c r="C2994" s="18"/>
      <c r="D2994" s="107"/>
      <c r="E2994" s="108"/>
      <c r="F2994" s="109"/>
      <c r="G2994" s="97"/>
      <c r="H2994" s="97"/>
      <c r="I2994" s="97"/>
      <c r="J2994" s="98"/>
      <c r="K2994" s="99"/>
      <c r="L2994" s="98"/>
      <c r="M2994" s="99"/>
      <c r="N2994" s="99"/>
      <c r="O2994" s="18"/>
      <c r="P2994" s="100" t="b">
        <v>0</v>
      </c>
      <c r="Q2994" s="18"/>
      <c r="R2994" s="101" t="str">
        <f t="shared" si="2792"/>
        <v/>
      </c>
      <c r="S2994" s="32"/>
      <c r="T2994" s="102" t="str">
        <f t="shared" si="2793"/>
        <v/>
      </c>
      <c r="U2994" s="18"/>
      <c r="V2994" s="75" t="s">
        <v>29</v>
      </c>
      <c r="W2994" s="104" t="str">
        <f t="shared" si="2828"/>
        <v>/</v>
      </c>
      <c r="X2994" s="111" t="s">
        <v>890</v>
      </c>
      <c r="Y2994" s="106"/>
      <c r="Z2994" s="26" t="str">
        <f t="shared" si="5"/>
        <v/>
      </c>
      <c r="AA2994" s="26" t="str">
        <f t="shared" si="6"/>
        <v/>
      </c>
      <c r="AB2994" s="32" t="str">
        <f t="shared" si="7"/>
        <v/>
      </c>
      <c r="AC2994" s="32" t="str">
        <f t="shared" ref="AC2994:AG2994" si="3058">IF(J2994&lt;&gt;"", IF(AND($P2994=FALSE, $A2994=FALSE), -J2994, IF(AND($P2994=FALSE, $A2994=TRUE), 0, IF($P2994=TRUE, (J2994 / $R2994) * 100 * ($S2994 / 100)-J2994, ))), )</f>
        <v/>
      </c>
      <c r="AD2994" s="32" t="str">
        <f t="shared" si="3058"/>
        <v/>
      </c>
      <c r="AE2994" s="32" t="str">
        <f t="shared" si="3058"/>
        <v/>
      </c>
      <c r="AF2994" s="32" t="str">
        <f t="shared" si="3058"/>
        <v/>
      </c>
      <c r="AG2994" s="32" t="str">
        <f t="shared" si="3058"/>
        <v/>
      </c>
      <c r="AH2994" s="33"/>
    </row>
    <row r="2995" hidden="1" outlineLevel="3">
      <c r="A2995" s="95" t="b">
        <v>0</v>
      </c>
      <c r="B2995" s="96"/>
      <c r="C2995" s="18"/>
      <c r="D2995" s="107"/>
      <c r="E2995" s="108"/>
      <c r="F2995" s="109"/>
      <c r="G2995" s="97"/>
      <c r="H2995" s="97"/>
      <c r="I2995" s="97"/>
      <c r="J2995" s="98"/>
      <c r="K2995" s="99"/>
      <c r="L2995" s="98"/>
      <c r="M2995" s="99"/>
      <c r="N2995" s="99"/>
      <c r="O2995" s="18"/>
      <c r="P2995" s="100" t="b">
        <v>0</v>
      </c>
      <c r="Q2995" s="18"/>
      <c r="R2995" s="101" t="str">
        <f t="shared" si="2792"/>
        <v/>
      </c>
      <c r="S2995" s="32"/>
      <c r="T2995" s="102" t="str">
        <f t="shared" si="2793"/>
        <v/>
      </c>
      <c r="U2995" s="18"/>
      <c r="V2995" s="113">
        <v>204.0</v>
      </c>
      <c r="W2995" s="104" t="str">
        <f t="shared" si="2828"/>
        <v>/</v>
      </c>
      <c r="X2995" s="111" t="s">
        <v>393</v>
      </c>
      <c r="Y2995" s="106"/>
      <c r="Z2995" s="26" t="str">
        <f t="shared" si="5"/>
        <v/>
      </c>
      <c r="AA2995" s="26" t="str">
        <f t="shared" si="6"/>
        <v/>
      </c>
      <c r="AB2995" s="32" t="str">
        <f t="shared" si="7"/>
        <v/>
      </c>
      <c r="AC2995" s="32" t="str">
        <f t="shared" ref="AC2995:AG2995" si="3059">IF(J2995&lt;&gt;"", IF(AND($P2995=FALSE, $A2995=FALSE), -J2995, IF(AND($P2995=FALSE, $A2995=TRUE), 0, IF($P2995=TRUE, (J2995 / $R2995) * 100 * ($S2995 / 100)-J2995, ))), )</f>
        <v/>
      </c>
      <c r="AD2995" s="32" t="str">
        <f t="shared" si="3059"/>
        <v/>
      </c>
      <c r="AE2995" s="32" t="str">
        <f t="shared" si="3059"/>
        <v/>
      </c>
      <c r="AF2995" s="32" t="str">
        <f t="shared" si="3059"/>
        <v/>
      </c>
      <c r="AG2995" s="32" t="str">
        <f t="shared" si="3059"/>
        <v/>
      </c>
      <c r="AH2995" s="33"/>
    </row>
    <row r="2996" hidden="1" outlineLevel="3">
      <c r="A2996" s="95" t="b">
        <v>0</v>
      </c>
      <c r="B2996" s="96"/>
      <c r="C2996" s="18"/>
      <c r="D2996" s="107"/>
      <c r="E2996" s="108"/>
      <c r="F2996" s="109"/>
      <c r="G2996" s="97"/>
      <c r="H2996" s="97"/>
      <c r="I2996" s="97"/>
      <c r="J2996" s="98"/>
      <c r="K2996" s="99"/>
      <c r="L2996" s="98"/>
      <c r="M2996" s="99"/>
      <c r="N2996" s="99"/>
      <c r="O2996" s="18"/>
      <c r="P2996" s="100" t="b">
        <v>0</v>
      </c>
      <c r="Q2996" s="18"/>
      <c r="R2996" s="101" t="str">
        <f t="shared" si="2792"/>
        <v/>
      </c>
      <c r="S2996" s="32"/>
      <c r="T2996" s="102" t="str">
        <f t="shared" si="2793"/>
        <v/>
      </c>
      <c r="U2996" s="18"/>
      <c r="V2996" s="103" t="str">
        <f>IF(ISBLANK($D2996), "0",)</f>
        <v>0</v>
      </c>
      <c r="W2996" s="104" t="str">
        <f t="shared" si="2828"/>
        <v>/</v>
      </c>
      <c r="X2996" s="111" t="s">
        <v>1092</v>
      </c>
      <c r="Y2996" s="106"/>
      <c r="Z2996" s="26" t="str">
        <f t="shared" si="5"/>
        <v/>
      </c>
      <c r="AA2996" s="26" t="str">
        <f t="shared" si="6"/>
        <v/>
      </c>
      <c r="AB2996" s="32" t="str">
        <f t="shared" si="7"/>
        <v/>
      </c>
      <c r="AC2996" s="32" t="str">
        <f t="shared" ref="AC2996:AG2996" si="3060">IF(J2996&lt;&gt;"", IF(AND($P2996=FALSE, $A2996=FALSE), -J2996, IF(AND($P2996=FALSE, $A2996=TRUE), 0, IF($P2996=TRUE, (J2996 / $R2996) * 100 * ($S2996 / 100)-J2996, ))), )</f>
        <v/>
      </c>
      <c r="AD2996" s="32" t="str">
        <f t="shared" si="3060"/>
        <v/>
      </c>
      <c r="AE2996" s="32" t="str">
        <f t="shared" si="3060"/>
        <v/>
      </c>
      <c r="AF2996" s="32" t="str">
        <f t="shared" si="3060"/>
        <v/>
      </c>
      <c r="AG2996" s="32" t="str">
        <f t="shared" si="3060"/>
        <v/>
      </c>
      <c r="AH2996" s="33"/>
    </row>
    <row r="2997" hidden="1" outlineLevel="3">
      <c r="A2997" s="95" t="b">
        <v>0</v>
      </c>
      <c r="B2997" s="96"/>
      <c r="C2997" s="18"/>
      <c r="D2997" s="107"/>
      <c r="E2997" s="108"/>
      <c r="F2997" s="109"/>
      <c r="G2997" s="97"/>
      <c r="H2997" s="97"/>
      <c r="I2997" s="97"/>
      <c r="J2997" s="98"/>
      <c r="K2997" s="99"/>
      <c r="L2997" s="98"/>
      <c r="M2997" s="99"/>
      <c r="N2997" s="99"/>
      <c r="O2997" s="18"/>
      <c r="P2997" s="100" t="b">
        <v>0</v>
      </c>
      <c r="Q2997" s="18"/>
      <c r="R2997" s="101" t="str">
        <f t="shared" si="2792"/>
        <v/>
      </c>
      <c r="S2997" s="32"/>
      <c r="T2997" s="102" t="str">
        <f t="shared" si="2793"/>
        <v/>
      </c>
      <c r="U2997" s="18"/>
      <c r="V2997" s="113">
        <v>33.0</v>
      </c>
      <c r="W2997" s="104" t="str">
        <f t="shared" si="2828"/>
        <v>/</v>
      </c>
      <c r="X2997" s="111" t="s">
        <v>1801</v>
      </c>
      <c r="Y2997" s="106"/>
      <c r="Z2997" s="26" t="str">
        <f t="shared" si="5"/>
        <v/>
      </c>
      <c r="AA2997" s="26" t="str">
        <f t="shared" si="6"/>
        <v/>
      </c>
      <c r="AB2997" s="32" t="str">
        <f t="shared" si="7"/>
        <v/>
      </c>
      <c r="AC2997" s="32" t="str">
        <f t="shared" ref="AC2997:AG2997" si="3061">IF(J2997&lt;&gt;"", IF(AND($P2997=FALSE, $A2997=FALSE), -J2997, IF(AND($P2997=FALSE, $A2997=TRUE), 0, IF($P2997=TRUE, (J2997 / $R2997) * 100 * ($S2997 / 100)-J2997, ))), )</f>
        <v/>
      </c>
      <c r="AD2997" s="32" t="str">
        <f t="shared" si="3061"/>
        <v/>
      </c>
      <c r="AE2997" s="32" t="str">
        <f t="shared" si="3061"/>
        <v/>
      </c>
      <c r="AF2997" s="32" t="str">
        <f t="shared" si="3061"/>
        <v/>
      </c>
      <c r="AG2997" s="32" t="str">
        <f t="shared" si="3061"/>
        <v/>
      </c>
      <c r="AH2997" s="33"/>
    </row>
    <row r="2998" hidden="1" outlineLevel="3">
      <c r="A2998" s="95" t="b">
        <v>0</v>
      </c>
      <c r="B2998" s="96"/>
      <c r="C2998" s="18"/>
      <c r="D2998" s="107"/>
      <c r="E2998" s="108"/>
      <c r="F2998" s="109"/>
      <c r="G2998" s="97"/>
      <c r="H2998" s="97"/>
      <c r="I2998" s="97"/>
      <c r="J2998" s="98"/>
      <c r="K2998" s="99"/>
      <c r="L2998" s="98"/>
      <c r="M2998" s="99"/>
      <c r="N2998" s="99"/>
      <c r="O2998" s="18"/>
      <c r="P2998" s="100" t="b">
        <v>0</v>
      </c>
      <c r="Q2998" s="18"/>
      <c r="R2998" s="101" t="str">
        <f t="shared" si="2792"/>
        <v/>
      </c>
      <c r="S2998" s="32"/>
      <c r="T2998" s="102" t="str">
        <f t="shared" si="2793"/>
        <v/>
      </c>
      <c r="U2998" s="18"/>
      <c r="V2998" s="113">
        <v>59.0</v>
      </c>
      <c r="W2998" s="104" t="str">
        <f t="shared" si="2828"/>
        <v>/</v>
      </c>
      <c r="X2998" s="111" t="s">
        <v>1802</v>
      </c>
      <c r="Y2998" s="106"/>
      <c r="Z2998" s="26" t="str">
        <f t="shared" si="5"/>
        <v/>
      </c>
      <c r="AA2998" s="26" t="str">
        <f t="shared" si="6"/>
        <v/>
      </c>
      <c r="AB2998" s="32" t="str">
        <f t="shared" si="7"/>
        <v/>
      </c>
      <c r="AC2998" s="32" t="str">
        <f t="shared" ref="AC2998:AG2998" si="3062">IF(J2998&lt;&gt;"", IF(AND($P2998=FALSE, $A2998=FALSE), -J2998, IF(AND($P2998=FALSE, $A2998=TRUE), 0, IF($P2998=TRUE, (J2998 / $R2998) * 100 * ($S2998 / 100)-J2998, ))), )</f>
        <v/>
      </c>
      <c r="AD2998" s="32" t="str">
        <f t="shared" si="3062"/>
        <v/>
      </c>
      <c r="AE2998" s="32" t="str">
        <f t="shared" si="3062"/>
        <v/>
      </c>
      <c r="AF2998" s="32" t="str">
        <f t="shared" si="3062"/>
        <v/>
      </c>
      <c r="AG2998" s="32" t="str">
        <f t="shared" si="3062"/>
        <v/>
      </c>
      <c r="AH2998" s="33"/>
    </row>
    <row r="2999" hidden="1" outlineLevel="3">
      <c r="A2999" s="95" t="b">
        <v>0</v>
      </c>
      <c r="B2999" s="96"/>
      <c r="C2999" s="18"/>
      <c r="D2999" s="107"/>
      <c r="E2999" s="108"/>
      <c r="F2999" s="109"/>
      <c r="G2999" s="97"/>
      <c r="H2999" s="97"/>
      <c r="I2999" s="97"/>
      <c r="J2999" s="98"/>
      <c r="K2999" s="99"/>
      <c r="L2999" s="98"/>
      <c r="M2999" s="99"/>
      <c r="N2999" s="99"/>
      <c r="O2999" s="18"/>
      <c r="P2999" s="100" t="b">
        <v>0</v>
      </c>
      <c r="Q2999" s="18"/>
      <c r="R2999" s="101" t="str">
        <f t="shared" si="2792"/>
        <v/>
      </c>
      <c r="S2999" s="32"/>
      <c r="T2999" s="102" t="str">
        <f t="shared" si="2793"/>
        <v/>
      </c>
      <c r="U2999" s="18"/>
      <c r="V2999" s="113">
        <v>67.0</v>
      </c>
      <c r="W2999" s="104" t="str">
        <f t="shared" si="2828"/>
        <v>/</v>
      </c>
      <c r="X2999" s="111" t="s">
        <v>1803</v>
      </c>
      <c r="Y2999" s="106"/>
      <c r="Z2999" s="26" t="str">
        <f t="shared" si="5"/>
        <v/>
      </c>
      <c r="AA2999" s="26" t="str">
        <f t="shared" si="6"/>
        <v/>
      </c>
      <c r="AB2999" s="32" t="str">
        <f t="shared" si="7"/>
        <v/>
      </c>
      <c r="AC2999" s="32" t="str">
        <f t="shared" ref="AC2999:AG2999" si="3063">IF(J2999&lt;&gt;"", IF(AND($P2999=FALSE, $A2999=FALSE), -J2999, IF(AND($P2999=FALSE, $A2999=TRUE), 0, IF($P2999=TRUE, (J2999 / $R2999) * 100 * ($S2999 / 100)-J2999, ))), )</f>
        <v/>
      </c>
      <c r="AD2999" s="32" t="str">
        <f t="shared" si="3063"/>
        <v/>
      </c>
      <c r="AE2999" s="32" t="str">
        <f t="shared" si="3063"/>
        <v/>
      </c>
      <c r="AF2999" s="32" t="str">
        <f t="shared" si="3063"/>
        <v/>
      </c>
      <c r="AG2999" s="32" t="str">
        <f t="shared" si="3063"/>
        <v/>
      </c>
      <c r="AH2999" s="33"/>
    </row>
    <row r="3000" hidden="1" outlineLevel="3">
      <c r="A3000" s="95" t="b">
        <v>0</v>
      </c>
      <c r="B3000" s="96"/>
      <c r="C3000" s="18"/>
      <c r="D3000" s="107"/>
      <c r="E3000" s="108"/>
      <c r="F3000" s="109"/>
      <c r="G3000" s="97"/>
      <c r="H3000" s="97"/>
      <c r="I3000" s="97"/>
      <c r="J3000" s="98"/>
      <c r="K3000" s="99"/>
      <c r="L3000" s="98"/>
      <c r="M3000" s="99"/>
      <c r="N3000" s="99"/>
      <c r="O3000" s="18"/>
      <c r="P3000" s="100" t="b">
        <v>0</v>
      </c>
      <c r="Q3000" s="18"/>
      <c r="R3000" s="101" t="str">
        <f t="shared" si="2792"/>
        <v/>
      </c>
      <c r="S3000" s="32"/>
      <c r="T3000" s="102" t="str">
        <f t="shared" si="2793"/>
        <v/>
      </c>
      <c r="U3000" s="18"/>
      <c r="V3000" s="113">
        <v>65.0</v>
      </c>
      <c r="W3000" s="104" t="str">
        <f t="shared" si="2828"/>
        <v>/</v>
      </c>
      <c r="X3000" s="111" t="s">
        <v>1722</v>
      </c>
      <c r="Y3000" s="106"/>
      <c r="Z3000" s="26" t="str">
        <f t="shared" si="5"/>
        <v/>
      </c>
      <c r="AA3000" s="26" t="str">
        <f t="shared" si="6"/>
        <v/>
      </c>
      <c r="AB3000" s="32" t="str">
        <f t="shared" si="7"/>
        <v/>
      </c>
      <c r="AC3000" s="32" t="str">
        <f t="shared" ref="AC3000:AG3000" si="3064">IF(J3000&lt;&gt;"", IF(AND($P3000=FALSE, $A3000=FALSE), -J3000, IF(AND($P3000=FALSE, $A3000=TRUE), 0, IF($P3000=TRUE, (J3000 / $R3000) * 100 * ($S3000 / 100)-J3000, ))), )</f>
        <v/>
      </c>
      <c r="AD3000" s="32" t="str">
        <f t="shared" si="3064"/>
        <v/>
      </c>
      <c r="AE3000" s="32" t="str">
        <f t="shared" si="3064"/>
        <v/>
      </c>
      <c r="AF3000" s="32" t="str">
        <f t="shared" si="3064"/>
        <v/>
      </c>
      <c r="AG3000" s="32" t="str">
        <f t="shared" si="3064"/>
        <v/>
      </c>
      <c r="AH3000" s="33"/>
    </row>
    <row r="3001" hidden="1" outlineLevel="2">
      <c r="A3001" s="95" t="b">
        <v>0</v>
      </c>
      <c r="B3001" s="96"/>
      <c r="C3001" s="18"/>
      <c r="D3001" s="42">
        <v>45607.0</v>
      </c>
      <c r="E3001" s="20" t="s">
        <v>24</v>
      </c>
      <c r="F3001" s="53" t="s">
        <v>1790</v>
      </c>
      <c r="G3001" s="97">
        <v>3.0</v>
      </c>
      <c r="H3001" s="97"/>
      <c r="I3001" s="97">
        <v>5.0</v>
      </c>
      <c r="J3001" s="98"/>
      <c r="K3001" s="99"/>
      <c r="L3001" s="98"/>
      <c r="M3001" s="99"/>
      <c r="N3001" s="99"/>
      <c r="O3001" s="18"/>
      <c r="P3001" s="100" t="b">
        <v>0</v>
      </c>
      <c r="Q3001" s="18"/>
      <c r="R3001" s="101">
        <f t="shared" si="2792"/>
        <v>8</v>
      </c>
      <c r="S3001" s="32">
        <v>54.51</v>
      </c>
      <c r="T3001" s="102" t="str">
        <f t="shared" si="2793"/>
        <v>+581</v>
      </c>
      <c r="U3001" s="18"/>
      <c r="V3001" s="103" t="str">
        <f>IF(ISBLANK($D3001), "0",)</f>
        <v/>
      </c>
      <c r="W3001" s="104" t="str">
        <f t="shared" si="2828"/>
        <v/>
      </c>
      <c r="X3001" s="105"/>
      <c r="Y3001" s="106"/>
      <c r="Z3001" s="26">
        <f t="shared" si="5"/>
        <v>-3</v>
      </c>
      <c r="AA3001" s="26">
        <f t="shared" si="6"/>
        <v>-5</v>
      </c>
      <c r="AB3001" s="32" t="str">
        <f t="shared" si="7"/>
        <v/>
      </c>
      <c r="AC3001" s="32" t="str">
        <f t="shared" ref="AC3001:AG3001" si="3065">IF(J3001&lt;&gt;"", IF(AND($P3001=FALSE, $A3001=FALSE), -J3001, IF(AND($P3001=FALSE, $A3001=TRUE), 0, IF($P3001=TRUE, (J3001 / $R3001) * 100 * ($S3001 / 100)-J3001, ))), )</f>
        <v/>
      </c>
      <c r="AD3001" s="32" t="str">
        <f t="shared" si="3065"/>
        <v/>
      </c>
      <c r="AE3001" s="32" t="str">
        <f t="shared" si="3065"/>
        <v/>
      </c>
      <c r="AF3001" s="32" t="str">
        <f t="shared" si="3065"/>
        <v/>
      </c>
      <c r="AG3001" s="32" t="str">
        <f t="shared" si="3065"/>
        <v/>
      </c>
      <c r="AH3001" s="33"/>
    </row>
    <row r="3002" hidden="1" outlineLevel="3">
      <c r="A3002" s="95" t="b">
        <v>0</v>
      </c>
      <c r="B3002" s="96"/>
      <c r="C3002" s="18"/>
      <c r="D3002" s="107"/>
      <c r="E3002" s="108"/>
      <c r="F3002" s="109"/>
      <c r="G3002" s="97"/>
      <c r="H3002" s="97"/>
      <c r="I3002" s="97"/>
      <c r="J3002" s="98"/>
      <c r="K3002" s="99"/>
      <c r="L3002" s="98"/>
      <c r="M3002" s="99"/>
      <c r="N3002" s="99"/>
      <c r="O3002" s="18"/>
      <c r="P3002" s="100" t="b">
        <v>0</v>
      </c>
      <c r="Q3002" s="18"/>
      <c r="R3002" s="101" t="str">
        <f t="shared" si="2792"/>
        <v/>
      </c>
      <c r="S3002" s="32"/>
      <c r="T3002" s="102" t="str">
        <f t="shared" si="2793"/>
        <v/>
      </c>
      <c r="U3002" s="18"/>
      <c r="V3002" s="75" t="s">
        <v>29</v>
      </c>
      <c r="W3002" s="104" t="str">
        <f t="shared" si="2828"/>
        <v>/</v>
      </c>
      <c r="X3002" s="111" t="s">
        <v>1804</v>
      </c>
      <c r="Y3002" s="106"/>
      <c r="Z3002" s="26" t="str">
        <f t="shared" si="5"/>
        <v/>
      </c>
      <c r="AA3002" s="26" t="str">
        <f t="shared" si="6"/>
        <v/>
      </c>
      <c r="AB3002" s="32" t="str">
        <f t="shared" si="7"/>
        <v/>
      </c>
      <c r="AC3002" s="32" t="str">
        <f t="shared" ref="AC3002:AG3002" si="3066">IF(J3002&lt;&gt;"", IF(AND($P3002=FALSE, $A3002=FALSE), -J3002, IF(AND($P3002=FALSE, $A3002=TRUE), 0, IF($P3002=TRUE, (J3002 / $R3002) * 100 * ($S3002 / 100)-J3002, ))), )</f>
        <v/>
      </c>
      <c r="AD3002" s="32" t="str">
        <f t="shared" si="3066"/>
        <v/>
      </c>
      <c r="AE3002" s="32" t="str">
        <f t="shared" si="3066"/>
        <v/>
      </c>
      <c r="AF3002" s="32" t="str">
        <f t="shared" si="3066"/>
        <v/>
      </c>
      <c r="AG3002" s="32" t="str">
        <f t="shared" si="3066"/>
        <v/>
      </c>
      <c r="AH3002" s="33"/>
    </row>
    <row r="3003" hidden="1" outlineLevel="3">
      <c r="A3003" s="95" t="b">
        <v>0</v>
      </c>
      <c r="B3003" s="96"/>
      <c r="C3003" s="18"/>
      <c r="D3003" s="107"/>
      <c r="E3003" s="108"/>
      <c r="F3003" s="109"/>
      <c r="G3003" s="97"/>
      <c r="H3003" s="97"/>
      <c r="I3003" s="97"/>
      <c r="J3003" s="98"/>
      <c r="K3003" s="99"/>
      <c r="L3003" s="98"/>
      <c r="M3003" s="99"/>
      <c r="N3003" s="99"/>
      <c r="O3003" s="18"/>
      <c r="P3003" s="100" t="b">
        <v>0</v>
      </c>
      <c r="Q3003" s="18"/>
      <c r="R3003" s="101" t="str">
        <f t="shared" si="2792"/>
        <v/>
      </c>
      <c r="S3003" s="32"/>
      <c r="T3003" s="102" t="str">
        <f t="shared" si="2793"/>
        <v/>
      </c>
      <c r="U3003" s="18"/>
      <c r="V3003" s="113">
        <v>3.0</v>
      </c>
      <c r="W3003" s="104" t="str">
        <f t="shared" si="2828"/>
        <v>/</v>
      </c>
      <c r="X3003" s="111" t="s">
        <v>1805</v>
      </c>
      <c r="Y3003" s="106"/>
      <c r="Z3003" s="26" t="str">
        <f t="shared" si="5"/>
        <v/>
      </c>
      <c r="AA3003" s="26" t="str">
        <f t="shared" si="6"/>
        <v/>
      </c>
      <c r="AB3003" s="32" t="str">
        <f t="shared" si="7"/>
        <v/>
      </c>
      <c r="AC3003" s="32" t="str">
        <f t="shared" ref="AC3003:AG3003" si="3067">IF(J3003&lt;&gt;"", IF(AND($P3003=FALSE, $A3003=FALSE), -J3003, IF(AND($P3003=FALSE, $A3003=TRUE), 0, IF($P3003=TRUE, (J3003 / $R3003) * 100 * ($S3003 / 100)-J3003, ))), )</f>
        <v/>
      </c>
      <c r="AD3003" s="32" t="str">
        <f t="shared" si="3067"/>
        <v/>
      </c>
      <c r="AE3003" s="32" t="str">
        <f t="shared" si="3067"/>
        <v/>
      </c>
      <c r="AF3003" s="32" t="str">
        <f t="shared" si="3067"/>
        <v/>
      </c>
      <c r="AG3003" s="32" t="str">
        <f t="shared" si="3067"/>
        <v/>
      </c>
      <c r="AH3003" s="33"/>
    </row>
    <row r="3004" hidden="1" outlineLevel="3">
      <c r="A3004" s="95" t="b">
        <v>0</v>
      </c>
      <c r="B3004" s="96"/>
      <c r="C3004" s="18"/>
      <c r="D3004" s="107"/>
      <c r="E3004" s="108"/>
      <c r="F3004" s="109"/>
      <c r="G3004" s="97"/>
      <c r="H3004" s="97"/>
      <c r="I3004" s="97"/>
      <c r="J3004" s="98"/>
      <c r="K3004" s="99"/>
      <c r="L3004" s="98"/>
      <c r="M3004" s="99"/>
      <c r="N3004" s="99"/>
      <c r="O3004" s="18"/>
      <c r="P3004" s="100" t="b">
        <v>0</v>
      </c>
      <c r="Q3004" s="18"/>
      <c r="R3004" s="101" t="str">
        <f t="shared" si="2792"/>
        <v/>
      </c>
      <c r="S3004" s="32"/>
      <c r="T3004" s="102" t="str">
        <f t="shared" si="2793"/>
        <v/>
      </c>
      <c r="U3004" s="18"/>
      <c r="V3004" s="113">
        <v>15.0</v>
      </c>
      <c r="W3004" s="104" t="str">
        <f t="shared" si="2828"/>
        <v>/</v>
      </c>
      <c r="X3004" s="111" t="s">
        <v>1806</v>
      </c>
      <c r="Y3004" s="106"/>
      <c r="Z3004" s="26" t="str">
        <f t="shared" si="5"/>
        <v/>
      </c>
      <c r="AA3004" s="26" t="str">
        <f t="shared" si="6"/>
        <v/>
      </c>
      <c r="AB3004" s="32" t="str">
        <f t="shared" si="7"/>
        <v/>
      </c>
      <c r="AC3004" s="32" t="str">
        <f t="shared" ref="AC3004:AG3004" si="3068">IF(J3004&lt;&gt;"", IF(AND($P3004=FALSE, $A3004=FALSE), -J3004, IF(AND($P3004=FALSE, $A3004=TRUE), 0, IF($P3004=TRUE, (J3004 / $R3004) * 100 * ($S3004 / 100)-J3004, ))), )</f>
        <v/>
      </c>
      <c r="AD3004" s="32" t="str">
        <f t="shared" si="3068"/>
        <v/>
      </c>
      <c r="AE3004" s="32" t="str">
        <f t="shared" si="3068"/>
        <v/>
      </c>
      <c r="AF3004" s="32" t="str">
        <f t="shared" si="3068"/>
        <v/>
      </c>
      <c r="AG3004" s="32" t="str">
        <f t="shared" si="3068"/>
        <v/>
      </c>
      <c r="AH3004" s="33"/>
    </row>
    <row r="3005" hidden="1" outlineLevel="1" collapsed="1">
      <c r="A3005" s="95" t="b">
        <v>0</v>
      </c>
      <c r="B3005" s="96"/>
      <c r="C3005" s="18"/>
      <c r="D3005" s="42">
        <v>45610.0</v>
      </c>
      <c r="E3005" s="20" t="s">
        <v>24</v>
      </c>
      <c r="F3005" s="53" t="s">
        <v>1807</v>
      </c>
      <c r="G3005" s="97">
        <v>3.0</v>
      </c>
      <c r="H3005" s="97"/>
      <c r="I3005" s="97">
        <v>3.0</v>
      </c>
      <c r="J3005" s="98"/>
      <c r="K3005" s="99"/>
      <c r="L3005" s="98"/>
      <c r="M3005" s="99"/>
      <c r="N3005" s="99"/>
      <c r="O3005" s="18"/>
      <c r="P3005" s="100" t="b">
        <v>1</v>
      </c>
      <c r="Q3005" s="18"/>
      <c r="R3005" s="101">
        <f t="shared" si="2792"/>
        <v>6</v>
      </c>
      <c r="S3005" s="32">
        <v>11.64</v>
      </c>
      <c r="T3005" s="102">
        <f t="shared" si="2793"/>
        <v>-106</v>
      </c>
      <c r="U3005" s="18"/>
      <c r="V3005" s="103" t="str">
        <f>IF(ISBLANK($D3005), "0",)</f>
        <v/>
      </c>
      <c r="W3005" s="104" t="str">
        <f t="shared" si="2828"/>
        <v/>
      </c>
      <c r="X3005" s="105"/>
      <c r="Y3005" s="106"/>
      <c r="Z3005" s="26">
        <f t="shared" si="5"/>
        <v>2.82</v>
      </c>
      <c r="AA3005" s="26">
        <f t="shared" si="6"/>
        <v>2.82</v>
      </c>
      <c r="AB3005" s="32" t="str">
        <f t="shared" si="7"/>
        <v/>
      </c>
      <c r="AC3005" s="32" t="str">
        <f t="shared" ref="AC3005:AG3005" si="3069">IF(J3005&lt;&gt;"", IF(AND($P3005=FALSE, $A3005=FALSE), -J3005, IF(AND($P3005=FALSE, $A3005=TRUE), 0, IF($P3005=TRUE, (J3005 / $R3005) * 100 * ($S3005 / 100)-J3005, ))), )</f>
        <v/>
      </c>
      <c r="AD3005" s="32" t="str">
        <f t="shared" si="3069"/>
        <v/>
      </c>
      <c r="AE3005" s="32" t="str">
        <f t="shared" si="3069"/>
        <v/>
      </c>
      <c r="AF3005" s="32" t="str">
        <f t="shared" si="3069"/>
        <v/>
      </c>
      <c r="AG3005" s="32" t="str">
        <f t="shared" si="3069"/>
        <v/>
      </c>
      <c r="AH3005" s="33"/>
    </row>
    <row r="3006" hidden="1" outlineLevel="3">
      <c r="A3006" s="95" t="b">
        <v>0</v>
      </c>
      <c r="B3006" s="96"/>
      <c r="C3006" s="18"/>
      <c r="D3006" s="107"/>
      <c r="E3006" s="108"/>
      <c r="F3006" s="109"/>
      <c r="G3006" s="97"/>
      <c r="H3006" s="97"/>
      <c r="I3006" s="97"/>
      <c r="J3006" s="98"/>
      <c r="K3006" s="99"/>
      <c r="L3006" s="98"/>
      <c r="M3006" s="99"/>
      <c r="N3006" s="99"/>
      <c r="O3006" s="18"/>
      <c r="P3006" s="100" t="b">
        <v>0</v>
      </c>
      <c r="Q3006" s="18"/>
      <c r="R3006" s="101" t="str">
        <f t="shared" si="2792"/>
        <v/>
      </c>
      <c r="S3006" s="32"/>
      <c r="T3006" s="102" t="str">
        <f t="shared" si="2793"/>
        <v/>
      </c>
      <c r="U3006" s="18"/>
      <c r="V3006" s="75" t="s">
        <v>29</v>
      </c>
      <c r="W3006" s="104" t="str">
        <f t="shared" si="2828"/>
        <v>/</v>
      </c>
      <c r="X3006" s="111" t="s">
        <v>1808</v>
      </c>
      <c r="Y3006" s="106"/>
      <c r="Z3006" s="26" t="str">
        <f t="shared" si="5"/>
        <v/>
      </c>
      <c r="AA3006" s="26" t="str">
        <f t="shared" si="6"/>
        <v/>
      </c>
      <c r="AB3006" s="32" t="str">
        <f t="shared" si="7"/>
        <v/>
      </c>
      <c r="AC3006" s="32" t="str">
        <f t="shared" ref="AC3006:AG3006" si="3070">IF(J3006&lt;&gt;"", IF(AND($P3006=FALSE, $A3006=FALSE), -J3006, IF(AND($P3006=FALSE, $A3006=TRUE), 0, IF($P3006=TRUE, (J3006 / $R3006) * 100 * ($S3006 / 100)-J3006, ))), )</f>
        <v/>
      </c>
      <c r="AD3006" s="32" t="str">
        <f t="shared" si="3070"/>
        <v/>
      </c>
      <c r="AE3006" s="32" t="str">
        <f t="shared" si="3070"/>
        <v/>
      </c>
      <c r="AF3006" s="32" t="str">
        <f t="shared" si="3070"/>
        <v/>
      </c>
      <c r="AG3006" s="32" t="str">
        <f t="shared" si="3070"/>
        <v/>
      </c>
      <c r="AH3006" s="33"/>
    </row>
    <row r="3007" hidden="1" outlineLevel="3">
      <c r="A3007" s="95" t="b">
        <v>0</v>
      </c>
      <c r="B3007" s="96"/>
      <c r="C3007" s="18"/>
      <c r="D3007" s="107"/>
      <c r="E3007" s="108"/>
      <c r="F3007" s="109"/>
      <c r="G3007" s="97"/>
      <c r="H3007" s="97"/>
      <c r="I3007" s="97"/>
      <c r="J3007" s="98"/>
      <c r="K3007" s="99"/>
      <c r="L3007" s="98"/>
      <c r="M3007" s="99"/>
      <c r="N3007" s="99"/>
      <c r="O3007" s="18"/>
      <c r="P3007" s="100" t="b">
        <v>0</v>
      </c>
      <c r="Q3007" s="18"/>
      <c r="R3007" s="101" t="str">
        <f t="shared" si="2792"/>
        <v/>
      </c>
      <c r="S3007" s="32"/>
      <c r="T3007" s="102" t="str">
        <f t="shared" si="2793"/>
        <v/>
      </c>
      <c r="U3007" s="18"/>
      <c r="V3007" s="75" t="s">
        <v>29</v>
      </c>
      <c r="W3007" s="104" t="str">
        <f t="shared" si="2828"/>
        <v>/</v>
      </c>
      <c r="X3007" s="111" t="s">
        <v>1809</v>
      </c>
      <c r="Y3007" s="106"/>
      <c r="Z3007" s="26" t="str">
        <f t="shared" si="5"/>
        <v/>
      </c>
      <c r="AA3007" s="26" t="str">
        <f t="shared" si="6"/>
        <v/>
      </c>
      <c r="AB3007" s="32" t="str">
        <f t="shared" si="7"/>
        <v/>
      </c>
      <c r="AC3007" s="32" t="str">
        <f t="shared" ref="AC3007:AG3007" si="3071">IF(J3007&lt;&gt;"", IF(AND($P3007=FALSE, $A3007=FALSE), -J3007, IF(AND($P3007=FALSE, $A3007=TRUE), 0, IF($P3007=TRUE, (J3007 / $R3007) * 100 * ($S3007 / 100)-J3007, ))), )</f>
        <v/>
      </c>
      <c r="AD3007" s="32" t="str">
        <f t="shared" si="3071"/>
        <v/>
      </c>
      <c r="AE3007" s="32" t="str">
        <f t="shared" si="3071"/>
        <v/>
      </c>
      <c r="AF3007" s="32" t="str">
        <f t="shared" si="3071"/>
        <v/>
      </c>
      <c r="AG3007" s="32" t="str">
        <f t="shared" si="3071"/>
        <v/>
      </c>
      <c r="AH3007" s="33"/>
    </row>
    <row r="3008" hidden="1" outlineLevel="3">
      <c r="A3008" s="95" t="b">
        <v>0</v>
      </c>
      <c r="B3008" s="96"/>
      <c r="C3008" s="18"/>
      <c r="D3008" s="107"/>
      <c r="E3008" s="108"/>
      <c r="F3008" s="109"/>
      <c r="G3008" s="97"/>
      <c r="H3008" s="97"/>
      <c r="I3008" s="97"/>
      <c r="J3008" s="98"/>
      <c r="K3008" s="99"/>
      <c r="L3008" s="98"/>
      <c r="M3008" s="99"/>
      <c r="N3008" s="99"/>
      <c r="O3008" s="18"/>
      <c r="P3008" s="100" t="b">
        <v>0</v>
      </c>
      <c r="Q3008" s="18"/>
      <c r="R3008" s="101" t="str">
        <f t="shared" si="2792"/>
        <v/>
      </c>
      <c r="S3008" s="32"/>
      <c r="T3008" s="102" t="str">
        <f t="shared" si="2793"/>
        <v/>
      </c>
      <c r="U3008" s="18"/>
      <c r="V3008" s="75" t="s">
        <v>29</v>
      </c>
      <c r="W3008" s="104" t="str">
        <f t="shared" si="2828"/>
        <v>/</v>
      </c>
      <c r="X3008" s="111" t="s">
        <v>1810</v>
      </c>
      <c r="Y3008" s="106"/>
      <c r="Z3008" s="26" t="str">
        <f t="shared" si="5"/>
        <v/>
      </c>
      <c r="AA3008" s="26" t="str">
        <f t="shared" si="6"/>
        <v/>
      </c>
      <c r="AB3008" s="32" t="str">
        <f t="shared" si="7"/>
        <v/>
      </c>
      <c r="AC3008" s="32" t="str">
        <f t="shared" ref="AC3008:AG3008" si="3072">IF(J3008&lt;&gt;"", IF(AND($P3008=FALSE, $A3008=FALSE), -J3008, IF(AND($P3008=FALSE, $A3008=TRUE), 0, IF($P3008=TRUE, (J3008 / $R3008) * 100 * ($S3008 / 100)-J3008, ))), )</f>
        <v/>
      </c>
      <c r="AD3008" s="32" t="str">
        <f t="shared" si="3072"/>
        <v/>
      </c>
      <c r="AE3008" s="32" t="str">
        <f t="shared" si="3072"/>
        <v/>
      </c>
      <c r="AF3008" s="32" t="str">
        <f t="shared" si="3072"/>
        <v/>
      </c>
      <c r="AG3008" s="32" t="str">
        <f t="shared" si="3072"/>
        <v/>
      </c>
      <c r="AH3008" s="33"/>
    </row>
    <row r="3009" hidden="1" outlineLevel="2">
      <c r="A3009" s="95" t="b">
        <v>0</v>
      </c>
      <c r="B3009" s="96"/>
      <c r="C3009" s="18"/>
      <c r="D3009" s="42">
        <v>45610.0</v>
      </c>
      <c r="E3009" s="20" t="s">
        <v>24</v>
      </c>
      <c r="F3009" s="53" t="s">
        <v>1807</v>
      </c>
      <c r="G3009" s="97">
        <v>3.0</v>
      </c>
      <c r="H3009" s="97"/>
      <c r="I3009" s="97">
        <v>5.0</v>
      </c>
      <c r="J3009" s="98"/>
      <c r="K3009" s="99"/>
      <c r="L3009" s="98"/>
      <c r="M3009" s="99"/>
      <c r="N3009" s="99"/>
      <c r="O3009" s="18"/>
      <c r="P3009" s="100" t="b">
        <v>1</v>
      </c>
      <c r="Q3009" s="18"/>
      <c r="R3009" s="101">
        <f t="shared" si="2792"/>
        <v>8</v>
      </c>
      <c r="S3009" s="32">
        <v>17.76</v>
      </c>
      <c r="T3009" s="102" t="str">
        <f t="shared" si="2793"/>
        <v>+122</v>
      </c>
      <c r="U3009" s="18"/>
      <c r="V3009" s="103" t="str">
        <f>IF(ISBLANK($D3009), "0",)</f>
        <v/>
      </c>
      <c r="W3009" s="104" t="str">
        <f t="shared" si="2828"/>
        <v/>
      </c>
      <c r="X3009" s="105"/>
      <c r="Y3009" s="106"/>
      <c r="Z3009" s="26">
        <f t="shared" si="5"/>
        <v>3.66</v>
      </c>
      <c r="AA3009" s="26">
        <f t="shared" si="6"/>
        <v>6.1</v>
      </c>
      <c r="AB3009" s="32" t="str">
        <f t="shared" si="7"/>
        <v/>
      </c>
      <c r="AC3009" s="32" t="str">
        <f t="shared" ref="AC3009:AG3009" si="3073">IF(J3009&lt;&gt;"", IF(AND($P3009=FALSE, $A3009=FALSE), -J3009, IF(AND($P3009=FALSE, $A3009=TRUE), 0, IF($P3009=TRUE, (J3009 / $R3009) * 100 * ($S3009 / 100)-J3009, ))), )</f>
        <v/>
      </c>
      <c r="AD3009" s="32" t="str">
        <f t="shared" si="3073"/>
        <v/>
      </c>
      <c r="AE3009" s="32" t="str">
        <f t="shared" si="3073"/>
        <v/>
      </c>
      <c r="AF3009" s="32" t="str">
        <f t="shared" si="3073"/>
        <v/>
      </c>
      <c r="AG3009" s="32" t="str">
        <f t="shared" si="3073"/>
        <v/>
      </c>
      <c r="AH3009" s="33"/>
    </row>
    <row r="3010" hidden="1" outlineLevel="3">
      <c r="A3010" s="95" t="b">
        <v>0</v>
      </c>
      <c r="B3010" s="96"/>
      <c r="C3010" s="18"/>
      <c r="D3010" s="107"/>
      <c r="E3010" s="108"/>
      <c r="F3010" s="109"/>
      <c r="G3010" s="97"/>
      <c r="H3010" s="97"/>
      <c r="I3010" s="97"/>
      <c r="J3010" s="98"/>
      <c r="K3010" s="99"/>
      <c r="L3010" s="98"/>
      <c r="M3010" s="99"/>
      <c r="N3010" s="99"/>
      <c r="O3010" s="18"/>
      <c r="P3010" s="100" t="b">
        <v>0</v>
      </c>
      <c r="Q3010" s="18"/>
      <c r="R3010" s="101" t="str">
        <f t="shared" si="2792"/>
        <v/>
      </c>
      <c r="S3010" s="32"/>
      <c r="T3010" s="102" t="str">
        <f t="shared" si="2793"/>
        <v/>
      </c>
      <c r="U3010" s="18"/>
      <c r="V3010" s="75" t="s">
        <v>29</v>
      </c>
      <c r="W3010" s="104" t="str">
        <f t="shared" si="2828"/>
        <v>/</v>
      </c>
      <c r="X3010" s="111" t="s">
        <v>1811</v>
      </c>
      <c r="Y3010" s="106"/>
      <c r="Z3010" s="26" t="str">
        <f t="shared" si="5"/>
        <v/>
      </c>
      <c r="AA3010" s="26" t="str">
        <f t="shared" si="6"/>
        <v/>
      </c>
      <c r="AB3010" s="32" t="str">
        <f t="shared" si="7"/>
        <v/>
      </c>
      <c r="AC3010" s="32" t="str">
        <f t="shared" ref="AC3010:AG3010" si="3074">IF(J3010&lt;&gt;"", IF(AND($P3010=FALSE, $A3010=FALSE), -J3010, IF(AND($P3010=FALSE, $A3010=TRUE), 0, IF($P3010=TRUE, (J3010 / $R3010) * 100 * ($S3010 / 100)-J3010, ))), )</f>
        <v/>
      </c>
      <c r="AD3010" s="32" t="str">
        <f t="shared" si="3074"/>
        <v/>
      </c>
      <c r="AE3010" s="32" t="str">
        <f t="shared" si="3074"/>
        <v/>
      </c>
      <c r="AF3010" s="32" t="str">
        <f t="shared" si="3074"/>
        <v/>
      </c>
      <c r="AG3010" s="32" t="str">
        <f t="shared" si="3074"/>
        <v/>
      </c>
      <c r="AH3010" s="33"/>
    </row>
    <row r="3011" hidden="1" outlineLevel="3">
      <c r="A3011" s="95" t="b">
        <v>0</v>
      </c>
      <c r="B3011" s="96"/>
      <c r="C3011" s="18"/>
      <c r="D3011" s="107"/>
      <c r="E3011" s="108"/>
      <c r="F3011" s="109"/>
      <c r="G3011" s="97"/>
      <c r="H3011" s="97"/>
      <c r="I3011" s="97"/>
      <c r="J3011" s="98"/>
      <c r="K3011" s="99"/>
      <c r="L3011" s="98"/>
      <c r="M3011" s="99"/>
      <c r="N3011" s="99"/>
      <c r="O3011" s="18"/>
      <c r="P3011" s="100" t="b">
        <v>0</v>
      </c>
      <c r="Q3011" s="18"/>
      <c r="R3011" s="101" t="str">
        <f t="shared" si="2792"/>
        <v/>
      </c>
      <c r="S3011" s="32"/>
      <c r="T3011" s="102" t="str">
        <f t="shared" si="2793"/>
        <v/>
      </c>
      <c r="U3011" s="18"/>
      <c r="V3011" s="75" t="s">
        <v>29</v>
      </c>
      <c r="W3011" s="104" t="str">
        <f t="shared" si="2828"/>
        <v>/</v>
      </c>
      <c r="X3011" s="111" t="s">
        <v>1812</v>
      </c>
      <c r="Y3011" s="106"/>
      <c r="Z3011" s="26" t="str">
        <f t="shared" si="5"/>
        <v/>
      </c>
      <c r="AA3011" s="26" t="str">
        <f t="shared" si="6"/>
        <v/>
      </c>
      <c r="AB3011" s="32" t="str">
        <f t="shared" si="7"/>
        <v/>
      </c>
      <c r="AC3011" s="32" t="str">
        <f t="shared" ref="AC3011:AG3011" si="3075">IF(J3011&lt;&gt;"", IF(AND($P3011=FALSE, $A3011=FALSE), -J3011, IF(AND($P3011=FALSE, $A3011=TRUE), 0, IF($P3011=TRUE, (J3011 / $R3011) * 100 * ($S3011 / 100)-J3011, ))), )</f>
        <v/>
      </c>
      <c r="AD3011" s="32" t="str">
        <f t="shared" si="3075"/>
        <v/>
      </c>
      <c r="AE3011" s="32" t="str">
        <f t="shared" si="3075"/>
        <v/>
      </c>
      <c r="AF3011" s="32" t="str">
        <f t="shared" si="3075"/>
        <v/>
      </c>
      <c r="AG3011" s="32" t="str">
        <f t="shared" si="3075"/>
        <v/>
      </c>
      <c r="AH3011" s="33"/>
    </row>
    <row r="3012" hidden="1" outlineLevel="3">
      <c r="A3012" s="95" t="b">
        <v>0</v>
      </c>
      <c r="B3012" s="96"/>
      <c r="C3012" s="18"/>
      <c r="D3012" s="107"/>
      <c r="E3012" s="108"/>
      <c r="F3012" s="109"/>
      <c r="G3012" s="97"/>
      <c r="H3012" s="97"/>
      <c r="I3012" s="97"/>
      <c r="J3012" s="98"/>
      <c r="K3012" s="99"/>
      <c r="L3012" s="98"/>
      <c r="M3012" s="99"/>
      <c r="N3012" s="99"/>
      <c r="O3012" s="18"/>
      <c r="P3012" s="100" t="b">
        <v>0</v>
      </c>
      <c r="Q3012" s="18"/>
      <c r="R3012" s="101" t="str">
        <f t="shared" si="2792"/>
        <v/>
      </c>
      <c r="S3012" s="32"/>
      <c r="T3012" s="102" t="str">
        <f t="shared" si="2793"/>
        <v/>
      </c>
      <c r="U3012" s="18"/>
      <c r="V3012" s="75" t="s">
        <v>29</v>
      </c>
      <c r="W3012" s="104" t="str">
        <f t="shared" si="2828"/>
        <v>/</v>
      </c>
      <c r="X3012" s="111" t="s">
        <v>1813</v>
      </c>
      <c r="Y3012" s="106"/>
      <c r="Z3012" s="26" t="str">
        <f t="shared" si="5"/>
        <v/>
      </c>
      <c r="AA3012" s="26" t="str">
        <f t="shared" si="6"/>
        <v/>
      </c>
      <c r="AB3012" s="32" t="str">
        <f t="shared" si="7"/>
        <v/>
      </c>
      <c r="AC3012" s="32" t="str">
        <f t="shared" ref="AC3012:AG3012" si="3076">IF(J3012&lt;&gt;"", IF(AND($P3012=FALSE, $A3012=FALSE), -J3012, IF(AND($P3012=FALSE, $A3012=TRUE), 0, IF($P3012=TRUE, (J3012 / $R3012) * 100 * ($S3012 / 100)-J3012, ))), )</f>
        <v/>
      </c>
      <c r="AD3012" s="32" t="str">
        <f t="shared" si="3076"/>
        <v/>
      </c>
      <c r="AE3012" s="32" t="str">
        <f t="shared" si="3076"/>
        <v/>
      </c>
      <c r="AF3012" s="32" t="str">
        <f t="shared" si="3076"/>
        <v/>
      </c>
      <c r="AG3012" s="32" t="str">
        <f t="shared" si="3076"/>
        <v/>
      </c>
      <c r="AH3012" s="33"/>
    </row>
    <row r="3013" hidden="1" outlineLevel="3">
      <c r="A3013" s="95" t="b">
        <v>0</v>
      </c>
      <c r="B3013" s="96"/>
      <c r="C3013" s="18"/>
      <c r="D3013" s="107"/>
      <c r="E3013" s="108"/>
      <c r="F3013" s="109"/>
      <c r="G3013" s="97"/>
      <c r="H3013" s="97"/>
      <c r="I3013" s="97"/>
      <c r="J3013" s="98"/>
      <c r="K3013" s="99"/>
      <c r="L3013" s="98"/>
      <c r="M3013" s="99"/>
      <c r="N3013" s="99"/>
      <c r="O3013" s="18"/>
      <c r="P3013" s="100" t="b">
        <v>0</v>
      </c>
      <c r="Q3013" s="18"/>
      <c r="R3013" s="101" t="str">
        <f t="shared" si="2792"/>
        <v/>
      </c>
      <c r="S3013" s="32"/>
      <c r="T3013" s="102" t="str">
        <f t="shared" si="2793"/>
        <v/>
      </c>
      <c r="U3013" s="18"/>
      <c r="V3013" s="75" t="s">
        <v>29</v>
      </c>
      <c r="W3013" s="104" t="str">
        <f t="shared" si="2828"/>
        <v>/</v>
      </c>
      <c r="X3013" s="111" t="s">
        <v>1814</v>
      </c>
      <c r="Y3013" s="106"/>
      <c r="Z3013" s="26" t="str">
        <f t="shared" si="5"/>
        <v/>
      </c>
      <c r="AA3013" s="26" t="str">
        <f t="shared" si="6"/>
        <v/>
      </c>
      <c r="AB3013" s="32" t="str">
        <f t="shared" si="7"/>
        <v/>
      </c>
      <c r="AC3013" s="32" t="str">
        <f t="shared" ref="AC3013:AG3013" si="3077">IF(J3013&lt;&gt;"", IF(AND($P3013=FALSE, $A3013=FALSE), -J3013, IF(AND($P3013=FALSE, $A3013=TRUE), 0, IF($P3013=TRUE, (J3013 / $R3013) * 100 * ($S3013 / 100)-J3013, ))), )</f>
        <v/>
      </c>
      <c r="AD3013" s="32" t="str">
        <f t="shared" si="3077"/>
        <v/>
      </c>
      <c r="AE3013" s="32" t="str">
        <f t="shared" si="3077"/>
        <v/>
      </c>
      <c r="AF3013" s="32" t="str">
        <f t="shared" si="3077"/>
        <v/>
      </c>
      <c r="AG3013" s="32" t="str">
        <f t="shared" si="3077"/>
        <v/>
      </c>
      <c r="AH3013" s="33"/>
    </row>
    <row r="3014" hidden="1" outlineLevel="1" collapsed="1">
      <c r="A3014" s="95" t="b">
        <v>0</v>
      </c>
      <c r="B3014" s="96"/>
      <c r="C3014" s="18"/>
      <c r="D3014" s="42">
        <v>45613.0</v>
      </c>
      <c r="E3014" s="20" t="s">
        <v>24</v>
      </c>
      <c r="F3014" s="53" t="s">
        <v>1807</v>
      </c>
      <c r="G3014" s="97">
        <v>2.0</v>
      </c>
      <c r="H3014" s="97"/>
      <c r="I3014" s="97">
        <v>3.0</v>
      </c>
      <c r="J3014" s="98"/>
      <c r="K3014" s="99"/>
      <c r="L3014" s="98"/>
      <c r="M3014" s="99"/>
      <c r="N3014" s="99"/>
      <c r="O3014" s="18"/>
      <c r="P3014" s="100" t="b">
        <v>0</v>
      </c>
      <c r="Q3014" s="18"/>
      <c r="R3014" s="101">
        <f t="shared" si="2792"/>
        <v>5</v>
      </c>
      <c r="S3014" s="32">
        <v>33.08</v>
      </c>
      <c r="T3014" s="102" t="str">
        <f t="shared" si="2793"/>
        <v>+562</v>
      </c>
      <c r="U3014" s="18"/>
      <c r="V3014" s="103" t="str">
        <f>IF(ISBLANK($D3014), "0",)</f>
        <v/>
      </c>
      <c r="W3014" s="104" t="str">
        <f t="shared" si="2828"/>
        <v/>
      </c>
      <c r="X3014" s="105"/>
      <c r="Y3014" s="106"/>
      <c r="Z3014" s="26">
        <f t="shared" si="5"/>
        <v>-2</v>
      </c>
      <c r="AA3014" s="26">
        <f t="shared" si="6"/>
        <v>-3</v>
      </c>
      <c r="AB3014" s="32" t="str">
        <f t="shared" si="7"/>
        <v/>
      </c>
      <c r="AC3014" s="32" t="str">
        <f t="shared" ref="AC3014:AG3014" si="3078">IF(J3014&lt;&gt;"", IF(AND($P3014=FALSE, $A3014=FALSE), -J3014, IF(AND($P3014=FALSE, $A3014=TRUE), 0, IF($P3014=TRUE, (J3014 / $R3014) * 100 * ($S3014 / 100)-J3014, ))), )</f>
        <v/>
      </c>
      <c r="AD3014" s="32" t="str">
        <f t="shared" si="3078"/>
        <v/>
      </c>
      <c r="AE3014" s="32" t="str">
        <f t="shared" si="3078"/>
        <v/>
      </c>
      <c r="AF3014" s="32" t="str">
        <f t="shared" si="3078"/>
        <v/>
      </c>
      <c r="AG3014" s="32" t="str">
        <f t="shared" si="3078"/>
        <v/>
      </c>
      <c r="AH3014" s="33"/>
    </row>
    <row r="3015" hidden="1" outlineLevel="3">
      <c r="A3015" s="95" t="b">
        <v>0</v>
      </c>
      <c r="B3015" s="96"/>
      <c r="C3015" s="18"/>
      <c r="D3015" s="107"/>
      <c r="E3015" s="108"/>
      <c r="F3015" s="109"/>
      <c r="G3015" s="97"/>
      <c r="H3015" s="97"/>
      <c r="I3015" s="97"/>
      <c r="J3015" s="98"/>
      <c r="K3015" s="99"/>
      <c r="L3015" s="98"/>
      <c r="M3015" s="99"/>
      <c r="N3015" s="99"/>
      <c r="O3015" s="18"/>
      <c r="P3015" s="100" t="b">
        <v>0</v>
      </c>
      <c r="Q3015" s="18"/>
      <c r="R3015" s="101" t="str">
        <f t="shared" si="2792"/>
        <v/>
      </c>
      <c r="S3015" s="32"/>
      <c r="T3015" s="102" t="str">
        <f t="shared" si="2793"/>
        <v/>
      </c>
      <c r="U3015" s="18"/>
      <c r="V3015" s="75" t="s">
        <v>29</v>
      </c>
      <c r="W3015" s="104" t="str">
        <f t="shared" si="2828"/>
        <v>/</v>
      </c>
      <c r="X3015" s="111" t="s">
        <v>379</v>
      </c>
      <c r="Y3015" s="106"/>
      <c r="Z3015" s="26" t="str">
        <f t="shared" si="5"/>
        <v/>
      </c>
      <c r="AA3015" s="26" t="str">
        <f t="shared" si="6"/>
        <v/>
      </c>
      <c r="AB3015" s="32" t="str">
        <f t="shared" si="7"/>
        <v/>
      </c>
      <c r="AC3015" s="32" t="str">
        <f t="shared" ref="AC3015:AG3015" si="3079">IF(J3015&lt;&gt;"", IF(AND($P3015=FALSE, $A3015=FALSE), -J3015, IF(AND($P3015=FALSE, $A3015=TRUE), 0, IF($P3015=TRUE, (J3015 / $R3015) * 100 * ($S3015 / 100)-J3015, ))), )</f>
        <v/>
      </c>
      <c r="AD3015" s="32" t="str">
        <f t="shared" si="3079"/>
        <v/>
      </c>
      <c r="AE3015" s="32" t="str">
        <f t="shared" si="3079"/>
        <v/>
      </c>
      <c r="AF3015" s="32" t="str">
        <f t="shared" si="3079"/>
        <v/>
      </c>
      <c r="AG3015" s="32" t="str">
        <f t="shared" si="3079"/>
        <v/>
      </c>
      <c r="AH3015" s="33"/>
    </row>
    <row r="3016" hidden="1" outlineLevel="3">
      <c r="A3016" s="95" t="b">
        <v>0</v>
      </c>
      <c r="B3016" s="96"/>
      <c r="C3016" s="18"/>
      <c r="D3016" s="107"/>
      <c r="E3016" s="108"/>
      <c r="F3016" s="109"/>
      <c r="G3016" s="97"/>
      <c r="H3016" s="97"/>
      <c r="I3016" s="97"/>
      <c r="J3016" s="98"/>
      <c r="K3016" s="99"/>
      <c r="L3016" s="98"/>
      <c r="M3016" s="99"/>
      <c r="N3016" s="99"/>
      <c r="O3016" s="18"/>
      <c r="P3016" s="100" t="b">
        <v>0</v>
      </c>
      <c r="Q3016" s="18"/>
      <c r="R3016" s="101" t="str">
        <f t="shared" si="2792"/>
        <v/>
      </c>
      <c r="S3016" s="32"/>
      <c r="T3016" s="102" t="str">
        <f t="shared" si="2793"/>
        <v/>
      </c>
      <c r="U3016" s="18"/>
      <c r="V3016" s="75" t="s">
        <v>29</v>
      </c>
      <c r="W3016" s="104" t="str">
        <f t="shared" si="2828"/>
        <v>/</v>
      </c>
      <c r="X3016" s="111" t="s">
        <v>872</v>
      </c>
      <c r="Y3016" s="106"/>
      <c r="Z3016" s="26" t="str">
        <f t="shared" si="5"/>
        <v/>
      </c>
      <c r="AA3016" s="26" t="str">
        <f t="shared" si="6"/>
        <v/>
      </c>
      <c r="AB3016" s="32" t="str">
        <f t="shared" si="7"/>
        <v/>
      </c>
      <c r="AC3016" s="32" t="str">
        <f t="shared" ref="AC3016:AG3016" si="3080">IF(J3016&lt;&gt;"", IF(AND($P3016=FALSE, $A3016=FALSE), -J3016, IF(AND($P3016=FALSE, $A3016=TRUE), 0, IF($P3016=TRUE, (J3016 / $R3016) * 100 * ($S3016 / 100)-J3016, ))), )</f>
        <v/>
      </c>
      <c r="AD3016" s="32" t="str">
        <f t="shared" si="3080"/>
        <v/>
      </c>
      <c r="AE3016" s="32" t="str">
        <f t="shared" si="3080"/>
        <v/>
      </c>
      <c r="AF3016" s="32" t="str">
        <f t="shared" si="3080"/>
        <v/>
      </c>
      <c r="AG3016" s="32" t="str">
        <f t="shared" si="3080"/>
        <v/>
      </c>
      <c r="AH3016" s="33"/>
    </row>
    <row r="3017" hidden="1" outlineLevel="3">
      <c r="A3017" s="95" t="b">
        <v>0</v>
      </c>
      <c r="B3017" s="96"/>
      <c r="C3017" s="18"/>
      <c r="D3017" s="107"/>
      <c r="E3017" s="108"/>
      <c r="F3017" s="109"/>
      <c r="G3017" s="97"/>
      <c r="H3017" s="97"/>
      <c r="I3017" s="97"/>
      <c r="J3017" s="98"/>
      <c r="K3017" s="99"/>
      <c r="L3017" s="98"/>
      <c r="M3017" s="99"/>
      <c r="N3017" s="99"/>
      <c r="O3017" s="18"/>
      <c r="P3017" s="100" t="b">
        <v>0</v>
      </c>
      <c r="Q3017" s="18"/>
      <c r="R3017" s="101" t="str">
        <f t="shared" si="2792"/>
        <v/>
      </c>
      <c r="S3017" s="32"/>
      <c r="T3017" s="102" t="str">
        <f t="shared" si="2793"/>
        <v/>
      </c>
      <c r="U3017" s="18"/>
      <c r="V3017" s="103" t="str">
        <f t="shared" ref="V3017:V3019" si="3082">IF(ISBLANK($D3017), "0",)</f>
        <v>0</v>
      </c>
      <c r="W3017" s="104" t="str">
        <f t="shared" si="2828"/>
        <v>/</v>
      </c>
      <c r="X3017" s="111" t="s">
        <v>1815</v>
      </c>
      <c r="Y3017" s="106"/>
      <c r="Z3017" s="26" t="str">
        <f t="shared" si="5"/>
        <v/>
      </c>
      <c r="AA3017" s="26" t="str">
        <f t="shared" si="6"/>
        <v/>
      </c>
      <c r="AB3017" s="32" t="str">
        <f t="shared" si="7"/>
        <v/>
      </c>
      <c r="AC3017" s="32" t="str">
        <f t="shared" ref="AC3017:AG3017" si="3081">IF(J3017&lt;&gt;"", IF(AND($P3017=FALSE, $A3017=FALSE), -J3017, IF(AND($P3017=FALSE, $A3017=TRUE), 0, IF($P3017=TRUE, (J3017 / $R3017) * 100 * ($S3017 / 100)-J3017, ))), )</f>
        <v/>
      </c>
      <c r="AD3017" s="32" t="str">
        <f t="shared" si="3081"/>
        <v/>
      </c>
      <c r="AE3017" s="32" t="str">
        <f t="shared" si="3081"/>
        <v/>
      </c>
      <c r="AF3017" s="32" t="str">
        <f t="shared" si="3081"/>
        <v/>
      </c>
      <c r="AG3017" s="32" t="str">
        <f t="shared" si="3081"/>
        <v/>
      </c>
      <c r="AH3017" s="33"/>
    </row>
    <row r="3018" hidden="1" outlineLevel="3">
      <c r="A3018" s="95" t="b">
        <v>0</v>
      </c>
      <c r="B3018" s="96"/>
      <c r="C3018" s="18"/>
      <c r="D3018" s="107"/>
      <c r="E3018" s="108"/>
      <c r="F3018" s="109"/>
      <c r="G3018" s="97"/>
      <c r="H3018" s="97"/>
      <c r="I3018" s="97"/>
      <c r="J3018" s="98"/>
      <c r="K3018" s="99"/>
      <c r="L3018" s="98"/>
      <c r="M3018" s="99"/>
      <c r="N3018" s="99"/>
      <c r="O3018" s="18"/>
      <c r="P3018" s="100" t="b">
        <v>0</v>
      </c>
      <c r="Q3018" s="18"/>
      <c r="R3018" s="101" t="str">
        <f t="shared" si="2792"/>
        <v/>
      </c>
      <c r="S3018" s="32"/>
      <c r="T3018" s="102" t="str">
        <f t="shared" si="2793"/>
        <v/>
      </c>
      <c r="U3018" s="18"/>
      <c r="V3018" s="103" t="str">
        <f t="shared" si="3082"/>
        <v>0</v>
      </c>
      <c r="W3018" s="104" t="str">
        <f t="shared" si="2828"/>
        <v>/</v>
      </c>
      <c r="X3018" s="111" t="s">
        <v>777</v>
      </c>
      <c r="Y3018" s="106"/>
      <c r="Z3018" s="26" t="str">
        <f t="shared" si="5"/>
        <v/>
      </c>
      <c r="AA3018" s="26" t="str">
        <f t="shared" si="6"/>
        <v/>
      </c>
      <c r="AB3018" s="32" t="str">
        <f t="shared" si="7"/>
        <v/>
      </c>
      <c r="AC3018" s="32" t="str">
        <f t="shared" ref="AC3018:AG3018" si="3083">IF(J3018&lt;&gt;"", IF(AND($P3018=FALSE, $A3018=FALSE), -J3018, IF(AND($P3018=FALSE, $A3018=TRUE), 0, IF($P3018=TRUE, (J3018 / $R3018) * 100 * ($S3018 / 100)-J3018, ))), )</f>
        <v/>
      </c>
      <c r="AD3018" s="32" t="str">
        <f t="shared" si="3083"/>
        <v/>
      </c>
      <c r="AE3018" s="32" t="str">
        <f t="shared" si="3083"/>
        <v/>
      </c>
      <c r="AF3018" s="32" t="str">
        <f t="shared" si="3083"/>
        <v/>
      </c>
      <c r="AG3018" s="32" t="str">
        <f t="shared" si="3083"/>
        <v/>
      </c>
      <c r="AH3018" s="33"/>
    </row>
    <row r="3019" hidden="1" outlineLevel="2" collapsed="1">
      <c r="A3019" s="95" t="b">
        <v>0</v>
      </c>
      <c r="B3019" s="96"/>
      <c r="C3019" s="18"/>
      <c r="D3019" s="42">
        <v>45613.0</v>
      </c>
      <c r="E3019" s="20" t="s">
        <v>24</v>
      </c>
      <c r="F3019" s="53" t="s">
        <v>1807</v>
      </c>
      <c r="G3019" s="97">
        <v>3.0</v>
      </c>
      <c r="H3019" s="97"/>
      <c r="I3019" s="97">
        <v>3.0</v>
      </c>
      <c r="J3019" s="98"/>
      <c r="K3019" s="99"/>
      <c r="L3019" s="98"/>
      <c r="M3019" s="99"/>
      <c r="N3019" s="99"/>
      <c r="O3019" s="18"/>
      <c r="P3019" s="100" t="b">
        <v>1</v>
      </c>
      <c r="Q3019" s="18"/>
      <c r="R3019" s="101">
        <f t="shared" si="2792"/>
        <v>6</v>
      </c>
      <c r="S3019" s="32">
        <v>15.52</v>
      </c>
      <c r="T3019" s="102" t="str">
        <f t="shared" si="2793"/>
        <v>+159</v>
      </c>
      <c r="U3019" s="18"/>
      <c r="V3019" s="103" t="str">
        <f t="shared" si="3082"/>
        <v/>
      </c>
      <c r="W3019" s="104" t="str">
        <f t="shared" si="2828"/>
        <v/>
      </c>
      <c r="X3019" s="105"/>
      <c r="Y3019" s="106"/>
      <c r="Z3019" s="26">
        <f t="shared" si="5"/>
        <v>4.76</v>
      </c>
      <c r="AA3019" s="26">
        <f t="shared" si="6"/>
        <v>4.76</v>
      </c>
      <c r="AB3019" s="32" t="str">
        <f t="shared" si="7"/>
        <v/>
      </c>
      <c r="AC3019" s="32" t="str">
        <f t="shared" ref="AC3019:AG3019" si="3084">IF(J3019&lt;&gt;"", IF(AND($P3019=FALSE, $A3019=FALSE), -J3019, IF(AND($P3019=FALSE, $A3019=TRUE), 0, IF($P3019=TRUE, (J3019 / $R3019) * 100 * ($S3019 / 100)-J3019, ))), )</f>
        <v/>
      </c>
      <c r="AD3019" s="32" t="str">
        <f t="shared" si="3084"/>
        <v/>
      </c>
      <c r="AE3019" s="32" t="str">
        <f t="shared" si="3084"/>
        <v/>
      </c>
      <c r="AF3019" s="32" t="str">
        <f t="shared" si="3084"/>
        <v/>
      </c>
      <c r="AG3019" s="32" t="str">
        <f t="shared" si="3084"/>
        <v/>
      </c>
      <c r="AH3019" s="33"/>
    </row>
    <row r="3020" hidden="1" outlineLevel="3">
      <c r="A3020" s="95" t="b">
        <v>0</v>
      </c>
      <c r="B3020" s="96"/>
      <c r="C3020" s="18"/>
      <c r="D3020" s="107"/>
      <c r="E3020" s="108"/>
      <c r="F3020" s="109"/>
      <c r="G3020" s="97"/>
      <c r="H3020" s="97"/>
      <c r="I3020" s="97"/>
      <c r="J3020" s="98"/>
      <c r="K3020" s="99"/>
      <c r="L3020" s="98"/>
      <c r="M3020" s="99"/>
      <c r="N3020" s="99"/>
      <c r="O3020" s="18"/>
      <c r="P3020" s="100" t="b">
        <v>0</v>
      </c>
      <c r="Q3020" s="18"/>
      <c r="R3020" s="101" t="str">
        <f t="shared" si="2792"/>
        <v/>
      </c>
      <c r="S3020" s="32"/>
      <c r="T3020" s="102" t="str">
        <f t="shared" si="2793"/>
        <v/>
      </c>
      <c r="U3020" s="18"/>
      <c r="V3020" s="75" t="s">
        <v>29</v>
      </c>
      <c r="W3020" s="104" t="str">
        <f t="shared" si="2828"/>
        <v>/</v>
      </c>
      <c r="X3020" s="111" t="s">
        <v>908</v>
      </c>
      <c r="Y3020" s="106"/>
      <c r="Z3020" s="26" t="str">
        <f t="shared" si="5"/>
        <v/>
      </c>
      <c r="AA3020" s="26" t="str">
        <f t="shared" si="6"/>
        <v/>
      </c>
      <c r="AB3020" s="32" t="str">
        <f t="shared" si="7"/>
        <v/>
      </c>
      <c r="AC3020" s="32" t="str">
        <f t="shared" ref="AC3020:AG3020" si="3085">IF(J3020&lt;&gt;"", IF(AND($P3020=FALSE, $A3020=FALSE), -J3020, IF(AND($P3020=FALSE, $A3020=TRUE), 0, IF($P3020=TRUE, (J3020 / $R3020) * 100 * ($S3020 / 100)-J3020, ))), )</f>
        <v/>
      </c>
      <c r="AD3020" s="32" t="str">
        <f t="shared" si="3085"/>
        <v/>
      </c>
      <c r="AE3020" s="32" t="str">
        <f t="shared" si="3085"/>
        <v/>
      </c>
      <c r="AF3020" s="32" t="str">
        <f t="shared" si="3085"/>
        <v/>
      </c>
      <c r="AG3020" s="32" t="str">
        <f t="shared" si="3085"/>
        <v/>
      </c>
      <c r="AH3020" s="33"/>
    </row>
    <row r="3021" hidden="1" outlineLevel="3">
      <c r="A3021" s="95" t="b">
        <v>0</v>
      </c>
      <c r="B3021" s="96"/>
      <c r="C3021" s="18"/>
      <c r="D3021" s="107"/>
      <c r="E3021" s="108"/>
      <c r="F3021" s="109"/>
      <c r="G3021" s="97"/>
      <c r="H3021" s="97"/>
      <c r="I3021" s="97"/>
      <c r="J3021" s="98"/>
      <c r="K3021" s="99"/>
      <c r="L3021" s="98"/>
      <c r="M3021" s="99"/>
      <c r="N3021" s="99"/>
      <c r="O3021" s="18"/>
      <c r="P3021" s="100" t="b">
        <v>0</v>
      </c>
      <c r="Q3021" s="18"/>
      <c r="R3021" s="101" t="str">
        <f t="shared" si="2792"/>
        <v/>
      </c>
      <c r="S3021" s="32"/>
      <c r="T3021" s="102" t="str">
        <f t="shared" si="2793"/>
        <v/>
      </c>
      <c r="U3021" s="18"/>
      <c r="V3021" s="75" t="s">
        <v>29</v>
      </c>
      <c r="W3021" s="104" t="str">
        <f t="shared" si="2828"/>
        <v>/</v>
      </c>
      <c r="X3021" s="111" t="s">
        <v>1816</v>
      </c>
      <c r="Y3021" s="106"/>
      <c r="Z3021" s="26" t="str">
        <f t="shared" si="5"/>
        <v/>
      </c>
      <c r="AA3021" s="26" t="str">
        <f t="shared" si="6"/>
        <v/>
      </c>
      <c r="AB3021" s="32" t="str">
        <f t="shared" si="7"/>
        <v/>
      </c>
      <c r="AC3021" s="32" t="str">
        <f t="shared" ref="AC3021:AG3021" si="3086">IF(J3021&lt;&gt;"", IF(AND($P3021=FALSE, $A3021=FALSE), -J3021, IF(AND($P3021=FALSE, $A3021=TRUE), 0, IF($P3021=TRUE, (J3021 / $R3021) * 100 * ($S3021 / 100)-J3021, ))), )</f>
        <v/>
      </c>
      <c r="AD3021" s="32" t="str">
        <f t="shared" si="3086"/>
        <v/>
      </c>
      <c r="AE3021" s="32" t="str">
        <f t="shared" si="3086"/>
        <v/>
      </c>
      <c r="AF3021" s="32" t="str">
        <f t="shared" si="3086"/>
        <v/>
      </c>
      <c r="AG3021" s="32" t="str">
        <f t="shared" si="3086"/>
        <v/>
      </c>
      <c r="AH3021" s="33"/>
    </row>
    <row r="3022" hidden="1" outlineLevel="3">
      <c r="A3022" s="95" t="b">
        <v>0</v>
      </c>
      <c r="B3022" s="96"/>
      <c r="C3022" s="18"/>
      <c r="D3022" s="107"/>
      <c r="E3022" s="108"/>
      <c r="F3022" s="109"/>
      <c r="G3022" s="97"/>
      <c r="H3022" s="97"/>
      <c r="I3022" s="97"/>
      <c r="J3022" s="98"/>
      <c r="K3022" s="99"/>
      <c r="L3022" s="98"/>
      <c r="M3022" s="99"/>
      <c r="N3022" s="99"/>
      <c r="O3022" s="18"/>
      <c r="P3022" s="100" t="b">
        <v>0</v>
      </c>
      <c r="Q3022" s="18"/>
      <c r="R3022" s="101" t="str">
        <f t="shared" si="2792"/>
        <v/>
      </c>
      <c r="S3022" s="32"/>
      <c r="T3022" s="102" t="str">
        <f t="shared" si="2793"/>
        <v/>
      </c>
      <c r="U3022" s="18"/>
      <c r="V3022" s="75" t="s">
        <v>29</v>
      </c>
      <c r="W3022" s="104" t="str">
        <f t="shared" si="2828"/>
        <v>/</v>
      </c>
      <c r="X3022" s="111" t="s">
        <v>1192</v>
      </c>
      <c r="Y3022" s="106"/>
      <c r="Z3022" s="26" t="str">
        <f t="shared" si="5"/>
        <v/>
      </c>
      <c r="AA3022" s="26" t="str">
        <f t="shared" si="6"/>
        <v/>
      </c>
      <c r="AB3022" s="32" t="str">
        <f t="shared" si="7"/>
        <v/>
      </c>
      <c r="AC3022" s="32" t="str">
        <f t="shared" ref="AC3022:AG3022" si="3087">IF(J3022&lt;&gt;"", IF(AND($P3022=FALSE, $A3022=FALSE), -J3022, IF(AND($P3022=FALSE, $A3022=TRUE), 0, IF($P3022=TRUE, (J3022 / $R3022) * 100 * ($S3022 / 100)-J3022, ))), )</f>
        <v/>
      </c>
      <c r="AD3022" s="32" t="str">
        <f t="shared" si="3087"/>
        <v/>
      </c>
      <c r="AE3022" s="32" t="str">
        <f t="shared" si="3087"/>
        <v/>
      </c>
      <c r="AF3022" s="32" t="str">
        <f t="shared" si="3087"/>
        <v/>
      </c>
      <c r="AG3022" s="32" t="str">
        <f t="shared" si="3087"/>
        <v/>
      </c>
      <c r="AH3022" s="33"/>
    </row>
    <row r="3023" hidden="1" outlineLevel="3">
      <c r="A3023" s="95" t="b">
        <v>0</v>
      </c>
      <c r="B3023" s="96"/>
      <c r="C3023" s="18"/>
      <c r="D3023" s="107"/>
      <c r="E3023" s="108"/>
      <c r="F3023" s="109"/>
      <c r="G3023" s="97"/>
      <c r="H3023" s="97"/>
      <c r="I3023" s="97"/>
      <c r="J3023" s="98"/>
      <c r="K3023" s="99"/>
      <c r="L3023" s="98"/>
      <c r="M3023" s="99"/>
      <c r="N3023" s="99"/>
      <c r="O3023" s="18"/>
      <c r="P3023" s="100" t="b">
        <v>0</v>
      </c>
      <c r="Q3023" s="18"/>
      <c r="R3023" s="101" t="str">
        <f t="shared" si="2792"/>
        <v/>
      </c>
      <c r="S3023" s="32"/>
      <c r="T3023" s="102" t="str">
        <f t="shared" si="2793"/>
        <v/>
      </c>
      <c r="U3023" s="18"/>
      <c r="V3023" s="75" t="s">
        <v>29</v>
      </c>
      <c r="W3023" s="104" t="str">
        <f t="shared" si="2828"/>
        <v>/</v>
      </c>
      <c r="X3023" s="111" t="s">
        <v>1792</v>
      </c>
      <c r="Y3023" s="106"/>
      <c r="Z3023" s="26" t="str">
        <f t="shared" si="5"/>
        <v/>
      </c>
      <c r="AA3023" s="26" t="str">
        <f t="shared" si="6"/>
        <v/>
      </c>
      <c r="AB3023" s="32" t="str">
        <f t="shared" si="7"/>
        <v/>
      </c>
      <c r="AC3023" s="32" t="str">
        <f t="shared" ref="AC3023:AG3023" si="3088">IF(J3023&lt;&gt;"", IF(AND($P3023=FALSE, $A3023=FALSE), -J3023, IF(AND($P3023=FALSE, $A3023=TRUE), 0, IF($P3023=TRUE, (J3023 / $R3023) * 100 * ($S3023 / 100)-J3023, ))), )</f>
        <v/>
      </c>
      <c r="AD3023" s="32" t="str">
        <f t="shared" si="3088"/>
        <v/>
      </c>
      <c r="AE3023" s="32" t="str">
        <f t="shared" si="3088"/>
        <v/>
      </c>
      <c r="AF3023" s="32" t="str">
        <f t="shared" si="3088"/>
        <v/>
      </c>
      <c r="AG3023" s="32" t="str">
        <f t="shared" si="3088"/>
        <v/>
      </c>
      <c r="AH3023" s="33"/>
    </row>
    <row r="3024" hidden="1" outlineLevel="2" collapsed="1">
      <c r="A3024" s="95" t="b">
        <v>0</v>
      </c>
      <c r="B3024" s="96"/>
      <c r="C3024" s="18"/>
      <c r="D3024" s="42">
        <v>45613.0</v>
      </c>
      <c r="E3024" s="20" t="s">
        <v>24</v>
      </c>
      <c r="F3024" s="53" t="s">
        <v>1807</v>
      </c>
      <c r="G3024" s="97">
        <v>3.0</v>
      </c>
      <c r="H3024" s="97"/>
      <c r="I3024" s="97">
        <v>3.0</v>
      </c>
      <c r="J3024" s="98"/>
      <c r="K3024" s="99"/>
      <c r="L3024" s="98"/>
      <c r="M3024" s="99"/>
      <c r="N3024" s="99"/>
      <c r="O3024" s="18"/>
      <c r="P3024" s="100" t="b">
        <v>0</v>
      </c>
      <c r="Q3024" s="18"/>
      <c r="R3024" s="101">
        <f t="shared" si="2792"/>
        <v>6</v>
      </c>
      <c r="S3024" s="32">
        <v>20.01</v>
      </c>
      <c r="T3024" s="102" t="str">
        <f t="shared" si="2793"/>
        <v>+234</v>
      </c>
      <c r="U3024" s="18"/>
      <c r="V3024" s="103" t="str">
        <f t="shared" ref="V3024:V3025" si="3090">IF(ISBLANK($D3024), "0",)</f>
        <v/>
      </c>
      <c r="W3024" s="104" t="str">
        <f t="shared" si="2828"/>
        <v/>
      </c>
      <c r="X3024" s="105"/>
      <c r="Y3024" s="106"/>
      <c r="Z3024" s="26">
        <f t="shared" si="5"/>
        <v>-3</v>
      </c>
      <c r="AA3024" s="26">
        <f t="shared" si="6"/>
        <v>-3</v>
      </c>
      <c r="AB3024" s="32" t="str">
        <f t="shared" si="7"/>
        <v/>
      </c>
      <c r="AC3024" s="32" t="str">
        <f t="shared" ref="AC3024:AG3024" si="3089">IF(J3024&lt;&gt;"", IF(AND($P3024=FALSE, $A3024=FALSE), -J3024, IF(AND($P3024=FALSE, $A3024=TRUE), 0, IF($P3024=TRUE, (J3024 / $R3024) * 100 * ($S3024 / 100)-J3024, ))), )</f>
        <v/>
      </c>
      <c r="AD3024" s="32" t="str">
        <f t="shared" si="3089"/>
        <v/>
      </c>
      <c r="AE3024" s="32" t="str">
        <f t="shared" si="3089"/>
        <v/>
      </c>
      <c r="AF3024" s="32" t="str">
        <f t="shared" si="3089"/>
        <v/>
      </c>
      <c r="AG3024" s="32" t="str">
        <f t="shared" si="3089"/>
        <v/>
      </c>
      <c r="AH3024" s="33"/>
    </row>
    <row r="3025" hidden="1" outlineLevel="3">
      <c r="A3025" s="95" t="b">
        <v>0</v>
      </c>
      <c r="B3025" s="96"/>
      <c r="C3025" s="18"/>
      <c r="D3025" s="107"/>
      <c r="E3025" s="108"/>
      <c r="F3025" s="109"/>
      <c r="G3025" s="97"/>
      <c r="H3025" s="97"/>
      <c r="I3025" s="97"/>
      <c r="J3025" s="98"/>
      <c r="K3025" s="99"/>
      <c r="L3025" s="98"/>
      <c r="M3025" s="99"/>
      <c r="N3025" s="99"/>
      <c r="O3025" s="18"/>
      <c r="P3025" s="100" t="b">
        <v>0</v>
      </c>
      <c r="Q3025" s="18"/>
      <c r="R3025" s="101" t="str">
        <f t="shared" si="2792"/>
        <v/>
      </c>
      <c r="S3025" s="32"/>
      <c r="T3025" s="102" t="str">
        <f t="shared" si="2793"/>
        <v/>
      </c>
      <c r="U3025" s="18"/>
      <c r="V3025" s="103" t="str">
        <f t="shared" si="3090"/>
        <v>0</v>
      </c>
      <c r="W3025" s="104" t="str">
        <f t="shared" si="2828"/>
        <v>/</v>
      </c>
      <c r="X3025" s="111" t="s">
        <v>1817</v>
      </c>
      <c r="Y3025" s="106"/>
      <c r="Z3025" s="26" t="str">
        <f t="shared" si="5"/>
        <v/>
      </c>
      <c r="AA3025" s="26" t="str">
        <f t="shared" si="6"/>
        <v/>
      </c>
      <c r="AB3025" s="32" t="str">
        <f t="shared" si="7"/>
        <v/>
      </c>
      <c r="AC3025" s="32" t="str">
        <f t="shared" ref="AC3025:AG3025" si="3091">IF(J3025&lt;&gt;"", IF(AND($P3025=FALSE, $A3025=FALSE), -J3025, IF(AND($P3025=FALSE, $A3025=TRUE), 0, IF($P3025=TRUE, (J3025 / $R3025) * 100 * ($S3025 / 100)-J3025, ))), )</f>
        <v/>
      </c>
      <c r="AD3025" s="32" t="str">
        <f t="shared" si="3091"/>
        <v/>
      </c>
      <c r="AE3025" s="32" t="str">
        <f t="shared" si="3091"/>
        <v/>
      </c>
      <c r="AF3025" s="32" t="str">
        <f t="shared" si="3091"/>
        <v/>
      </c>
      <c r="AG3025" s="32" t="str">
        <f t="shared" si="3091"/>
        <v/>
      </c>
      <c r="AH3025" s="33"/>
    </row>
    <row r="3026" hidden="1" outlineLevel="3">
      <c r="A3026" s="95" t="b">
        <v>0</v>
      </c>
      <c r="B3026" s="96"/>
      <c r="C3026" s="18"/>
      <c r="D3026" s="107"/>
      <c r="E3026" s="108"/>
      <c r="F3026" s="109"/>
      <c r="G3026" s="97"/>
      <c r="H3026" s="97"/>
      <c r="I3026" s="97"/>
      <c r="J3026" s="98"/>
      <c r="K3026" s="99"/>
      <c r="L3026" s="98"/>
      <c r="M3026" s="99"/>
      <c r="N3026" s="99"/>
      <c r="O3026" s="18"/>
      <c r="P3026" s="100" t="b">
        <v>0</v>
      </c>
      <c r="Q3026" s="18"/>
      <c r="R3026" s="101" t="str">
        <f t="shared" si="2792"/>
        <v/>
      </c>
      <c r="S3026" s="32"/>
      <c r="T3026" s="102" t="str">
        <f t="shared" si="2793"/>
        <v/>
      </c>
      <c r="U3026" s="18"/>
      <c r="V3026" s="113">
        <v>13.0</v>
      </c>
      <c r="W3026" s="104" t="str">
        <f t="shared" si="2828"/>
        <v>/</v>
      </c>
      <c r="X3026" s="111" t="s">
        <v>1818</v>
      </c>
      <c r="Y3026" s="106"/>
      <c r="Z3026" s="26" t="str">
        <f t="shared" si="5"/>
        <v/>
      </c>
      <c r="AA3026" s="26" t="str">
        <f t="shared" si="6"/>
        <v/>
      </c>
      <c r="AB3026" s="32" t="str">
        <f t="shared" si="7"/>
        <v/>
      </c>
      <c r="AC3026" s="32" t="str">
        <f t="shared" ref="AC3026:AG3026" si="3092">IF(J3026&lt;&gt;"", IF(AND($P3026=FALSE, $A3026=FALSE), -J3026, IF(AND($P3026=FALSE, $A3026=TRUE), 0, IF($P3026=TRUE, (J3026 / $R3026) * 100 * ($S3026 / 100)-J3026, ))), )</f>
        <v/>
      </c>
      <c r="AD3026" s="32" t="str">
        <f t="shared" si="3092"/>
        <v/>
      </c>
      <c r="AE3026" s="32" t="str">
        <f t="shared" si="3092"/>
        <v/>
      </c>
      <c r="AF3026" s="32" t="str">
        <f t="shared" si="3092"/>
        <v/>
      </c>
      <c r="AG3026" s="32" t="str">
        <f t="shared" si="3092"/>
        <v/>
      </c>
      <c r="AH3026" s="33"/>
    </row>
    <row r="3027" hidden="1" outlineLevel="2" collapsed="1">
      <c r="A3027" s="95" t="b">
        <v>0</v>
      </c>
      <c r="B3027" s="96"/>
      <c r="C3027" s="18"/>
      <c r="D3027" s="42">
        <v>45613.0</v>
      </c>
      <c r="E3027" s="20" t="s">
        <v>24</v>
      </c>
      <c r="F3027" s="53" t="s">
        <v>1807</v>
      </c>
      <c r="G3027" s="97">
        <v>3.0</v>
      </c>
      <c r="H3027" s="97"/>
      <c r="I3027" s="97">
        <v>2.0</v>
      </c>
      <c r="J3027" s="98"/>
      <c r="K3027" s="99"/>
      <c r="L3027" s="98"/>
      <c r="M3027" s="99"/>
      <c r="N3027" s="99"/>
      <c r="O3027" s="18"/>
      <c r="P3027" s="100" t="b">
        <v>0</v>
      </c>
      <c r="Q3027" s="18"/>
      <c r="R3027" s="101">
        <f t="shared" si="2792"/>
        <v>5</v>
      </c>
      <c r="S3027" s="32">
        <v>15.59</v>
      </c>
      <c r="T3027" s="102" t="str">
        <f t="shared" si="2793"/>
        <v>+212</v>
      </c>
      <c r="U3027" s="18"/>
      <c r="V3027" s="103" t="str">
        <f t="shared" ref="V3027:V3028" si="3094">IF(ISBLANK($D3027), "0",)</f>
        <v/>
      </c>
      <c r="W3027" s="104" t="str">
        <f t="shared" si="2828"/>
        <v/>
      </c>
      <c r="X3027" s="105"/>
      <c r="Y3027" s="106"/>
      <c r="Z3027" s="26">
        <f t="shared" si="5"/>
        <v>-3</v>
      </c>
      <c r="AA3027" s="26">
        <f t="shared" si="6"/>
        <v>-2</v>
      </c>
      <c r="AB3027" s="32" t="str">
        <f t="shared" si="7"/>
        <v/>
      </c>
      <c r="AC3027" s="32" t="str">
        <f t="shared" ref="AC3027:AG3027" si="3093">IF(J3027&lt;&gt;"", IF(AND($P3027=FALSE, $A3027=FALSE), -J3027, IF(AND($P3027=FALSE, $A3027=TRUE), 0, IF($P3027=TRUE, (J3027 / $R3027) * 100 * ($S3027 / 100)-J3027, ))), )</f>
        <v/>
      </c>
      <c r="AD3027" s="32" t="str">
        <f t="shared" si="3093"/>
        <v/>
      </c>
      <c r="AE3027" s="32" t="str">
        <f t="shared" si="3093"/>
        <v/>
      </c>
      <c r="AF3027" s="32" t="str">
        <f t="shared" si="3093"/>
        <v/>
      </c>
      <c r="AG3027" s="32" t="str">
        <f t="shared" si="3093"/>
        <v/>
      </c>
      <c r="AH3027" s="33"/>
    </row>
    <row r="3028" hidden="1" outlineLevel="3">
      <c r="A3028" s="95" t="b">
        <v>0</v>
      </c>
      <c r="B3028" s="96"/>
      <c r="C3028" s="18"/>
      <c r="D3028" s="107"/>
      <c r="E3028" s="108"/>
      <c r="F3028" s="109"/>
      <c r="G3028" s="97"/>
      <c r="H3028" s="97"/>
      <c r="I3028" s="97"/>
      <c r="J3028" s="98"/>
      <c r="K3028" s="99"/>
      <c r="L3028" s="98"/>
      <c r="M3028" s="99"/>
      <c r="N3028" s="99"/>
      <c r="O3028" s="18"/>
      <c r="P3028" s="100" t="b">
        <v>0</v>
      </c>
      <c r="Q3028" s="18"/>
      <c r="R3028" s="101" t="str">
        <f t="shared" si="2792"/>
        <v/>
      </c>
      <c r="S3028" s="32"/>
      <c r="T3028" s="102" t="str">
        <f t="shared" si="2793"/>
        <v/>
      </c>
      <c r="U3028" s="18"/>
      <c r="V3028" s="103" t="str">
        <f t="shared" si="3094"/>
        <v>0</v>
      </c>
      <c r="W3028" s="104" t="str">
        <f t="shared" si="2828"/>
        <v>/</v>
      </c>
      <c r="X3028" s="111" t="s">
        <v>491</v>
      </c>
      <c r="Y3028" s="106"/>
      <c r="Z3028" s="26" t="str">
        <f t="shared" si="5"/>
        <v/>
      </c>
      <c r="AA3028" s="26" t="str">
        <f t="shared" si="6"/>
        <v/>
      </c>
      <c r="AB3028" s="32" t="str">
        <f t="shared" si="7"/>
        <v/>
      </c>
      <c r="AC3028" s="32" t="str">
        <f t="shared" ref="AC3028:AG3028" si="3095">IF(J3028&lt;&gt;"", IF(AND($P3028=FALSE, $A3028=FALSE), -J3028, IF(AND($P3028=FALSE, $A3028=TRUE), 0, IF($P3028=TRUE, (J3028 / $R3028) * 100 * ($S3028 / 100)-J3028, ))), )</f>
        <v/>
      </c>
      <c r="AD3028" s="32" t="str">
        <f t="shared" si="3095"/>
        <v/>
      </c>
      <c r="AE3028" s="32" t="str">
        <f t="shared" si="3095"/>
        <v/>
      </c>
      <c r="AF3028" s="32" t="str">
        <f t="shared" si="3095"/>
        <v/>
      </c>
      <c r="AG3028" s="32" t="str">
        <f t="shared" si="3095"/>
        <v/>
      </c>
      <c r="AH3028" s="33"/>
    </row>
    <row r="3029" hidden="1" outlineLevel="3">
      <c r="A3029" s="95" t="b">
        <v>0</v>
      </c>
      <c r="B3029" s="96"/>
      <c r="C3029" s="18"/>
      <c r="D3029" s="107"/>
      <c r="E3029" s="108"/>
      <c r="F3029" s="109"/>
      <c r="G3029" s="97"/>
      <c r="H3029" s="97"/>
      <c r="I3029" s="97"/>
      <c r="J3029" s="98"/>
      <c r="K3029" s="99"/>
      <c r="L3029" s="98"/>
      <c r="M3029" s="99"/>
      <c r="N3029" s="99"/>
      <c r="O3029" s="18"/>
      <c r="P3029" s="100" t="b">
        <v>0</v>
      </c>
      <c r="Q3029" s="18"/>
      <c r="R3029" s="101" t="str">
        <f t="shared" si="2792"/>
        <v/>
      </c>
      <c r="S3029" s="32"/>
      <c r="T3029" s="102" t="str">
        <f t="shared" si="2793"/>
        <v/>
      </c>
      <c r="U3029" s="18"/>
      <c r="V3029" s="113">
        <v>163.0</v>
      </c>
      <c r="W3029" s="104" t="str">
        <f t="shared" si="2828"/>
        <v>/</v>
      </c>
      <c r="X3029" s="111" t="s">
        <v>312</v>
      </c>
      <c r="Y3029" s="106"/>
      <c r="Z3029" s="26" t="str">
        <f t="shared" si="5"/>
        <v/>
      </c>
      <c r="AA3029" s="26" t="str">
        <f t="shared" si="6"/>
        <v/>
      </c>
      <c r="AB3029" s="32" t="str">
        <f t="shared" si="7"/>
        <v/>
      </c>
      <c r="AC3029" s="32" t="str">
        <f t="shared" ref="AC3029:AG3029" si="3096">IF(J3029&lt;&gt;"", IF(AND($P3029=FALSE, $A3029=FALSE), -J3029, IF(AND($P3029=FALSE, $A3029=TRUE), 0, IF($P3029=TRUE, (J3029 / $R3029) * 100 * ($S3029 / 100)-J3029, ))), )</f>
        <v/>
      </c>
      <c r="AD3029" s="32" t="str">
        <f t="shared" si="3096"/>
        <v/>
      </c>
      <c r="AE3029" s="32" t="str">
        <f t="shared" si="3096"/>
        <v/>
      </c>
      <c r="AF3029" s="32" t="str">
        <f t="shared" si="3096"/>
        <v/>
      </c>
      <c r="AG3029" s="32" t="str">
        <f t="shared" si="3096"/>
        <v/>
      </c>
      <c r="AH3029" s="33"/>
    </row>
    <row r="3030" hidden="1" outlineLevel="3">
      <c r="A3030" s="95" t="b">
        <v>0</v>
      </c>
      <c r="B3030" s="96"/>
      <c r="C3030" s="18"/>
      <c r="D3030" s="107"/>
      <c r="E3030" s="108"/>
      <c r="F3030" s="109"/>
      <c r="G3030" s="97"/>
      <c r="H3030" s="97"/>
      <c r="I3030" s="97"/>
      <c r="J3030" s="98"/>
      <c r="K3030" s="99"/>
      <c r="L3030" s="98"/>
      <c r="M3030" s="99"/>
      <c r="N3030" s="99"/>
      <c r="O3030" s="18"/>
      <c r="P3030" s="100" t="b">
        <v>0</v>
      </c>
      <c r="Q3030" s="18"/>
      <c r="R3030" s="101" t="str">
        <f t="shared" si="2792"/>
        <v/>
      </c>
      <c r="S3030" s="32"/>
      <c r="T3030" s="102" t="str">
        <f t="shared" si="2793"/>
        <v/>
      </c>
      <c r="U3030" s="18"/>
      <c r="V3030" s="75" t="s">
        <v>29</v>
      </c>
      <c r="W3030" s="104" t="str">
        <f t="shared" si="2828"/>
        <v>/</v>
      </c>
      <c r="X3030" s="111" t="s">
        <v>607</v>
      </c>
      <c r="Y3030" s="106"/>
      <c r="Z3030" s="26" t="str">
        <f t="shared" si="5"/>
        <v/>
      </c>
      <c r="AA3030" s="26" t="str">
        <f t="shared" si="6"/>
        <v/>
      </c>
      <c r="AB3030" s="32" t="str">
        <f t="shared" si="7"/>
        <v/>
      </c>
      <c r="AC3030" s="32" t="str">
        <f t="shared" ref="AC3030:AG3030" si="3097">IF(J3030&lt;&gt;"", IF(AND($P3030=FALSE, $A3030=FALSE), -J3030, IF(AND($P3030=FALSE, $A3030=TRUE), 0, IF($P3030=TRUE, (J3030 / $R3030) * 100 * ($S3030 / 100)-J3030, ))), )</f>
        <v/>
      </c>
      <c r="AD3030" s="32" t="str">
        <f t="shared" si="3097"/>
        <v/>
      </c>
      <c r="AE3030" s="32" t="str">
        <f t="shared" si="3097"/>
        <v/>
      </c>
      <c r="AF3030" s="32" t="str">
        <f t="shared" si="3097"/>
        <v/>
      </c>
      <c r="AG3030" s="32" t="str">
        <f t="shared" si="3097"/>
        <v/>
      </c>
      <c r="AH3030" s="33"/>
    </row>
    <row r="3031" hidden="1" outlineLevel="3">
      <c r="A3031" s="95" t="b">
        <v>0</v>
      </c>
      <c r="B3031" s="96"/>
      <c r="C3031" s="18"/>
      <c r="D3031" s="107"/>
      <c r="E3031" s="108"/>
      <c r="F3031" s="109"/>
      <c r="G3031" s="97"/>
      <c r="H3031" s="97"/>
      <c r="I3031" s="97"/>
      <c r="J3031" s="98"/>
      <c r="K3031" s="99"/>
      <c r="L3031" s="98"/>
      <c r="M3031" s="99"/>
      <c r="N3031" s="99"/>
      <c r="O3031" s="18"/>
      <c r="P3031" s="100" t="b">
        <v>0</v>
      </c>
      <c r="Q3031" s="18"/>
      <c r="R3031" s="101" t="str">
        <f t="shared" si="2792"/>
        <v/>
      </c>
      <c r="S3031" s="32"/>
      <c r="T3031" s="102" t="str">
        <f t="shared" si="2793"/>
        <v/>
      </c>
      <c r="U3031" s="18"/>
      <c r="V3031" s="75" t="s">
        <v>29</v>
      </c>
      <c r="W3031" s="104" t="str">
        <f t="shared" si="2828"/>
        <v>/</v>
      </c>
      <c r="X3031" s="111" t="s">
        <v>1819</v>
      </c>
      <c r="Y3031" s="106"/>
      <c r="Z3031" s="26" t="str">
        <f t="shared" si="5"/>
        <v/>
      </c>
      <c r="AA3031" s="26" t="str">
        <f t="shared" si="6"/>
        <v/>
      </c>
      <c r="AB3031" s="32" t="str">
        <f t="shared" si="7"/>
        <v/>
      </c>
      <c r="AC3031" s="32" t="str">
        <f t="shared" ref="AC3031:AG3031" si="3098">IF(J3031&lt;&gt;"", IF(AND($P3031=FALSE, $A3031=FALSE), -J3031, IF(AND($P3031=FALSE, $A3031=TRUE), 0, IF($P3031=TRUE, (J3031 / $R3031) * 100 * ($S3031 / 100)-J3031, ))), )</f>
        <v/>
      </c>
      <c r="AD3031" s="32" t="str">
        <f t="shared" si="3098"/>
        <v/>
      </c>
      <c r="AE3031" s="32" t="str">
        <f t="shared" si="3098"/>
        <v/>
      </c>
      <c r="AF3031" s="32" t="str">
        <f t="shared" si="3098"/>
        <v/>
      </c>
      <c r="AG3031" s="32" t="str">
        <f t="shared" si="3098"/>
        <v/>
      </c>
      <c r="AH3031" s="33"/>
    </row>
    <row r="3032" hidden="1" outlineLevel="2" collapsed="1">
      <c r="A3032" s="95" t="b">
        <v>0</v>
      </c>
      <c r="B3032" s="96"/>
      <c r="C3032" s="18"/>
      <c r="D3032" s="42">
        <v>45613.0</v>
      </c>
      <c r="E3032" s="20" t="s">
        <v>24</v>
      </c>
      <c r="F3032" s="53" t="s">
        <v>1807</v>
      </c>
      <c r="G3032" s="97">
        <v>1.0</v>
      </c>
      <c r="H3032" s="97"/>
      <c r="I3032" s="97">
        <v>1.0</v>
      </c>
      <c r="J3032" s="98"/>
      <c r="K3032" s="99"/>
      <c r="L3032" s="98"/>
      <c r="M3032" s="99"/>
      <c r="N3032" s="99"/>
      <c r="O3032" s="18"/>
      <c r="P3032" s="100" t="b">
        <v>0</v>
      </c>
      <c r="Q3032" s="18"/>
      <c r="R3032" s="101">
        <f t="shared" si="2792"/>
        <v>2</v>
      </c>
      <c r="S3032" s="32">
        <v>27.83</v>
      </c>
      <c r="T3032" s="102" t="str">
        <f t="shared" si="2793"/>
        <v>+1292</v>
      </c>
      <c r="U3032" s="18"/>
      <c r="V3032" s="103" t="str">
        <f t="shared" ref="V3032:V3033" si="3100">IF(ISBLANK($D3032), "0",)</f>
        <v/>
      </c>
      <c r="W3032" s="104" t="str">
        <f t="shared" si="2828"/>
        <v/>
      </c>
      <c r="X3032" s="105"/>
      <c r="Y3032" s="106"/>
      <c r="Z3032" s="26">
        <f t="shared" si="5"/>
        <v>-1</v>
      </c>
      <c r="AA3032" s="26">
        <f t="shared" si="6"/>
        <v>-1</v>
      </c>
      <c r="AB3032" s="32" t="str">
        <f t="shared" si="7"/>
        <v/>
      </c>
      <c r="AC3032" s="32" t="str">
        <f t="shared" ref="AC3032:AG3032" si="3099">IF(J3032&lt;&gt;"", IF(AND($P3032=FALSE, $A3032=FALSE), -J3032, IF(AND($P3032=FALSE, $A3032=TRUE), 0, IF($P3032=TRUE, (J3032 / $R3032) * 100 * ($S3032 / 100)-J3032, ))), )</f>
        <v/>
      </c>
      <c r="AD3032" s="32" t="str">
        <f t="shared" si="3099"/>
        <v/>
      </c>
      <c r="AE3032" s="32" t="str">
        <f t="shared" si="3099"/>
        <v/>
      </c>
      <c r="AF3032" s="32" t="str">
        <f t="shared" si="3099"/>
        <v/>
      </c>
      <c r="AG3032" s="32" t="str">
        <f t="shared" si="3099"/>
        <v/>
      </c>
      <c r="AH3032" s="33"/>
    </row>
    <row r="3033" hidden="1" outlineLevel="3">
      <c r="A3033" s="95" t="b">
        <v>0</v>
      </c>
      <c r="B3033" s="96"/>
      <c r="C3033" s="18"/>
      <c r="D3033" s="107"/>
      <c r="E3033" s="108"/>
      <c r="F3033" s="109"/>
      <c r="G3033" s="97"/>
      <c r="H3033" s="97"/>
      <c r="I3033" s="97"/>
      <c r="J3033" s="98"/>
      <c r="K3033" s="99"/>
      <c r="L3033" s="98"/>
      <c r="M3033" s="99"/>
      <c r="N3033" s="99"/>
      <c r="O3033" s="18"/>
      <c r="P3033" s="100" t="b">
        <v>0</v>
      </c>
      <c r="Q3033" s="18"/>
      <c r="R3033" s="101" t="str">
        <f t="shared" si="2792"/>
        <v/>
      </c>
      <c r="S3033" s="32"/>
      <c r="T3033" s="102" t="str">
        <f t="shared" si="2793"/>
        <v/>
      </c>
      <c r="U3033" s="18"/>
      <c r="V3033" s="103" t="str">
        <f t="shared" si="3100"/>
        <v>0</v>
      </c>
      <c r="W3033" s="104" t="str">
        <f t="shared" si="2828"/>
        <v>/</v>
      </c>
      <c r="X3033" s="111" t="s">
        <v>491</v>
      </c>
      <c r="Y3033" s="106"/>
      <c r="Z3033" s="26" t="str">
        <f t="shared" si="5"/>
        <v/>
      </c>
      <c r="AA3033" s="26" t="str">
        <f t="shared" si="6"/>
        <v/>
      </c>
      <c r="AB3033" s="32" t="str">
        <f t="shared" si="7"/>
        <v/>
      </c>
      <c r="AC3033" s="32" t="str">
        <f t="shared" ref="AC3033:AG3033" si="3101">IF(J3033&lt;&gt;"", IF(AND($P3033=FALSE, $A3033=FALSE), -J3033, IF(AND($P3033=FALSE, $A3033=TRUE), 0, IF($P3033=TRUE, (J3033 / $R3033) * 100 * ($S3033 / 100)-J3033, ))), )</f>
        <v/>
      </c>
      <c r="AD3033" s="32" t="str">
        <f t="shared" si="3101"/>
        <v/>
      </c>
      <c r="AE3033" s="32" t="str">
        <f t="shared" si="3101"/>
        <v/>
      </c>
      <c r="AF3033" s="32" t="str">
        <f t="shared" si="3101"/>
        <v/>
      </c>
      <c r="AG3033" s="32" t="str">
        <f t="shared" si="3101"/>
        <v/>
      </c>
      <c r="AH3033" s="33"/>
    </row>
    <row r="3034" hidden="1" outlineLevel="3">
      <c r="A3034" s="95" t="b">
        <v>0</v>
      </c>
      <c r="B3034" s="96"/>
      <c r="C3034" s="18"/>
      <c r="D3034" s="107"/>
      <c r="E3034" s="108"/>
      <c r="F3034" s="109"/>
      <c r="G3034" s="97"/>
      <c r="H3034" s="97"/>
      <c r="I3034" s="97"/>
      <c r="J3034" s="98"/>
      <c r="K3034" s="99"/>
      <c r="L3034" s="98"/>
      <c r="M3034" s="99"/>
      <c r="N3034" s="99"/>
      <c r="O3034" s="18"/>
      <c r="P3034" s="100" t="b">
        <v>0</v>
      </c>
      <c r="Q3034" s="18"/>
      <c r="R3034" s="101" t="str">
        <f t="shared" si="2792"/>
        <v/>
      </c>
      <c r="S3034" s="32"/>
      <c r="T3034" s="102" t="str">
        <f t="shared" si="2793"/>
        <v/>
      </c>
      <c r="U3034" s="18"/>
      <c r="V3034" s="113">
        <v>163.0</v>
      </c>
      <c r="W3034" s="104" t="str">
        <f t="shared" si="2828"/>
        <v>/</v>
      </c>
      <c r="X3034" s="111" t="s">
        <v>312</v>
      </c>
      <c r="Y3034" s="106"/>
      <c r="Z3034" s="26" t="str">
        <f t="shared" si="5"/>
        <v/>
      </c>
      <c r="AA3034" s="26" t="str">
        <f t="shared" si="6"/>
        <v/>
      </c>
      <c r="AB3034" s="32" t="str">
        <f t="shared" si="7"/>
        <v/>
      </c>
      <c r="AC3034" s="32" t="str">
        <f t="shared" ref="AC3034:AG3034" si="3102">IF(J3034&lt;&gt;"", IF(AND($P3034=FALSE, $A3034=FALSE), -J3034, IF(AND($P3034=FALSE, $A3034=TRUE), 0, IF($P3034=TRUE, (J3034 / $R3034) * 100 * ($S3034 / 100)-J3034, ))), )</f>
        <v/>
      </c>
      <c r="AD3034" s="32" t="str">
        <f t="shared" si="3102"/>
        <v/>
      </c>
      <c r="AE3034" s="32" t="str">
        <f t="shared" si="3102"/>
        <v/>
      </c>
      <c r="AF3034" s="32" t="str">
        <f t="shared" si="3102"/>
        <v/>
      </c>
      <c r="AG3034" s="32" t="str">
        <f t="shared" si="3102"/>
        <v/>
      </c>
      <c r="AH3034" s="33"/>
    </row>
    <row r="3035" hidden="1" outlineLevel="3">
      <c r="A3035" s="95" t="b">
        <v>0</v>
      </c>
      <c r="B3035" s="96"/>
      <c r="C3035" s="18"/>
      <c r="D3035" s="107"/>
      <c r="E3035" s="108"/>
      <c r="F3035" s="109"/>
      <c r="G3035" s="97"/>
      <c r="H3035" s="97"/>
      <c r="I3035" s="97"/>
      <c r="J3035" s="98"/>
      <c r="K3035" s="99"/>
      <c r="L3035" s="98"/>
      <c r="M3035" s="99"/>
      <c r="N3035" s="99"/>
      <c r="O3035" s="18"/>
      <c r="P3035" s="100" t="b">
        <v>0</v>
      </c>
      <c r="Q3035" s="18"/>
      <c r="R3035" s="101" t="str">
        <f t="shared" si="2792"/>
        <v/>
      </c>
      <c r="S3035" s="32"/>
      <c r="T3035" s="102" t="str">
        <f t="shared" si="2793"/>
        <v/>
      </c>
      <c r="U3035" s="18"/>
      <c r="V3035" s="75" t="s">
        <v>29</v>
      </c>
      <c r="W3035" s="104" t="str">
        <f t="shared" si="2828"/>
        <v>/</v>
      </c>
      <c r="X3035" s="111" t="s">
        <v>607</v>
      </c>
      <c r="Y3035" s="106"/>
      <c r="Z3035" s="26" t="str">
        <f t="shared" si="5"/>
        <v/>
      </c>
      <c r="AA3035" s="26" t="str">
        <f t="shared" si="6"/>
        <v/>
      </c>
      <c r="AB3035" s="32" t="str">
        <f t="shared" si="7"/>
        <v/>
      </c>
      <c r="AC3035" s="32" t="str">
        <f t="shared" ref="AC3035:AG3035" si="3103">IF(J3035&lt;&gt;"", IF(AND($P3035=FALSE, $A3035=FALSE), -J3035, IF(AND($P3035=FALSE, $A3035=TRUE), 0, IF($P3035=TRUE, (J3035 / $R3035) * 100 * ($S3035 / 100)-J3035, ))), )</f>
        <v/>
      </c>
      <c r="AD3035" s="32" t="str">
        <f t="shared" si="3103"/>
        <v/>
      </c>
      <c r="AE3035" s="32" t="str">
        <f t="shared" si="3103"/>
        <v/>
      </c>
      <c r="AF3035" s="32" t="str">
        <f t="shared" si="3103"/>
        <v/>
      </c>
      <c r="AG3035" s="32" t="str">
        <f t="shared" si="3103"/>
        <v/>
      </c>
      <c r="AH3035" s="33"/>
    </row>
    <row r="3036" hidden="1" outlineLevel="3">
      <c r="A3036" s="95" t="b">
        <v>0</v>
      </c>
      <c r="B3036" s="96"/>
      <c r="C3036" s="18"/>
      <c r="D3036" s="107"/>
      <c r="E3036" s="108"/>
      <c r="F3036" s="109"/>
      <c r="G3036" s="97"/>
      <c r="H3036" s="97"/>
      <c r="I3036" s="97"/>
      <c r="J3036" s="98"/>
      <c r="K3036" s="99"/>
      <c r="L3036" s="98"/>
      <c r="M3036" s="99"/>
      <c r="N3036" s="99"/>
      <c r="O3036" s="18"/>
      <c r="P3036" s="100" t="b">
        <v>0</v>
      </c>
      <c r="Q3036" s="18"/>
      <c r="R3036" s="101" t="str">
        <f t="shared" si="2792"/>
        <v/>
      </c>
      <c r="S3036" s="32"/>
      <c r="T3036" s="102" t="str">
        <f t="shared" si="2793"/>
        <v/>
      </c>
      <c r="U3036" s="18"/>
      <c r="V3036" s="75" t="s">
        <v>29</v>
      </c>
      <c r="W3036" s="104" t="str">
        <f t="shared" si="2828"/>
        <v>/</v>
      </c>
      <c r="X3036" s="111" t="s">
        <v>1819</v>
      </c>
      <c r="Y3036" s="106"/>
      <c r="Z3036" s="26" t="str">
        <f t="shared" si="5"/>
        <v/>
      </c>
      <c r="AA3036" s="26" t="str">
        <f t="shared" si="6"/>
        <v/>
      </c>
      <c r="AB3036" s="32" t="str">
        <f t="shared" si="7"/>
        <v/>
      </c>
      <c r="AC3036" s="32" t="str">
        <f t="shared" ref="AC3036:AG3036" si="3104">IF(J3036&lt;&gt;"", IF(AND($P3036=FALSE, $A3036=FALSE), -J3036, IF(AND($P3036=FALSE, $A3036=TRUE), 0, IF($P3036=TRUE, (J3036 / $R3036) * 100 * ($S3036 / 100)-J3036, ))), )</f>
        <v/>
      </c>
      <c r="AD3036" s="32" t="str">
        <f t="shared" si="3104"/>
        <v/>
      </c>
      <c r="AE3036" s="32" t="str">
        <f t="shared" si="3104"/>
        <v/>
      </c>
      <c r="AF3036" s="32" t="str">
        <f t="shared" si="3104"/>
        <v/>
      </c>
      <c r="AG3036" s="32" t="str">
        <f t="shared" si="3104"/>
        <v/>
      </c>
      <c r="AH3036" s="33"/>
    </row>
    <row r="3037" hidden="1" outlineLevel="3">
      <c r="A3037" s="95" t="b">
        <v>0</v>
      </c>
      <c r="B3037" s="96"/>
      <c r="C3037" s="18"/>
      <c r="D3037" s="107"/>
      <c r="E3037" s="108"/>
      <c r="F3037" s="109"/>
      <c r="G3037" s="97"/>
      <c r="H3037" s="97"/>
      <c r="I3037" s="97"/>
      <c r="J3037" s="98"/>
      <c r="K3037" s="99"/>
      <c r="L3037" s="98"/>
      <c r="M3037" s="99"/>
      <c r="N3037" s="99"/>
      <c r="O3037" s="18"/>
      <c r="P3037" s="100" t="b">
        <v>0</v>
      </c>
      <c r="Q3037" s="18"/>
      <c r="R3037" s="101" t="str">
        <f t="shared" si="2792"/>
        <v/>
      </c>
      <c r="S3037" s="32"/>
      <c r="T3037" s="102" t="str">
        <f t="shared" si="2793"/>
        <v/>
      </c>
      <c r="U3037" s="18"/>
      <c r="V3037" s="75" t="s">
        <v>29</v>
      </c>
      <c r="W3037" s="104" t="str">
        <f t="shared" si="2828"/>
        <v>/</v>
      </c>
      <c r="X3037" s="111" t="s">
        <v>497</v>
      </c>
      <c r="Y3037" s="106"/>
      <c r="Z3037" s="26" t="str">
        <f t="shared" si="5"/>
        <v/>
      </c>
      <c r="AA3037" s="26" t="str">
        <f t="shared" si="6"/>
        <v/>
      </c>
      <c r="AB3037" s="32" t="str">
        <f t="shared" si="7"/>
        <v/>
      </c>
      <c r="AC3037" s="32" t="str">
        <f t="shared" ref="AC3037:AG3037" si="3105">IF(J3037&lt;&gt;"", IF(AND($P3037=FALSE, $A3037=FALSE), -J3037, IF(AND($P3037=FALSE, $A3037=TRUE), 0, IF($P3037=TRUE, (J3037 / $R3037) * 100 * ($S3037 / 100)-J3037, ))), )</f>
        <v/>
      </c>
      <c r="AD3037" s="32" t="str">
        <f t="shared" si="3105"/>
        <v/>
      </c>
      <c r="AE3037" s="32" t="str">
        <f t="shared" si="3105"/>
        <v/>
      </c>
      <c r="AF3037" s="32" t="str">
        <f t="shared" si="3105"/>
        <v/>
      </c>
      <c r="AG3037" s="32" t="str">
        <f t="shared" si="3105"/>
        <v/>
      </c>
      <c r="AH3037" s="33"/>
    </row>
    <row r="3038" hidden="1" outlineLevel="3">
      <c r="A3038" s="95" t="b">
        <v>0</v>
      </c>
      <c r="B3038" s="96"/>
      <c r="C3038" s="18"/>
      <c r="D3038" s="107"/>
      <c r="E3038" s="108"/>
      <c r="F3038" s="109"/>
      <c r="G3038" s="97"/>
      <c r="H3038" s="97"/>
      <c r="I3038" s="97"/>
      <c r="J3038" s="98"/>
      <c r="K3038" s="99"/>
      <c r="L3038" s="98"/>
      <c r="M3038" s="99"/>
      <c r="N3038" s="99"/>
      <c r="O3038" s="18"/>
      <c r="P3038" s="100" t="b">
        <v>0</v>
      </c>
      <c r="Q3038" s="18"/>
      <c r="R3038" s="101" t="str">
        <f t="shared" si="2792"/>
        <v/>
      </c>
      <c r="S3038" s="32"/>
      <c r="T3038" s="102" t="str">
        <f t="shared" si="2793"/>
        <v/>
      </c>
      <c r="U3038" s="18"/>
      <c r="V3038" s="75" t="s">
        <v>29</v>
      </c>
      <c r="W3038" s="104" t="str">
        <f t="shared" si="2828"/>
        <v>/</v>
      </c>
      <c r="X3038" s="111" t="s">
        <v>315</v>
      </c>
      <c r="Y3038" s="106"/>
      <c r="Z3038" s="26" t="str">
        <f t="shared" si="5"/>
        <v/>
      </c>
      <c r="AA3038" s="26" t="str">
        <f t="shared" si="6"/>
        <v/>
      </c>
      <c r="AB3038" s="32" t="str">
        <f t="shared" si="7"/>
        <v/>
      </c>
      <c r="AC3038" s="32" t="str">
        <f t="shared" ref="AC3038:AG3038" si="3106">IF(J3038&lt;&gt;"", IF(AND($P3038=FALSE, $A3038=FALSE), -J3038, IF(AND($P3038=FALSE, $A3038=TRUE), 0, IF($P3038=TRUE, (J3038 / $R3038) * 100 * ($S3038 / 100)-J3038, ))), )</f>
        <v/>
      </c>
      <c r="AD3038" s="32" t="str">
        <f t="shared" si="3106"/>
        <v/>
      </c>
      <c r="AE3038" s="32" t="str">
        <f t="shared" si="3106"/>
        <v/>
      </c>
      <c r="AF3038" s="32" t="str">
        <f t="shared" si="3106"/>
        <v/>
      </c>
      <c r="AG3038" s="32" t="str">
        <f t="shared" si="3106"/>
        <v/>
      </c>
      <c r="AH3038" s="33"/>
    </row>
    <row r="3039" hidden="1" outlineLevel="3">
      <c r="A3039" s="95" t="b">
        <v>0</v>
      </c>
      <c r="B3039" s="96"/>
      <c r="C3039" s="18"/>
      <c r="D3039" s="107"/>
      <c r="E3039" s="108"/>
      <c r="F3039" s="109"/>
      <c r="G3039" s="97"/>
      <c r="H3039" s="97"/>
      <c r="I3039" s="97"/>
      <c r="J3039" s="98"/>
      <c r="K3039" s="99"/>
      <c r="L3039" s="98"/>
      <c r="M3039" s="99"/>
      <c r="N3039" s="99"/>
      <c r="O3039" s="18"/>
      <c r="P3039" s="100" t="b">
        <v>0</v>
      </c>
      <c r="Q3039" s="18"/>
      <c r="R3039" s="101" t="str">
        <f t="shared" si="2792"/>
        <v/>
      </c>
      <c r="S3039" s="32"/>
      <c r="T3039" s="102" t="str">
        <f t="shared" si="2793"/>
        <v/>
      </c>
      <c r="U3039" s="18"/>
      <c r="V3039" s="113" t="s">
        <v>1820</v>
      </c>
      <c r="W3039" s="104" t="str">
        <f t="shared" si="2828"/>
        <v>/</v>
      </c>
      <c r="X3039" s="111" t="s">
        <v>397</v>
      </c>
      <c r="Y3039" s="106"/>
      <c r="Z3039" s="26" t="str">
        <f t="shared" si="5"/>
        <v/>
      </c>
      <c r="AA3039" s="26" t="str">
        <f t="shared" si="6"/>
        <v/>
      </c>
      <c r="AB3039" s="32" t="str">
        <f t="shared" si="7"/>
        <v/>
      </c>
      <c r="AC3039" s="32" t="str">
        <f t="shared" ref="AC3039:AG3039" si="3107">IF(J3039&lt;&gt;"", IF(AND($P3039=FALSE, $A3039=FALSE), -J3039, IF(AND($P3039=FALSE, $A3039=TRUE), 0, IF($P3039=TRUE, (J3039 / $R3039) * 100 * ($S3039 / 100)-J3039, ))), )</f>
        <v/>
      </c>
      <c r="AD3039" s="32" t="str">
        <f t="shared" si="3107"/>
        <v/>
      </c>
      <c r="AE3039" s="32" t="str">
        <f t="shared" si="3107"/>
        <v/>
      </c>
      <c r="AF3039" s="32" t="str">
        <f t="shared" si="3107"/>
        <v/>
      </c>
      <c r="AG3039" s="32" t="str">
        <f t="shared" si="3107"/>
        <v/>
      </c>
      <c r="AH3039" s="33"/>
    </row>
    <row r="3040" hidden="1" outlineLevel="3">
      <c r="A3040" s="95" t="b">
        <v>0</v>
      </c>
      <c r="B3040" s="96"/>
      <c r="C3040" s="18"/>
      <c r="D3040" s="107"/>
      <c r="E3040" s="108"/>
      <c r="F3040" s="109"/>
      <c r="G3040" s="97"/>
      <c r="H3040" s="97"/>
      <c r="I3040" s="97"/>
      <c r="J3040" s="98"/>
      <c r="K3040" s="99"/>
      <c r="L3040" s="98"/>
      <c r="M3040" s="99"/>
      <c r="N3040" s="99"/>
      <c r="O3040" s="18"/>
      <c r="P3040" s="100" t="b">
        <v>0</v>
      </c>
      <c r="Q3040" s="18"/>
      <c r="R3040" s="101" t="str">
        <f t="shared" si="2792"/>
        <v/>
      </c>
      <c r="S3040" s="32"/>
      <c r="T3040" s="102" t="str">
        <f t="shared" si="2793"/>
        <v/>
      </c>
      <c r="U3040" s="18"/>
      <c r="V3040" s="103" t="str">
        <f>IF(ISBLANK($D3040), "0",)</f>
        <v>0</v>
      </c>
      <c r="W3040" s="104" t="str">
        <f t="shared" si="2828"/>
        <v>/</v>
      </c>
      <c r="X3040" s="111" t="s">
        <v>1821</v>
      </c>
      <c r="Y3040" s="106"/>
      <c r="Z3040" s="26" t="str">
        <f t="shared" si="5"/>
        <v/>
      </c>
      <c r="AA3040" s="26" t="str">
        <f t="shared" si="6"/>
        <v/>
      </c>
      <c r="AB3040" s="32" t="str">
        <f t="shared" si="7"/>
        <v/>
      </c>
      <c r="AC3040" s="32" t="str">
        <f t="shared" ref="AC3040:AG3040" si="3108">IF(J3040&lt;&gt;"", IF(AND($P3040=FALSE, $A3040=FALSE), -J3040, IF(AND($P3040=FALSE, $A3040=TRUE), 0, IF($P3040=TRUE, (J3040 / $R3040) * 100 * ($S3040 / 100)-J3040, ))), )</f>
        <v/>
      </c>
      <c r="AD3040" s="32" t="str">
        <f t="shared" si="3108"/>
        <v/>
      </c>
      <c r="AE3040" s="32" t="str">
        <f t="shared" si="3108"/>
        <v/>
      </c>
      <c r="AF3040" s="32" t="str">
        <f t="shared" si="3108"/>
        <v/>
      </c>
      <c r="AG3040" s="32" t="str">
        <f t="shared" si="3108"/>
        <v/>
      </c>
      <c r="AH3040" s="33"/>
    </row>
    <row r="3041" hidden="1" outlineLevel="3">
      <c r="A3041" s="95" t="b">
        <v>0</v>
      </c>
      <c r="B3041" s="96"/>
      <c r="C3041" s="18"/>
      <c r="D3041" s="107"/>
      <c r="E3041" s="108"/>
      <c r="F3041" s="109"/>
      <c r="G3041" s="97"/>
      <c r="H3041" s="97"/>
      <c r="I3041" s="97"/>
      <c r="J3041" s="98"/>
      <c r="K3041" s="99"/>
      <c r="L3041" s="98"/>
      <c r="M3041" s="99"/>
      <c r="N3041" s="99"/>
      <c r="O3041" s="18"/>
      <c r="P3041" s="100" t="b">
        <v>0</v>
      </c>
      <c r="Q3041" s="18"/>
      <c r="R3041" s="101" t="str">
        <f t="shared" si="2792"/>
        <v/>
      </c>
      <c r="S3041" s="32"/>
      <c r="T3041" s="102" t="str">
        <f t="shared" si="2793"/>
        <v/>
      </c>
      <c r="U3041" s="18"/>
      <c r="V3041" s="75" t="s">
        <v>29</v>
      </c>
      <c r="W3041" s="104" t="str">
        <f t="shared" si="2828"/>
        <v>/</v>
      </c>
      <c r="X3041" s="111" t="s">
        <v>1822</v>
      </c>
      <c r="Y3041" s="106"/>
      <c r="Z3041" s="26" t="str">
        <f t="shared" si="5"/>
        <v/>
      </c>
      <c r="AA3041" s="26" t="str">
        <f t="shared" si="6"/>
        <v/>
      </c>
      <c r="AB3041" s="32" t="str">
        <f t="shared" si="7"/>
        <v/>
      </c>
      <c r="AC3041" s="32" t="str">
        <f t="shared" ref="AC3041:AG3041" si="3109">IF(J3041&lt;&gt;"", IF(AND($P3041=FALSE, $A3041=FALSE), -J3041, IF(AND($P3041=FALSE, $A3041=TRUE), 0, IF($P3041=TRUE, (J3041 / $R3041) * 100 * ($S3041 / 100)-J3041, ))), )</f>
        <v/>
      </c>
      <c r="AD3041" s="32" t="str">
        <f t="shared" si="3109"/>
        <v/>
      </c>
      <c r="AE3041" s="32" t="str">
        <f t="shared" si="3109"/>
        <v/>
      </c>
      <c r="AF3041" s="32" t="str">
        <f t="shared" si="3109"/>
        <v/>
      </c>
      <c r="AG3041" s="32" t="str">
        <f t="shared" si="3109"/>
        <v/>
      </c>
      <c r="AH3041" s="33"/>
    </row>
    <row r="3042" hidden="1" outlineLevel="2" collapsed="1">
      <c r="A3042" s="95" t="b">
        <v>0</v>
      </c>
      <c r="B3042" s="96"/>
      <c r="C3042" s="18"/>
      <c r="D3042" s="42">
        <v>45613.0</v>
      </c>
      <c r="E3042" s="20" t="s">
        <v>24</v>
      </c>
      <c r="F3042" s="53" t="s">
        <v>1807</v>
      </c>
      <c r="G3042" s="97">
        <v>3.0</v>
      </c>
      <c r="H3042" s="97"/>
      <c r="I3042" s="97">
        <v>7.0</v>
      </c>
      <c r="J3042" s="98"/>
      <c r="K3042" s="99"/>
      <c r="L3042" s="98"/>
      <c r="M3042" s="99"/>
      <c r="N3042" s="99"/>
      <c r="O3042" s="18"/>
      <c r="P3042" s="100" t="b">
        <v>0</v>
      </c>
      <c r="Q3042" s="18"/>
      <c r="R3042" s="101">
        <f t="shared" si="2792"/>
        <v>10</v>
      </c>
      <c r="S3042" s="32">
        <v>25.53</v>
      </c>
      <c r="T3042" s="102" t="str">
        <f t="shared" si="2793"/>
        <v>+155</v>
      </c>
      <c r="U3042" s="18"/>
      <c r="V3042" s="103" t="str">
        <f>IF(ISBLANK($D3042), "0",)</f>
        <v/>
      </c>
      <c r="W3042" s="104" t="str">
        <f t="shared" si="2828"/>
        <v/>
      </c>
      <c r="X3042" s="105"/>
      <c r="Y3042" s="106"/>
      <c r="Z3042" s="26">
        <f t="shared" si="5"/>
        <v>-3</v>
      </c>
      <c r="AA3042" s="26">
        <f t="shared" si="6"/>
        <v>-7</v>
      </c>
      <c r="AB3042" s="32" t="str">
        <f t="shared" si="7"/>
        <v/>
      </c>
      <c r="AC3042" s="32" t="str">
        <f t="shared" ref="AC3042:AG3042" si="3110">IF(J3042&lt;&gt;"", IF(AND($P3042=FALSE, $A3042=FALSE), -J3042, IF(AND($P3042=FALSE, $A3042=TRUE), 0, IF($P3042=TRUE, (J3042 / $R3042) * 100 * ($S3042 / 100)-J3042, ))), )</f>
        <v/>
      </c>
      <c r="AD3042" s="32" t="str">
        <f t="shared" si="3110"/>
        <v/>
      </c>
      <c r="AE3042" s="32" t="str">
        <f t="shared" si="3110"/>
        <v/>
      </c>
      <c r="AF3042" s="32" t="str">
        <f t="shared" si="3110"/>
        <v/>
      </c>
      <c r="AG3042" s="32" t="str">
        <f t="shared" si="3110"/>
        <v/>
      </c>
      <c r="AH3042" s="33"/>
    </row>
    <row r="3043" hidden="1" outlineLevel="3">
      <c r="A3043" s="95" t="b">
        <v>0</v>
      </c>
      <c r="B3043" s="96"/>
      <c r="C3043" s="18"/>
      <c r="D3043" s="107"/>
      <c r="E3043" s="108"/>
      <c r="F3043" s="109"/>
      <c r="G3043" s="97"/>
      <c r="H3043" s="97"/>
      <c r="I3043" s="97"/>
      <c r="J3043" s="98"/>
      <c r="K3043" s="99"/>
      <c r="L3043" s="98"/>
      <c r="M3043" s="99"/>
      <c r="N3043" s="99"/>
      <c r="O3043" s="18"/>
      <c r="P3043" s="100" t="b">
        <v>0</v>
      </c>
      <c r="Q3043" s="18"/>
      <c r="R3043" s="101" t="str">
        <f t="shared" si="2792"/>
        <v/>
      </c>
      <c r="S3043" s="32"/>
      <c r="T3043" s="102" t="str">
        <f t="shared" si="2793"/>
        <v/>
      </c>
      <c r="U3043" s="18"/>
      <c r="V3043" s="75" t="s">
        <v>29</v>
      </c>
      <c r="W3043" s="104" t="str">
        <f t="shared" si="2828"/>
        <v>/</v>
      </c>
      <c r="X3043" s="111" t="s">
        <v>783</v>
      </c>
      <c r="Y3043" s="106"/>
      <c r="Z3043" s="26" t="str">
        <f t="shared" si="5"/>
        <v/>
      </c>
      <c r="AA3043" s="26" t="str">
        <f t="shared" si="6"/>
        <v/>
      </c>
      <c r="AB3043" s="32" t="str">
        <f t="shared" si="7"/>
        <v/>
      </c>
      <c r="AC3043" s="32" t="str">
        <f t="shared" ref="AC3043:AG3043" si="3111">IF(J3043&lt;&gt;"", IF(AND($P3043=FALSE, $A3043=FALSE), -J3043, IF(AND($P3043=FALSE, $A3043=TRUE), 0, IF($P3043=TRUE, (J3043 / $R3043) * 100 * ($S3043 / 100)-J3043, ))), )</f>
        <v/>
      </c>
      <c r="AD3043" s="32" t="str">
        <f t="shared" si="3111"/>
        <v/>
      </c>
      <c r="AE3043" s="32" t="str">
        <f t="shared" si="3111"/>
        <v/>
      </c>
      <c r="AF3043" s="32" t="str">
        <f t="shared" si="3111"/>
        <v/>
      </c>
      <c r="AG3043" s="32" t="str">
        <f t="shared" si="3111"/>
        <v/>
      </c>
      <c r="AH3043" s="33"/>
    </row>
    <row r="3044" hidden="1" outlineLevel="3">
      <c r="A3044" s="95" t="b">
        <v>0</v>
      </c>
      <c r="B3044" s="96"/>
      <c r="C3044" s="18"/>
      <c r="D3044" s="107"/>
      <c r="E3044" s="108"/>
      <c r="F3044" s="109"/>
      <c r="G3044" s="97"/>
      <c r="H3044" s="97"/>
      <c r="I3044" s="97"/>
      <c r="J3044" s="98"/>
      <c r="K3044" s="99"/>
      <c r="L3044" s="98"/>
      <c r="M3044" s="99"/>
      <c r="N3044" s="99"/>
      <c r="O3044" s="18"/>
      <c r="P3044" s="100" t="b">
        <v>0</v>
      </c>
      <c r="Q3044" s="18"/>
      <c r="R3044" s="101" t="str">
        <f t="shared" si="2792"/>
        <v/>
      </c>
      <c r="S3044" s="32"/>
      <c r="T3044" s="102" t="str">
        <f t="shared" si="2793"/>
        <v/>
      </c>
      <c r="U3044" s="18"/>
      <c r="V3044" s="113">
        <v>131.0</v>
      </c>
      <c r="W3044" s="104" t="str">
        <f t="shared" si="2828"/>
        <v>/</v>
      </c>
      <c r="X3044" s="111" t="s">
        <v>680</v>
      </c>
      <c r="Y3044" s="106"/>
      <c r="Z3044" s="26" t="str">
        <f t="shared" si="5"/>
        <v/>
      </c>
      <c r="AA3044" s="26" t="str">
        <f t="shared" si="6"/>
        <v/>
      </c>
      <c r="AB3044" s="32" t="str">
        <f t="shared" si="7"/>
        <v/>
      </c>
      <c r="AC3044" s="32" t="str">
        <f t="shared" ref="AC3044:AG3044" si="3112">IF(J3044&lt;&gt;"", IF(AND($P3044=FALSE, $A3044=FALSE), -J3044, IF(AND($P3044=FALSE, $A3044=TRUE), 0, IF($P3044=TRUE, (J3044 / $R3044) * 100 * ($S3044 / 100)-J3044, ))), )</f>
        <v/>
      </c>
      <c r="AD3044" s="32" t="str">
        <f t="shared" si="3112"/>
        <v/>
      </c>
      <c r="AE3044" s="32" t="str">
        <f t="shared" si="3112"/>
        <v/>
      </c>
      <c r="AF3044" s="32" t="str">
        <f t="shared" si="3112"/>
        <v/>
      </c>
      <c r="AG3044" s="32" t="str">
        <f t="shared" si="3112"/>
        <v/>
      </c>
      <c r="AH3044" s="33"/>
    </row>
    <row r="3045" hidden="1" outlineLevel="3">
      <c r="A3045" s="95" t="b">
        <v>0</v>
      </c>
      <c r="B3045" s="96"/>
      <c r="C3045" s="18"/>
      <c r="D3045" s="107"/>
      <c r="E3045" s="108"/>
      <c r="F3045" s="109"/>
      <c r="G3045" s="97"/>
      <c r="H3045" s="97"/>
      <c r="I3045" s="97"/>
      <c r="J3045" s="98"/>
      <c r="K3045" s="99"/>
      <c r="L3045" s="98"/>
      <c r="M3045" s="99"/>
      <c r="N3045" s="99"/>
      <c r="O3045" s="18"/>
      <c r="P3045" s="100" t="b">
        <v>0</v>
      </c>
      <c r="Q3045" s="18"/>
      <c r="R3045" s="101" t="str">
        <f t="shared" si="2792"/>
        <v/>
      </c>
      <c r="S3045" s="32"/>
      <c r="T3045" s="102" t="str">
        <f t="shared" si="2793"/>
        <v/>
      </c>
      <c r="U3045" s="18"/>
      <c r="V3045" s="113">
        <v>8.0</v>
      </c>
      <c r="W3045" s="104" t="str">
        <f t="shared" si="2828"/>
        <v>/</v>
      </c>
      <c r="X3045" s="111" t="s">
        <v>1155</v>
      </c>
      <c r="Y3045" s="106"/>
      <c r="Z3045" s="26" t="str">
        <f t="shared" si="5"/>
        <v/>
      </c>
      <c r="AA3045" s="26" t="str">
        <f t="shared" si="6"/>
        <v/>
      </c>
      <c r="AB3045" s="32" t="str">
        <f t="shared" si="7"/>
        <v/>
      </c>
      <c r="AC3045" s="32" t="str">
        <f t="shared" ref="AC3045:AG3045" si="3113">IF(J3045&lt;&gt;"", IF(AND($P3045=FALSE, $A3045=FALSE), -J3045, IF(AND($P3045=FALSE, $A3045=TRUE), 0, IF($P3045=TRUE, (J3045 / $R3045) * 100 * ($S3045 / 100)-J3045, ))), )</f>
        <v/>
      </c>
      <c r="AD3045" s="32" t="str">
        <f t="shared" si="3113"/>
        <v/>
      </c>
      <c r="AE3045" s="32" t="str">
        <f t="shared" si="3113"/>
        <v/>
      </c>
      <c r="AF3045" s="32" t="str">
        <f t="shared" si="3113"/>
        <v/>
      </c>
      <c r="AG3045" s="32" t="str">
        <f t="shared" si="3113"/>
        <v/>
      </c>
      <c r="AH3045" s="33"/>
    </row>
    <row r="3046" hidden="1" outlineLevel="3">
      <c r="A3046" s="95" t="b">
        <v>0</v>
      </c>
      <c r="B3046" s="96"/>
      <c r="C3046" s="18"/>
      <c r="D3046" s="107"/>
      <c r="E3046" s="108"/>
      <c r="F3046" s="109"/>
      <c r="G3046" s="97"/>
      <c r="H3046" s="97"/>
      <c r="I3046" s="97"/>
      <c r="J3046" s="98"/>
      <c r="K3046" s="99"/>
      <c r="L3046" s="98"/>
      <c r="M3046" s="99"/>
      <c r="N3046" s="99"/>
      <c r="O3046" s="18"/>
      <c r="P3046" s="100" t="b">
        <v>0</v>
      </c>
      <c r="Q3046" s="18"/>
      <c r="R3046" s="101" t="str">
        <f t="shared" si="2792"/>
        <v/>
      </c>
      <c r="S3046" s="32"/>
      <c r="T3046" s="102" t="str">
        <f t="shared" si="2793"/>
        <v/>
      </c>
      <c r="U3046" s="18"/>
      <c r="V3046" s="75" t="s">
        <v>29</v>
      </c>
      <c r="W3046" s="104" t="str">
        <f t="shared" si="2828"/>
        <v>/</v>
      </c>
      <c r="X3046" s="111" t="s">
        <v>1685</v>
      </c>
      <c r="Y3046" s="106"/>
      <c r="Z3046" s="26" t="str">
        <f t="shared" si="5"/>
        <v/>
      </c>
      <c r="AA3046" s="26" t="str">
        <f t="shared" si="6"/>
        <v/>
      </c>
      <c r="AB3046" s="32" t="str">
        <f t="shared" si="7"/>
        <v/>
      </c>
      <c r="AC3046" s="32" t="str">
        <f t="shared" ref="AC3046:AG3046" si="3114">IF(J3046&lt;&gt;"", IF(AND($P3046=FALSE, $A3046=FALSE), -J3046, IF(AND($P3046=FALSE, $A3046=TRUE), 0, IF($P3046=TRUE, (J3046 / $R3046) * 100 * ($S3046 / 100)-J3046, ))), )</f>
        <v/>
      </c>
      <c r="AD3046" s="32" t="str">
        <f t="shared" si="3114"/>
        <v/>
      </c>
      <c r="AE3046" s="32" t="str">
        <f t="shared" si="3114"/>
        <v/>
      </c>
      <c r="AF3046" s="32" t="str">
        <f t="shared" si="3114"/>
        <v/>
      </c>
      <c r="AG3046" s="32" t="str">
        <f t="shared" si="3114"/>
        <v/>
      </c>
      <c r="AH3046" s="33"/>
    </row>
    <row r="3047" hidden="1" outlineLevel="2">
      <c r="A3047" s="95" t="b">
        <v>0</v>
      </c>
      <c r="B3047" s="96"/>
      <c r="C3047" s="18"/>
      <c r="D3047" s="42">
        <v>45613.0</v>
      </c>
      <c r="E3047" s="20" t="s">
        <v>24</v>
      </c>
      <c r="F3047" s="53" t="s">
        <v>1807</v>
      </c>
      <c r="G3047" s="97">
        <v>2.0</v>
      </c>
      <c r="H3047" s="97"/>
      <c r="I3047" s="97">
        <v>3.0</v>
      </c>
      <c r="J3047" s="98"/>
      <c r="K3047" s="99"/>
      <c r="L3047" s="98"/>
      <c r="M3047" s="99"/>
      <c r="N3047" s="99"/>
      <c r="O3047" s="18"/>
      <c r="P3047" s="100" t="b">
        <v>0</v>
      </c>
      <c r="Q3047" s="18"/>
      <c r="R3047" s="101">
        <f t="shared" si="2792"/>
        <v>5</v>
      </c>
      <c r="S3047" s="32">
        <v>27.77</v>
      </c>
      <c r="T3047" s="102" t="str">
        <f t="shared" si="2793"/>
        <v>+455</v>
      </c>
      <c r="U3047" s="18"/>
      <c r="V3047" s="103" t="str">
        <f>IF(ISBLANK($D3047), "0",)</f>
        <v/>
      </c>
      <c r="W3047" s="104" t="str">
        <f t="shared" si="2828"/>
        <v/>
      </c>
      <c r="X3047" s="105"/>
      <c r="Y3047" s="106"/>
      <c r="Z3047" s="26">
        <f t="shared" si="5"/>
        <v>-2</v>
      </c>
      <c r="AA3047" s="26">
        <f t="shared" si="6"/>
        <v>-3</v>
      </c>
      <c r="AB3047" s="32" t="str">
        <f t="shared" si="7"/>
        <v/>
      </c>
      <c r="AC3047" s="32" t="str">
        <f t="shared" ref="AC3047:AG3047" si="3115">IF(J3047&lt;&gt;"", IF(AND($P3047=FALSE, $A3047=FALSE), -J3047, IF(AND($P3047=FALSE, $A3047=TRUE), 0, IF($P3047=TRUE, (J3047 / $R3047) * 100 * ($S3047 / 100)-J3047, ))), )</f>
        <v/>
      </c>
      <c r="AD3047" s="32" t="str">
        <f t="shared" si="3115"/>
        <v/>
      </c>
      <c r="AE3047" s="32" t="str">
        <f t="shared" si="3115"/>
        <v/>
      </c>
      <c r="AF3047" s="32" t="str">
        <f t="shared" si="3115"/>
        <v/>
      </c>
      <c r="AG3047" s="32" t="str">
        <f t="shared" si="3115"/>
        <v/>
      </c>
      <c r="AH3047" s="33"/>
    </row>
    <row r="3048" hidden="1" outlineLevel="3">
      <c r="A3048" s="95" t="b">
        <v>0</v>
      </c>
      <c r="B3048" s="96"/>
      <c r="C3048" s="18"/>
      <c r="D3048" s="107"/>
      <c r="E3048" s="108"/>
      <c r="F3048" s="109"/>
      <c r="G3048" s="97"/>
      <c r="H3048" s="97"/>
      <c r="I3048" s="97"/>
      <c r="J3048" s="98"/>
      <c r="K3048" s="99"/>
      <c r="L3048" s="98"/>
      <c r="M3048" s="99"/>
      <c r="N3048" s="99"/>
      <c r="O3048" s="18"/>
      <c r="P3048" s="100" t="b">
        <v>0</v>
      </c>
      <c r="Q3048" s="18"/>
      <c r="R3048" s="101" t="str">
        <f t="shared" si="2792"/>
        <v/>
      </c>
      <c r="S3048" s="32"/>
      <c r="T3048" s="102" t="str">
        <f t="shared" si="2793"/>
        <v/>
      </c>
      <c r="U3048" s="18"/>
      <c r="V3048" s="113">
        <v>39.0</v>
      </c>
      <c r="W3048" s="104" t="str">
        <f t="shared" si="2828"/>
        <v>/</v>
      </c>
      <c r="X3048" s="111" t="s">
        <v>1823</v>
      </c>
      <c r="Y3048" s="106"/>
      <c r="Z3048" s="26" t="str">
        <f t="shared" si="5"/>
        <v/>
      </c>
      <c r="AA3048" s="26" t="str">
        <f t="shared" si="6"/>
        <v/>
      </c>
      <c r="AB3048" s="32" t="str">
        <f t="shared" si="7"/>
        <v/>
      </c>
      <c r="AC3048" s="32" t="str">
        <f t="shared" ref="AC3048:AG3048" si="3116">IF(J3048&lt;&gt;"", IF(AND($P3048=FALSE, $A3048=FALSE), -J3048, IF(AND($P3048=FALSE, $A3048=TRUE), 0, IF($P3048=TRUE, (J3048 / $R3048) * 100 * ($S3048 / 100)-J3048, ))), )</f>
        <v/>
      </c>
      <c r="AD3048" s="32" t="str">
        <f t="shared" si="3116"/>
        <v/>
      </c>
      <c r="AE3048" s="32" t="str">
        <f t="shared" si="3116"/>
        <v/>
      </c>
      <c r="AF3048" s="32" t="str">
        <f t="shared" si="3116"/>
        <v/>
      </c>
      <c r="AG3048" s="32" t="str">
        <f t="shared" si="3116"/>
        <v/>
      </c>
      <c r="AH3048" s="33"/>
    </row>
    <row r="3049" hidden="1" outlineLevel="3">
      <c r="A3049" s="95" t="b">
        <v>0</v>
      </c>
      <c r="B3049" s="96"/>
      <c r="C3049" s="18"/>
      <c r="D3049" s="107"/>
      <c r="E3049" s="108"/>
      <c r="F3049" s="109"/>
      <c r="G3049" s="97"/>
      <c r="H3049" s="97"/>
      <c r="I3049" s="97"/>
      <c r="J3049" s="98"/>
      <c r="K3049" s="99"/>
      <c r="L3049" s="98"/>
      <c r="M3049" s="99"/>
      <c r="N3049" s="99"/>
      <c r="O3049" s="18"/>
      <c r="P3049" s="100" t="b">
        <v>0</v>
      </c>
      <c r="Q3049" s="18"/>
      <c r="R3049" s="101" t="str">
        <f t="shared" si="2792"/>
        <v/>
      </c>
      <c r="S3049" s="32"/>
      <c r="T3049" s="102" t="str">
        <f t="shared" si="2793"/>
        <v/>
      </c>
      <c r="U3049" s="18"/>
      <c r="V3049" s="113">
        <v>46.0</v>
      </c>
      <c r="W3049" s="104" t="str">
        <f t="shared" si="2828"/>
        <v>/</v>
      </c>
      <c r="X3049" s="111" t="s">
        <v>1824</v>
      </c>
      <c r="Y3049" s="106"/>
      <c r="Z3049" s="26" t="str">
        <f t="shared" si="5"/>
        <v/>
      </c>
      <c r="AA3049" s="26" t="str">
        <f t="shared" si="6"/>
        <v/>
      </c>
      <c r="AB3049" s="32" t="str">
        <f t="shared" si="7"/>
        <v/>
      </c>
      <c r="AC3049" s="32" t="str">
        <f t="shared" ref="AC3049:AG3049" si="3117">IF(J3049&lt;&gt;"", IF(AND($P3049=FALSE, $A3049=FALSE), -J3049, IF(AND($P3049=FALSE, $A3049=TRUE), 0, IF($P3049=TRUE, (J3049 / $R3049) * 100 * ($S3049 / 100)-J3049, ))), )</f>
        <v/>
      </c>
      <c r="AD3049" s="32" t="str">
        <f t="shared" si="3117"/>
        <v/>
      </c>
      <c r="AE3049" s="32" t="str">
        <f t="shared" si="3117"/>
        <v/>
      </c>
      <c r="AF3049" s="32" t="str">
        <f t="shared" si="3117"/>
        <v/>
      </c>
      <c r="AG3049" s="32" t="str">
        <f t="shared" si="3117"/>
        <v/>
      </c>
      <c r="AH3049" s="33"/>
    </row>
    <row r="3050" hidden="1" outlineLevel="3">
      <c r="A3050" s="95" t="b">
        <v>0</v>
      </c>
      <c r="B3050" s="96"/>
      <c r="C3050" s="18"/>
      <c r="D3050" s="107"/>
      <c r="E3050" s="108"/>
      <c r="F3050" s="109"/>
      <c r="G3050" s="97"/>
      <c r="H3050" s="97"/>
      <c r="I3050" s="97"/>
      <c r="J3050" s="98"/>
      <c r="K3050" s="99"/>
      <c r="L3050" s="98"/>
      <c r="M3050" s="99"/>
      <c r="N3050" s="99"/>
      <c r="O3050" s="18"/>
      <c r="P3050" s="100" t="b">
        <v>0</v>
      </c>
      <c r="Q3050" s="18"/>
      <c r="R3050" s="101" t="str">
        <f t="shared" si="2792"/>
        <v/>
      </c>
      <c r="S3050" s="32"/>
      <c r="T3050" s="102" t="str">
        <f t="shared" si="2793"/>
        <v/>
      </c>
      <c r="U3050" s="18"/>
      <c r="V3050" s="75" t="s">
        <v>29</v>
      </c>
      <c r="W3050" s="104" t="str">
        <f t="shared" si="2828"/>
        <v>/</v>
      </c>
      <c r="X3050" s="111" t="s">
        <v>1825</v>
      </c>
      <c r="Y3050" s="106"/>
      <c r="Z3050" s="26" t="str">
        <f t="shared" si="5"/>
        <v/>
      </c>
      <c r="AA3050" s="26" t="str">
        <f t="shared" si="6"/>
        <v/>
      </c>
      <c r="AB3050" s="32" t="str">
        <f t="shared" si="7"/>
        <v/>
      </c>
      <c r="AC3050" s="32" t="str">
        <f t="shared" ref="AC3050:AG3050" si="3118">IF(J3050&lt;&gt;"", IF(AND($P3050=FALSE, $A3050=FALSE), -J3050, IF(AND($P3050=FALSE, $A3050=TRUE), 0, IF($P3050=TRUE, (J3050 / $R3050) * 100 * ($S3050 / 100)-J3050, ))), )</f>
        <v/>
      </c>
      <c r="AD3050" s="32" t="str">
        <f t="shared" si="3118"/>
        <v/>
      </c>
      <c r="AE3050" s="32" t="str">
        <f t="shared" si="3118"/>
        <v/>
      </c>
      <c r="AF3050" s="32" t="str">
        <f t="shared" si="3118"/>
        <v/>
      </c>
      <c r="AG3050" s="32" t="str">
        <f t="shared" si="3118"/>
        <v/>
      </c>
      <c r="AH3050" s="33"/>
    </row>
    <row r="3051" hidden="1" outlineLevel="1" collapsed="1">
      <c r="A3051" s="95" t="b">
        <v>0</v>
      </c>
      <c r="B3051" s="96"/>
      <c r="C3051" s="18"/>
      <c r="D3051" s="42">
        <v>45614.0</v>
      </c>
      <c r="E3051" s="20" t="s">
        <v>24</v>
      </c>
      <c r="F3051" s="53" t="s">
        <v>1807</v>
      </c>
      <c r="G3051" s="97">
        <v>3.0</v>
      </c>
      <c r="H3051" s="97"/>
      <c r="I3051" s="97">
        <v>3.0</v>
      </c>
      <c r="J3051" s="98"/>
      <c r="K3051" s="99"/>
      <c r="L3051" s="98"/>
      <c r="M3051" s="99"/>
      <c r="N3051" s="99"/>
      <c r="O3051" s="18"/>
      <c r="P3051" s="100" t="b">
        <v>0</v>
      </c>
      <c r="Q3051" s="18"/>
      <c r="R3051" s="101">
        <f t="shared" si="2792"/>
        <v>6</v>
      </c>
      <c r="S3051" s="32">
        <v>22.55</v>
      </c>
      <c r="T3051" s="102" t="str">
        <f t="shared" si="2793"/>
        <v>+276</v>
      </c>
      <c r="U3051" s="18"/>
      <c r="V3051" s="103" t="str">
        <f>IF(ISBLANK($D3051), "0",)</f>
        <v/>
      </c>
      <c r="W3051" s="104" t="str">
        <f t="shared" si="2828"/>
        <v/>
      </c>
      <c r="X3051" s="105"/>
      <c r="Y3051" s="106"/>
      <c r="Z3051" s="26">
        <f t="shared" si="5"/>
        <v>-3</v>
      </c>
      <c r="AA3051" s="26">
        <f t="shared" si="6"/>
        <v>-3</v>
      </c>
      <c r="AB3051" s="32" t="str">
        <f t="shared" si="7"/>
        <v/>
      </c>
      <c r="AC3051" s="32" t="str">
        <f t="shared" ref="AC3051:AG3051" si="3119">IF(J3051&lt;&gt;"", IF(AND($P3051=FALSE, $A3051=FALSE), -J3051, IF(AND($P3051=FALSE, $A3051=TRUE), 0, IF($P3051=TRUE, (J3051 / $R3051) * 100 * ($S3051 / 100)-J3051, ))), )</f>
        <v/>
      </c>
      <c r="AD3051" s="32" t="str">
        <f t="shared" si="3119"/>
        <v/>
      </c>
      <c r="AE3051" s="32" t="str">
        <f t="shared" si="3119"/>
        <v/>
      </c>
      <c r="AF3051" s="32" t="str">
        <f t="shared" si="3119"/>
        <v/>
      </c>
      <c r="AG3051" s="32" t="str">
        <f t="shared" si="3119"/>
        <v/>
      </c>
      <c r="AH3051" s="33"/>
    </row>
    <row r="3052" hidden="1" outlineLevel="3">
      <c r="A3052" s="95" t="b">
        <v>0</v>
      </c>
      <c r="B3052" s="96"/>
      <c r="C3052" s="18"/>
      <c r="D3052" s="107"/>
      <c r="E3052" s="108"/>
      <c r="F3052" s="109"/>
      <c r="G3052" s="97"/>
      <c r="H3052" s="97"/>
      <c r="I3052" s="97"/>
      <c r="J3052" s="98"/>
      <c r="K3052" s="99"/>
      <c r="L3052" s="98"/>
      <c r="M3052" s="99"/>
      <c r="N3052" s="99"/>
      <c r="O3052" s="18"/>
      <c r="P3052" s="100" t="b">
        <v>0</v>
      </c>
      <c r="Q3052" s="18"/>
      <c r="R3052" s="101" t="str">
        <f t="shared" si="2792"/>
        <v/>
      </c>
      <c r="S3052" s="32"/>
      <c r="T3052" s="102" t="str">
        <f t="shared" si="2793"/>
        <v/>
      </c>
      <c r="U3052" s="18"/>
      <c r="V3052" s="75" t="s">
        <v>29</v>
      </c>
      <c r="W3052" s="104" t="str">
        <f t="shared" si="2828"/>
        <v>/</v>
      </c>
      <c r="X3052" s="111" t="s">
        <v>1826</v>
      </c>
      <c r="Y3052" s="106"/>
      <c r="Z3052" s="26" t="str">
        <f t="shared" si="5"/>
        <v/>
      </c>
      <c r="AA3052" s="26" t="str">
        <f t="shared" si="6"/>
        <v/>
      </c>
      <c r="AB3052" s="32" t="str">
        <f t="shared" si="7"/>
        <v/>
      </c>
      <c r="AC3052" s="32" t="str">
        <f t="shared" ref="AC3052:AG3052" si="3120">IF(J3052&lt;&gt;"", IF(AND($P3052=FALSE, $A3052=FALSE), -J3052, IF(AND($P3052=FALSE, $A3052=TRUE), 0, IF($P3052=TRUE, (J3052 / $R3052) * 100 * ($S3052 / 100)-J3052, ))), )</f>
        <v/>
      </c>
      <c r="AD3052" s="32" t="str">
        <f t="shared" si="3120"/>
        <v/>
      </c>
      <c r="AE3052" s="32" t="str">
        <f t="shared" si="3120"/>
        <v/>
      </c>
      <c r="AF3052" s="32" t="str">
        <f t="shared" si="3120"/>
        <v/>
      </c>
      <c r="AG3052" s="32" t="str">
        <f t="shared" si="3120"/>
        <v/>
      </c>
      <c r="AH3052" s="33"/>
    </row>
    <row r="3053" hidden="1" outlineLevel="3">
      <c r="A3053" s="95" t="b">
        <v>0</v>
      </c>
      <c r="B3053" s="96"/>
      <c r="C3053" s="18"/>
      <c r="D3053" s="107"/>
      <c r="E3053" s="108"/>
      <c r="F3053" s="109"/>
      <c r="G3053" s="97"/>
      <c r="H3053" s="97"/>
      <c r="I3053" s="97"/>
      <c r="J3053" s="98"/>
      <c r="K3053" s="99"/>
      <c r="L3053" s="98"/>
      <c r="M3053" s="99"/>
      <c r="N3053" s="99"/>
      <c r="O3053" s="18"/>
      <c r="P3053" s="100" t="b">
        <v>0</v>
      </c>
      <c r="Q3053" s="18"/>
      <c r="R3053" s="101" t="str">
        <f t="shared" si="2792"/>
        <v/>
      </c>
      <c r="S3053" s="32"/>
      <c r="T3053" s="102" t="str">
        <f t="shared" si="2793"/>
        <v/>
      </c>
      <c r="U3053" s="18"/>
      <c r="V3053" s="75" t="s">
        <v>29</v>
      </c>
      <c r="W3053" s="104" t="str">
        <f t="shared" si="2828"/>
        <v>/</v>
      </c>
      <c r="X3053" s="111" t="s">
        <v>1036</v>
      </c>
      <c r="Y3053" s="106"/>
      <c r="Z3053" s="26" t="str">
        <f t="shared" si="5"/>
        <v/>
      </c>
      <c r="AA3053" s="26" t="str">
        <f t="shared" si="6"/>
        <v/>
      </c>
      <c r="AB3053" s="32" t="str">
        <f t="shared" si="7"/>
        <v/>
      </c>
      <c r="AC3053" s="32" t="str">
        <f t="shared" ref="AC3053:AG3053" si="3121">IF(J3053&lt;&gt;"", IF(AND($P3053=FALSE, $A3053=FALSE), -J3053, IF(AND($P3053=FALSE, $A3053=TRUE), 0, IF($P3053=TRUE, (J3053 / $R3053) * 100 * ($S3053 / 100)-J3053, ))), )</f>
        <v/>
      </c>
      <c r="AD3053" s="32" t="str">
        <f t="shared" si="3121"/>
        <v/>
      </c>
      <c r="AE3053" s="32" t="str">
        <f t="shared" si="3121"/>
        <v/>
      </c>
      <c r="AF3053" s="32" t="str">
        <f t="shared" si="3121"/>
        <v/>
      </c>
      <c r="AG3053" s="32" t="str">
        <f t="shared" si="3121"/>
        <v/>
      </c>
      <c r="AH3053" s="33"/>
    </row>
    <row r="3054" hidden="1" outlineLevel="3">
      <c r="A3054" s="95" t="b">
        <v>0</v>
      </c>
      <c r="B3054" s="96"/>
      <c r="C3054" s="18"/>
      <c r="D3054" s="107"/>
      <c r="E3054" s="108"/>
      <c r="F3054" s="109"/>
      <c r="G3054" s="97"/>
      <c r="H3054" s="97"/>
      <c r="I3054" s="97"/>
      <c r="J3054" s="98"/>
      <c r="K3054" s="99"/>
      <c r="L3054" s="98"/>
      <c r="M3054" s="99"/>
      <c r="N3054" s="99"/>
      <c r="O3054" s="18"/>
      <c r="P3054" s="100" t="b">
        <v>0</v>
      </c>
      <c r="Q3054" s="18"/>
      <c r="R3054" s="101" t="str">
        <f t="shared" si="2792"/>
        <v/>
      </c>
      <c r="S3054" s="32"/>
      <c r="T3054" s="102" t="str">
        <f t="shared" si="2793"/>
        <v/>
      </c>
      <c r="U3054" s="18"/>
      <c r="V3054" s="103">
        <f>28+6</f>
        <v>34</v>
      </c>
      <c r="W3054" s="104" t="str">
        <f t="shared" si="2828"/>
        <v>/</v>
      </c>
      <c r="X3054" s="111" t="s">
        <v>1827</v>
      </c>
      <c r="Y3054" s="106"/>
      <c r="Z3054" s="26" t="str">
        <f t="shared" si="5"/>
        <v/>
      </c>
      <c r="AA3054" s="26" t="str">
        <f t="shared" si="6"/>
        <v/>
      </c>
      <c r="AB3054" s="32" t="str">
        <f t="shared" si="7"/>
        <v/>
      </c>
      <c r="AC3054" s="32" t="str">
        <f t="shared" ref="AC3054:AG3054" si="3122">IF(J3054&lt;&gt;"", IF(AND($P3054=FALSE, $A3054=FALSE), -J3054, IF(AND($P3054=FALSE, $A3054=TRUE), 0, IF($P3054=TRUE, (J3054 / $R3054) * 100 * ($S3054 / 100)-J3054, ))), )</f>
        <v/>
      </c>
      <c r="AD3054" s="32" t="str">
        <f t="shared" si="3122"/>
        <v/>
      </c>
      <c r="AE3054" s="32" t="str">
        <f t="shared" si="3122"/>
        <v/>
      </c>
      <c r="AF3054" s="32" t="str">
        <f t="shared" si="3122"/>
        <v/>
      </c>
      <c r="AG3054" s="32" t="str">
        <f t="shared" si="3122"/>
        <v/>
      </c>
      <c r="AH3054" s="33"/>
    </row>
    <row r="3055" hidden="1" outlineLevel="3">
      <c r="A3055" s="95" t="b">
        <v>0</v>
      </c>
      <c r="B3055" s="96"/>
      <c r="C3055" s="18"/>
      <c r="D3055" s="107"/>
      <c r="E3055" s="108"/>
      <c r="F3055" s="109"/>
      <c r="G3055" s="97"/>
      <c r="H3055" s="97"/>
      <c r="I3055" s="97"/>
      <c r="J3055" s="98"/>
      <c r="K3055" s="99"/>
      <c r="L3055" s="98"/>
      <c r="M3055" s="99"/>
      <c r="N3055" s="99"/>
      <c r="O3055" s="18"/>
      <c r="P3055" s="100" t="b">
        <v>0</v>
      </c>
      <c r="Q3055" s="18"/>
      <c r="R3055" s="101" t="str">
        <f t="shared" si="2792"/>
        <v/>
      </c>
      <c r="S3055" s="32"/>
      <c r="T3055" s="102" t="str">
        <f t="shared" si="2793"/>
        <v/>
      </c>
      <c r="U3055" s="18"/>
      <c r="V3055" s="113">
        <v>1.0</v>
      </c>
      <c r="W3055" s="104" t="str">
        <f t="shared" si="2828"/>
        <v>/</v>
      </c>
      <c r="X3055" s="111" t="s">
        <v>1079</v>
      </c>
      <c r="Y3055" s="106"/>
      <c r="Z3055" s="26" t="str">
        <f t="shared" si="5"/>
        <v/>
      </c>
      <c r="AA3055" s="26" t="str">
        <f t="shared" si="6"/>
        <v/>
      </c>
      <c r="AB3055" s="32" t="str">
        <f t="shared" si="7"/>
        <v/>
      </c>
      <c r="AC3055" s="32" t="str">
        <f t="shared" ref="AC3055:AG3055" si="3123">IF(J3055&lt;&gt;"", IF(AND($P3055=FALSE, $A3055=FALSE), -J3055, IF(AND($P3055=FALSE, $A3055=TRUE), 0, IF($P3055=TRUE, (J3055 / $R3055) * 100 * ($S3055 / 100)-J3055, ))), )</f>
        <v/>
      </c>
      <c r="AD3055" s="32" t="str">
        <f t="shared" si="3123"/>
        <v/>
      </c>
      <c r="AE3055" s="32" t="str">
        <f t="shared" si="3123"/>
        <v/>
      </c>
      <c r="AF3055" s="32" t="str">
        <f t="shared" si="3123"/>
        <v/>
      </c>
      <c r="AG3055" s="32" t="str">
        <f t="shared" si="3123"/>
        <v/>
      </c>
      <c r="AH3055" s="33"/>
    </row>
    <row r="3056" hidden="1" outlineLevel="3">
      <c r="A3056" s="95" t="b">
        <v>0</v>
      </c>
      <c r="B3056" s="96"/>
      <c r="C3056" s="18"/>
      <c r="D3056" s="107"/>
      <c r="E3056" s="108"/>
      <c r="F3056" s="109"/>
      <c r="G3056" s="97"/>
      <c r="H3056" s="97"/>
      <c r="I3056" s="97"/>
      <c r="J3056" s="98"/>
      <c r="K3056" s="99"/>
      <c r="L3056" s="98"/>
      <c r="M3056" s="99"/>
      <c r="N3056" s="99"/>
      <c r="O3056" s="18"/>
      <c r="P3056" s="100" t="b">
        <v>0</v>
      </c>
      <c r="Q3056" s="18"/>
      <c r="R3056" s="101" t="str">
        <f t="shared" si="2792"/>
        <v/>
      </c>
      <c r="S3056" s="32"/>
      <c r="T3056" s="102" t="str">
        <f t="shared" si="2793"/>
        <v/>
      </c>
      <c r="U3056" s="18"/>
      <c r="V3056" s="75" t="s">
        <v>29</v>
      </c>
      <c r="W3056" s="104" t="str">
        <f t="shared" si="2828"/>
        <v>/</v>
      </c>
      <c r="X3056" s="111" t="s">
        <v>1828</v>
      </c>
      <c r="Y3056" s="106"/>
      <c r="Z3056" s="26" t="str">
        <f t="shared" si="5"/>
        <v/>
      </c>
      <c r="AA3056" s="26" t="str">
        <f t="shared" si="6"/>
        <v/>
      </c>
      <c r="AB3056" s="32" t="str">
        <f t="shared" si="7"/>
        <v/>
      </c>
      <c r="AC3056" s="32" t="str">
        <f t="shared" ref="AC3056:AG3056" si="3124">IF(J3056&lt;&gt;"", IF(AND($P3056=FALSE, $A3056=FALSE), -J3056, IF(AND($P3056=FALSE, $A3056=TRUE), 0, IF($P3056=TRUE, (J3056 / $R3056) * 100 * ($S3056 / 100)-J3056, ))), )</f>
        <v/>
      </c>
      <c r="AD3056" s="32" t="str">
        <f t="shared" si="3124"/>
        <v/>
      </c>
      <c r="AE3056" s="32" t="str">
        <f t="shared" si="3124"/>
        <v/>
      </c>
      <c r="AF3056" s="32" t="str">
        <f t="shared" si="3124"/>
        <v/>
      </c>
      <c r="AG3056" s="32" t="str">
        <f t="shared" si="3124"/>
        <v/>
      </c>
      <c r="AH3056" s="33"/>
    </row>
    <row r="3057" hidden="1" outlineLevel="1" collapsed="1">
      <c r="A3057" s="95" t="b">
        <v>0</v>
      </c>
      <c r="B3057" s="96"/>
      <c r="C3057" s="18"/>
      <c r="D3057" s="42">
        <v>45617.0</v>
      </c>
      <c r="E3057" s="20" t="s">
        <v>24</v>
      </c>
      <c r="F3057" s="53" t="s">
        <v>1829</v>
      </c>
      <c r="G3057" s="97">
        <v>2.0</v>
      </c>
      <c r="H3057" s="97"/>
      <c r="I3057" s="97">
        <v>2.0</v>
      </c>
      <c r="J3057" s="98"/>
      <c r="K3057" s="99"/>
      <c r="L3057" s="98"/>
      <c r="M3057" s="99"/>
      <c r="N3057" s="99"/>
      <c r="O3057" s="18"/>
      <c r="P3057" s="100" t="b">
        <v>1</v>
      </c>
      <c r="Q3057" s="18"/>
      <c r="R3057" s="101">
        <f t="shared" si="2792"/>
        <v>4</v>
      </c>
      <c r="S3057" s="32">
        <v>8.96</v>
      </c>
      <c r="T3057" s="102" t="str">
        <f t="shared" si="2793"/>
        <v>+124</v>
      </c>
      <c r="U3057" s="18"/>
      <c r="V3057" s="103" t="str">
        <f>IF(ISBLANK($D3057), "0",)</f>
        <v/>
      </c>
      <c r="W3057" s="104" t="str">
        <f t="shared" si="2828"/>
        <v/>
      </c>
      <c r="X3057" s="105"/>
      <c r="Y3057" s="106"/>
      <c r="Z3057" s="26">
        <f t="shared" si="5"/>
        <v>2.48</v>
      </c>
      <c r="AA3057" s="26">
        <f t="shared" si="6"/>
        <v>2.48</v>
      </c>
      <c r="AB3057" s="32" t="str">
        <f t="shared" si="7"/>
        <v/>
      </c>
      <c r="AC3057" s="32" t="str">
        <f t="shared" ref="AC3057:AG3057" si="3125">IF(J3057&lt;&gt;"", IF(AND($P3057=FALSE, $A3057=FALSE), -J3057, IF(AND($P3057=FALSE, $A3057=TRUE), 0, IF($P3057=TRUE, (J3057 / $R3057) * 100 * ($S3057 / 100)-J3057, ))), )</f>
        <v/>
      </c>
      <c r="AD3057" s="32" t="str">
        <f t="shared" si="3125"/>
        <v/>
      </c>
      <c r="AE3057" s="32" t="str">
        <f t="shared" si="3125"/>
        <v/>
      </c>
      <c r="AF3057" s="32" t="str">
        <f t="shared" si="3125"/>
        <v/>
      </c>
      <c r="AG3057" s="32" t="str">
        <f t="shared" si="3125"/>
        <v/>
      </c>
      <c r="AH3057" s="33"/>
    </row>
    <row r="3058" hidden="1" outlineLevel="3">
      <c r="A3058" s="95" t="b">
        <v>0</v>
      </c>
      <c r="B3058" s="96"/>
      <c r="C3058" s="18"/>
      <c r="D3058" s="107"/>
      <c r="E3058" s="108"/>
      <c r="F3058" s="109"/>
      <c r="G3058" s="97"/>
      <c r="H3058" s="97"/>
      <c r="I3058" s="97"/>
      <c r="J3058" s="98"/>
      <c r="K3058" s="99"/>
      <c r="L3058" s="98"/>
      <c r="M3058" s="99"/>
      <c r="N3058" s="99"/>
      <c r="O3058" s="18"/>
      <c r="P3058" s="100" t="b">
        <v>0</v>
      </c>
      <c r="Q3058" s="18"/>
      <c r="R3058" s="101" t="str">
        <f t="shared" si="2792"/>
        <v/>
      </c>
      <c r="S3058" s="32"/>
      <c r="T3058" s="102" t="str">
        <f t="shared" si="2793"/>
        <v/>
      </c>
      <c r="U3058" s="18"/>
      <c r="V3058" s="75" t="s">
        <v>29</v>
      </c>
      <c r="W3058" s="104" t="str">
        <f t="shared" si="2828"/>
        <v>/</v>
      </c>
      <c r="X3058" s="111" t="s">
        <v>1830</v>
      </c>
      <c r="Y3058" s="106"/>
      <c r="Z3058" s="26" t="str">
        <f t="shared" si="5"/>
        <v/>
      </c>
      <c r="AA3058" s="26" t="str">
        <f t="shared" si="6"/>
        <v/>
      </c>
      <c r="AB3058" s="32" t="str">
        <f t="shared" si="7"/>
        <v/>
      </c>
      <c r="AC3058" s="32" t="str">
        <f t="shared" ref="AC3058:AG3058" si="3126">IF(J3058&lt;&gt;"", IF(AND($P3058=FALSE, $A3058=FALSE), -J3058, IF(AND($P3058=FALSE, $A3058=TRUE), 0, IF($P3058=TRUE, (J3058 / $R3058) * 100 * ($S3058 / 100)-J3058, ))), )</f>
        <v/>
      </c>
      <c r="AD3058" s="32" t="str">
        <f t="shared" si="3126"/>
        <v/>
      </c>
      <c r="AE3058" s="32" t="str">
        <f t="shared" si="3126"/>
        <v/>
      </c>
      <c r="AF3058" s="32" t="str">
        <f t="shared" si="3126"/>
        <v/>
      </c>
      <c r="AG3058" s="32" t="str">
        <f t="shared" si="3126"/>
        <v/>
      </c>
      <c r="AH3058" s="33"/>
    </row>
    <row r="3059" hidden="1" outlineLevel="2">
      <c r="A3059" s="95" t="b">
        <v>0</v>
      </c>
      <c r="B3059" s="96"/>
      <c r="C3059" s="18"/>
      <c r="D3059" s="42">
        <v>45617.0</v>
      </c>
      <c r="E3059" s="20" t="s">
        <v>24</v>
      </c>
      <c r="F3059" s="53" t="s">
        <v>1829</v>
      </c>
      <c r="G3059" s="97">
        <v>1.0</v>
      </c>
      <c r="H3059" s="97"/>
      <c r="I3059" s="97">
        <v>1.0</v>
      </c>
      <c r="J3059" s="98"/>
      <c r="K3059" s="99"/>
      <c r="L3059" s="98"/>
      <c r="M3059" s="99"/>
      <c r="N3059" s="99"/>
      <c r="O3059" s="18"/>
      <c r="P3059" s="100" t="b">
        <v>0</v>
      </c>
      <c r="Q3059" s="18"/>
      <c r="R3059" s="101">
        <f t="shared" si="2792"/>
        <v>2</v>
      </c>
      <c r="S3059" s="32">
        <v>4.53</v>
      </c>
      <c r="T3059" s="102" t="str">
        <f t="shared" si="2793"/>
        <v>+127</v>
      </c>
      <c r="U3059" s="18"/>
      <c r="V3059" s="103" t="str">
        <f>IF(ISBLANK($D3059), "0",)</f>
        <v/>
      </c>
      <c r="W3059" s="104" t="str">
        <f t="shared" si="2828"/>
        <v/>
      </c>
      <c r="X3059" s="105"/>
      <c r="Y3059" s="106"/>
      <c r="Z3059" s="26">
        <f t="shared" si="5"/>
        <v>-1</v>
      </c>
      <c r="AA3059" s="26">
        <f t="shared" si="6"/>
        <v>-1</v>
      </c>
      <c r="AB3059" s="32" t="str">
        <f t="shared" si="7"/>
        <v/>
      </c>
      <c r="AC3059" s="32" t="str">
        <f t="shared" ref="AC3059:AG3059" si="3127">IF(J3059&lt;&gt;"", IF(AND($P3059=FALSE, $A3059=FALSE), -J3059, IF(AND($P3059=FALSE, $A3059=TRUE), 0, IF($P3059=TRUE, (J3059 / $R3059) * 100 * ($S3059 / 100)-J3059, ))), )</f>
        <v/>
      </c>
      <c r="AD3059" s="32" t="str">
        <f t="shared" si="3127"/>
        <v/>
      </c>
      <c r="AE3059" s="32" t="str">
        <f t="shared" si="3127"/>
        <v/>
      </c>
      <c r="AF3059" s="32" t="str">
        <f t="shared" si="3127"/>
        <v/>
      </c>
      <c r="AG3059" s="32" t="str">
        <f t="shared" si="3127"/>
        <v/>
      </c>
      <c r="AH3059" s="33"/>
    </row>
    <row r="3060" hidden="1" outlineLevel="3">
      <c r="A3060" s="95" t="b">
        <v>0</v>
      </c>
      <c r="B3060" s="96"/>
      <c r="C3060" s="18"/>
      <c r="D3060" s="107"/>
      <c r="E3060" s="108"/>
      <c r="F3060" s="109"/>
      <c r="G3060" s="97"/>
      <c r="H3060" s="97"/>
      <c r="I3060" s="97"/>
      <c r="J3060" s="98"/>
      <c r="K3060" s="99"/>
      <c r="L3060" s="98"/>
      <c r="M3060" s="99"/>
      <c r="N3060" s="99"/>
      <c r="O3060" s="18"/>
      <c r="P3060" s="100" t="b">
        <v>0</v>
      </c>
      <c r="Q3060" s="18"/>
      <c r="R3060" s="101" t="str">
        <f t="shared" si="2792"/>
        <v/>
      </c>
      <c r="S3060" s="32"/>
      <c r="T3060" s="102" t="str">
        <f t="shared" si="2793"/>
        <v/>
      </c>
      <c r="U3060" s="18"/>
      <c r="V3060" s="75" t="s">
        <v>29</v>
      </c>
      <c r="W3060" s="104" t="str">
        <f t="shared" si="2828"/>
        <v>/</v>
      </c>
      <c r="X3060" s="111" t="s">
        <v>668</v>
      </c>
      <c r="Y3060" s="106"/>
      <c r="Z3060" s="26" t="str">
        <f t="shared" si="5"/>
        <v/>
      </c>
      <c r="AA3060" s="26" t="str">
        <f t="shared" si="6"/>
        <v/>
      </c>
      <c r="AB3060" s="32" t="str">
        <f t="shared" si="7"/>
        <v/>
      </c>
      <c r="AC3060" s="32" t="str">
        <f t="shared" ref="AC3060:AG3060" si="3128">IF(J3060&lt;&gt;"", IF(AND($P3060=FALSE, $A3060=FALSE), -J3060, IF(AND($P3060=FALSE, $A3060=TRUE), 0, IF($P3060=TRUE, (J3060 / $R3060) * 100 * ($S3060 / 100)-J3060, ))), )</f>
        <v/>
      </c>
      <c r="AD3060" s="32" t="str">
        <f t="shared" si="3128"/>
        <v/>
      </c>
      <c r="AE3060" s="32" t="str">
        <f t="shared" si="3128"/>
        <v/>
      </c>
      <c r="AF3060" s="32" t="str">
        <f t="shared" si="3128"/>
        <v/>
      </c>
      <c r="AG3060" s="32" t="str">
        <f t="shared" si="3128"/>
        <v/>
      </c>
      <c r="AH3060" s="33"/>
    </row>
    <row r="3061" hidden="1" outlineLevel="3">
      <c r="A3061" s="95" t="b">
        <v>0</v>
      </c>
      <c r="B3061" s="96"/>
      <c r="C3061" s="18"/>
      <c r="D3061" s="107"/>
      <c r="E3061" s="108"/>
      <c r="F3061" s="109"/>
      <c r="G3061" s="97"/>
      <c r="H3061" s="97"/>
      <c r="I3061" s="97"/>
      <c r="J3061" s="98"/>
      <c r="K3061" s="99"/>
      <c r="L3061" s="98"/>
      <c r="M3061" s="99"/>
      <c r="N3061" s="99"/>
      <c r="O3061" s="18"/>
      <c r="P3061" s="100" t="b">
        <v>0</v>
      </c>
      <c r="Q3061" s="18"/>
      <c r="R3061" s="101" t="str">
        <f t="shared" si="2792"/>
        <v/>
      </c>
      <c r="S3061" s="32"/>
      <c r="T3061" s="102" t="str">
        <f t="shared" si="2793"/>
        <v/>
      </c>
      <c r="U3061" s="18"/>
      <c r="V3061" s="113">
        <v>41.0</v>
      </c>
      <c r="W3061" s="104" t="str">
        <f t="shared" si="2828"/>
        <v>/</v>
      </c>
      <c r="X3061" s="111" t="s">
        <v>1831</v>
      </c>
      <c r="Y3061" s="106"/>
      <c r="Z3061" s="26" t="str">
        <f t="shared" si="5"/>
        <v/>
      </c>
      <c r="AA3061" s="26" t="str">
        <f t="shared" si="6"/>
        <v/>
      </c>
      <c r="AB3061" s="32" t="str">
        <f t="shared" si="7"/>
        <v/>
      </c>
      <c r="AC3061" s="32" t="str">
        <f t="shared" ref="AC3061:AG3061" si="3129">IF(J3061&lt;&gt;"", IF(AND($P3061=FALSE, $A3061=FALSE), -J3061, IF(AND($P3061=FALSE, $A3061=TRUE), 0, IF($P3061=TRUE, (J3061 / $R3061) * 100 * ($S3061 / 100)-J3061, ))), )</f>
        <v/>
      </c>
      <c r="AD3061" s="32" t="str">
        <f t="shared" si="3129"/>
        <v/>
      </c>
      <c r="AE3061" s="32" t="str">
        <f t="shared" si="3129"/>
        <v/>
      </c>
      <c r="AF3061" s="32" t="str">
        <f t="shared" si="3129"/>
        <v/>
      </c>
      <c r="AG3061" s="32" t="str">
        <f t="shared" si="3129"/>
        <v/>
      </c>
      <c r="AH3061" s="33"/>
    </row>
    <row r="3062" hidden="1" outlineLevel="1" collapsed="1">
      <c r="A3062" s="95" t="b">
        <v>0</v>
      </c>
      <c r="B3062" s="96"/>
      <c r="C3062" s="18"/>
      <c r="D3062" s="42">
        <v>45621.0</v>
      </c>
      <c r="E3062" s="20" t="s">
        <v>24</v>
      </c>
      <c r="F3062" s="53" t="s">
        <v>1829</v>
      </c>
      <c r="G3062" s="97">
        <v>3.0</v>
      </c>
      <c r="H3062" s="97"/>
      <c r="I3062" s="97">
        <v>3.0</v>
      </c>
      <c r="J3062" s="98"/>
      <c r="K3062" s="99"/>
      <c r="L3062" s="98"/>
      <c r="M3062" s="99"/>
      <c r="N3062" s="99"/>
      <c r="O3062" s="18"/>
      <c r="P3062" s="100" t="b">
        <v>0</v>
      </c>
      <c r="Q3062" s="18"/>
      <c r="R3062" s="101">
        <f t="shared" si="2792"/>
        <v>6</v>
      </c>
      <c r="S3062" s="32">
        <v>14.86</v>
      </c>
      <c r="T3062" s="102" t="str">
        <f t="shared" si="2793"/>
        <v>+148</v>
      </c>
      <c r="U3062" s="18"/>
      <c r="V3062" s="103" t="str">
        <f t="shared" ref="V3062:V3063" si="3131">IF(ISBLANK($D3062), "0",)</f>
        <v/>
      </c>
      <c r="W3062" s="104" t="str">
        <f t="shared" si="2828"/>
        <v/>
      </c>
      <c r="X3062" s="105"/>
      <c r="Y3062" s="106"/>
      <c r="Z3062" s="26">
        <f t="shared" si="5"/>
        <v>-3</v>
      </c>
      <c r="AA3062" s="26">
        <f t="shared" si="6"/>
        <v>-3</v>
      </c>
      <c r="AB3062" s="32" t="str">
        <f t="shared" si="7"/>
        <v/>
      </c>
      <c r="AC3062" s="32" t="str">
        <f t="shared" ref="AC3062:AG3062" si="3130">IF(J3062&lt;&gt;"", IF(AND($P3062=FALSE, $A3062=FALSE), -J3062, IF(AND($P3062=FALSE, $A3062=TRUE), 0, IF($P3062=TRUE, (J3062 / $R3062) * 100 * ($S3062 / 100)-J3062, ))), )</f>
        <v/>
      </c>
      <c r="AD3062" s="32" t="str">
        <f t="shared" si="3130"/>
        <v/>
      </c>
      <c r="AE3062" s="32" t="str">
        <f t="shared" si="3130"/>
        <v/>
      </c>
      <c r="AF3062" s="32" t="str">
        <f t="shared" si="3130"/>
        <v/>
      </c>
      <c r="AG3062" s="32" t="str">
        <f t="shared" si="3130"/>
        <v/>
      </c>
      <c r="AH3062" s="33"/>
    </row>
    <row r="3063" hidden="1" outlineLevel="3">
      <c r="A3063" s="95" t="b">
        <v>0</v>
      </c>
      <c r="B3063" s="96"/>
      <c r="C3063" s="18"/>
      <c r="D3063" s="107"/>
      <c r="E3063" s="108"/>
      <c r="F3063" s="109"/>
      <c r="G3063" s="97"/>
      <c r="H3063" s="97"/>
      <c r="I3063" s="97"/>
      <c r="J3063" s="98"/>
      <c r="K3063" s="99"/>
      <c r="L3063" s="98"/>
      <c r="M3063" s="99"/>
      <c r="N3063" s="99"/>
      <c r="O3063" s="18"/>
      <c r="P3063" s="100" t="b">
        <v>0</v>
      </c>
      <c r="Q3063" s="18"/>
      <c r="R3063" s="101" t="str">
        <f t="shared" si="2792"/>
        <v/>
      </c>
      <c r="S3063" s="32"/>
      <c r="T3063" s="102" t="str">
        <f t="shared" si="2793"/>
        <v/>
      </c>
      <c r="U3063" s="18"/>
      <c r="V3063" s="103" t="str">
        <f t="shared" si="3131"/>
        <v>0</v>
      </c>
      <c r="W3063" s="104" t="str">
        <f t="shared" si="2828"/>
        <v>/</v>
      </c>
      <c r="X3063" s="111" t="s">
        <v>1832</v>
      </c>
      <c r="Y3063" s="106"/>
      <c r="Z3063" s="26" t="str">
        <f t="shared" si="5"/>
        <v/>
      </c>
      <c r="AA3063" s="26" t="str">
        <f t="shared" si="6"/>
        <v/>
      </c>
      <c r="AB3063" s="32" t="str">
        <f t="shared" si="7"/>
        <v/>
      </c>
      <c r="AC3063" s="32" t="str">
        <f t="shared" ref="AC3063:AG3063" si="3132">IF(J3063&lt;&gt;"", IF(AND($P3063=FALSE, $A3063=FALSE), -J3063, IF(AND($P3063=FALSE, $A3063=TRUE), 0, IF($P3063=TRUE, (J3063 / $R3063) * 100 * ($S3063 / 100)-J3063, ))), )</f>
        <v/>
      </c>
      <c r="AD3063" s="32" t="str">
        <f t="shared" si="3132"/>
        <v/>
      </c>
      <c r="AE3063" s="32" t="str">
        <f t="shared" si="3132"/>
        <v/>
      </c>
      <c r="AF3063" s="32" t="str">
        <f t="shared" si="3132"/>
        <v/>
      </c>
      <c r="AG3063" s="32" t="str">
        <f t="shared" si="3132"/>
        <v/>
      </c>
      <c r="AH3063" s="33"/>
    </row>
    <row r="3064" hidden="1" outlineLevel="3">
      <c r="A3064" s="95" t="b">
        <v>0</v>
      </c>
      <c r="B3064" s="96"/>
      <c r="C3064" s="18"/>
      <c r="D3064" s="107"/>
      <c r="E3064" s="108"/>
      <c r="F3064" s="109"/>
      <c r="G3064" s="97"/>
      <c r="H3064" s="97"/>
      <c r="I3064" s="97"/>
      <c r="J3064" s="98"/>
      <c r="K3064" s="99"/>
      <c r="L3064" s="98"/>
      <c r="M3064" s="99"/>
      <c r="N3064" s="99"/>
      <c r="O3064" s="18"/>
      <c r="P3064" s="100" t="b">
        <v>0</v>
      </c>
      <c r="Q3064" s="18"/>
      <c r="R3064" s="101" t="str">
        <f t="shared" si="2792"/>
        <v/>
      </c>
      <c r="S3064" s="32"/>
      <c r="T3064" s="102" t="str">
        <f t="shared" si="2793"/>
        <v/>
      </c>
      <c r="U3064" s="18"/>
      <c r="V3064" s="75" t="s">
        <v>29</v>
      </c>
      <c r="W3064" s="104" t="str">
        <f t="shared" si="2828"/>
        <v>/</v>
      </c>
      <c r="X3064" s="111" t="s">
        <v>1192</v>
      </c>
      <c r="Y3064" s="106"/>
      <c r="Z3064" s="26" t="str">
        <f t="shared" si="5"/>
        <v/>
      </c>
      <c r="AA3064" s="26" t="str">
        <f t="shared" si="6"/>
        <v/>
      </c>
      <c r="AB3064" s="32" t="str">
        <f t="shared" si="7"/>
        <v/>
      </c>
      <c r="AC3064" s="32" t="str">
        <f t="shared" ref="AC3064:AG3064" si="3133">IF(J3064&lt;&gt;"", IF(AND($P3064=FALSE, $A3064=FALSE), -J3064, IF(AND($P3064=FALSE, $A3064=TRUE), 0, IF($P3064=TRUE, (J3064 / $R3064) * 100 * ($S3064 / 100)-J3064, ))), )</f>
        <v/>
      </c>
      <c r="AD3064" s="32" t="str">
        <f t="shared" si="3133"/>
        <v/>
      </c>
      <c r="AE3064" s="32" t="str">
        <f t="shared" si="3133"/>
        <v/>
      </c>
      <c r="AF3064" s="32" t="str">
        <f t="shared" si="3133"/>
        <v/>
      </c>
      <c r="AG3064" s="32" t="str">
        <f t="shared" si="3133"/>
        <v/>
      </c>
      <c r="AH3064" s="33"/>
    </row>
    <row r="3065" hidden="1" outlineLevel="3">
      <c r="A3065" s="95" t="b">
        <v>0</v>
      </c>
      <c r="B3065" s="96"/>
      <c r="C3065" s="18"/>
      <c r="D3065" s="107"/>
      <c r="E3065" s="108"/>
      <c r="F3065" s="109"/>
      <c r="G3065" s="97"/>
      <c r="H3065" s="97"/>
      <c r="I3065" s="97"/>
      <c r="J3065" s="98"/>
      <c r="K3065" s="99"/>
      <c r="L3065" s="98"/>
      <c r="M3065" s="99"/>
      <c r="N3065" s="99"/>
      <c r="O3065" s="18"/>
      <c r="P3065" s="100" t="b">
        <v>0</v>
      </c>
      <c r="Q3065" s="18"/>
      <c r="R3065" s="101" t="str">
        <f t="shared" si="2792"/>
        <v/>
      </c>
      <c r="S3065" s="32"/>
      <c r="T3065" s="102" t="str">
        <f t="shared" si="2793"/>
        <v/>
      </c>
      <c r="U3065" s="18"/>
      <c r="V3065" s="113">
        <v>177.0</v>
      </c>
      <c r="W3065" s="104" t="str">
        <f t="shared" si="2828"/>
        <v>/</v>
      </c>
      <c r="X3065" s="111" t="s">
        <v>908</v>
      </c>
      <c r="Y3065" s="106"/>
      <c r="Z3065" s="26" t="str">
        <f t="shared" si="5"/>
        <v/>
      </c>
      <c r="AA3065" s="26" t="str">
        <f t="shared" si="6"/>
        <v/>
      </c>
      <c r="AB3065" s="32" t="str">
        <f t="shared" si="7"/>
        <v/>
      </c>
      <c r="AC3065" s="32" t="str">
        <f t="shared" ref="AC3065:AG3065" si="3134">IF(J3065&lt;&gt;"", IF(AND($P3065=FALSE, $A3065=FALSE), -J3065, IF(AND($P3065=FALSE, $A3065=TRUE), 0, IF($P3065=TRUE, (J3065 / $R3065) * 100 * ($S3065 / 100)-J3065, ))), )</f>
        <v/>
      </c>
      <c r="AD3065" s="32" t="str">
        <f t="shared" si="3134"/>
        <v/>
      </c>
      <c r="AE3065" s="32" t="str">
        <f t="shared" si="3134"/>
        <v/>
      </c>
      <c r="AF3065" s="32" t="str">
        <f t="shared" si="3134"/>
        <v/>
      </c>
      <c r="AG3065" s="32" t="str">
        <f t="shared" si="3134"/>
        <v/>
      </c>
      <c r="AH3065" s="33"/>
    </row>
    <row r="3066" hidden="1" outlineLevel="3">
      <c r="A3066" s="95" t="b">
        <v>0</v>
      </c>
      <c r="B3066" s="96"/>
      <c r="C3066" s="18"/>
      <c r="D3066" s="107"/>
      <c r="E3066" s="108"/>
      <c r="F3066" s="109"/>
      <c r="G3066" s="97"/>
      <c r="H3066" s="97"/>
      <c r="I3066" s="97"/>
      <c r="J3066" s="98"/>
      <c r="K3066" s="99"/>
      <c r="L3066" s="98"/>
      <c r="M3066" s="99"/>
      <c r="N3066" s="99"/>
      <c r="O3066" s="18"/>
      <c r="P3066" s="100" t="b">
        <v>0</v>
      </c>
      <c r="Q3066" s="18"/>
      <c r="R3066" s="101" t="str">
        <f t="shared" si="2792"/>
        <v/>
      </c>
      <c r="S3066" s="32"/>
      <c r="T3066" s="102" t="str">
        <f t="shared" si="2793"/>
        <v/>
      </c>
      <c r="U3066" s="18"/>
      <c r="V3066" s="75" t="s">
        <v>29</v>
      </c>
      <c r="W3066" s="104" t="str">
        <f t="shared" si="2828"/>
        <v>/</v>
      </c>
      <c r="X3066" s="111" t="s">
        <v>1833</v>
      </c>
      <c r="Y3066" s="106"/>
      <c r="Z3066" s="26" t="str">
        <f t="shared" si="5"/>
        <v/>
      </c>
      <c r="AA3066" s="26" t="str">
        <f t="shared" si="6"/>
        <v/>
      </c>
      <c r="AB3066" s="32" t="str">
        <f t="shared" si="7"/>
        <v/>
      </c>
      <c r="AC3066" s="32" t="str">
        <f t="shared" ref="AC3066:AG3066" si="3135">IF(J3066&lt;&gt;"", IF(AND($P3066=FALSE, $A3066=FALSE), -J3066, IF(AND($P3066=FALSE, $A3066=TRUE), 0, IF($P3066=TRUE, (J3066 / $R3066) * 100 * ($S3066 / 100)-J3066, ))), )</f>
        <v/>
      </c>
      <c r="AD3066" s="32" t="str">
        <f t="shared" si="3135"/>
        <v/>
      </c>
      <c r="AE3066" s="32" t="str">
        <f t="shared" si="3135"/>
        <v/>
      </c>
      <c r="AF3066" s="32" t="str">
        <f t="shared" si="3135"/>
        <v/>
      </c>
      <c r="AG3066" s="32" t="str">
        <f t="shared" si="3135"/>
        <v/>
      </c>
      <c r="AH3066" s="33"/>
    </row>
    <row r="3067" hidden="1" outlineLevel="3">
      <c r="A3067" s="95" t="b">
        <v>0</v>
      </c>
      <c r="B3067" s="96"/>
      <c r="C3067" s="18"/>
      <c r="D3067" s="107"/>
      <c r="E3067" s="108"/>
      <c r="F3067" s="109"/>
      <c r="G3067" s="97"/>
      <c r="H3067" s="97"/>
      <c r="I3067" s="97"/>
      <c r="J3067" s="98"/>
      <c r="K3067" s="99"/>
      <c r="L3067" s="98"/>
      <c r="M3067" s="99"/>
      <c r="N3067" s="99"/>
      <c r="O3067" s="18"/>
      <c r="P3067" s="100" t="b">
        <v>0</v>
      </c>
      <c r="Q3067" s="18"/>
      <c r="R3067" s="101" t="str">
        <f t="shared" si="2792"/>
        <v/>
      </c>
      <c r="S3067" s="32"/>
      <c r="T3067" s="102" t="str">
        <f t="shared" si="2793"/>
        <v/>
      </c>
      <c r="U3067" s="18"/>
      <c r="V3067" s="75" t="s">
        <v>29</v>
      </c>
      <c r="W3067" s="104" t="str">
        <f t="shared" si="2828"/>
        <v>/</v>
      </c>
      <c r="X3067" s="111" t="s">
        <v>1834</v>
      </c>
      <c r="Y3067" s="106"/>
      <c r="Z3067" s="26" t="str">
        <f t="shared" si="5"/>
        <v/>
      </c>
      <c r="AA3067" s="26" t="str">
        <f t="shared" si="6"/>
        <v/>
      </c>
      <c r="AB3067" s="32" t="str">
        <f t="shared" si="7"/>
        <v/>
      </c>
      <c r="AC3067" s="32" t="str">
        <f t="shared" ref="AC3067:AG3067" si="3136">IF(J3067&lt;&gt;"", IF(AND($P3067=FALSE, $A3067=FALSE), -J3067, IF(AND($P3067=FALSE, $A3067=TRUE), 0, IF($P3067=TRUE, (J3067 / $R3067) * 100 * ($S3067 / 100)-J3067, ))), )</f>
        <v/>
      </c>
      <c r="AD3067" s="32" t="str">
        <f t="shared" si="3136"/>
        <v/>
      </c>
      <c r="AE3067" s="32" t="str">
        <f t="shared" si="3136"/>
        <v/>
      </c>
      <c r="AF3067" s="32" t="str">
        <f t="shared" si="3136"/>
        <v/>
      </c>
      <c r="AG3067" s="32" t="str">
        <f t="shared" si="3136"/>
        <v/>
      </c>
      <c r="AH3067" s="33"/>
    </row>
    <row r="3068" hidden="1" outlineLevel="2">
      <c r="A3068" s="95" t="b">
        <v>0</v>
      </c>
      <c r="B3068" s="96"/>
      <c r="C3068" s="18"/>
      <c r="D3068" s="42">
        <v>45621.0</v>
      </c>
      <c r="E3068" s="20" t="s">
        <v>24</v>
      </c>
      <c r="F3068" s="53" t="s">
        <v>1829</v>
      </c>
      <c r="G3068" s="97">
        <v>3.0</v>
      </c>
      <c r="H3068" s="97"/>
      <c r="I3068" s="97">
        <v>3.0</v>
      </c>
      <c r="J3068" s="98"/>
      <c r="K3068" s="99"/>
      <c r="L3068" s="98"/>
      <c r="M3068" s="99"/>
      <c r="N3068" s="99"/>
      <c r="O3068" s="18"/>
      <c r="P3068" s="100" t="b">
        <v>0</v>
      </c>
      <c r="Q3068" s="18"/>
      <c r="R3068" s="101">
        <f t="shared" si="2792"/>
        <v>6</v>
      </c>
      <c r="S3068" s="32">
        <v>17.39</v>
      </c>
      <c r="T3068" s="102" t="str">
        <f t="shared" si="2793"/>
        <v>+190</v>
      </c>
      <c r="U3068" s="18"/>
      <c r="V3068" s="103" t="str">
        <f t="shared" ref="V3068:V3069" si="3138">IF(ISBLANK($D3068), "0",)</f>
        <v/>
      </c>
      <c r="W3068" s="104" t="str">
        <f t="shared" si="2828"/>
        <v/>
      </c>
      <c r="X3068" s="105"/>
      <c r="Y3068" s="106"/>
      <c r="Z3068" s="26">
        <f t="shared" si="5"/>
        <v>-3</v>
      </c>
      <c r="AA3068" s="26">
        <f t="shared" si="6"/>
        <v>-3</v>
      </c>
      <c r="AB3068" s="32" t="str">
        <f t="shared" si="7"/>
        <v/>
      </c>
      <c r="AC3068" s="32" t="str">
        <f t="shared" ref="AC3068:AG3068" si="3137">IF(J3068&lt;&gt;"", IF(AND($P3068=FALSE, $A3068=FALSE), -J3068, IF(AND($P3068=FALSE, $A3068=TRUE), 0, IF($P3068=TRUE, (J3068 / $R3068) * 100 * ($S3068 / 100)-J3068, ))), )</f>
        <v/>
      </c>
      <c r="AD3068" s="32" t="str">
        <f t="shared" si="3137"/>
        <v/>
      </c>
      <c r="AE3068" s="32" t="str">
        <f t="shared" si="3137"/>
        <v/>
      </c>
      <c r="AF3068" s="32" t="str">
        <f t="shared" si="3137"/>
        <v/>
      </c>
      <c r="AG3068" s="32" t="str">
        <f t="shared" si="3137"/>
        <v/>
      </c>
      <c r="AH3068" s="33"/>
    </row>
    <row r="3069" hidden="1" outlineLevel="3">
      <c r="A3069" s="95" t="b">
        <v>0</v>
      </c>
      <c r="B3069" s="96"/>
      <c r="C3069" s="18"/>
      <c r="D3069" s="107"/>
      <c r="E3069" s="108"/>
      <c r="F3069" s="109"/>
      <c r="G3069" s="97"/>
      <c r="H3069" s="97"/>
      <c r="I3069" s="97"/>
      <c r="J3069" s="98"/>
      <c r="K3069" s="99"/>
      <c r="L3069" s="98"/>
      <c r="M3069" s="99"/>
      <c r="N3069" s="99"/>
      <c r="O3069" s="18"/>
      <c r="P3069" s="100" t="b">
        <v>0</v>
      </c>
      <c r="Q3069" s="18"/>
      <c r="R3069" s="101" t="str">
        <f t="shared" si="2792"/>
        <v/>
      </c>
      <c r="S3069" s="32"/>
      <c r="T3069" s="102" t="str">
        <f t="shared" si="2793"/>
        <v/>
      </c>
      <c r="U3069" s="18"/>
      <c r="V3069" s="103" t="str">
        <f t="shared" si="3138"/>
        <v>0</v>
      </c>
      <c r="W3069" s="104" t="str">
        <f t="shared" si="2828"/>
        <v>/</v>
      </c>
      <c r="X3069" s="111" t="s">
        <v>872</v>
      </c>
      <c r="Y3069" s="106"/>
      <c r="Z3069" s="26" t="str">
        <f t="shared" si="5"/>
        <v/>
      </c>
      <c r="AA3069" s="26" t="str">
        <f t="shared" si="6"/>
        <v/>
      </c>
      <c r="AB3069" s="32" t="str">
        <f t="shared" si="7"/>
        <v/>
      </c>
      <c r="AC3069" s="32" t="str">
        <f t="shared" ref="AC3069:AG3069" si="3139">IF(J3069&lt;&gt;"", IF(AND($P3069=FALSE, $A3069=FALSE), -J3069, IF(AND($P3069=FALSE, $A3069=TRUE), 0, IF($P3069=TRUE, (J3069 / $R3069) * 100 * ($S3069 / 100)-J3069, ))), )</f>
        <v/>
      </c>
      <c r="AD3069" s="32" t="str">
        <f t="shared" si="3139"/>
        <v/>
      </c>
      <c r="AE3069" s="32" t="str">
        <f t="shared" si="3139"/>
        <v/>
      </c>
      <c r="AF3069" s="32" t="str">
        <f t="shared" si="3139"/>
        <v/>
      </c>
      <c r="AG3069" s="32" t="str">
        <f t="shared" si="3139"/>
        <v/>
      </c>
      <c r="AH3069" s="33"/>
    </row>
    <row r="3070" hidden="1" outlineLevel="3">
      <c r="A3070" s="95" t="b">
        <v>0</v>
      </c>
      <c r="B3070" s="96"/>
      <c r="C3070" s="18"/>
      <c r="D3070" s="107"/>
      <c r="E3070" s="108"/>
      <c r="F3070" s="109"/>
      <c r="G3070" s="97"/>
      <c r="H3070" s="97"/>
      <c r="I3070" s="97"/>
      <c r="J3070" s="98"/>
      <c r="K3070" s="99"/>
      <c r="L3070" s="98"/>
      <c r="M3070" s="99"/>
      <c r="N3070" s="99"/>
      <c r="O3070" s="18"/>
      <c r="P3070" s="100" t="b">
        <v>0</v>
      </c>
      <c r="Q3070" s="18"/>
      <c r="R3070" s="101" t="str">
        <f t="shared" si="2792"/>
        <v/>
      </c>
      <c r="S3070" s="32"/>
      <c r="T3070" s="102" t="str">
        <f t="shared" si="2793"/>
        <v/>
      </c>
      <c r="U3070" s="18"/>
      <c r="V3070" s="75" t="s">
        <v>29</v>
      </c>
      <c r="W3070" s="104" t="str">
        <f t="shared" si="2828"/>
        <v>/</v>
      </c>
      <c r="X3070" s="111" t="s">
        <v>1835</v>
      </c>
      <c r="Y3070" s="106"/>
      <c r="Z3070" s="26" t="str">
        <f t="shared" si="5"/>
        <v/>
      </c>
      <c r="AA3070" s="26" t="str">
        <f t="shared" si="6"/>
        <v/>
      </c>
      <c r="AB3070" s="32" t="str">
        <f t="shared" si="7"/>
        <v/>
      </c>
      <c r="AC3070" s="32" t="str">
        <f t="shared" ref="AC3070:AG3070" si="3140">IF(J3070&lt;&gt;"", IF(AND($P3070=FALSE, $A3070=FALSE), -J3070, IF(AND($P3070=FALSE, $A3070=TRUE), 0, IF($P3070=TRUE, (J3070 / $R3070) * 100 * ($S3070 / 100)-J3070, ))), )</f>
        <v/>
      </c>
      <c r="AD3070" s="32" t="str">
        <f t="shared" si="3140"/>
        <v/>
      </c>
      <c r="AE3070" s="32" t="str">
        <f t="shared" si="3140"/>
        <v/>
      </c>
      <c r="AF3070" s="32" t="str">
        <f t="shared" si="3140"/>
        <v/>
      </c>
      <c r="AG3070" s="32" t="str">
        <f t="shared" si="3140"/>
        <v/>
      </c>
      <c r="AH3070" s="33"/>
    </row>
    <row r="3071" hidden="1" outlineLevel="3">
      <c r="A3071" s="95" t="b">
        <v>0</v>
      </c>
      <c r="B3071" s="96"/>
      <c r="C3071" s="18"/>
      <c r="D3071" s="107"/>
      <c r="E3071" s="108"/>
      <c r="F3071" s="109"/>
      <c r="G3071" s="97"/>
      <c r="H3071" s="97"/>
      <c r="I3071" s="97"/>
      <c r="J3071" s="98"/>
      <c r="K3071" s="99"/>
      <c r="L3071" s="98"/>
      <c r="M3071" s="99"/>
      <c r="N3071" s="99"/>
      <c r="O3071" s="18"/>
      <c r="P3071" s="100" t="b">
        <v>0</v>
      </c>
      <c r="Q3071" s="18"/>
      <c r="R3071" s="101" t="str">
        <f t="shared" si="2792"/>
        <v/>
      </c>
      <c r="S3071" s="32"/>
      <c r="T3071" s="102" t="str">
        <f t="shared" si="2793"/>
        <v/>
      </c>
      <c r="U3071" s="18"/>
      <c r="V3071" s="75" t="s">
        <v>29</v>
      </c>
      <c r="W3071" s="104" t="str">
        <f t="shared" si="2828"/>
        <v>/</v>
      </c>
      <c r="X3071" s="111" t="s">
        <v>1836</v>
      </c>
      <c r="Y3071" s="106"/>
      <c r="Z3071" s="26" t="str">
        <f t="shared" si="5"/>
        <v/>
      </c>
      <c r="AA3071" s="26" t="str">
        <f t="shared" si="6"/>
        <v/>
      </c>
      <c r="AB3071" s="32" t="str">
        <f t="shared" si="7"/>
        <v/>
      </c>
      <c r="AC3071" s="32" t="str">
        <f t="shared" ref="AC3071:AG3071" si="3141">IF(J3071&lt;&gt;"", IF(AND($P3071=FALSE, $A3071=FALSE), -J3071, IF(AND($P3071=FALSE, $A3071=TRUE), 0, IF($P3071=TRUE, (J3071 / $R3071) * 100 * ($S3071 / 100)-J3071, ))), )</f>
        <v/>
      </c>
      <c r="AD3071" s="32" t="str">
        <f t="shared" si="3141"/>
        <v/>
      </c>
      <c r="AE3071" s="32" t="str">
        <f t="shared" si="3141"/>
        <v/>
      </c>
      <c r="AF3071" s="32" t="str">
        <f t="shared" si="3141"/>
        <v/>
      </c>
      <c r="AG3071" s="32" t="str">
        <f t="shared" si="3141"/>
        <v/>
      </c>
      <c r="AH3071" s="33"/>
    </row>
    <row r="3072" hidden="1" outlineLevel="3">
      <c r="A3072" s="95" t="b">
        <v>0</v>
      </c>
      <c r="B3072" s="96"/>
      <c r="C3072" s="18"/>
      <c r="D3072" s="107"/>
      <c r="E3072" s="108"/>
      <c r="F3072" s="109"/>
      <c r="G3072" s="97"/>
      <c r="H3072" s="97"/>
      <c r="I3072" s="97"/>
      <c r="J3072" s="98"/>
      <c r="K3072" s="99"/>
      <c r="L3072" s="98"/>
      <c r="M3072" s="99"/>
      <c r="N3072" s="99"/>
      <c r="O3072" s="18"/>
      <c r="P3072" s="100" t="b">
        <v>0</v>
      </c>
      <c r="Q3072" s="18"/>
      <c r="R3072" s="101" t="str">
        <f t="shared" si="2792"/>
        <v/>
      </c>
      <c r="S3072" s="32"/>
      <c r="T3072" s="102" t="str">
        <f t="shared" si="2793"/>
        <v/>
      </c>
      <c r="U3072" s="18"/>
      <c r="V3072" s="103" t="str">
        <f t="shared" ref="V3072:V3073" si="3143">IF(ISBLANK($D3072), "0",)</f>
        <v>0</v>
      </c>
      <c r="W3072" s="104" t="str">
        <f t="shared" si="2828"/>
        <v>/</v>
      </c>
      <c r="X3072" s="111" t="s">
        <v>1837</v>
      </c>
      <c r="Y3072" s="106"/>
      <c r="Z3072" s="26" t="str">
        <f t="shared" si="5"/>
        <v/>
      </c>
      <c r="AA3072" s="26" t="str">
        <f t="shared" si="6"/>
        <v/>
      </c>
      <c r="AB3072" s="32" t="str">
        <f t="shared" si="7"/>
        <v/>
      </c>
      <c r="AC3072" s="32" t="str">
        <f t="shared" ref="AC3072:AG3072" si="3142">IF(J3072&lt;&gt;"", IF(AND($P3072=FALSE, $A3072=FALSE), -J3072, IF(AND($P3072=FALSE, $A3072=TRUE), 0, IF($P3072=TRUE, (J3072 / $R3072) * 100 * ($S3072 / 100)-J3072, ))), )</f>
        <v/>
      </c>
      <c r="AD3072" s="32" t="str">
        <f t="shared" si="3142"/>
        <v/>
      </c>
      <c r="AE3072" s="32" t="str">
        <f t="shared" si="3142"/>
        <v/>
      </c>
      <c r="AF3072" s="32" t="str">
        <f t="shared" si="3142"/>
        <v/>
      </c>
      <c r="AG3072" s="32" t="str">
        <f t="shared" si="3142"/>
        <v/>
      </c>
      <c r="AH3072" s="33"/>
    </row>
    <row r="3073" hidden="1" outlineLevel="1" collapsed="1">
      <c r="A3073" s="95" t="b">
        <v>0</v>
      </c>
      <c r="B3073" s="96"/>
      <c r="C3073" s="18"/>
      <c r="D3073" s="42">
        <v>45624.0</v>
      </c>
      <c r="E3073" s="20" t="s">
        <v>24</v>
      </c>
      <c r="F3073" s="53" t="s">
        <v>1838</v>
      </c>
      <c r="G3073" s="97">
        <v>2.0</v>
      </c>
      <c r="H3073" s="97"/>
      <c r="I3073" s="97">
        <v>3.0</v>
      </c>
      <c r="J3073" s="98"/>
      <c r="K3073" s="99"/>
      <c r="L3073" s="98"/>
      <c r="M3073" s="99"/>
      <c r="N3073" s="99"/>
      <c r="O3073" s="18"/>
      <c r="P3073" s="100" t="b">
        <v>1</v>
      </c>
      <c r="Q3073" s="18"/>
      <c r="R3073" s="101">
        <f t="shared" si="2792"/>
        <v>5</v>
      </c>
      <c r="S3073" s="32">
        <v>10.0</v>
      </c>
      <c r="T3073" s="102">
        <f t="shared" si="2793"/>
        <v>-100</v>
      </c>
      <c r="U3073" s="18"/>
      <c r="V3073" s="103" t="str">
        <f t="shared" si="3143"/>
        <v/>
      </c>
      <c r="W3073" s="104" t="str">
        <f t="shared" si="2828"/>
        <v/>
      </c>
      <c r="X3073" s="105"/>
      <c r="Y3073" s="106"/>
      <c r="Z3073" s="26">
        <f t="shared" si="5"/>
        <v>2</v>
      </c>
      <c r="AA3073" s="26">
        <f t="shared" si="6"/>
        <v>3</v>
      </c>
      <c r="AB3073" s="32" t="str">
        <f t="shared" si="7"/>
        <v/>
      </c>
      <c r="AC3073" s="32" t="str">
        <f t="shared" ref="AC3073:AG3073" si="3144">IF(J3073&lt;&gt;"", IF(AND($P3073=FALSE, $A3073=FALSE), -J3073, IF(AND($P3073=FALSE, $A3073=TRUE), 0, IF($P3073=TRUE, (J3073 / $R3073) * 100 * ($S3073 / 100)-J3073, ))), )</f>
        <v/>
      </c>
      <c r="AD3073" s="32" t="str">
        <f t="shared" si="3144"/>
        <v/>
      </c>
      <c r="AE3073" s="32" t="str">
        <f t="shared" si="3144"/>
        <v/>
      </c>
      <c r="AF3073" s="32" t="str">
        <f t="shared" si="3144"/>
        <v/>
      </c>
      <c r="AG3073" s="32" t="str">
        <f t="shared" si="3144"/>
        <v/>
      </c>
      <c r="AH3073" s="33"/>
    </row>
    <row r="3074" hidden="1" outlineLevel="3">
      <c r="A3074" s="95" t="b">
        <v>0</v>
      </c>
      <c r="B3074" s="96"/>
      <c r="C3074" s="18"/>
      <c r="D3074" s="107"/>
      <c r="E3074" s="108"/>
      <c r="F3074" s="109"/>
      <c r="G3074" s="97"/>
      <c r="H3074" s="97"/>
      <c r="I3074" s="97"/>
      <c r="J3074" s="98"/>
      <c r="K3074" s="99"/>
      <c r="L3074" s="98"/>
      <c r="M3074" s="99"/>
      <c r="N3074" s="99"/>
      <c r="O3074" s="18"/>
      <c r="P3074" s="100" t="b">
        <v>0</v>
      </c>
      <c r="Q3074" s="18"/>
      <c r="R3074" s="101" t="str">
        <f t="shared" si="2792"/>
        <v/>
      </c>
      <c r="S3074" s="32"/>
      <c r="T3074" s="102" t="str">
        <f t="shared" si="2793"/>
        <v/>
      </c>
      <c r="U3074" s="18"/>
      <c r="V3074" s="75" t="s">
        <v>29</v>
      </c>
      <c r="W3074" s="104" t="str">
        <f t="shared" si="2828"/>
        <v>/</v>
      </c>
      <c r="X3074" s="111" t="s">
        <v>1839</v>
      </c>
      <c r="Y3074" s="106"/>
      <c r="Z3074" s="26" t="str">
        <f t="shared" si="5"/>
        <v/>
      </c>
      <c r="AA3074" s="26" t="str">
        <f t="shared" si="6"/>
        <v/>
      </c>
      <c r="AB3074" s="32" t="str">
        <f t="shared" si="7"/>
        <v/>
      </c>
      <c r="AC3074" s="32" t="str">
        <f t="shared" ref="AC3074:AG3074" si="3145">IF(J3074&lt;&gt;"", IF(AND($P3074=FALSE, $A3074=FALSE), -J3074, IF(AND($P3074=FALSE, $A3074=TRUE), 0, IF($P3074=TRUE, (J3074 / $R3074) * 100 * ($S3074 / 100)-J3074, ))), )</f>
        <v/>
      </c>
      <c r="AD3074" s="32" t="str">
        <f t="shared" si="3145"/>
        <v/>
      </c>
      <c r="AE3074" s="32" t="str">
        <f t="shared" si="3145"/>
        <v/>
      </c>
      <c r="AF3074" s="32" t="str">
        <f t="shared" si="3145"/>
        <v/>
      </c>
      <c r="AG3074" s="32" t="str">
        <f t="shared" si="3145"/>
        <v/>
      </c>
      <c r="AH3074" s="33"/>
    </row>
    <row r="3075" hidden="1" outlineLevel="2" collapsed="1">
      <c r="A3075" s="95" t="b">
        <v>0</v>
      </c>
      <c r="B3075" s="96"/>
      <c r="C3075" s="18"/>
      <c r="D3075" s="42">
        <v>45624.0</v>
      </c>
      <c r="E3075" s="20" t="s">
        <v>24</v>
      </c>
      <c r="F3075" s="53" t="s">
        <v>1838</v>
      </c>
      <c r="G3075" s="97">
        <v>0.5</v>
      </c>
      <c r="H3075" s="97"/>
      <c r="I3075" s="97">
        <v>4.5</v>
      </c>
      <c r="J3075" s="98"/>
      <c r="K3075" s="99"/>
      <c r="L3075" s="98"/>
      <c r="M3075" s="99"/>
      <c r="N3075" s="99"/>
      <c r="O3075" s="18"/>
      <c r="P3075" s="100" t="b">
        <v>0</v>
      </c>
      <c r="Q3075" s="18"/>
      <c r="R3075" s="101">
        <f t="shared" si="2792"/>
        <v>5</v>
      </c>
      <c r="S3075" s="32">
        <v>29.5</v>
      </c>
      <c r="T3075" s="102" t="str">
        <f t="shared" si="2793"/>
        <v>+490</v>
      </c>
      <c r="U3075" s="18"/>
      <c r="V3075" s="103" t="str">
        <f>IF(ISBLANK($D3075), "0",)</f>
        <v/>
      </c>
      <c r="W3075" s="104" t="str">
        <f t="shared" si="2828"/>
        <v/>
      </c>
      <c r="X3075" s="105"/>
      <c r="Y3075" s="106"/>
      <c r="Z3075" s="26">
        <f t="shared" si="5"/>
        <v>-0.5</v>
      </c>
      <c r="AA3075" s="26">
        <f t="shared" si="6"/>
        <v>-4.5</v>
      </c>
      <c r="AB3075" s="32" t="str">
        <f t="shared" si="7"/>
        <v/>
      </c>
      <c r="AC3075" s="32" t="str">
        <f t="shared" ref="AC3075:AG3075" si="3146">IF(J3075&lt;&gt;"", IF(AND($P3075=FALSE, $A3075=FALSE), -J3075, IF(AND($P3075=FALSE, $A3075=TRUE), 0, IF($P3075=TRUE, (J3075 / $R3075) * 100 * ($S3075 / 100)-J3075, ))), )</f>
        <v/>
      </c>
      <c r="AD3075" s="32" t="str">
        <f t="shared" si="3146"/>
        <v/>
      </c>
      <c r="AE3075" s="32" t="str">
        <f t="shared" si="3146"/>
        <v/>
      </c>
      <c r="AF3075" s="32" t="str">
        <f t="shared" si="3146"/>
        <v/>
      </c>
      <c r="AG3075" s="32" t="str">
        <f t="shared" si="3146"/>
        <v/>
      </c>
      <c r="AH3075" s="33"/>
    </row>
    <row r="3076" hidden="1" outlineLevel="3">
      <c r="A3076" s="95" t="b">
        <v>0</v>
      </c>
      <c r="B3076" s="96"/>
      <c r="C3076" s="18"/>
      <c r="D3076" s="107"/>
      <c r="E3076" s="108"/>
      <c r="F3076" s="109"/>
      <c r="G3076" s="97"/>
      <c r="H3076" s="97"/>
      <c r="I3076" s="97"/>
      <c r="J3076" s="98"/>
      <c r="K3076" s="99"/>
      <c r="L3076" s="98"/>
      <c r="M3076" s="99"/>
      <c r="N3076" s="99"/>
      <c r="O3076" s="18"/>
      <c r="P3076" s="100" t="b">
        <v>0</v>
      </c>
      <c r="Q3076" s="18"/>
      <c r="R3076" s="101" t="str">
        <f t="shared" si="2792"/>
        <v/>
      </c>
      <c r="S3076" s="32"/>
      <c r="T3076" s="102" t="str">
        <f t="shared" si="2793"/>
        <v/>
      </c>
      <c r="U3076" s="18"/>
      <c r="V3076" s="113">
        <v>3.0</v>
      </c>
      <c r="W3076" s="104" t="str">
        <f t="shared" si="2828"/>
        <v>/</v>
      </c>
      <c r="X3076" s="111" t="s">
        <v>1840</v>
      </c>
      <c r="Y3076" s="106"/>
      <c r="Z3076" s="26" t="str">
        <f t="shared" si="5"/>
        <v/>
      </c>
      <c r="AA3076" s="26" t="str">
        <f t="shared" si="6"/>
        <v/>
      </c>
      <c r="AB3076" s="32" t="str">
        <f t="shared" si="7"/>
        <v/>
      </c>
      <c r="AC3076" s="32" t="str">
        <f t="shared" ref="AC3076:AG3076" si="3147">IF(J3076&lt;&gt;"", IF(AND($P3076=FALSE, $A3076=FALSE), -J3076, IF(AND($P3076=FALSE, $A3076=TRUE), 0, IF($P3076=TRUE, (J3076 / $R3076) * 100 * ($S3076 / 100)-J3076, ))), )</f>
        <v/>
      </c>
      <c r="AD3076" s="32" t="str">
        <f t="shared" si="3147"/>
        <v/>
      </c>
      <c r="AE3076" s="32" t="str">
        <f t="shared" si="3147"/>
        <v/>
      </c>
      <c r="AF3076" s="32" t="str">
        <f t="shared" si="3147"/>
        <v/>
      </c>
      <c r="AG3076" s="32" t="str">
        <f t="shared" si="3147"/>
        <v/>
      </c>
      <c r="AH3076" s="33"/>
    </row>
    <row r="3077" hidden="1" outlineLevel="2">
      <c r="A3077" s="95" t="b">
        <v>0</v>
      </c>
      <c r="B3077" s="96"/>
      <c r="C3077" s="18"/>
      <c r="D3077" s="42">
        <v>45624.0</v>
      </c>
      <c r="E3077" s="20" t="s">
        <v>24</v>
      </c>
      <c r="F3077" s="53" t="s">
        <v>1838</v>
      </c>
      <c r="G3077" s="97">
        <v>2.0</v>
      </c>
      <c r="H3077" s="97"/>
      <c r="I3077" s="97">
        <v>3.0</v>
      </c>
      <c r="J3077" s="98"/>
      <c r="K3077" s="99"/>
      <c r="L3077" s="98"/>
      <c r="M3077" s="99"/>
      <c r="N3077" s="99"/>
      <c r="O3077" s="18"/>
      <c r="P3077" s="100" t="b">
        <v>1</v>
      </c>
      <c r="Q3077" s="18"/>
      <c r="R3077" s="101">
        <f t="shared" si="2792"/>
        <v>5</v>
      </c>
      <c r="S3077" s="32">
        <v>13.17</v>
      </c>
      <c r="T3077" s="102" t="str">
        <f t="shared" si="2793"/>
        <v>+163</v>
      </c>
      <c r="U3077" s="18"/>
      <c r="V3077" s="103" t="str">
        <f>IF(ISBLANK($D3077), "0",)</f>
        <v/>
      </c>
      <c r="W3077" s="104" t="str">
        <f t="shared" si="2828"/>
        <v/>
      </c>
      <c r="X3077" s="105"/>
      <c r="Y3077" s="106"/>
      <c r="Z3077" s="26">
        <f t="shared" si="5"/>
        <v>3.268</v>
      </c>
      <c r="AA3077" s="26">
        <f t="shared" si="6"/>
        <v>4.902</v>
      </c>
      <c r="AB3077" s="32" t="str">
        <f t="shared" si="7"/>
        <v/>
      </c>
      <c r="AC3077" s="32" t="str">
        <f t="shared" ref="AC3077:AG3077" si="3148">IF(J3077&lt;&gt;"", IF(AND($P3077=FALSE, $A3077=FALSE), -J3077, IF(AND($P3077=FALSE, $A3077=TRUE), 0, IF($P3077=TRUE, (J3077 / $R3077) * 100 * ($S3077 / 100)-J3077, ))), )</f>
        <v/>
      </c>
      <c r="AD3077" s="32" t="str">
        <f t="shared" si="3148"/>
        <v/>
      </c>
      <c r="AE3077" s="32" t="str">
        <f t="shared" si="3148"/>
        <v/>
      </c>
      <c r="AF3077" s="32" t="str">
        <f t="shared" si="3148"/>
        <v/>
      </c>
      <c r="AG3077" s="32" t="str">
        <f t="shared" si="3148"/>
        <v/>
      </c>
      <c r="AH3077" s="33"/>
    </row>
    <row r="3078" hidden="1" outlineLevel="3">
      <c r="A3078" s="95" t="b">
        <v>0</v>
      </c>
      <c r="B3078" s="96"/>
      <c r="C3078" s="18"/>
      <c r="D3078" s="107"/>
      <c r="E3078" s="108"/>
      <c r="F3078" s="109"/>
      <c r="G3078" s="97"/>
      <c r="H3078" s="97"/>
      <c r="I3078" s="97"/>
      <c r="J3078" s="98"/>
      <c r="K3078" s="99"/>
      <c r="L3078" s="98"/>
      <c r="M3078" s="99"/>
      <c r="N3078" s="99"/>
      <c r="O3078" s="18"/>
      <c r="P3078" s="100" t="b">
        <v>0</v>
      </c>
      <c r="Q3078" s="18"/>
      <c r="R3078" s="101" t="str">
        <f t="shared" si="2792"/>
        <v/>
      </c>
      <c r="S3078" s="32"/>
      <c r="T3078" s="102" t="str">
        <f t="shared" si="2793"/>
        <v/>
      </c>
      <c r="U3078" s="18"/>
      <c r="V3078" s="75" t="s">
        <v>29</v>
      </c>
      <c r="W3078" s="104" t="str">
        <f t="shared" si="2828"/>
        <v>/</v>
      </c>
      <c r="X3078" s="111" t="s">
        <v>680</v>
      </c>
      <c r="Y3078" s="106"/>
      <c r="Z3078" s="26" t="str">
        <f t="shared" si="5"/>
        <v/>
      </c>
      <c r="AA3078" s="26" t="str">
        <f t="shared" si="6"/>
        <v/>
      </c>
      <c r="AB3078" s="32" t="str">
        <f t="shared" si="7"/>
        <v/>
      </c>
      <c r="AC3078" s="32" t="str">
        <f t="shared" ref="AC3078:AG3078" si="3149">IF(J3078&lt;&gt;"", IF(AND($P3078=FALSE, $A3078=FALSE), -J3078, IF(AND($P3078=FALSE, $A3078=TRUE), 0, IF($P3078=TRUE, (J3078 / $R3078) * 100 * ($S3078 / 100)-J3078, ))), )</f>
        <v/>
      </c>
      <c r="AD3078" s="32" t="str">
        <f t="shared" si="3149"/>
        <v/>
      </c>
      <c r="AE3078" s="32" t="str">
        <f t="shared" si="3149"/>
        <v/>
      </c>
      <c r="AF3078" s="32" t="str">
        <f t="shared" si="3149"/>
        <v/>
      </c>
      <c r="AG3078" s="32" t="str">
        <f t="shared" si="3149"/>
        <v/>
      </c>
      <c r="AH3078" s="33"/>
    </row>
    <row r="3079" hidden="1" outlineLevel="3">
      <c r="A3079" s="95" t="b">
        <v>0</v>
      </c>
      <c r="B3079" s="96"/>
      <c r="C3079" s="18"/>
      <c r="D3079" s="107"/>
      <c r="E3079" s="108"/>
      <c r="F3079" s="109"/>
      <c r="G3079" s="97"/>
      <c r="H3079" s="97"/>
      <c r="I3079" s="97"/>
      <c r="J3079" s="98"/>
      <c r="K3079" s="99"/>
      <c r="L3079" s="98"/>
      <c r="M3079" s="99"/>
      <c r="N3079" s="99"/>
      <c r="O3079" s="18"/>
      <c r="P3079" s="100" t="b">
        <v>0</v>
      </c>
      <c r="Q3079" s="18"/>
      <c r="R3079" s="101" t="str">
        <f t="shared" si="2792"/>
        <v/>
      </c>
      <c r="S3079" s="32"/>
      <c r="T3079" s="102" t="str">
        <f t="shared" si="2793"/>
        <v/>
      </c>
      <c r="U3079" s="18"/>
      <c r="V3079" s="75" t="s">
        <v>29</v>
      </c>
      <c r="W3079" s="104" t="str">
        <f t="shared" si="2828"/>
        <v>/</v>
      </c>
      <c r="X3079" s="111" t="s">
        <v>73</v>
      </c>
      <c r="Y3079" s="106"/>
      <c r="Z3079" s="26" t="str">
        <f t="shared" si="5"/>
        <v/>
      </c>
      <c r="AA3079" s="26" t="str">
        <f t="shared" si="6"/>
        <v/>
      </c>
      <c r="AB3079" s="32" t="str">
        <f t="shared" si="7"/>
        <v/>
      </c>
      <c r="AC3079" s="32" t="str">
        <f t="shared" ref="AC3079:AG3079" si="3150">IF(J3079&lt;&gt;"", IF(AND($P3079=FALSE, $A3079=FALSE), -J3079, IF(AND($P3079=FALSE, $A3079=TRUE), 0, IF($P3079=TRUE, (J3079 / $R3079) * 100 * ($S3079 / 100)-J3079, ))), )</f>
        <v/>
      </c>
      <c r="AD3079" s="32" t="str">
        <f t="shared" si="3150"/>
        <v/>
      </c>
      <c r="AE3079" s="32" t="str">
        <f t="shared" si="3150"/>
        <v/>
      </c>
      <c r="AF3079" s="32" t="str">
        <f t="shared" si="3150"/>
        <v/>
      </c>
      <c r="AG3079" s="32" t="str">
        <f t="shared" si="3150"/>
        <v/>
      </c>
      <c r="AH3079" s="33"/>
    </row>
    <row r="3080" hidden="1" outlineLevel="3">
      <c r="A3080" s="95" t="b">
        <v>0</v>
      </c>
      <c r="B3080" s="96"/>
      <c r="C3080" s="18"/>
      <c r="D3080" s="107"/>
      <c r="E3080" s="108"/>
      <c r="F3080" s="109"/>
      <c r="G3080" s="97"/>
      <c r="H3080" s="97"/>
      <c r="I3080" s="97"/>
      <c r="J3080" s="98"/>
      <c r="K3080" s="99"/>
      <c r="L3080" s="98"/>
      <c r="M3080" s="99"/>
      <c r="N3080" s="99"/>
      <c r="O3080" s="18"/>
      <c r="P3080" s="100" t="b">
        <v>0</v>
      </c>
      <c r="Q3080" s="18"/>
      <c r="R3080" s="101" t="str">
        <f t="shared" si="2792"/>
        <v/>
      </c>
      <c r="S3080" s="32"/>
      <c r="T3080" s="102" t="str">
        <f t="shared" si="2793"/>
        <v/>
      </c>
      <c r="U3080" s="18"/>
      <c r="V3080" s="75" t="s">
        <v>29</v>
      </c>
      <c r="W3080" s="104" t="str">
        <f t="shared" si="2828"/>
        <v>/</v>
      </c>
      <c r="X3080" s="111" t="s">
        <v>1841</v>
      </c>
      <c r="Y3080" s="106"/>
      <c r="Z3080" s="26" t="str">
        <f t="shared" si="5"/>
        <v/>
      </c>
      <c r="AA3080" s="26" t="str">
        <f t="shared" si="6"/>
        <v/>
      </c>
      <c r="AB3080" s="32" t="str">
        <f t="shared" si="7"/>
        <v/>
      </c>
      <c r="AC3080" s="32" t="str">
        <f t="shared" ref="AC3080:AG3080" si="3151">IF(J3080&lt;&gt;"", IF(AND($P3080=FALSE, $A3080=FALSE), -J3080, IF(AND($P3080=FALSE, $A3080=TRUE), 0, IF($P3080=TRUE, (J3080 / $R3080) * 100 * ($S3080 / 100)-J3080, ))), )</f>
        <v/>
      </c>
      <c r="AD3080" s="32" t="str">
        <f t="shared" si="3151"/>
        <v/>
      </c>
      <c r="AE3080" s="32" t="str">
        <f t="shared" si="3151"/>
        <v/>
      </c>
      <c r="AF3080" s="32" t="str">
        <f t="shared" si="3151"/>
        <v/>
      </c>
      <c r="AG3080" s="32" t="str">
        <f t="shared" si="3151"/>
        <v/>
      </c>
      <c r="AH3080" s="33"/>
    </row>
    <row r="3081" hidden="1" outlineLevel="3">
      <c r="A3081" s="95" t="b">
        <v>0</v>
      </c>
      <c r="B3081" s="96"/>
      <c r="C3081" s="18"/>
      <c r="D3081" s="107"/>
      <c r="E3081" s="108"/>
      <c r="F3081" s="109"/>
      <c r="G3081" s="97"/>
      <c r="H3081" s="97"/>
      <c r="I3081" s="97"/>
      <c r="J3081" s="98"/>
      <c r="K3081" s="99"/>
      <c r="L3081" s="98"/>
      <c r="M3081" s="99"/>
      <c r="N3081" s="99"/>
      <c r="O3081" s="18"/>
      <c r="P3081" s="100" t="b">
        <v>0</v>
      </c>
      <c r="Q3081" s="18"/>
      <c r="R3081" s="101" t="str">
        <f t="shared" si="2792"/>
        <v/>
      </c>
      <c r="S3081" s="32"/>
      <c r="T3081" s="102" t="str">
        <f t="shared" si="2793"/>
        <v/>
      </c>
      <c r="U3081" s="18"/>
      <c r="V3081" s="75" t="s">
        <v>29</v>
      </c>
      <c r="W3081" s="104" t="str">
        <f t="shared" si="2828"/>
        <v>/</v>
      </c>
      <c r="X3081" s="111" t="s">
        <v>1842</v>
      </c>
      <c r="Y3081" s="106"/>
      <c r="Z3081" s="26" t="str">
        <f t="shared" si="5"/>
        <v/>
      </c>
      <c r="AA3081" s="26" t="str">
        <f t="shared" si="6"/>
        <v/>
      </c>
      <c r="AB3081" s="32" t="str">
        <f t="shared" si="7"/>
        <v/>
      </c>
      <c r="AC3081" s="32" t="str">
        <f t="shared" ref="AC3081:AG3081" si="3152">IF(J3081&lt;&gt;"", IF(AND($P3081=FALSE, $A3081=FALSE), -J3081, IF(AND($P3081=FALSE, $A3081=TRUE), 0, IF($P3081=TRUE, (J3081 / $R3081) * 100 * ($S3081 / 100)-J3081, ))), )</f>
        <v/>
      </c>
      <c r="AD3081" s="32" t="str">
        <f t="shared" si="3152"/>
        <v/>
      </c>
      <c r="AE3081" s="32" t="str">
        <f t="shared" si="3152"/>
        <v/>
      </c>
      <c r="AF3081" s="32" t="str">
        <f t="shared" si="3152"/>
        <v/>
      </c>
      <c r="AG3081" s="32" t="str">
        <f t="shared" si="3152"/>
        <v/>
      </c>
      <c r="AH3081" s="33"/>
    </row>
    <row r="3082" hidden="1" outlineLevel="3">
      <c r="A3082" s="95" t="b">
        <v>0</v>
      </c>
      <c r="B3082" s="96"/>
      <c r="C3082" s="18"/>
      <c r="D3082" s="107"/>
      <c r="E3082" s="108"/>
      <c r="F3082" s="109"/>
      <c r="G3082" s="97"/>
      <c r="H3082" s="97"/>
      <c r="I3082" s="97"/>
      <c r="J3082" s="98"/>
      <c r="K3082" s="99"/>
      <c r="L3082" s="98"/>
      <c r="M3082" s="99"/>
      <c r="N3082" s="99"/>
      <c r="O3082" s="18"/>
      <c r="P3082" s="100" t="b">
        <v>0</v>
      </c>
      <c r="Q3082" s="18"/>
      <c r="R3082" s="101" t="str">
        <f t="shared" si="2792"/>
        <v/>
      </c>
      <c r="S3082" s="32"/>
      <c r="T3082" s="102" t="str">
        <f t="shared" si="2793"/>
        <v/>
      </c>
      <c r="U3082" s="18"/>
      <c r="V3082" s="75" t="s">
        <v>29</v>
      </c>
      <c r="W3082" s="104" t="str">
        <f t="shared" si="2828"/>
        <v>/</v>
      </c>
      <c r="X3082" s="111" t="s">
        <v>1843</v>
      </c>
      <c r="Y3082" s="106"/>
      <c r="Z3082" s="26" t="str">
        <f t="shared" si="5"/>
        <v/>
      </c>
      <c r="AA3082" s="26" t="str">
        <f t="shared" si="6"/>
        <v/>
      </c>
      <c r="AB3082" s="32" t="str">
        <f t="shared" si="7"/>
        <v/>
      </c>
      <c r="AC3082" s="32" t="str">
        <f t="shared" ref="AC3082:AG3082" si="3153">IF(J3082&lt;&gt;"", IF(AND($P3082=FALSE, $A3082=FALSE), -J3082, IF(AND($P3082=FALSE, $A3082=TRUE), 0, IF($P3082=TRUE, (J3082 / $R3082) * 100 * ($S3082 / 100)-J3082, ))), )</f>
        <v/>
      </c>
      <c r="AD3082" s="32" t="str">
        <f t="shared" si="3153"/>
        <v/>
      </c>
      <c r="AE3082" s="32" t="str">
        <f t="shared" si="3153"/>
        <v/>
      </c>
      <c r="AF3082" s="32" t="str">
        <f t="shared" si="3153"/>
        <v/>
      </c>
      <c r="AG3082" s="32" t="str">
        <f t="shared" si="3153"/>
        <v/>
      </c>
      <c r="AH3082" s="33"/>
    </row>
    <row r="3083" hidden="1" outlineLevel="1" collapsed="1">
      <c r="A3083" s="95" t="b">
        <v>0</v>
      </c>
      <c r="B3083" s="96"/>
      <c r="C3083" s="18"/>
      <c r="D3083" s="42">
        <v>45627.0</v>
      </c>
      <c r="E3083" s="20" t="s">
        <v>24</v>
      </c>
      <c r="F3083" s="53" t="s">
        <v>1838</v>
      </c>
      <c r="G3083" s="97">
        <v>3.0</v>
      </c>
      <c r="H3083" s="97"/>
      <c r="I3083" s="97">
        <v>3.0</v>
      </c>
      <c r="J3083" s="98"/>
      <c r="K3083" s="99"/>
      <c r="L3083" s="98"/>
      <c r="M3083" s="99"/>
      <c r="N3083" s="99"/>
      <c r="O3083" s="18"/>
      <c r="P3083" s="100" t="b">
        <v>0</v>
      </c>
      <c r="Q3083" s="18"/>
      <c r="R3083" s="101">
        <f t="shared" si="2792"/>
        <v>6</v>
      </c>
      <c r="S3083" s="32">
        <v>11.85</v>
      </c>
      <c r="T3083" s="102">
        <f t="shared" si="2793"/>
        <v>-103</v>
      </c>
      <c r="U3083" s="18"/>
      <c r="V3083" s="103" t="str">
        <f>IF(ISBLANK($D3083), "0",)</f>
        <v/>
      </c>
      <c r="W3083" s="104" t="str">
        <f t="shared" si="2828"/>
        <v/>
      </c>
      <c r="X3083" s="105"/>
      <c r="Y3083" s="106"/>
      <c r="Z3083" s="26">
        <f t="shared" si="5"/>
        <v>-3</v>
      </c>
      <c r="AA3083" s="26">
        <f t="shared" si="6"/>
        <v>-3</v>
      </c>
      <c r="AB3083" s="32" t="str">
        <f t="shared" si="7"/>
        <v/>
      </c>
      <c r="AC3083" s="32" t="str">
        <f t="shared" ref="AC3083:AG3083" si="3154">IF(J3083&lt;&gt;"", IF(AND($P3083=FALSE, $A3083=FALSE), -J3083, IF(AND($P3083=FALSE, $A3083=TRUE), 0, IF($P3083=TRUE, (J3083 / $R3083) * 100 * ($S3083 / 100)-J3083, ))), )</f>
        <v/>
      </c>
      <c r="AD3083" s="32" t="str">
        <f t="shared" si="3154"/>
        <v/>
      </c>
      <c r="AE3083" s="32" t="str">
        <f t="shared" si="3154"/>
        <v/>
      </c>
      <c r="AF3083" s="32" t="str">
        <f t="shared" si="3154"/>
        <v/>
      </c>
      <c r="AG3083" s="32" t="str">
        <f t="shared" si="3154"/>
        <v/>
      </c>
      <c r="AH3083" s="33"/>
    </row>
    <row r="3084" hidden="1" outlineLevel="3">
      <c r="A3084" s="95" t="b">
        <v>0</v>
      </c>
      <c r="B3084" s="96"/>
      <c r="C3084" s="18"/>
      <c r="D3084" s="107"/>
      <c r="E3084" s="108"/>
      <c r="F3084" s="109"/>
      <c r="G3084" s="97"/>
      <c r="H3084" s="97"/>
      <c r="I3084" s="97"/>
      <c r="J3084" s="98"/>
      <c r="K3084" s="99"/>
      <c r="L3084" s="98"/>
      <c r="M3084" s="99"/>
      <c r="N3084" s="99"/>
      <c r="O3084" s="18"/>
      <c r="P3084" s="100" t="b">
        <v>0</v>
      </c>
      <c r="Q3084" s="18"/>
      <c r="R3084" s="101" t="str">
        <f t="shared" si="2792"/>
        <v/>
      </c>
      <c r="S3084" s="32"/>
      <c r="T3084" s="102" t="str">
        <f t="shared" si="2793"/>
        <v/>
      </c>
      <c r="U3084" s="18"/>
      <c r="V3084" s="113">
        <v>147.0</v>
      </c>
      <c r="W3084" s="104" t="str">
        <f t="shared" si="2828"/>
        <v>/</v>
      </c>
      <c r="X3084" s="111" t="s">
        <v>647</v>
      </c>
      <c r="Y3084" s="106"/>
      <c r="Z3084" s="26" t="str">
        <f t="shared" si="5"/>
        <v/>
      </c>
      <c r="AA3084" s="26" t="str">
        <f t="shared" si="6"/>
        <v/>
      </c>
      <c r="AB3084" s="32" t="str">
        <f t="shared" si="7"/>
        <v/>
      </c>
      <c r="AC3084" s="32" t="str">
        <f t="shared" ref="AC3084:AG3084" si="3155">IF(J3084&lt;&gt;"", IF(AND($P3084=FALSE, $A3084=FALSE), -J3084, IF(AND($P3084=FALSE, $A3084=TRUE), 0, IF($P3084=TRUE, (J3084 / $R3084) * 100 * ($S3084 / 100)-J3084, ))), )</f>
        <v/>
      </c>
      <c r="AD3084" s="32" t="str">
        <f t="shared" si="3155"/>
        <v/>
      </c>
      <c r="AE3084" s="32" t="str">
        <f t="shared" si="3155"/>
        <v/>
      </c>
      <c r="AF3084" s="32" t="str">
        <f t="shared" si="3155"/>
        <v/>
      </c>
      <c r="AG3084" s="32" t="str">
        <f t="shared" si="3155"/>
        <v/>
      </c>
      <c r="AH3084" s="33"/>
    </row>
    <row r="3085" hidden="1" outlineLevel="3">
      <c r="A3085" s="95" t="b">
        <v>0</v>
      </c>
      <c r="B3085" s="96"/>
      <c r="C3085" s="18"/>
      <c r="D3085" s="107"/>
      <c r="E3085" s="108"/>
      <c r="F3085" s="109"/>
      <c r="G3085" s="97"/>
      <c r="H3085" s="97"/>
      <c r="I3085" s="97"/>
      <c r="J3085" s="98"/>
      <c r="K3085" s="99"/>
      <c r="L3085" s="98"/>
      <c r="M3085" s="99"/>
      <c r="N3085" s="99"/>
      <c r="O3085" s="18"/>
      <c r="P3085" s="100" t="b">
        <v>0</v>
      </c>
      <c r="Q3085" s="18"/>
      <c r="R3085" s="101" t="str">
        <f t="shared" si="2792"/>
        <v/>
      </c>
      <c r="S3085" s="32"/>
      <c r="T3085" s="102" t="str">
        <f t="shared" si="2793"/>
        <v/>
      </c>
      <c r="U3085" s="18"/>
      <c r="V3085" s="75" t="s">
        <v>29</v>
      </c>
      <c r="W3085" s="104" t="str">
        <f t="shared" si="2828"/>
        <v>/</v>
      </c>
      <c r="X3085" s="111" t="s">
        <v>1844</v>
      </c>
      <c r="Y3085" s="106"/>
      <c r="Z3085" s="26" t="str">
        <f t="shared" si="5"/>
        <v/>
      </c>
      <c r="AA3085" s="26" t="str">
        <f t="shared" si="6"/>
        <v/>
      </c>
      <c r="AB3085" s="32" t="str">
        <f t="shared" si="7"/>
        <v/>
      </c>
      <c r="AC3085" s="32" t="str">
        <f t="shared" ref="AC3085:AG3085" si="3156">IF(J3085&lt;&gt;"", IF(AND($P3085=FALSE, $A3085=FALSE), -J3085, IF(AND($P3085=FALSE, $A3085=TRUE), 0, IF($P3085=TRUE, (J3085 / $R3085) * 100 * ($S3085 / 100)-J3085, ))), )</f>
        <v/>
      </c>
      <c r="AD3085" s="32" t="str">
        <f t="shared" si="3156"/>
        <v/>
      </c>
      <c r="AE3085" s="32" t="str">
        <f t="shared" si="3156"/>
        <v/>
      </c>
      <c r="AF3085" s="32" t="str">
        <f t="shared" si="3156"/>
        <v/>
      </c>
      <c r="AG3085" s="32" t="str">
        <f t="shared" si="3156"/>
        <v/>
      </c>
      <c r="AH3085" s="33"/>
    </row>
    <row r="3086" hidden="1" outlineLevel="3">
      <c r="A3086" s="95" t="b">
        <v>0</v>
      </c>
      <c r="B3086" s="96"/>
      <c r="C3086" s="18"/>
      <c r="D3086" s="107"/>
      <c r="E3086" s="108"/>
      <c r="F3086" s="109"/>
      <c r="G3086" s="97"/>
      <c r="H3086" s="97"/>
      <c r="I3086" s="97"/>
      <c r="J3086" s="98"/>
      <c r="K3086" s="99"/>
      <c r="L3086" s="98"/>
      <c r="M3086" s="99"/>
      <c r="N3086" s="99"/>
      <c r="O3086" s="18"/>
      <c r="P3086" s="100" t="b">
        <v>0</v>
      </c>
      <c r="Q3086" s="18"/>
      <c r="R3086" s="101" t="str">
        <f t="shared" si="2792"/>
        <v/>
      </c>
      <c r="S3086" s="32"/>
      <c r="T3086" s="102" t="str">
        <f t="shared" si="2793"/>
        <v/>
      </c>
      <c r="U3086" s="18"/>
      <c r="V3086" s="75" t="s">
        <v>29</v>
      </c>
      <c r="W3086" s="104" t="str">
        <f t="shared" si="2828"/>
        <v>/</v>
      </c>
      <c r="X3086" s="111" t="s">
        <v>1845</v>
      </c>
      <c r="Y3086" s="106"/>
      <c r="Z3086" s="26" t="str">
        <f t="shared" si="5"/>
        <v/>
      </c>
      <c r="AA3086" s="26" t="str">
        <f t="shared" si="6"/>
        <v/>
      </c>
      <c r="AB3086" s="32" t="str">
        <f t="shared" si="7"/>
        <v/>
      </c>
      <c r="AC3086" s="32" t="str">
        <f t="shared" ref="AC3086:AG3086" si="3157">IF(J3086&lt;&gt;"", IF(AND($P3086=FALSE, $A3086=FALSE), -J3086, IF(AND($P3086=FALSE, $A3086=TRUE), 0, IF($P3086=TRUE, (J3086 / $R3086) * 100 * ($S3086 / 100)-J3086, ))), )</f>
        <v/>
      </c>
      <c r="AD3086" s="32" t="str">
        <f t="shared" si="3157"/>
        <v/>
      </c>
      <c r="AE3086" s="32" t="str">
        <f t="shared" si="3157"/>
        <v/>
      </c>
      <c r="AF3086" s="32" t="str">
        <f t="shared" si="3157"/>
        <v/>
      </c>
      <c r="AG3086" s="32" t="str">
        <f t="shared" si="3157"/>
        <v/>
      </c>
      <c r="AH3086" s="33"/>
    </row>
    <row r="3087" hidden="1" outlineLevel="2" collapsed="1">
      <c r="A3087" s="95" t="b">
        <v>0</v>
      </c>
      <c r="B3087" s="96"/>
      <c r="C3087" s="18"/>
      <c r="D3087" s="42">
        <v>45627.0</v>
      </c>
      <c r="E3087" s="20" t="s">
        <v>24</v>
      </c>
      <c r="F3087" s="53" t="s">
        <v>1838</v>
      </c>
      <c r="G3087" s="97">
        <v>1.0</v>
      </c>
      <c r="H3087" s="97"/>
      <c r="I3087" s="97"/>
      <c r="J3087" s="98"/>
      <c r="K3087" s="99"/>
      <c r="L3087" s="98"/>
      <c r="M3087" s="99"/>
      <c r="N3087" s="99"/>
      <c r="O3087" s="18"/>
      <c r="P3087" s="100" t="b">
        <v>1</v>
      </c>
      <c r="Q3087" s="18"/>
      <c r="R3087" s="101">
        <f t="shared" si="2792"/>
        <v>1</v>
      </c>
      <c r="S3087" s="32">
        <v>3.39</v>
      </c>
      <c r="T3087" s="102" t="str">
        <f t="shared" si="2793"/>
        <v>+239</v>
      </c>
      <c r="U3087" s="18"/>
      <c r="V3087" s="103" t="str">
        <f>IF(ISBLANK($D3087), "0",)</f>
        <v/>
      </c>
      <c r="W3087" s="104" t="str">
        <f t="shared" si="2828"/>
        <v/>
      </c>
      <c r="X3087" s="105"/>
      <c r="Y3087" s="106"/>
      <c r="Z3087" s="26">
        <f t="shared" si="5"/>
        <v>2.39</v>
      </c>
      <c r="AA3087" s="26" t="str">
        <f t="shared" si="6"/>
        <v/>
      </c>
      <c r="AB3087" s="32" t="str">
        <f t="shared" si="7"/>
        <v/>
      </c>
      <c r="AC3087" s="32" t="str">
        <f t="shared" ref="AC3087:AG3087" si="3158">IF(J3087&lt;&gt;"", IF(AND($P3087=FALSE, $A3087=FALSE), -J3087, IF(AND($P3087=FALSE, $A3087=TRUE), 0, IF($P3087=TRUE, (J3087 / $R3087) * 100 * ($S3087 / 100)-J3087, ))), )</f>
        <v/>
      </c>
      <c r="AD3087" s="32" t="str">
        <f t="shared" si="3158"/>
        <v/>
      </c>
      <c r="AE3087" s="32" t="str">
        <f t="shared" si="3158"/>
        <v/>
      </c>
      <c r="AF3087" s="32" t="str">
        <f t="shared" si="3158"/>
        <v/>
      </c>
      <c r="AG3087" s="32" t="str">
        <f t="shared" si="3158"/>
        <v/>
      </c>
      <c r="AH3087" s="33"/>
    </row>
    <row r="3088" hidden="1" outlineLevel="3">
      <c r="A3088" s="95" t="b">
        <v>0</v>
      </c>
      <c r="B3088" s="96"/>
      <c r="C3088" s="18"/>
      <c r="D3088" s="107"/>
      <c r="E3088" s="108"/>
      <c r="F3088" s="109"/>
      <c r="G3088" s="97"/>
      <c r="H3088" s="97"/>
      <c r="I3088" s="97"/>
      <c r="J3088" s="98"/>
      <c r="K3088" s="99"/>
      <c r="L3088" s="98"/>
      <c r="M3088" s="99"/>
      <c r="N3088" s="99"/>
      <c r="O3088" s="18"/>
      <c r="P3088" s="100" t="b">
        <v>0</v>
      </c>
      <c r="Q3088" s="18"/>
      <c r="R3088" s="101" t="str">
        <f t="shared" si="2792"/>
        <v/>
      </c>
      <c r="S3088" s="32"/>
      <c r="T3088" s="102" t="str">
        <f t="shared" si="2793"/>
        <v/>
      </c>
      <c r="U3088" s="18"/>
      <c r="V3088" s="75" t="s">
        <v>29</v>
      </c>
      <c r="W3088" s="104" t="str">
        <f t="shared" si="2828"/>
        <v>/</v>
      </c>
      <c r="X3088" s="111" t="s">
        <v>1846</v>
      </c>
      <c r="Y3088" s="106"/>
      <c r="Z3088" s="26" t="str">
        <f t="shared" si="5"/>
        <v/>
      </c>
      <c r="AA3088" s="26" t="str">
        <f t="shared" si="6"/>
        <v/>
      </c>
      <c r="AB3088" s="32" t="str">
        <f t="shared" si="7"/>
        <v/>
      </c>
      <c r="AC3088" s="32" t="str">
        <f t="shared" ref="AC3088:AG3088" si="3159">IF(J3088&lt;&gt;"", IF(AND($P3088=FALSE, $A3088=FALSE), -J3088, IF(AND($P3088=FALSE, $A3088=TRUE), 0, IF($P3088=TRUE, (J3088 / $R3088) * 100 * ($S3088 / 100)-J3088, ))), )</f>
        <v/>
      </c>
      <c r="AD3088" s="32" t="str">
        <f t="shared" si="3159"/>
        <v/>
      </c>
      <c r="AE3088" s="32" t="str">
        <f t="shared" si="3159"/>
        <v/>
      </c>
      <c r="AF3088" s="32" t="str">
        <f t="shared" si="3159"/>
        <v/>
      </c>
      <c r="AG3088" s="32" t="str">
        <f t="shared" si="3159"/>
        <v/>
      </c>
      <c r="AH3088" s="33"/>
    </row>
    <row r="3089" hidden="1" outlineLevel="3">
      <c r="A3089" s="95" t="b">
        <v>0</v>
      </c>
      <c r="B3089" s="96"/>
      <c r="C3089" s="18"/>
      <c r="D3089" s="107"/>
      <c r="E3089" s="108"/>
      <c r="F3089" s="109"/>
      <c r="G3089" s="97"/>
      <c r="H3089" s="97"/>
      <c r="I3089" s="97"/>
      <c r="J3089" s="98"/>
      <c r="K3089" s="99"/>
      <c r="L3089" s="98"/>
      <c r="M3089" s="99"/>
      <c r="N3089" s="99"/>
      <c r="O3089" s="18"/>
      <c r="P3089" s="100" t="b">
        <v>0</v>
      </c>
      <c r="Q3089" s="18"/>
      <c r="R3089" s="101" t="str">
        <f t="shared" si="2792"/>
        <v/>
      </c>
      <c r="S3089" s="32"/>
      <c r="T3089" s="102" t="str">
        <f t="shared" si="2793"/>
        <v/>
      </c>
      <c r="U3089" s="18"/>
      <c r="V3089" s="75" t="s">
        <v>29</v>
      </c>
      <c r="W3089" s="104" t="str">
        <f t="shared" si="2828"/>
        <v>/</v>
      </c>
      <c r="X3089" s="111" t="s">
        <v>1847</v>
      </c>
      <c r="Y3089" s="106"/>
      <c r="Z3089" s="26" t="str">
        <f t="shared" si="5"/>
        <v/>
      </c>
      <c r="AA3089" s="26" t="str">
        <f t="shared" si="6"/>
        <v/>
      </c>
      <c r="AB3089" s="32" t="str">
        <f t="shared" si="7"/>
        <v/>
      </c>
      <c r="AC3089" s="32" t="str">
        <f t="shared" ref="AC3089:AG3089" si="3160">IF(J3089&lt;&gt;"", IF(AND($P3089=FALSE, $A3089=FALSE), -J3089, IF(AND($P3089=FALSE, $A3089=TRUE), 0, IF($P3089=TRUE, (J3089 / $R3089) * 100 * ($S3089 / 100)-J3089, ))), )</f>
        <v/>
      </c>
      <c r="AD3089" s="32" t="str">
        <f t="shared" si="3160"/>
        <v/>
      </c>
      <c r="AE3089" s="32" t="str">
        <f t="shared" si="3160"/>
        <v/>
      </c>
      <c r="AF3089" s="32" t="str">
        <f t="shared" si="3160"/>
        <v/>
      </c>
      <c r="AG3089" s="32" t="str">
        <f t="shared" si="3160"/>
        <v/>
      </c>
      <c r="AH3089" s="33"/>
    </row>
    <row r="3090" hidden="1" outlineLevel="2" collapsed="1">
      <c r="A3090" s="95" t="b">
        <v>0</v>
      </c>
      <c r="B3090" s="96"/>
      <c r="C3090" s="18"/>
      <c r="D3090" s="42">
        <v>45627.0</v>
      </c>
      <c r="E3090" s="20" t="s">
        <v>24</v>
      </c>
      <c r="F3090" s="53" t="s">
        <v>1838</v>
      </c>
      <c r="G3090" s="97">
        <v>3.0</v>
      </c>
      <c r="H3090" s="97"/>
      <c r="I3090" s="97">
        <v>4.0</v>
      </c>
      <c r="J3090" s="98"/>
      <c r="K3090" s="99"/>
      <c r="L3090" s="98"/>
      <c r="M3090" s="99"/>
      <c r="N3090" s="99"/>
      <c r="O3090" s="18"/>
      <c r="P3090" s="100" t="b">
        <v>1</v>
      </c>
      <c r="Q3090" s="18"/>
      <c r="R3090" s="101">
        <f t="shared" si="2792"/>
        <v>7</v>
      </c>
      <c r="S3090" s="32">
        <v>14.09</v>
      </c>
      <c r="T3090" s="102" t="str">
        <f t="shared" si="2793"/>
        <v>+101</v>
      </c>
      <c r="U3090" s="18"/>
      <c r="V3090" s="103" t="str">
        <f>IF(ISBLANK($D3090), "0",)</f>
        <v/>
      </c>
      <c r="W3090" s="104" t="str">
        <f t="shared" si="2828"/>
        <v/>
      </c>
      <c r="X3090" s="105"/>
      <c r="Y3090" s="106"/>
      <c r="Z3090" s="26">
        <f t="shared" si="5"/>
        <v>3.038571429</v>
      </c>
      <c r="AA3090" s="26">
        <f t="shared" si="6"/>
        <v>4.051428571</v>
      </c>
      <c r="AB3090" s="32" t="str">
        <f t="shared" si="7"/>
        <v/>
      </c>
      <c r="AC3090" s="32" t="str">
        <f t="shared" ref="AC3090:AG3090" si="3161">IF(J3090&lt;&gt;"", IF(AND($P3090=FALSE, $A3090=FALSE), -J3090, IF(AND($P3090=FALSE, $A3090=TRUE), 0, IF($P3090=TRUE, (J3090 / $R3090) * 100 * ($S3090 / 100)-J3090, ))), )</f>
        <v/>
      </c>
      <c r="AD3090" s="32" t="str">
        <f t="shared" si="3161"/>
        <v/>
      </c>
      <c r="AE3090" s="32" t="str">
        <f t="shared" si="3161"/>
        <v/>
      </c>
      <c r="AF3090" s="32" t="str">
        <f t="shared" si="3161"/>
        <v/>
      </c>
      <c r="AG3090" s="32" t="str">
        <f t="shared" si="3161"/>
        <v/>
      </c>
      <c r="AH3090" s="33"/>
    </row>
    <row r="3091" hidden="1" outlineLevel="3">
      <c r="A3091" s="95" t="b">
        <v>0</v>
      </c>
      <c r="B3091" s="96"/>
      <c r="C3091" s="18"/>
      <c r="D3091" s="107"/>
      <c r="E3091" s="108"/>
      <c r="F3091" s="109"/>
      <c r="G3091" s="97"/>
      <c r="H3091" s="97"/>
      <c r="I3091" s="97"/>
      <c r="J3091" s="98"/>
      <c r="K3091" s="99"/>
      <c r="L3091" s="98"/>
      <c r="M3091" s="99"/>
      <c r="N3091" s="99"/>
      <c r="O3091" s="18"/>
      <c r="P3091" s="100" t="b">
        <v>0</v>
      </c>
      <c r="Q3091" s="18"/>
      <c r="R3091" s="101" t="str">
        <f t="shared" si="2792"/>
        <v/>
      </c>
      <c r="S3091" s="32"/>
      <c r="T3091" s="102" t="str">
        <f t="shared" si="2793"/>
        <v/>
      </c>
      <c r="U3091" s="18"/>
      <c r="V3091" s="75" t="s">
        <v>29</v>
      </c>
      <c r="W3091" s="104" t="str">
        <f t="shared" si="2828"/>
        <v>/</v>
      </c>
      <c r="X3091" s="111" t="s">
        <v>140</v>
      </c>
      <c r="Y3091" s="106"/>
      <c r="Z3091" s="26" t="str">
        <f t="shared" si="5"/>
        <v/>
      </c>
      <c r="AA3091" s="26" t="str">
        <f t="shared" si="6"/>
        <v/>
      </c>
      <c r="AB3091" s="32" t="str">
        <f t="shared" si="7"/>
        <v/>
      </c>
      <c r="AC3091" s="32" t="str">
        <f t="shared" ref="AC3091:AG3091" si="3162">IF(J3091&lt;&gt;"", IF(AND($P3091=FALSE, $A3091=FALSE), -J3091, IF(AND($P3091=FALSE, $A3091=TRUE), 0, IF($P3091=TRUE, (J3091 / $R3091) * 100 * ($S3091 / 100)-J3091, ))), )</f>
        <v/>
      </c>
      <c r="AD3091" s="32" t="str">
        <f t="shared" si="3162"/>
        <v/>
      </c>
      <c r="AE3091" s="32" t="str">
        <f t="shared" si="3162"/>
        <v/>
      </c>
      <c r="AF3091" s="32" t="str">
        <f t="shared" si="3162"/>
        <v/>
      </c>
      <c r="AG3091" s="32" t="str">
        <f t="shared" si="3162"/>
        <v/>
      </c>
      <c r="AH3091" s="33"/>
    </row>
    <row r="3092" hidden="1" outlineLevel="3">
      <c r="A3092" s="95" t="b">
        <v>0</v>
      </c>
      <c r="B3092" s="96"/>
      <c r="C3092" s="18"/>
      <c r="D3092" s="107"/>
      <c r="E3092" s="108"/>
      <c r="F3092" s="109"/>
      <c r="G3092" s="97"/>
      <c r="H3092" s="97"/>
      <c r="I3092" s="97"/>
      <c r="J3092" s="98"/>
      <c r="K3092" s="99"/>
      <c r="L3092" s="98"/>
      <c r="M3092" s="99"/>
      <c r="N3092" s="99"/>
      <c r="O3092" s="18"/>
      <c r="P3092" s="100" t="b">
        <v>0</v>
      </c>
      <c r="Q3092" s="18"/>
      <c r="R3092" s="101" t="str">
        <f t="shared" si="2792"/>
        <v/>
      </c>
      <c r="S3092" s="32"/>
      <c r="T3092" s="102" t="str">
        <f t="shared" si="2793"/>
        <v/>
      </c>
      <c r="U3092" s="18"/>
      <c r="V3092" s="75" t="s">
        <v>29</v>
      </c>
      <c r="W3092" s="104" t="str">
        <f t="shared" si="2828"/>
        <v>/</v>
      </c>
      <c r="X3092" s="111" t="s">
        <v>1749</v>
      </c>
      <c r="Y3092" s="106"/>
      <c r="Z3092" s="26" t="str">
        <f t="shared" si="5"/>
        <v/>
      </c>
      <c r="AA3092" s="26" t="str">
        <f t="shared" si="6"/>
        <v/>
      </c>
      <c r="AB3092" s="32" t="str">
        <f t="shared" si="7"/>
        <v/>
      </c>
      <c r="AC3092" s="32" t="str">
        <f t="shared" ref="AC3092:AG3092" si="3163">IF(J3092&lt;&gt;"", IF(AND($P3092=FALSE, $A3092=FALSE), -J3092, IF(AND($P3092=FALSE, $A3092=TRUE), 0, IF($P3092=TRUE, (J3092 / $R3092) * 100 * ($S3092 / 100)-J3092, ))), )</f>
        <v/>
      </c>
      <c r="AD3092" s="32" t="str">
        <f t="shared" si="3163"/>
        <v/>
      </c>
      <c r="AE3092" s="32" t="str">
        <f t="shared" si="3163"/>
        <v/>
      </c>
      <c r="AF3092" s="32" t="str">
        <f t="shared" si="3163"/>
        <v/>
      </c>
      <c r="AG3092" s="32" t="str">
        <f t="shared" si="3163"/>
        <v/>
      </c>
      <c r="AH3092" s="33"/>
    </row>
    <row r="3093" hidden="1" outlineLevel="3">
      <c r="A3093" s="95" t="b">
        <v>0</v>
      </c>
      <c r="B3093" s="96"/>
      <c r="C3093" s="18"/>
      <c r="D3093" s="107"/>
      <c r="E3093" s="108"/>
      <c r="F3093" s="109"/>
      <c r="G3093" s="97"/>
      <c r="H3093" s="97"/>
      <c r="I3093" s="97"/>
      <c r="J3093" s="98"/>
      <c r="K3093" s="99"/>
      <c r="L3093" s="98"/>
      <c r="M3093" s="99"/>
      <c r="N3093" s="99"/>
      <c r="O3093" s="18"/>
      <c r="P3093" s="100" t="b">
        <v>0</v>
      </c>
      <c r="Q3093" s="18"/>
      <c r="R3093" s="101" t="str">
        <f t="shared" si="2792"/>
        <v/>
      </c>
      <c r="S3093" s="32"/>
      <c r="T3093" s="102" t="str">
        <f t="shared" si="2793"/>
        <v/>
      </c>
      <c r="U3093" s="18"/>
      <c r="V3093" s="75" t="s">
        <v>29</v>
      </c>
      <c r="W3093" s="104" t="str">
        <f t="shared" si="2828"/>
        <v>/</v>
      </c>
      <c r="X3093" s="111" t="s">
        <v>1848</v>
      </c>
      <c r="Y3093" s="106"/>
      <c r="Z3093" s="26" t="str">
        <f t="shared" si="5"/>
        <v/>
      </c>
      <c r="AA3093" s="26" t="str">
        <f t="shared" si="6"/>
        <v/>
      </c>
      <c r="AB3093" s="32" t="str">
        <f t="shared" si="7"/>
        <v/>
      </c>
      <c r="AC3093" s="32" t="str">
        <f t="shared" ref="AC3093:AG3093" si="3164">IF(J3093&lt;&gt;"", IF(AND($P3093=FALSE, $A3093=FALSE), -J3093, IF(AND($P3093=FALSE, $A3093=TRUE), 0, IF($P3093=TRUE, (J3093 / $R3093) * 100 * ($S3093 / 100)-J3093, ))), )</f>
        <v/>
      </c>
      <c r="AD3093" s="32" t="str">
        <f t="shared" si="3164"/>
        <v/>
      </c>
      <c r="AE3093" s="32" t="str">
        <f t="shared" si="3164"/>
        <v/>
      </c>
      <c r="AF3093" s="32" t="str">
        <f t="shared" si="3164"/>
        <v/>
      </c>
      <c r="AG3093" s="32" t="str">
        <f t="shared" si="3164"/>
        <v/>
      </c>
      <c r="AH3093" s="33"/>
    </row>
    <row r="3094" hidden="1" outlineLevel="2" collapsed="1">
      <c r="A3094" s="95" t="b">
        <v>0</v>
      </c>
      <c r="B3094" s="96"/>
      <c r="C3094" s="18"/>
      <c r="D3094" s="42">
        <v>45627.0</v>
      </c>
      <c r="E3094" s="20" t="s">
        <v>24</v>
      </c>
      <c r="F3094" s="53" t="s">
        <v>1838</v>
      </c>
      <c r="G3094" s="97">
        <v>1.5</v>
      </c>
      <c r="H3094" s="97"/>
      <c r="I3094" s="97">
        <v>2.5</v>
      </c>
      <c r="J3094" s="98"/>
      <c r="K3094" s="99"/>
      <c r="L3094" s="98"/>
      <c r="M3094" s="99"/>
      <c r="N3094" s="99"/>
      <c r="O3094" s="18"/>
      <c r="P3094" s="100" t="b">
        <v>0</v>
      </c>
      <c r="Q3094" s="18"/>
      <c r="R3094" s="101">
        <f t="shared" si="2792"/>
        <v>4</v>
      </c>
      <c r="S3094" s="32">
        <v>10.24</v>
      </c>
      <c r="T3094" s="102" t="str">
        <f t="shared" si="2793"/>
        <v>+156</v>
      </c>
      <c r="U3094" s="18"/>
      <c r="V3094" s="103" t="str">
        <f t="shared" ref="V3094:V3095" si="3166">IF(ISBLANK($D3094), "0",)</f>
        <v/>
      </c>
      <c r="W3094" s="104" t="str">
        <f t="shared" si="2828"/>
        <v/>
      </c>
      <c r="X3094" s="105"/>
      <c r="Y3094" s="106"/>
      <c r="Z3094" s="26">
        <f t="shared" si="5"/>
        <v>-1.5</v>
      </c>
      <c r="AA3094" s="26">
        <f t="shared" si="6"/>
        <v>-2.5</v>
      </c>
      <c r="AB3094" s="32" t="str">
        <f t="shared" si="7"/>
        <v/>
      </c>
      <c r="AC3094" s="32" t="str">
        <f t="shared" ref="AC3094:AG3094" si="3165">IF(J3094&lt;&gt;"", IF(AND($P3094=FALSE, $A3094=FALSE), -J3094, IF(AND($P3094=FALSE, $A3094=TRUE), 0, IF($P3094=TRUE, (J3094 / $R3094) * 100 * ($S3094 / 100)-J3094, ))), )</f>
        <v/>
      </c>
      <c r="AD3094" s="32" t="str">
        <f t="shared" si="3165"/>
        <v/>
      </c>
      <c r="AE3094" s="32" t="str">
        <f t="shared" si="3165"/>
        <v/>
      </c>
      <c r="AF3094" s="32" t="str">
        <f t="shared" si="3165"/>
        <v/>
      </c>
      <c r="AG3094" s="32" t="str">
        <f t="shared" si="3165"/>
        <v/>
      </c>
      <c r="AH3094" s="33"/>
    </row>
    <row r="3095" hidden="1" outlineLevel="3">
      <c r="A3095" s="95" t="b">
        <v>0</v>
      </c>
      <c r="B3095" s="96"/>
      <c r="C3095" s="18"/>
      <c r="D3095" s="107"/>
      <c r="E3095" s="108"/>
      <c r="F3095" s="109"/>
      <c r="G3095" s="97"/>
      <c r="H3095" s="97"/>
      <c r="I3095" s="97"/>
      <c r="J3095" s="98"/>
      <c r="K3095" s="99"/>
      <c r="L3095" s="98"/>
      <c r="M3095" s="99"/>
      <c r="N3095" s="99"/>
      <c r="O3095" s="18"/>
      <c r="P3095" s="100" t="b">
        <v>0</v>
      </c>
      <c r="Q3095" s="18"/>
      <c r="R3095" s="101" t="str">
        <f t="shared" si="2792"/>
        <v/>
      </c>
      <c r="S3095" s="32"/>
      <c r="T3095" s="102" t="str">
        <f t="shared" si="2793"/>
        <v/>
      </c>
      <c r="U3095" s="18"/>
      <c r="V3095" s="103" t="str">
        <f t="shared" si="3166"/>
        <v>0</v>
      </c>
      <c r="W3095" s="104" t="str">
        <f t="shared" si="2828"/>
        <v>/</v>
      </c>
      <c r="X3095" s="111" t="s">
        <v>872</v>
      </c>
      <c r="Y3095" s="106"/>
      <c r="Z3095" s="26" t="str">
        <f t="shared" si="5"/>
        <v/>
      </c>
      <c r="AA3095" s="26" t="str">
        <f t="shared" si="6"/>
        <v/>
      </c>
      <c r="AB3095" s="32" t="str">
        <f t="shared" si="7"/>
        <v/>
      </c>
      <c r="AC3095" s="32" t="str">
        <f t="shared" ref="AC3095:AG3095" si="3167">IF(J3095&lt;&gt;"", IF(AND($P3095=FALSE, $A3095=FALSE), -J3095, IF(AND($P3095=FALSE, $A3095=TRUE), 0, IF($P3095=TRUE, (J3095 / $R3095) * 100 * ($S3095 / 100)-J3095, ))), )</f>
        <v/>
      </c>
      <c r="AD3095" s="32" t="str">
        <f t="shared" si="3167"/>
        <v/>
      </c>
      <c r="AE3095" s="32" t="str">
        <f t="shared" si="3167"/>
        <v/>
      </c>
      <c r="AF3095" s="32" t="str">
        <f t="shared" si="3167"/>
        <v/>
      </c>
      <c r="AG3095" s="32" t="str">
        <f t="shared" si="3167"/>
        <v/>
      </c>
      <c r="AH3095" s="33"/>
    </row>
    <row r="3096" hidden="1" outlineLevel="3">
      <c r="A3096" s="95" t="b">
        <v>0</v>
      </c>
      <c r="B3096" s="96"/>
      <c r="C3096" s="18"/>
      <c r="D3096" s="107"/>
      <c r="E3096" s="108"/>
      <c r="F3096" s="109"/>
      <c r="G3096" s="97"/>
      <c r="H3096" s="97"/>
      <c r="I3096" s="97"/>
      <c r="J3096" s="98"/>
      <c r="K3096" s="99"/>
      <c r="L3096" s="98"/>
      <c r="M3096" s="99"/>
      <c r="N3096" s="99"/>
      <c r="O3096" s="18"/>
      <c r="P3096" s="100" t="b">
        <v>0</v>
      </c>
      <c r="Q3096" s="18"/>
      <c r="R3096" s="101" t="str">
        <f t="shared" si="2792"/>
        <v/>
      </c>
      <c r="S3096" s="32"/>
      <c r="T3096" s="102" t="str">
        <f t="shared" si="2793"/>
        <v/>
      </c>
      <c r="U3096" s="18"/>
      <c r="V3096" s="75" t="s">
        <v>29</v>
      </c>
      <c r="W3096" s="104" t="str">
        <f t="shared" si="2828"/>
        <v>/</v>
      </c>
      <c r="X3096" s="111" t="s">
        <v>1494</v>
      </c>
      <c r="Y3096" s="106"/>
      <c r="Z3096" s="26" t="str">
        <f t="shared" si="5"/>
        <v/>
      </c>
      <c r="AA3096" s="26" t="str">
        <f t="shared" si="6"/>
        <v/>
      </c>
      <c r="AB3096" s="32" t="str">
        <f t="shared" si="7"/>
        <v/>
      </c>
      <c r="AC3096" s="32" t="str">
        <f t="shared" ref="AC3096:AG3096" si="3168">IF(J3096&lt;&gt;"", IF(AND($P3096=FALSE, $A3096=FALSE), -J3096, IF(AND($P3096=FALSE, $A3096=TRUE), 0, IF($P3096=TRUE, (J3096 / $R3096) * 100 * ($S3096 / 100)-J3096, ))), )</f>
        <v/>
      </c>
      <c r="AD3096" s="32" t="str">
        <f t="shared" si="3168"/>
        <v/>
      </c>
      <c r="AE3096" s="32" t="str">
        <f t="shared" si="3168"/>
        <v/>
      </c>
      <c r="AF3096" s="32" t="str">
        <f t="shared" si="3168"/>
        <v/>
      </c>
      <c r="AG3096" s="32" t="str">
        <f t="shared" si="3168"/>
        <v/>
      </c>
      <c r="AH3096" s="33"/>
    </row>
    <row r="3097" hidden="1" outlineLevel="2">
      <c r="A3097" s="95" t="b">
        <v>0</v>
      </c>
      <c r="B3097" s="96"/>
      <c r="C3097" s="18"/>
      <c r="D3097" s="42">
        <v>45627.0</v>
      </c>
      <c r="E3097" s="20" t="s">
        <v>24</v>
      </c>
      <c r="F3097" s="53" t="s">
        <v>1838</v>
      </c>
      <c r="G3097" s="97">
        <v>1.5</v>
      </c>
      <c r="H3097" s="97"/>
      <c r="I3097" s="97">
        <v>1.5</v>
      </c>
      <c r="J3097" s="98"/>
      <c r="K3097" s="99"/>
      <c r="L3097" s="98"/>
      <c r="M3097" s="99"/>
      <c r="N3097" s="99"/>
      <c r="O3097" s="18"/>
      <c r="P3097" s="100" t="b">
        <v>0</v>
      </c>
      <c r="Q3097" s="18"/>
      <c r="R3097" s="101">
        <f t="shared" si="2792"/>
        <v>3</v>
      </c>
      <c r="S3097" s="32">
        <v>15.26</v>
      </c>
      <c r="T3097" s="102" t="str">
        <f t="shared" si="2793"/>
        <v>+409</v>
      </c>
      <c r="U3097" s="18"/>
      <c r="V3097" s="103" t="str">
        <f>IF(ISBLANK($D3097), "0",)</f>
        <v/>
      </c>
      <c r="W3097" s="104" t="str">
        <f t="shared" si="2828"/>
        <v/>
      </c>
      <c r="X3097" s="105"/>
      <c r="Y3097" s="106"/>
      <c r="Z3097" s="26">
        <f t="shared" si="5"/>
        <v>-1.5</v>
      </c>
      <c r="AA3097" s="26">
        <f t="shared" si="6"/>
        <v>-1.5</v>
      </c>
      <c r="AB3097" s="32" t="str">
        <f t="shared" si="7"/>
        <v/>
      </c>
      <c r="AC3097" s="32" t="str">
        <f t="shared" ref="AC3097:AG3097" si="3169">IF(J3097&lt;&gt;"", IF(AND($P3097=FALSE, $A3097=FALSE), -J3097, IF(AND($P3097=FALSE, $A3097=TRUE), 0, IF($P3097=TRUE, (J3097 / $R3097) * 100 * ($S3097 / 100)-J3097, ))), )</f>
        <v/>
      </c>
      <c r="AD3097" s="32" t="str">
        <f t="shared" si="3169"/>
        <v/>
      </c>
      <c r="AE3097" s="32" t="str">
        <f t="shared" si="3169"/>
        <v/>
      </c>
      <c r="AF3097" s="32" t="str">
        <f t="shared" si="3169"/>
        <v/>
      </c>
      <c r="AG3097" s="32" t="str">
        <f t="shared" si="3169"/>
        <v/>
      </c>
      <c r="AH3097" s="33"/>
    </row>
    <row r="3098" hidden="1" outlineLevel="3">
      <c r="A3098" s="95" t="b">
        <v>0</v>
      </c>
      <c r="B3098" s="96"/>
      <c r="C3098" s="18"/>
      <c r="D3098" s="107"/>
      <c r="E3098" s="108"/>
      <c r="F3098" s="109"/>
      <c r="G3098" s="97"/>
      <c r="H3098" s="97"/>
      <c r="I3098" s="97"/>
      <c r="J3098" s="98"/>
      <c r="K3098" s="99"/>
      <c r="L3098" s="98"/>
      <c r="M3098" s="99"/>
      <c r="N3098" s="99"/>
      <c r="O3098" s="18"/>
      <c r="P3098" s="100" t="b">
        <v>0</v>
      </c>
      <c r="Q3098" s="18"/>
      <c r="R3098" s="101" t="str">
        <f t="shared" si="2792"/>
        <v/>
      </c>
      <c r="S3098" s="32"/>
      <c r="T3098" s="102" t="str">
        <f t="shared" si="2793"/>
        <v/>
      </c>
      <c r="U3098" s="18"/>
      <c r="V3098" s="75" t="s">
        <v>29</v>
      </c>
      <c r="W3098" s="104" t="str">
        <f t="shared" si="2828"/>
        <v>/</v>
      </c>
      <c r="X3098" s="111" t="s">
        <v>1781</v>
      </c>
      <c r="Y3098" s="106"/>
      <c r="Z3098" s="26" t="str">
        <f t="shared" si="5"/>
        <v/>
      </c>
      <c r="AA3098" s="26" t="str">
        <f t="shared" si="6"/>
        <v/>
      </c>
      <c r="AB3098" s="32" t="str">
        <f t="shared" si="7"/>
        <v/>
      </c>
      <c r="AC3098" s="32" t="str">
        <f t="shared" ref="AC3098:AG3098" si="3170">IF(J3098&lt;&gt;"", IF(AND($P3098=FALSE, $A3098=FALSE), -J3098, IF(AND($P3098=FALSE, $A3098=TRUE), 0, IF($P3098=TRUE, (J3098 / $R3098) * 100 * ($S3098 / 100)-J3098, ))), )</f>
        <v/>
      </c>
      <c r="AD3098" s="32" t="str">
        <f t="shared" si="3170"/>
        <v/>
      </c>
      <c r="AE3098" s="32" t="str">
        <f t="shared" si="3170"/>
        <v/>
      </c>
      <c r="AF3098" s="32" t="str">
        <f t="shared" si="3170"/>
        <v/>
      </c>
      <c r="AG3098" s="32" t="str">
        <f t="shared" si="3170"/>
        <v/>
      </c>
      <c r="AH3098" s="33"/>
    </row>
    <row r="3099" hidden="1" outlineLevel="3">
      <c r="A3099" s="95" t="b">
        <v>0</v>
      </c>
      <c r="B3099" s="96"/>
      <c r="C3099" s="18"/>
      <c r="D3099" s="107"/>
      <c r="E3099" s="108"/>
      <c r="F3099" s="109"/>
      <c r="G3099" s="97"/>
      <c r="H3099" s="97"/>
      <c r="I3099" s="97"/>
      <c r="J3099" s="98"/>
      <c r="K3099" s="99"/>
      <c r="L3099" s="98"/>
      <c r="M3099" s="99"/>
      <c r="N3099" s="99"/>
      <c r="O3099" s="18"/>
      <c r="P3099" s="100" t="b">
        <v>0</v>
      </c>
      <c r="Q3099" s="18"/>
      <c r="R3099" s="101" t="str">
        <f t="shared" si="2792"/>
        <v/>
      </c>
      <c r="S3099" s="32"/>
      <c r="T3099" s="102" t="str">
        <f t="shared" si="2793"/>
        <v/>
      </c>
      <c r="U3099" s="18"/>
      <c r="V3099" s="113">
        <v>118.0</v>
      </c>
      <c r="W3099" s="104" t="str">
        <f t="shared" si="2828"/>
        <v>/</v>
      </c>
      <c r="X3099" s="111" t="s">
        <v>436</v>
      </c>
      <c r="Y3099" s="106"/>
      <c r="Z3099" s="26" t="str">
        <f t="shared" si="5"/>
        <v/>
      </c>
      <c r="AA3099" s="26" t="str">
        <f t="shared" si="6"/>
        <v/>
      </c>
      <c r="AB3099" s="32" t="str">
        <f t="shared" si="7"/>
        <v/>
      </c>
      <c r="AC3099" s="32" t="str">
        <f t="shared" ref="AC3099:AG3099" si="3171">IF(J3099&lt;&gt;"", IF(AND($P3099=FALSE, $A3099=FALSE), -J3099, IF(AND($P3099=FALSE, $A3099=TRUE), 0, IF($P3099=TRUE, (J3099 / $R3099) * 100 * ($S3099 / 100)-J3099, ))), )</f>
        <v/>
      </c>
      <c r="AD3099" s="32" t="str">
        <f t="shared" si="3171"/>
        <v/>
      </c>
      <c r="AE3099" s="32" t="str">
        <f t="shared" si="3171"/>
        <v/>
      </c>
      <c r="AF3099" s="32" t="str">
        <f t="shared" si="3171"/>
        <v/>
      </c>
      <c r="AG3099" s="32" t="str">
        <f t="shared" si="3171"/>
        <v/>
      </c>
      <c r="AH3099" s="33"/>
    </row>
    <row r="3100" hidden="1" outlineLevel="3">
      <c r="A3100" s="95" t="b">
        <v>0</v>
      </c>
      <c r="B3100" s="96"/>
      <c r="C3100" s="18"/>
      <c r="D3100" s="107"/>
      <c r="E3100" s="108"/>
      <c r="F3100" s="109"/>
      <c r="G3100" s="97"/>
      <c r="H3100" s="97"/>
      <c r="I3100" s="97"/>
      <c r="J3100" s="98"/>
      <c r="K3100" s="99"/>
      <c r="L3100" s="98"/>
      <c r="M3100" s="99"/>
      <c r="N3100" s="99"/>
      <c r="O3100" s="18"/>
      <c r="P3100" s="100" t="b">
        <v>0</v>
      </c>
      <c r="Q3100" s="18"/>
      <c r="R3100" s="101" t="str">
        <f t="shared" si="2792"/>
        <v/>
      </c>
      <c r="S3100" s="32"/>
      <c r="T3100" s="102" t="str">
        <f t="shared" si="2793"/>
        <v/>
      </c>
      <c r="U3100" s="18"/>
      <c r="V3100" s="75" t="s">
        <v>29</v>
      </c>
      <c r="W3100" s="104" t="str">
        <f t="shared" si="2828"/>
        <v>/</v>
      </c>
      <c r="X3100" s="111" t="s">
        <v>910</v>
      </c>
      <c r="Y3100" s="106"/>
      <c r="Z3100" s="26" t="str">
        <f t="shared" si="5"/>
        <v/>
      </c>
      <c r="AA3100" s="26" t="str">
        <f t="shared" si="6"/>
        <v/>
      </c>
      <c r="AB3100" s="32" t="str">
        <f t="shared" si="7"/>
        <v/>
      </c>
      <c r="AC3100" s="32" t="str">
        <f t="shared" ref="AC3100:AG3100" si="3172">IF(J3100&lt;&gt;"", IF(AND($P3100=FALSE, $A3100=FALSE), -J3100, IF(AND($P3100=FALSE, $A3100=TRUE), 0, IF($P3100=TRUE, (J3100 / $R3100) * 100 * ($S3100 / 100)-J3100, ))), )</f>
        <v/>
      </c>
      <c r="AD3100" s="32" t="str">
        <f t="shared" si="3172"/>
        <v/>
      </c>
      <c r="AE3100" s="32" t="str">
        <f t="shared" si="3172"/>
        <v/>
      </c>
      <c r="AF3100" s="32" t="str">
        <f t="shared" si="3172"/>
        <v/>
      </c>
      <c r="AG3100" s="32" t="str">
        <f t="shared" si="3172"/>
        <v/>
      </c>
      <c r="AH3100" s="33"/>
    </row>
    <row r="3101" hidden="1" outlineLevel="3">
      <c r="A3101" s="95" t="b">
        <v>0</v>
      </c>
      <c r="B3101" s="96"/>
      <c r="C3101" s="18"/>
      <c r="D3101" s="107"/>
      <c r="E3101" s="108"/>
      <c r="F3101" s="109"/>
      <c r="G3101" s="97"/>
      <c r="H3101" s="97"/>
      <c r="I3101" s="97"/>
      <c r="J3101" s="98"/>
      <c r="K3101" s="99"/>
      <c r="L3101" s="98"/>
      <c r="M3101" s="99"/>
      <c r="N3101" s="99"/>
      <c r="O3101" s="18"/>
      <c r="P3101" s="100" t="b">
        <v>0</v>
      </c>
      <c r="Q3101" s="18"/>
      <c r="R3101" s="101" t="str">
        <f t="shared" si="2792"/>
        <v/>
      </c>
      <c r="S3101" s="32"/>
      <c r="T3101" s="102" t="str">
        <f t="shared" si="2793"/>
        <v/>
      </c>
      <c r="U3101" s="18"/>
      <c r="V3101" s="75" t="s">
        <v>29</v>
      </c>
      <c r="W3101" s="104" t="str">
        <f t="shared" si="2828"/>
        <v>/</v>
      </c>
      <c r="X3101" s="111" t="s">
        <v>545</v>
      </c>
      <c r="Y3101" s="106"/>
      <c r="Z3101" s="26" t="str">
        <f t="shared" si="5"/>
        <v/>
      </c>
      <c r="AA3101" s="26" t="str">
        <f t="shared" si="6"/>
        <v/>
      </c>
      <c r="AB3101" s="32" t="str">
        <f t="shared" si="7"/>
        <v/>
      </c>
      <c r="AC3101" s="32" t="str">
        <f t="shared" ref="AC3101:AG3101" si="3173">IF(J3101&lt;&gt;"", IF(AND($P3101=FALSE, $A3101=FALSE), -J3101, IF(AND($P3101=FALSE, $A3101=TRUE), 0, IF($P3101=TRUE, (J3101 / $R3101) * 100 * ($S3101 / 100)-J3101, ))), )</f>
        <v/>
      </c>
      <c r="AD3101" s="32" t="str">
        <f t="shared" si="3173"/>
        <v/>
      </c>
      <c r="AE3101" s="32" t="str">
        <f t="shared" si="3173"/>
        <v/>
      </c>
      <c r="AF3101" s="32" t="str">
        <f t="shared" si="3173"/>
        <v/>
      </c>
      <c r="AG3101" s="32" t="str">
        <f t="shared" si="3173"/>
        <v/>
      </c>
      <c r="AH3101" s="33"/>
    </row>
    <row r="3102" hidden="1" outlineLevel="3">
      <c r="A3102" s="95" t="b">
        <v>0</v>
      </c>
      <c r="B3102" s="96"/>
      <c r="C3102" s="18"/>
      <c r="D3102" s="107"/>
      <c r="E3102" s="108"/>
      <c r="F3102" s="109"/>
      <c r="G3102" s="97"/>
      <c r="H3102" s="97"/>
      <c r="I3102" s="97"/>
      <c r="J3102" s="98"/>
      <c r="K3102" s="99"/>
      <c r="L3102" s="98"/>
      <c r="M3102" s="99"/>
      <c r="N3102" s="99"/>
      <c r="O3102" s="18"/>
      <c r="P3102" s="100" t="b">
        <v>0</v>
      </c>
      <c r="Q3102" s="18"/>
      <c r="R3102" s="101" t="str">
        <f t="shared" si="2792"/>
        <v/>
      </c>
      <c r="S3102" s="32"/>
      <c r="T3102" s="102" t="str">
        <f t="shared" si="2793"/>
        <v/>
      </c>
      <c r="U3102" s="18"/>
      <c r="V3102" s="75" t="s">
        <v>29</v>
      </c>
      <c r="W3102" s="104" t="str">
        <f t="shared" si="2828"/>
        <v>/</v>
      </c>
      <c r="X3102" s="111" t="s">
        <v>325</v>
      </c>
      <c r="Y3102" s="106"/>
      <c r="Z3102" s="26" t="str">
        <f t="shared" si="5"/>
        <v/>
      </c>
      <c r="AA3102" s="26" t="str">
        <f t="shared" si="6"/>
        <v/>
      </c>
      <c r="AB3102" s="32" t="str">
        <f t="shared" si="7"/>
        <v/>
      </c>
      <c r="AC3102" s="32" t="str">
        <f t="shared" ref="AC3102:AG3102" si="3174">IF(J3102&lt;&gt;"", IF(AND($P3102=FALSE, $A3102=FALSE), -J3102, IF(AND($P3102=FALSE, $A3102=TRUE), 0, IF($P3102=TRUE, (J3102 / $R3102) * 100 * ($S3102 / 100)-J3102, ))), )</f>
        <v/>
      </c>
      <c r="AD3102" s="32" t="str">
        <f t="shared" si="3174"/>
        <v/>
      </c>
      <c r="AE3102" s="32" t="str">
        <f t="shared" si="3174"/>
        <v/>
      </c>
      <c r="AF3102" s="32" t="str">
        <f t="shared" si="3174"/>
        <v/>
      </c>
      <c r="AG3102" s="32" t="str">
        <f t="shared" si="3174"/>
        <v/>
      </c>
      <c r="AH3102" s="33"/>
    </row>
    <row r="3103" hidden="1" outlineLevel="3">
      <c r="A3103" s="95" t="b">
        <v>0</v>
      </c>
      <c r="B3103" s="96"/>
      <c r="C3103" s="18"/>
      <c r="D3103" s="107"/>
      <c r="E3103" s="108"/>
      <c r="F3103" s="109"/>
      <c r="G3103" s="97"/>
      <c r="H3103" s="97"/>
      <c r="I3103" s="97"/>
      <c r="J3103" s="98"/>
      <c r="K3103" s="99"/>
      <c r="L3103" s="98"/>
      <c r="M3103" s="99"/>
      <c r="N3103" s="99"/>
      <c r="O3103" s="18"/>
      <c r="P3103" s="100" t="b">
        <v>0</v>
      </c>
      <c r="Q3103" s="18"/>
      <c r="R3103" s="101" t="str">
        <f t="shared" si="2792"/>
        <v/>
      </c>
      <c r="S3103" s="32"/>
      <c r="T3103" s="102" t="str">
        <f t="shared" si="2793"/>
        <v/>
      </c>
      <c r="U3103" s="18"/>
      <c r="V3103" s="75" t="s">
        <v>29</v>
      </c>
      <c r="W3103" s="104" t="str">
        <f t="shared" si="2828"/>
        <v>/</v>
      </c>
      <c r="X3103" s="111" t="s">
        <v>1849</v>
      </c>
      <c r="Y3103" s="106"/>
      <c r="Z3103" s="26" t="str">
        <f t="shared" si="5"/>
        <v/>
      </c>
      <c r="AA3103" s="26" t="str">
        <f t="shared" si="6"/>
        <v/>
      </c>
      <c r="AB3103" s="32" t="str">
        <f t="shared" si="7"/>
        <v/>
      </c>
      <c r="AC3103" s="32" t="str">
        <f t="shared" ref="AC3103:AG3103" si="3175">IF(J3103&lt;&gt;"", IF(AND($P3103=FALSE, $A3103=FALSE), -J3103, IF(AND($P3103=FALSE, $A3103=TRUE), 0, IF($P3103=TRUE, (J3103 / $R3103) * 100 * ($S3103 / 100)-J3103, ))), )</f>
        <v/>
      </c>
      <c r="AD3103" s="32" t="str">
        <f t="shared" si="3175"/>
        <v/>
      </c>
      <c r="AE3103" s="32" t="str">
        <f t="shared" si="3175"/>
        <v/>
      </c>
      <c r="AF3103" s="32" t="str">
        <f t="shared" si="3175"/>
        <v/>
      </c>
      <c r="AG3103" s="32" t="str">
        <f t="shared" si="3175"/>
        <v/>
      </c>
      <c r="AH3103" s="33"/>
    </row>
    <row r="3104" hidden="1" outlineLevel="3">
      <c r="A3104" s="95" t="b">
        <v>0</v>
      </c>
      <c r="B3104" s="96"/>
      <c r="C3104" s="18"/>
      <c r="D3104" s="107"/>
      <c r="E3104" s="108"/>
      <c r="F3104" s="109"/>
      <c r="G3104" s="97"/>
      <c r="H3104" s="97"/>
      <c r="I3104" s="97"/>
      <c r="J3104" s="98"/>
      <c r="K3104" s="99"/>
      <c r="L3104" s="98"/>
      <c r="M3104" s="99"/>
      <c r="N3104" s="99"/>
      <c r="O3104" s="18"/>
      <c r="P3104" s="100" t="b">
        <v>0</v>
      </c>
      <c r="Q3104" s="18"/>
      <c r="R3104" s="101" t="str">
        <f t="shared" si="2792"/>
        <v/>
      </c>
      <c r="S3104" s="32"/>
      <c r="T3104" s="102" t="str">
        <f t="shared" si="2793"/>
        <v/>
      </c>
      <c r="U3104" s="18"/>
      <c r="V3104" s="75" t="s">
        <v>29</v>
      </c>
      <c r="W3104" s="104" t="str">
        <f t="shared" si="2828"/>
        <v>/</v>
      </c>
      <c r="X3104" s="111" t="s">
        <v>1833</v>
      </c>
      <c r="Y3104" s="106"/>
      <c r="Z3104" s="26" t="str">
        <f t="shared" si="5"/>
        <v/>
      </c>
      <c r="AA3104" s="26" t="str">
        <f t="shared" si="6"/>
        <v/>
      </c>
      <c r="AB3104" s="32" t="str">
        <f t="shared" si="7"/>
        <v/>
      </c>
      <c r="AC3104" s="32" t="str">
        <f t="shared" ref="AC3104:AG3104" si="3176">IF(J3104&lt;&gt;"", IF(AND($P3104=FALSE, $A3104=FALSE), -J3104, IF(AND($P3104=FALSE, $A3104=TRUE), 0, IF($P3104=TRUE, (J3104 / $R3104) * 100 * ($S3104 / 100)-J3104, ))), )</f>
        <v/>
      </c>
      <c r="AD3104" s="32" t="str">
        <f t="shared" si="3176"/>
        <v/>
      </c>
      <c r="AE3104" s="32" t="str">
        <f t="shared" si="3176"/>
        <v/>
      </c>
      <c r="AF3104" s="32" t="str">
        <f t="shared" si="3176"/>
        <v/>
      </c>
      <c r="AG3104" s="32" t="str">
        <f t="shared" si="3176"/>
        <v/>
      </c>
      <c r="AH3104" s="33"/>
    </row>
    <row r="3105" hidden="1" outlineLevel="1" collapsed="1">
      <c r="A3105" s="95" t="b">
        <v>0</v>
      </c>
      <c r="B3105" s="96"/>
      <c r="C3105" s="18"/>
      <c r="D3105" s="42">
        <v>45628.0</v>
      </c>
      <c r="E3105" s="20" t="s">
        <v>24</v>
      </c>
      <c r="F3105" s="53" t="s">
        <v>1838</v>
      </c>
      <c r="G3105" s="97">
        <v>1.0</v>
      </c>
      <c r="H3105" s="97"/>
      <c r="I3105" s="97">
        <v>1.0</v>
      </c>
      <c r="J3105" s="98"/>
      <c r="K3105" s="99"/>
      <c r="L3105" s="98"/>
      <c r="M3105" s="99"/>
      <c r="N3105" s="99"/>
      <c r="O3105" s="18"/>
      <c r="P3105" s="100" t="b">
        <v>0</v>
      </c>
      <c r="Q3105" s="18"/>
      <c r="R3105" s="101">
        <f t="shared" si="2792"/>
        <v>2</v>
      </c>
      <c r="S3105" s="32">
        <v>342.0</v>
      </c>
      <c r="T3105" s="102" t="str">
        <f t="shared" si="2793"/>
        <v>+17000</v>
      </c>
      <c r="U3105" s="18"/>
      <c r="V3105" s="103" t="str">
        <f t="shared" ref="V3105:V3107" si="3178">IF(ISBLANK($D3105), "0",)</f>
        <v/>
      </c>
      <c r="W3105" s="104" t="str">
        <f t="shared" si="2828"/>
        <v/>
      </c>
      <c r="X3105" s="105"/>
      <c r="Y3105" s="106"/>
      <c r="Z3105" s="26">
        <f t="shared" si="5"/>
        <v>-1</v>
      </c>
      <c r="AA3105" s="26">
        <f t="shared" si="6"/>
        <v>-1</v>
      </c>
      <c r="AB3105" s="32" t="str">
        <f t="shared" si="7"/>
        <v/>
      </c>
      <c r="AC3105" s="32" t="str">
        <f t="shared" ref="AC3105:AG3105" si="3177">IF(J3105&lt;&gt;"", IF(AND($P3105=FALSE, $A3105=FALSE), -J3105, IF(AND($P3105=FALSE, $A3105=TRUE), 0, IF($P3105=TRUE, (J3105 / $R3105) * 100 * ($S3105 / 100)-J3105, ))), )</f>
        <v/>
      </c>
      <c r="AD3105" s="32" t="str">
        <f t="shared" si="3177"/>
        <v/>
      </c>
      <c r="AE3105" s="32" t="str">
        <f t="shared" si="3177"/>
        <v/>
      </c>
      <c r="AF3105" s="32" t="str">
        <f t="shared" si="3177"/>
        <v/>
      </c>
      <c r="AG3105" s="32" t="str">
        <f t="shared" si="3177"/>
        <v/>
      </c>
      <c r="AH3105" s="33"/>
    </row>
    <row r="3106" hidden="1" outlineLevel="3">
      <c r="A3106" s="95" t="b">
        <v>0</v>
      </c>
      <c r="B3106" s="96"/>
      <c r="C3106" s="18"/>
      <c r="D3106" s="107"/>
      <c r="E3106" s="108"/>
      <c r="F3106" s="109"/>
      <c r="G3106" s="97"/>
      <c r="H3106" s="97"/>
      <c r="I3106" s="97"/>
      <c r="J3106" s="98"/>
      <c r="K3106" s="99"/>
      <c r="L3106" s="98"/>
      <c r="M3106" s="99"/>
      <c r="N3106" s="99"/>
      <c r="O3106" s="18"/>
      <c r="P3106" s="100" t="b">
        <v>0</v>
      </c>
      <c r="Q3106" s="18"/>
      <c r="R3106" s="101" t="str">
        <f t="shared" si="2792"/>
        <v/>
      </c>
      <c r="S3106" s="32"/>
      <c r="T3106" s="102" t="str">
        <f t="shared" si="2793"/>
        <v/>
      </c>
      <c r="U3106" s="18"/>
      <c r="V3106" s="103" t="str">
        <f t="shared" si="3178"/>
        <v>0</v>
      </c>
      <c r="W3106" s="104" t="str">
        <f t="shared" si="2828"/>
        <v>/</v>
      </c>
      <c r="X3106" s="111" t="s">
        <v>1850</v>
      </c>
      <c r="Y3106" s="106"/>
      <c r="Z3106" s="26" t="str">
        <f t="shared" si="5"/>
        <v/>
      </c>
      <c r="AA3106" s="26" t="str">
        <f t="shared" si="6"/>
        <v/>
      </c>
      <c r="AB3106" s="32" t="str">
        <f t="shared" si="7"/>
        <v/>
      </c>
      <c r="AC3106" s="32" t="str">
        <f t="shared" ref="AC3106:AG3106" si="3179">IF(J3106&lt;&gt;"", IF(AND($P3106=FALSE, $A3106=FALSE), -J3106, IF(AND($P3106=FALSE, $A3106=TRUE), 0, IF($P3106=TRUE, (J3106 / $R3106) * 100 * ($S3106 / 100)-J3106, ))), )</f>
        <v/>
      </c>
      <c r="AD3106" s="32" t="str">
        <f t="shared" si="3179"/>
        <v/>
      </c>
      <c r="AE3106" s="32" t="str">
        <f t="shared" si="3179"/>
        <v/>
      </c>
      <c r="AF3106" s="32" t="str">
        <f t="shared" si="3179"/>
        <v/>
      </c>
      <c r="AG3106" s="32" t="str">
        <f t="shared" si="3179"/>
        <v/>
      </c>
      <c r="AH3106" s="33"/>
    </row>
    <row r="3107" hidden="1" outlineLevel="2" collapsed="1">
      <c r="A3107" s="95" t="b">
        <v>0</v>
      </c>
      <c r="B3107" s="96"/>
      <c r="C3107" s="18"/>
      <c r="D3107" s="42">
        <v>45628.0</v>
      </c>
      <c r="E3107" s="20" t="s">
        <v>24</v>
      </c>
      <c r="F3107" s="53" t="s">
        <v>1838</v>
      </c>
      <c r="G3107" s="97">
        <v>2.0</v>
      </c>
      <c r="H3107" s="97"/>
      <c r="I3107" s="97">
        <v>3.0</v>
      </c>
      <c r="J3107" s="98"/>
      <c r="K3107" s="99"/>
      <c r="L3107" s="98"/>
      <c r="M3107" s="99"/>
      <c r="N3107" s="99"/>
      <c r="O3107" s="18"/>
      <c r="P3107" s="100" t="b">
        <v>0</v>
      </c>
      <c r="Q3107" s="18"/>
      <c r="R3107" s="101">
        <f t="shared" si="2792"/>
        <v>5</v>
      </c>
      <c r="S3107" s="32">
        <v>10.65</v>
      </c>
      <c r="T3107" s="102" t="str">
        <f t="shared" si="2793"/>
        <v>+113</v>
      </c>
      <c r="U3107" s="18"/>
      <c r="V3107" s="103" t="str">
        <f t="shared" si="3178"/>
        <v/>
      </c>
      <c r="W3107" s="104" t="str">
        <f t="shared" si="2828"/>
        <v/>
      </c>
      <c r="X3107" s="105"/>
      <c r="Y3107" s="106"/>
      <c r="Z3107" s="26">
        <f t="shared" si="5"/>
        <v>-2</v>
      </c>
      <c r="AA3107" s="26">
        <f t="shared" si="6"/>
        <v>-3</v>
      </c>
      <c r="AB3107" s="32" t="str">
        <f t="shared" si="7"/>
        <v/>
      </c>
      <c r="AC3107" s="32" t="str">
        <f t="shared" ref="AC3107:AG3107" si="3180">IF(J3107&lt;&gt;"", IF(AND($P3107=FALSE, $A3107=FALSE), -J3107, IF(AND($P3107=FALSE, $A3107=TRUE), 0, IF($P3107=TRUE, (J3107 / $R3107) * 100 * ($S3107 / 100)-J3107, ))), )</f>
        <v/>
      </c>
      <c r="AD3107" s="32" t="str">
        <f t="shared" si="3180"/>
        <v/>
      </c>
      <c r="AE3107" s="32" t="str">
        <f t="shared" si="3180"/>
        <v/>
      </c>
      <c r="AF3107" s="32" t="str">
        <f t="shared" si="3180"/>
        <v/>
      </c>
      <c r="AG3107" s="32" t="str">
        <f t="shared" si="3180"/>
        <v/>
      </c>
      <c r="AH3107" s="33"/>
    </row>
    <row r="3108" hidden="1" outlineLevel="3">
      <c r="A3108" s="95" t="b">
        <v>0</v>
      </c>
      <c r="B3108" s="96"/>
      <c r="C3108" s="18"/>
      <c r="D3108" s="107"/>
      <c r="E3108" s="108"/>
      <c r="F3108" s="109"/>
      <c r="G3108" s="97"/>
      <c r="H3108" s="97"/>
      <c r="I3108" s="97"/>
      <c r="J3108" s="98"/>
      <c r="K3108" s="99"/>
      <c r="L3108" s="98"/>
      <c r="M3108" s="99"/>
      <c r="N3108" s="99"/>
      <c r="O3108" s="18"/>
      <c r="P3108" s="100" t="b">
        <v>0</v>
      </c>
      <c r="Q3108" s="18"/>
      <c r="R3108" s="101" t="str">
        <f t="shared" si="2792"/>
        <v/>
      </c>
      <c r="S3108" s="32"/>
      <c r="T3108" s="102" t="str">
        <f t="shared" si="2793"/>
        <v/>
      </c>
      <c r="U3108" s="18"/>
      <c r="V3108" s="113">
        <v>21.0</v>
      </c>
      <c r="W3108" s="104" t="str">
        <f t="shared" si="2828"/>
        <v>/</v>
      </c>
      <c r="X3108" s="111" t="s">
        <v>1851</v>
      </c>
      <c r="Y3108" s="106"/>
      <c r="Z3108" s="26" t="str">
        <f t="shared" si="5"/>
        <v/>
      </c>
      <c r="AA3108" s="26" t="str">
        <f t="shared" si="6"/>
        <v/>
      </c>
      <c r="AB3108" s="32" t="str">
        <f t="shared" si="7"/>
        <v/>
      </c>
      <c r="AC3108" s="32" t="str">
        <f t="shared" ref="AC3108:AG3108" si="3181">IF(J3108&lt;&gt;"", IF(AND($P3108=FALSE, $A3108=FALSE), -J3108, IF(AND($P3108=FALSE, $A3108=TRUE), 0, IF($P3108=TRUE, (J3108 / $R3108) * 100 * ($S3108 / 100)-J3108, ))), )</f>
        <v/>
      </c>
      <c r="AD3108" s="32" t="str">
        <f t="shared" si="3181"/>
        <v/>
      </c>
      <c r="AE3108" s="32" t="str">
        <f t="shared" si="3181"/>
        <v/>
      </c>
      <c r="AF3108" s="32" t="str">
        <f t="shared" si="3181"/>
        <v/>
      </c>
      <c r="AG3108" s="32" t="str">
        <f t="shared" si="3181"/>
        <v/>
      </c>
      <c r="AH3108" s="33"/>
    </row>
    <row r="3109" hidden="1" outlineLevel="3">
      <c r="A3109" s="95" t="b">
        <v>0</v>
      </c>
      <c r="B3109" s="96"/>
      <c r="C3109" s="18"/>
      <c r="D3109" s="107"/>
      <c r="E3109" s="108"/>
      <c r="F3109" s="109"/>
      <c r="G3109" s="97"/>
      <c r="H3109" s="97"/>
      <c r="I3109" s="97"/>
      <c r="J3109" s="98"/>
      <c r="K3109" s="99"/>
      <c r="L3109" s="98"/>
      <c r="M3109" s="99"/>
      <c r="N3109" s="99"/>
      <c r="O3109" s="18"/>
      <c r="P3109" s="100" t="b">
        <v>0</v>
      </c>
      <c r="Q3109" s="18"/>
      <c r="R3109" s="101" t="str">
        <f t="shared" si="2792"/>
        <v/>
      </c>
      <c r="S3109" s="32"/>
      <c r="T3109" s="102" t="str">
        <f t="shared" si="2793"/>
        <v/>
      </c>
      <c r="U3109" s="18"/>
      <c r="V3109" s="113">
        <v>1.0</v>
      </c>
      <c r="W3109" s="104" t="str">
        <f t="shared" si="2828"/>
        <v>/</v>
      </c>
      <c r="X3109" s="111" t="s">
        <v>1852</v>
      </c>
      <c r="Y3109" s="106"/>
      <c r="Z3109" s="26" t="str">
        <f t="shared" si="5"/>
        <v/>
      </c>
      <c r="AA3109" s="26" t="str">
        <f t="shared" si="6"/>
        <v/>
      </c>
      <c r="AB3109" s="32" t="str">
        <f t="shared" si="7"/>
        <v/>
      </c>
      <c r="AC3109" s="32" t="str">
        <f t="shared" ref="AC3109:AG3109" si="3182">IF(J3109&lt;&gt;"", IF(AND($P3109=FALSE, $A3109=FALSE), -J3109, IF(AND($P3109=FALSE, $A3109=TRUE), 0, IF($P3109=TRUE, (J3109 / $R3109) * 100 * ($S3109 / 100)-J3109, ))), )</f>
        <v/>
      </c>
      <c r="AD3109" s="32" t="str">
        <f t="shared" si="3182"/>
        <v/>
      </c>
      <c r="AE3109" s="32" t="str">
        <f t="shared" si="3182"/>
        <v/>
      </c>
      <c r="AF3109" s="32" t="str">
        <f t="shared" si="3182"/>
        <v/>
      </c>
      <c r="AG3109" s="32" t="str">
        <f t="shared" si="3182"/>
        <v/>
      </c>
      <c r="AH3109" s="33"/>
    </row>
    <row r="3110" hidden="1" outlineLevel="2" collapsed="1">
      <c r="A3110" s="95" t="b">
        <v>0</v>
      </c>
      <c r="B3110" s="96"/>
      <c r="C3110" s="18"/>
      <c r="D3110" s="42">
        <v>45628.0</v>
      </c>
      <c r="E3110" s="20" t="s">
        <v>24</v>
      </c>
      <c r="F3110" s="53" t="s">
        <v>1838</v>
      </c>
      <c r="G3110" s="97">
        <v>2.0</v>
      </c>
      <c r="H3110" s="97"/>
      <c r="I3110" s="97">
        <v>3.0</v>
      </c>
      <c r="J3110" s="98"/>
      <c r="K3110" s="99"/>
      <c r="L3110" s="98"/>
      <c r="M3110" s="99"/>
      <c r="N3110" s="99"/>
      <c r="O3110" s="18"/>
      <c r="P3110" s="100" t="b">
        <v>1</v>
      </c>
      <c r="Q3110" s="18"/>
      <c r="R3110" s="101">
        <f t="shared" si="2792"/>
        <v>5</v>
      </c>
      <c r="S3110" s="32">
        <v>10.5</v>
      </c>
      <c r="T3110" s="102" t="str">
        <f t="shared" si="2793"/>
        <v>+110</v>
      </c>
      <c r="U3110" s="18"/>
      <c r="V3110" s="103" t="str">
        <f>IF(ISBLANK($D3110), "0",)</f>
        <v/>
      </c>
      <c r="W3110" s="104" t="str">
        <f t="shared" si="2828"/>
        <v/>
      </c>
      <c r="X3110" s="105"/>
      <c r="Y3110" s="106"/>
      <c r="Z3110" s="26">
        <f t="shared" si="5"/>
        <v>2.2</v>
      </c>
      <c r="AA3110" s="26">
        <f t="shared" si="6"/>
        <v>3.3</v>
      </c>
      <c r="AB3110" s="32" t="str">
        <f t="shared" si="7"/>
        <v/>
      </c>
      <c r="AC3110" s="32" t="str">
        <f t="shared" ref="AC3110:AG3110" si="3183">IF(J3110&lt;&gt;"", IF(AND($P3110=FALSE, $A3110=FALSE), -J3110, IF(AND($P3110=FALSE, $A3110=TRUE), 0, IF($P3110=TRUE, (J3110 / $R3110) * 100 * ($S3110 / 100)-J3110, ))), )</f>
        <v/>
      </c>
      <c r="AD3110" s="32" t="str">
        <f t="shared" si="3183"/>
        <v/>
      </c>
      <c r="AE3110" s="32" t="str">
        <f t="shared" si="3183"/>
        <v/>
      </c>
      <c r="AF3110" s="32" t="str">
        <f t="shared" si="3183"/>
        <v/>
      </c>
      <c r="AG3110" s="32" t="str">
        <f t="shared" si="3183"/>
        <v/>
      </c>
      <c r="AH3110" s="33"/>
    </row>
    <row r="3111" hidden="1" outlineLevel="3">
      <c r="A3111" s="95" t="b">
        <v>0</v>
      </c>
      <c r="B3111" s="96"/>
      <c r="C3111" s="18"/>
      <c r="D3111" s="107"/>
      <c r="E3111" s="108"/>
      <c r="F3111" s="109"/>
      <c r="G3111" s="97"/>
      <c r="H3111" s="97"/>
      <c r="I3111" s="97"/>
      <c r="J3111" s="98"/>
      <c r="K3111" s="99"/>
      <c r="L3111" s="98"/>
      <c r="M3111" s="99"/>
      <c r="N3111" s="99"/>
      <c r="O3111" s="18"/>
      <c r="P3111" s="100" t="b">
        <v>0</v>
      </c>
      <c r="Q3111" s="18"/>
      <c r="R3111" s="101" t="str">
        <f t="shared" si="2792"/>
        <v/>
      </c>
      <c r="S3111" s="32"/>
      <c r="T3111" s="102" t="str">
        <f t="shared" si="2793"/>
        <v/>
      </c>
      <c r="U3111" s="18"/>
      <c r="V3111" s="75" t="s">
        <v>29</v>
      </c>
      <c r="W3111" s="104" t="str">
        <f t="shared" si="2828"/>
        <v>/</v>
      </c>
      <c r="X3111" s="111" t="s">
        <v>1853</v>
      </c>
      <c r="Y3111" s="106"/>
      <c r="Z3111" s="26" t="str">
        <f t="shared" si="5"/>
        <v/>
      </c>
      <c r="AA3111" s="26" t="str">
        <f t="shared" si="6"/>
        <v/>
      </c>
      <c r="AB3111" s="32" t="str">
        <f t="shared" si="7"/>
        <v/>
      </c>
      <c r="AC3111" s="32" t="str">
        <f t="shared" ref="AC3111:AG3111" si="3184">IF(J3111&lt;&gt;"", IF(AND($P3111=FALSE, $A3111=FALSE), -J3111, IF(AND($P3111=FALSE, $A3111=TRUE), 0, IF($P3111=TRUE, (J3111 / $R3111) * 100 * ($S3111 / 100)-J3111, ))), )</f>
        <v/>
      </c>
      <c r="AD3111" s="32" t="str">
        <f t="shared" si="3184"/>
        <v/>
      </c>
      <c r="AE3111" s="32" t="str">
        <f t="shared" si="3184"/>
        <v/>
      </c>
      <c r="AF3111" s="32" t="str">
        <f t="shared" si="3184"/>
        <v/>
      </c>
      <c r="AG3111" s="32" t="str">
        <f t="shared" si="3184"/>
        <v/>
      </c>
      <c r="AH3111" s="33"/>
    </row>
    <row r="3112" hidden="1" outlineLevel="2">
      <c r="A3112" s="95" t="b">
        <v>0</v>
      </c>
      <c r="B3112" s="96"/>
      <c r="C3112" s="18"/>
      <c r="D3112" s="42">
        <v>45628.0</v>
      </c>
      <c r="E3112" s="20" t="s">
        <v>24</v>
      </c>
      <c r="F3112" s="53" t="s">
        <v>1838</v>
      </c>
      <c r="G3112" s="97">
        <v>2.0</v>
      </c>
      <c r="H3112" s="97"/>
      <c r="I3112" s="97">
        <v>3.0</v>
      </c>
      <c r="J3112" s="98"/>
      <c r="K3112" s="99"/>
      <c r="L3112" s="98"/>
      <c r="M3112" s="99"/>
      <c r="N3112" s="99"/>
      <c r="O3112" s="18"/>
      <c r="P3112" s="100" t="b">
        <v>0</v>
      </c>
      <c r="Q3112" s="18"/>
      <c r="R3112" s="101">
        <f t="shared" si="2792"/>
        <v>5</v>
      </c>
      <c r="S3112" s="32">
        <v>15.6</v>
      </c>
      <c r="T3112" s="102" t="str">
        <f t="shared" si="2793"/>
        <v>+212</v>
      </c>
      <c r="U3112" s="18"/>
      <c r="V3112" s="103" t="str">
        <f>IF(ISBLANK($D3112), "0",)</f>
        <v/>
      </c>
      <c r="W3112" s="104" t="str">
        <f t="shared" si="2828"/>
        <v/>
      </c>
      <c r="X3112" s="105"/>
      <c r="Y3112" s="106"/>
      <c r="Z3112" s="26">
        <f t="shared" si="5"/>
        <v>-2</v>
      </c>
      <c r="AA3112" s="26">
        <f t="shared" si="6"/>
        <v>-3</v>
      </c>
      <c r="AB3112" s="32" t="str">
        <f t="shared" si="7"/>
        <v/>
      </c>
      <c r="AC3112" s="32" t="str">
        <f t="shared" ref="AC3112:AG3112" si="3185">IF(J3112&lt;&gt;"", IF(AND($P3112=FALSE, $A3112=FALSE), -J3112, IF(AND($P3112=FALSE, $A3112=TRUE), 0, IF($P3112=TRUE, (J3112 / $R3112) * 100 * ($S3112 / 100)-J3112, ))), )</f>
        <v/>
      </c>
      <c r="AD3112" s="32" t="str">
        <f t="shared" si="3185"/>
        <v/>
      </c>
      <c r="AE3112" s="32" t="str">
        <f t="shared" si="3185"/>
        <v/>
      </c>
      <c r="AF3112" s="32" t="str">
        <f t="shared" si="3185"/>
        <v/>
      </c>
      <c r="AG3112" s="32" t="str">
        <f t="shared" si="3185"/>
        <v/>
      </c>
      <c r="AH3112" s="33"/>
    </row>
    <row r="3113" hidden="1" outlineLevel="3">
      <c r="A3113" s="95" t="b">
        <v>0</v>
      </c>
      <c r="B3113" s="96"/>
      <c r="C3113" s="18"/>
      <c r="D3113" s="107"/>
      <c r="E3113" s="108"/>
      <c r="F3113" s="109"/>
      <c r="G3113" s="97"/>
      <c r="H3113" s="97"/>
      <c r="I3113" s="97"/>
      <c r="J3113" s="98"/>
      <c r="K3113" s="99"/>
      <c r="L3113" s="98"/>
      <c r="M3113" s="99"/>
      <c r="N3113" s="99"/>
      <c r="O3113" s="18"/>
      <c r="P3113" s="100" t="b">
        <v>0</v>
      </c>
      <c r="Q3113" s="18"/>
      <c r="R3113" s="101" t="str">
        <f t="shared" si="2792"/>
        <v/>
      </c>
      <c r="S3113" s="32"/>
      <c r="T3113" s="102" t="str">
        <f t="shared" si="2793"/>
        <v/>
      </c>
      <c r="U3113" s="18"/>
      <c r="V3113" s="75" t="s">
        <v>29</v>
      </c>
      <c r="W3113" s="104" t="str">
        <f t="shared" si="2828"/>
        <v>/</v>
      </c>
      <c r="X3113" s="111" t="s">
        <v>535</v>
      </c>
      <c r="Y3113" s="106"/>
      <c r="Z3113" s="26" t="str">
        <f t="shared" si="5"/>
        <v/>
      </c>
      <c r="AA3113" s="26" t="str">
        <f t="shared" si="6"/>
        <v/>
      </c>
      <c r="AB3113" s="32" t="str">
        <f t="shared" si="7"/>
        <v/>
      </c>
      <c r="AC3113" s="32" t="str">
        <f t="shared" ref="AC3113:AG3113" si="3186">IF(J3113&lt;&gt;"", IF(AND($P3113=FALSE, $A3113=FALSE), -J3113, IF(AND($P3113=FALSE, $A3113=TRUE), 0, IF($P3113=TRUE, (J3113 / $R3113) * 100 * ($S3113 / 100)-J3113, ))), )</f>
        <v/>
      </c>
      <c r="AD3113" s="32" t="str">
        <f t="shared" si="3186"/>
        <v/>
      </c>
      <c r="AE3113" s="32" t="str">
        <f t="shared" si="3186"/>
        <v/>
      </c>
      <c r="AF3113" s="32" t="str">
        <f t="shared" si="3186"/>
        <v/>
      </c>
      <c r="AG3113" s="32" t="str">
        <f t="shared" si="3186"/>
        <v/>
      </c>
      <c r="AH3113" s="33"/>
    </row>
    <row r="3114" hidden="1" outlineLevel="3">
      <c r="A3114" s="95" t="b">
        <v>0</v>
      </c>
      <c r="B3114" s="96"/>
      <c r="C3114" s="18"/>
      <c r="D3114" s="107"/>
      <c r="E3114" s="108"/>
      <c r="F3114" s="109"/>
      <c r="G3114" s="97"/>
      <c r="H3114" s="97"/>
      <c r="I3114" s="97"/>
      <c r="J3114" s="98"/>
      <c r="K3114" s="99"/>
      <c r="L3114" s="98"/>
      <c r="M3114" s="99"/>
      <c r="N3114" s="99"/>
      <c r="O3114" s="18"/>
      <c r="P3114" s="100" t="b">
        <v>0</v>
      </c>
      <c r="Q3114" s="18"/>
      <c r="R3114" s="101" t="str">
        <f t="shared" si="2792"/>
        <v/>
      </c>
      <c r="S3114" s="32"/>
      <c r="T3114" s="102" t="str">
        <f t="shared" si="2793"/>
        <v/>
      </c>
      <c r="U3114" s="18"/>
      <c r="V3114" s="75" t="s">
        <v>29</v>
      </c>
      <c r="W3114" s="104" t="str">
        <f t="shared" si="2828"/>
        <v>/</v>
      </c>
      <c r="X3114" s="111" t="s">
        <v>1854</v>
      </c>
      <c r="Y3114" s="106"/>
      <c r="Z3114" s="26" t="str">
        <f t="shared" si="5"/>
        <v/>
      </c>
      <c r="AA3114" s="26" t="str">
        <f t="shared" si="6"/>
        <v/>
      </c>
      <c r="AB3114" s="32" t="str">
        <f t="shared" si="7"/>
        <v/>
      </c>
      <c r="AC3114" s="32" t="str">
        <f t="shared" ref="AC3114:AG3114" si="3187">IF(J3114&lt;&gt;"", IF(AND($P3114=FALSE, $A3114=FALSE), -J3114, IF(AND($P3114=FALSE, $A3114=TRUE), 0, IF($P3114=TRUE, (J3114 / $R3114) * 100 * ($S3114 / 100)-J3114, ))), )</f>
        <v/>
      </c>
      <c r="AD3114" s="32" t="str">
        <f t="shared" si="3187"/>
        <v/>
      </c>
      <c r="AE3114" s="32" t="str">
        <f t="shared" si="3187"/>
        <v/>
      </c>
      <c r="AF3114" s="32" t="str">
        <f t="shared" si="3187"/>
        <v/>
      </c>
      <c r="AG3114" s="32" t="str">
        <f t="shared" si="3187"/>
        <v/>
      </c>
      <c r="AH3114" s="33"/>
    </row>
    <row r="3115" hidden="1" outlineLevel="3">
      <c r="A3115" s="95" t="b">
        <v>0</v>
      </c>
      <c r="B3115" s="96"/>
      <c r="C3115" s="18"/>
      <c r="D3115" s="107"/>
      <c r="E3115" s="108"/>
      <c r="F3115" s="109"/>
      <c r="G3115" s="97"/>
      <c r="H3115" s="97"/>
      <c r="I3115" s="97"/>
      <c r="J3115" s="98"/>
      <c r="K3115" s="99"/>
      <c r="L3115" s="98"/>
      <c r="M3115" s="99"/>
      <c r="N3115" s="99"/>
      <c r="O3115" s="18"/>
      <c r="P3115" s="100" t="b">
        <v>0</v>
      </c>
      <c r="Q3115" s="18"/>
      <c r="R3115" s="101" t="str">
        <f t="shared" si="2792"/>
        <v/>
      </c>
      <c r="S3115" s="32"/>
      <c r="T3115" s="102" t="str">
        <f t="shared" si="2793"/>
        <v/>
      </c>
      <c r="U3115" s="18"/>
      <c r="V3115" s="75" t="s">
        <v>29</v>
      </c>
      <c r="W3115" s="104" t="str">
        <f t="shared" si="2828"/>
        <v>/</v>
      </c>
      <c r="X3115" s="111" t="s">
        <v>1855</v>
      </c>
      <c r="Y3115" s="106"/>
      <c r="Z3115" s="26" t="str">
        <f t="shared" si="5"/>
        <v/>
      </c>
      <c r="AA3115" s="26" t="str">
        <f t="shared" si="6"/>
        <v/>
      </c>
      <c r="AB3115" s="32" t="str">
        <f t="shared" si="7"/>
        <v/>
      </c>
      <c r="AC3115" s="32" t="str">
        <f t="shared" ref="AC3115:AG3115" si="3188">IF(J3115&lt;&gt;"", IF(AND($P3115=FALSE, $A3115=FALSE), -J3115, IF(AND($P3115=FALSE, $A3115=TRUE), 0, IF($P3115=TRUE, (J3115 / $R3115) * 100 * ($S3115 / 100)-J3115, ))), )</f>
        <v/>
      </c>
      <c r="AD3115" s="32" t="str">
        <f t="shared" si="3188"/>
        <v/>
      </c>
      <c r="AE3115" s="32" t="str">
        <f t="shared" si="3188"/>
        <v/>
      </c>
      <c r="AF3115" s="32" t="str">
        <f t="shared" si="3188"/>
        <v/>
      </c>
      <c r="AG3115" s="32" t="str">
        <f t="shared" si="3188"/>
        <v/>
      </c>
      <c r="AH3115" s="33"/>
    </row>
    <row r="3116" hidden="1" outlineLevel="3">
      <c r="A3116" s="95" t="b">
        <v>0</v>
      </c>
      <c r="B3116" s="96"/>
      <c r="C3116" s="18"/>
      <c r="D3116" s="107"/>
      <c r="E3116" s="108"/>
      <c r="F3116" s="109"/>
      <c r="G3116" s="97"/>
      <c r="H3116" s="97"/>
      <c r="I3116" s="97"/>
      <c r="J3116" s="98"/>
      <c r="K3116" s="99"/>
      <c r="L3116" s="98"/>
      <c r="M3116" s="99"/>
      <c r="N3116" s="99"/>
      <c r="O3116" s="18"/>
      <c r="P3116" s="100" t="b">
        <v>0</v>
      </c>
      <c r="Q3116" s="18"/>
      <c r="R3116" s="101" t="str">
        <f t="shared" si="2792"/>
        <v/>
      </c>
      <c r="S3116" s="32"/>
      <c r="T3116" s="102" t="str">
        <f t="shared" si="2793"/>
        <v/>
      </c>
      <c r="U3116" s="18"/>
      <c r="V3116" s="113">
        <v>1.0</v>
      </c>
      <c r="W3116" s="104" t="str">
        <f t="shared" si="2828"/>
        <v>/</v>
      </c>
      <c r="X3116" s="111" t="s">
        <v>1856</v>
      </c>
      <c r="Y3116" s="106"/>
      <c r="Z3116" s="26" t="str">
        <f t="shared" si="5"/>
        <v/>
      </c>
      <c r="AA3116" s="26" t="str">
        <f t="shared" si="6"/>
        <v/>
      </c>
      <c r="AB3116" s="32" t="str">
        <f t="shared" si="7"/>
        <v/>
      </c>
      <c r="AC3116" s="32" t="str">
        <f t="shared" ref="AC3116:AG3116" si="3189">IF(J3116&lt;&gt;"", IF(AND($P3116=FALSE, $A3116=FALSE), -J3116, IF(AND($P3116=FALSE, $A3116=TRUE), 0, IF($P3116=TRUE, (J3116 / $R3116) * 100 * ($S3116 / 100)-J3116, ))), )</f>
        <v/>
      </c>
      <c r="AD3116" s="32" t="str">
        <f t="shared" si="3189"/>
        <v/>
      </c>
      <c r="AE3116" s="32" t="str">
        <f t="shared" si="3189"/>
        <v/>
      </c>
      <c r="AF3116" s="32" t="str">
        <f t="shared" si="3189"/>
        <v/>
      </c>
      <c r="AG3116" s="32" t="str">
        <f t="shared" si="3189"/>
        <v/>
      </c>
      <c r="AH3116" s="33"/>
    </row>
    <row r="3117" hidden="1" outlineLevel="3">
      <c r="A3117" s="95" t="b">
        <v>0</v>
      </c>
      <c r="B3117" s="96"/>
      <c r="C3117" s="18"/>
      <c r="D3117" s="107"/>
      <c r="E3117" s="108"/>
      <c r="F3117" s="109"/>
      <c r="G3117" s="97"/>
      <c r="H3117" s="97"/>
      <c r="I3117" s="97"/>
      <c r="J3117" s="98"/>
      <c r="K3117" s="99"/>
      <c r="L3117" s="98"/>
      <c r="M3117" s="99"/>
      <c r="N3117" s="99"/>
      <c r="O3117" s="18"/>
      <c r="P3117" s="100" t="b">
        <v>0</v>
      </c>
      <c r="Q3117" s="18"/>
      <c r="R3117" s="101" t="str">
        <f t="shared" si="2792"/>
        <v/>
      </c>
      <c r="S3117" s="32"/>
      <c r="T3117" s="102" t="str">
        <f t="shared" si="2793"/>
        <v/>
      </c>
      <c r="U3117" s="18"/>
      <c r="V3117" s="75" t="s">
        <v>29</v>
      </c>
      <c r="W3117" s="104" t="str">
        <f t="shared" si="2828"/>
        <v>/</v>
      </c>
      <c r="X3117" s="111" t="s">
        <v>1857</v>
      </c>
      <c r="Y3117" s="106"/>
      <c r="Z3117" s="26" t="str">
        <f t="shared" si="5"/>
        <v/>
      </c>
      <c r="AA3117" s="26" t="str">
        <f t="shared" si="6"/>
        <v/>
      </c>
      <c r="AB3117" s="32" t="str">
        <f t="shared" si="7"/>
        <v/>
      </c>
      <c r="AC3117" s="32" t="str">
        <f t="shared" ref="AC3117:AG3117" si="3190">IF(J3117&lt;&gt;"", IF(AND($P3117=FALSE, $A3117=FALSE), -J3117, IF(AND($P3117=FALSE, $A3117=TRUE), 0, IF($P3117=TRUE, (J3117 / $R3117) * 100 * ($S3117 / 100)-J3117, ))), )</f>
        <v/>
      </c>
      <c r="AD3117" s="32" t="str">
        <f t="shared" si="3190"/>
        <v/>
      </c>
      <c r="AE3117" s="32" t="str">
        <f t="shared" si="3190"/>
        <v/>
      </c>
      <c r="AF3117" s="32" t="str">
        <f t="shared" si="3190"/>
        <v/>
      </c>
      <c r="AG3117" s="32" t="str">
        <f t="shared" si="3190"/>
        <v/>
      </c>
      <c r="AH3117" s="33"/>
    </row>
    <row r="3118" hidden="1" outlineLevel="1" collapsed="1">
      <c r="A3118" s="95" t="b">
        <v>0</v>
      </c>
      <c r="B3118" s="96"/>
      <c r="C3118" s="18"/>
      <c r="D3118" s="42">
        <v>45635.0</v>
      </c>
      <c r="E3118" s="20" t="s">
        <v>24</v>
      </c>
      <c r="F3118" s="53" t="s">
        <v>1858</v>
      </c>
      <c r="G3118" s="97">
        <v>2.0</v>
      </c>
      <c r="H3118" s="97"/>
      <c r="I3118" s="97">
        <v>3.0</v>
      </c>
      <c r="J3118" s="98"/>
      <c r="K3118" s="99"/>
      <c r="L3118" s="98"/>
      <c r="M3118" s="99"/>
      <c r="N3118" s="99"/>
      <c r="O3118" s="18"/>
      <c r="P3118" s="100" t="b">
        <v>1</v>
      </c>
      <c r="Q3118" s="18"/>
      <c r="R3118" s="101">
        <f t="shared" si="2792"/>
        <v>5</v>
      </c>
      <c r="S3118" s="32">
        <v>24.0</v>
      </c>
      <c r="T3118" s="102" t="str">
        <f t="shared" si="2793"/>
        <v>+380</v>
      </c>
      <c r="U3118" s="18"/>
      <c r="V3118" s="103" t="str">
        <f>IF(ISBLANK($D3118), "0",)</f>
        <v/>
      </c>
      <c r="W3118" s="104" t="str">
        <f t="shared" si="2828"/>
        <v/>
      </c>
      <c r="X3118" s="105"/>
      <c r="Y3118" s="106"/>
      <c r="Z3118" s="26">
        <f t="shared" si="5"/>
        <v>7.6</v>
      </c>
      <c r="AA3118" s="26">
        <f t="shared" si="6"/>
        <v>11.4</v>
      </c>
      <c r="AB3118" s="32" t="str">
        <f t="shared" si="7"/>
        <v/>
      </c>
      <c r="AC3118" s="32" t="str">
        <f t="shared" ref="AC3118:AG3118" si="3191">IF(J3118&lt;&gt;"", IF(AND($P3118=FALSE, $A3118=FALSE), -J3118, IF(AND($P3118=FALSE, $A3118=TRUE), 0, IF($P3118=TRUE, (J3118 / $R3118) * 100 * ($S3118 / 100)-J3118, ))), )</f>
        <v/>
      </c>
      <c r="AD3118" s="32" t="str">
        <f t="shared" si="3191"/>
        <v/>
      </c>
      <c r="AE3118" s="32" t="str">
        <f t="shared" si="3191"/>
        <v/>
      </c>
      <c r="AF3118" s="32" t="str">
        <f t="shared" si="3191"/>
        <v/>
      </c>
      <c r="AG3118" s="32" t="str">
        <f t="shared" si="3191"/>
        <v/>
      </c>
      <c r="AH3118" s="33"/>
    </row>
    <row r="3119" hidden="1" outlineLevel="3">
      <c r="A3119" s="95" t="b">
        <v>0</v>
      </c>
      <c r="B3119" s="96"/>
      <c r="C3119" s="18"/>
      <c r="D3119" s="107"/>
      <c r="E3119" s="108"/>
      <c r="F3119" s="109"/>
      <c r="G3119" s="97"/>
      <c r="H3119" s="97"/>
      <c r="I3119" s="97"/>
      <c r="J3119" s="98"/>
      <c r="K3119" s="99"/>
      <c r="L3119" s="98"/>
      <c r="M3119" s="99"/>
      <c r="N3119" s="99"/>
      <c r="O3119" s="18"/>
      <c r="P3119" s="100" t="b">
        <v>0</v>
      </c>
      <c r="Q3119" s="18"/>
      <c r="R3119" s="101" t="str">
        <f t="shared" si="2792"/>
        <v/>
      </c>
      <c r="S3119" s="32"/>
      <c r="T3119" s="102" t="str">
        <f t="shared" si="2793"/>
        <v/>
      </c>
      <c r="U3119" s="18"/>
      <c r="V3119" s="75" t="s">
        <v>29</v>
      </c>
      <c r="W3119" s="104" t="str">
        <f t="shared" si="2828"/>
        <v>/</v>
      </c>
      <c r="X3119" s="111" t="s">
        <v>1859</v>
      </c>
      <c r="Y3119" s="106"/>
      <c r="Z3119" s="26" t="str">
        <f t="shared" si="5"/>
        <v/>
      </c>
      <c r="AA3119" s="26" t="str">
        <f t="shared" si="6"/>
        <v/>
      </c>
      <c r="AB3119" s="32" t="str">
        <f t="shared" si="7"/>
        <v/>
      </c>
      <c r="AC3119" s="32" t="str">
        <f t="shared" ref="AC3119:AG3119" si="3192">IF(J3119&lt;&gt;"", IF(AND($P3119=FALSE, $A3119=FALSE), -J3119, IF(AND($P3119=FALSE, $A3119=TRUE), 0, IF($P3119=TRUE, (J3119 / $R3119) * 100 * ($S3119 / 100)-J3119, ))), )</f>
        <v/>
      </c>
      <c r="AD3119" s="32" t="str">
        <f t="shared" si="3192"/>
        <v/>
      </c>
      <c r="AE3119" s="32" t="str">
        <f t="shared" si="3192"/>
        <v/>
      </c>
      <c r="AF3119" s="32" t="str">
        <f t="shared" si="3192"/>
        <v/>
      </c>
      <c r="AG3119" s="32" t="str">
        <f t="shared" si="3192"/>
        <v/>
      </c>
      <c r="AH3119" s="33"/>
    </row>
    <row r="3120" hidden="1" outlineLevel="2" collapsed="1">
      <c r="A3120" s="95" t="b">
        <v>0</v>
      </c>
      <c r="B3120" s="96"/>
      <c r="C3120" s="18"/>
      <c r="D3120" s="42">
        <v>45635.0</v>
      </c>
      <c r="E3120" s="20" t="s">
        <v>24</v>
      </c>
      <c r="F3120" s="53" t="s">
        <v>1858</v>
      </c>
      <c r="G3120" s="97">
        <v>3.0</v>
      </c>
      <c r="H3120" s="97"/>
      <c r="I3120" s="97">
        <v>3.0</v>
      </c>
      <c r="J3120" s="98"/>
      <c r="K3120" s="99"/>
      <c r="L3120" s="98"/>
      <c r="M3120" s="99"/>
      <c r="N3120" s="99"/>
      <c r="O3120" s="18"/>
      <c r="P3120" s="100" t="b">
        <v>1</v>
      </c>
      <c r="Q3120" s="18"/>
      <c r="R3120" s="101">
        <f t="shared" si="2792"/>
        <v>6</v>
      </c>
      <c r="S3120" s="32">
        <v>12.05</v>
      </c>
      <c r="T3120" s="102" t="str">
        <f t="shared" si="2793"/>
        <v>+101</v>
      </c>
      <c r="U3120" s="18"/>
      <c r="V3120" s="103" t="str">
        <f>IF(ISBLANK($D3120), "0",)</f>
        <v/>
      </c>
      <c r="W3120" s="104" t="str">
        <f t="shared" si="2828"/>
        <v/>
      </c>
      <c r="X3120" s="105"/>
      <c r="Y3120" s="106"/>
      <c r="Z3120" s="26">
        <f t="shared" si="5"/>
        <v>3.025</v>
      </c>
      <c r="AA3120" s="26">
        <f t="shared" si="6"/>
        <v>3.025</v>
      </c>
      <c r="AB3120" s="32" t="str">
        <f t="shared" si="7"/>
        <v/>
      </c>
      <c r="AC3120" s="32" t="str">
        <f t="shared" ref="AC3120:AG3120" si="3193">IF(J3120&lt;&gt;"", IF(AND($P3120=FALSE, $A3120=FALSE), -J3120, IF(AND($P3120=FALSE, $A3120=TRUE), 0, IF($P3120=TRUE, (J3120 / $R3120) * 100 * ($S3120 / 100)-J3120, ))), )</f>
        <v/>
      </c>
      <c r="AD3120" s="32" t="str">
        <f t="shared" si="3193"/>
        <v/>
      </c>
      <c r="AE3120" s="32" t="str">
        <f t="shared" si="3193"/>
        <v/>
      </c>
      <c r="AF3120" s="32" t="str">
        <f t="shared" si="3193"/>
        <v/>
      </c>
      <c r="AG3120" s="32" t="str">
        <f t="shared" si="3193"/>
        <v/>
      </c>
      <c r="AH3120" s="33"/>
    </row>
    <row r="3121" hidden="1" outlineLevel="3">
      <c r="A3121" s="95" t="b">
        <v>0</v>
      </c>
      <c r="B3121" s="96"/>
      <c r="C3121" s="18"/>
      <c r="D3121" s="107"/>
      <c r="E3121" s="108"/>
      <c r="F3121" s="109"/>
      <c r="G3121" s="97"/>
      <c r="H3121" s="97"/>
      <c r="I3121" s="97"/>
      <c r="J3121" s="98"/>
      <c r="K3121" s="99"/>
      <c r="L3121" s="98"/>
      <c r="M3121" s="99"/>
      <c r="N3121" s="99"/>
      <c r="O3121" s="18"/>
      <c r="P3121" s="100" t="b">
        <v>0</v>
      </c>
      <c r="Q3121" s="18"/>
      <c r="R3121" s="101" t="str">
        <f t="shared" si="2792"/>
        <v/>
      </c>
      <c r="S3121" s="32"/>
      <c r="T3121" s="102" t="str">
        <f t="shared" si="2793"/>
        <v/>
      </c>
      <c r="U3121" s="18"/>
      <c r="V3121" s="75" t="s">
        <v>29</v>
      </c>
      <c r="W3121" s="104" t="str">
        <f t="shared" si="2828"/>
        <v>/</v>
      </c>
      <c r="X3121" s="111" t="s">
        <v>1860</v>
      </c>
      <c r="Y3121" s="106"/>
      <c r="Z3121" s="26" t="str">
        <f t="shared" si="5"/>
        <v/>
      </c>
      <c r="AA3121" s="26" t="str">
        <f t="shared" si="6"/>
        <v/>
      </c>
      <c r="AB3121" s="32" t="str">
        <f t="shared" si="7"/>
        <v/>
      </c>
      <c r="AC3121" s="32" t="str">
        <f t="shared" ref="AC3121:AG3121" si="3194">IF(J3121&lt;&gt;"", IF(AND($P3121=FALSE, $A3121=FALSE), -J3121, IF(AND($P3121=FALSE, $A3121=TRUE), 0, IF($P3121=TRUE, (J3121 / $R3121) * 100 * ($S3121 / 100)-J3121, ))), )</f>
        <v/>
      </c>
      <c r="AD3121" s="32" t="str">
        <f t="shared" si="3194"/>
        <v/>
      </c>
      <c r="AE3121" s="32" t="str">
        <f t="shared" si="3194"/>
        <v/>
      </c>
      <c r="AF3121" s="32" t="str">
        <f t="shared" si="3194"/>
        <v/>
      </c>
      <c r="AG3121" s="32" t="str">
        <f t="shared" si="3194"/>
        <v/>
      </c>
      <c r="AH3121" s="33"/>
    </row>
    <row r="3122" hidden="1" outlineLevel="3">
      <c r="A3122" s="95" t="b">
        <v>0</v>
      </c>
      <c r="B3122" s="96"/>
      <c r="C3122" s="18"/>
      <c r="D3122" s="107"/>
      <c r="E3122" s="108"/>
      <c r="F3122" s="109"/>
      <c r="G3122" s="97"/>
      <c r="H3122" s="97"/>
      <c r="I3122" s="97"/>
      <c r="J3122" s="98"/>
      <c r="K3122" s="99"/>
      <c r="L3122" s="98"/>
      <c r="M3122" s="99"/>
      <c r="N3122" s="99"/>
      <c r="O3122" s="18"/>
      <c r="P3122" s="100" t="b">
        <v>0</v>
      </c>
      <c r="Q3122" s="18"/>
      <c r="R3122" s="101" t="str">
        <f t="shared" si="2792"/>
        <v/>
      </c>
      <c r="S3122" s="32"/>
      <c r="T3122" s="102" t="str">
        <f t="shared" si="2793"/>
        <v/>
      </c>
      <c r="U3122" s="18"/>
      <c r="V3122" s="75" t="s">
        <v>29</v>
      </c>
      <c r="W3122" s="104" t="str">
        <f t="shared" si="2828"/>
        <v>/</v>
      </c>
      <c r="X3122" s="111" t="s">
        <v>146</v>
      </c>
      <c r="Y3122" s="106"/>
      <c r="Z3122" s="26" t="str">
        <f t="shared" si="5"/>
        <v/>
      </c>
      <c r="AA3122" s="26" t="str">
        <f t="shared" si="6"/>
        <v/>
      </c>
      <c r="AB3122" s="32" t="str">
        <f t="shared" si="7"/>
        <v/>
      </c>
      <c r="AC3122" s="32" t="str">
        <f t="shared" ref="AC3122:AG3122" si="3195">IF(J3122&lt;&gt;"", IF(AND($P3122=FALSE, $A3122=FALSE), -J3122, IF(AND($P3122=FALSE, $A3122=TRUE), 0, IF($P3122=TRUE, (J3122 / $R3122) * 100 * ($S3122 / 100)-J3122, ))), )</f>
        <v/>
      </c>
      <c r="AD3122" s="32" t="str">
        <f t="shared" si="3195"/>
        <v/>
      </c>
      <c r="AE3122" s="32" t="str">
        <f t="shared" si="3195"/>
        <v/>
      </c>
      <c r="AF3122" s="32" t="str">
        <f t="shared" si="3195"/>
        <v/>
      </c>
      <c r="AG3122" s="32" t="str">
        <f t="shared" si="3195"/>
        <v/>
      </c>
      <c r="AH3122" s="33"/>
    </row>
    <row r="3123" hidden="1" outlineLevel="3">
      <c r="A3123" s="95" t="b">
        <v>0</v>
      </c>
      <c r="B3123" s="96"/>
      <c r="C3123" s="18"/>
      <c r="D3123" s="107"/>
      <c r="E3123" s="108"/>
      <c r="F3123" s="109"/>
      <c r="G3123" s="97"/>
      <c r="H3123" s="97"/>
      <c r="I3123" s="97"/>
      <c r="J3123" s="98"/>
      <c r="K3123" s="99"/>
      <c r="L3123" s="98"/>
      <c r="M3123" s="99"/>
      <c r="N3123" s="99"/>
      <c r="O3123" s="18"/>
      <c r="P3123" s="100" t="b">
        <v>0</v>
      </c>
      <c r="Q3123" s="18"/>
      <c r="R3123" s="101" t="str">
        <f t="shared" si="2792"/>
        <v/>
      </c>
      <c r="S3123" s="32"/>
      <c r="T3123" s="102" t="str">
        <f t="shared" si="2793"/>
        <v/>
      </c>
      <c r="U3123" s="18"/>
      <c r="V3123" s="75" t="s">
        <v>29</v>
      </c>
      <c r="W3123" s="104" t="str">
        <f t="shared" si="2828"/>
        <v>/</v>
      </c>
      <c r="X3123" s="111" t="s">
        <v>140</v>
      </c>
      <c r="Y3123" s="106"/>
      <c r="Z3123" s="26" t="str">
        <f t="shared" si="5"/>
        <v/>
      </c>
      <c r="AA3123" s="26" t="str">
        <f t="shared" si="6"/>
        <v/>
      </c>
      <c r="AB3123" s="32" t="str">
        <f t="shared" si="7"/>
        <v/>
      </c>
      <c r="AC3123" s="32" t="str">
        <f t="shared" ref="AC3123:AG3123" si="3196">IF(J3123&lt;&gt;"", IF(AND($P3123=FALSE, $A3123=FALSE), -J3123, IF(AND($P3123=FALSE, $A3123=TRUE), 0, IF($P3123=TRUE, (J3123 / $R3123) * 100 * ($S3123 / 100)-J3123, ))), )</f>
        <v/>
      </c>
      <c r="AD3123" s="32" t="str">
        <f t="shared" si="3196"/>
        <v/>
      </c>
      <c r="AE3123" s="32" t="str">
        <f t="shared" si="3196"/>
        <v/>
      </c>
      <c r="AF3123" s="32" t="str">
        <f t="shared" si="3196"/>
        <v/>
      </c>
      <c r="AG3123" s="32" t="str">
        <f t="shared" si="3196"/>
        <v/>
      </c>
      <c r="AH3123" s="33"/>
    </row>
    <row r="3124" hidden="1" outlineLevel="2" collapsed="1">
      <c r="A3124" s="95" t="b">
        <v>0</v>
      </c>
      <c r="B3124" s="96"/>
      <c r="C3124" s="18"/>
      <c r="D3124" s="42">
        <v>45635.0</v>
      </c>
      <c r="E3124" s="20" t="s">
        <v>24</v>
      </c>
      <c r="F3124" s="53" t="s">
        <v>1858</v>
      </c>
      <c r="G3124" s="97">
        <v>2.0</v>
      </c>
      <c r="H3124" s="97"/>
      <c r="I3124" s="97">
        <v>3.0</v>
      </c>
      <c r="J3124" s="98"/>
      <c r="K3124" s="99"/>
      <c r="L3124" s="98"/>
      <c r="M3124" s="99"/>
      <c r="N3124" s="99"/>
      <c r="O3124" s="18"/>
      <c r="P3124" s="100" t="b">
        <v>0</v>
      </c>
      <c r="Q3124" s="18"/>
      <c r="R3124" s="101">
        <f t="shared" si="2792"/>
        <v>5</v>
      </c>
      <c r="S3124" s="32">
        <v>18.19</v>
      </c>
      <c r="T3124" s="102" t="str">
        <f t="shared" si="2793"/>
        <v>+264</v>
      </c>
      <c r="U3124" s="18"/>
      <c r="V3124" s="103" t="str">
        <f>IF(ISBLANK($D3124), "0",)</f>
        <v/>
      </c>
      <c r="W3124" s="104" t="str">
        <f t="shared" si="2828"/>
        <v/>
      </c>
      <c r="X3124" s="105"/>
      <c r="Y3124" s="106"/>
      <c r="Z3124" s="26">
        <f t="shared" si="5"/>
        <v>-2</v>
      </c>
      <c r="AA3124" s="26">
        <f t="shared" si="6"/>
        <v>-3</v>
      </c>
      <c r="AB3124" s="32" t="str">
        <f t="shared" si="7"/>
        <v/>
      </c>
      <c r="AC3124" s="32" t="str">
        <f t="shared" ref="AC3124:AG3124" si="3197">IF(J3124&lt;&gt;"", IF(AND($P3124=FALSE, $A3124=FALSE), -J3124, IF(AND($P3124=FALSE, $A3124=TRUE), 0, IF($P3124=TRUE, (J3124 / $R3124) * 100 * ($S3124 / 100)-J3124, ))), )</f>
        <v/>
      </c>
      <c r="AD3124" s="32" t="str">
        <f t="shared" si="3197"/>
        <v/>
      </c>
      <c r="AE3124" s="32" t="str">
        <f t="shared" si="3197"/>
        <v/>
      </c>
      <c r="AF3124" s="32" t="str">
        <f t="shared" si="3197"/>
        <v/>
      </c>
      <c r="AG3124" s="32" t="str">
        <f t="shared" si="3197"/>
        <v/>
      </c>
      <c r="AH3124" s="33"/>
    </row>
    <row r="3125" hidden="1" outlineLevel="3">
      <c r="A3125" s="95" t="b">
        <v>0</v>
      </c>
      <c r="B3125" s="96"/>
      <c r="C3125" s="18"/>
      <c r="D3125" s="107"/>
      <c r="E3125" s="108"/>
      <c r="F3125" s="109"/>
      <c r="G3125" s="97"/>
      <c r="H3125" s="97"/>
      <c r="I3125" s="97"/>
      <c r="J3125" s="98"/>
      <c r="K3125" s="99"/>
      <c r="L3125" s="98"/>
      <c r="M3125" s="99"/>
      <c r="N3125" s="99"/>
      <c r="O3125" s="18"/>
      <c r="P3125" s="100" t="b">
        <v>0</v>
      </c>
      <c r="Q3125" s="18"/>
      <c r="R3125" s="101" t="str">
        <f t="shared" si="2792"/>
        <v/>
      </c>
      <c r="S3125" s="32"/>
      <c r="T3125" s="102" t="str">
        <f t="shared" si="2793"/>
        <v/>
      </c>
      <c r="U3125" s="18"/>
      <c r="V3125" s="113">
        <v>23.0</v>
      </c>
      <c r="W3125" s="104" t="str">
        <f t="shared" si="2828"/>
        <v>/</v>
      </c>
      <c r="X3125" s="111" t="s">
        <v>1861</v>
      </c>
      <c r="Y3125" s="106"/>
      <c r="Z3125" s="26" t="str">
        <f t="shared" si="5"/>
        <v/>
      </c>
      <c r="AA3125" s="26" t="str">
        <f t="shared" si="6"/>
        <v/>
      </c>
      <c r="AB3125" s="32" t="str">
        <f t="shared" si="7"/>
        <v/>
      </c>
      <c r="AC3125" s="32" t="str">
        <f t="shared" ref="AC3125:AG3125" si="3198">IF(J3125&lt;&gt;"", IF(AND($P3125=FALSE, $A3125=FALSE), -J3125, IF(AND($P3125=FALSE, $A3125=TRUE), 0, IF($P3125=TRUE, (J3125 / $R3125) * 100 * ($S3125 / 100)-J3125, ))), )</f>
        <v/>
      </c>
      <c r="AD3125" s="32" t="str">
        <f t="shared" si="3198"/>
        <v/>
      </c>
      <c r="AE3125" s="32" t="str">
        <f t="shared" si="3198"/>
        <v/>
      </c>
      <c r="AF3125" s="32" t="str">
        <f t="shared" si="3198"/>
        <v/>
      </c>
      <c r="AG3125" s="32" t="str">
        <f t="shared" si="3198"/>
        <v/>
      </c>
      <c r="AH3125" s="33"/>
    </row>
    <row r="3126" hidden="1" outlineLevel="3">
      <c r="A3126" s="95" t="b">
        <v>0</v>
      </c>
      <c r="B3126" s="96"/>
      <c r="C3126" s="18"/>
      <c r="D3126" s="107"/>
      <c r="E3126" s="108"/>
      <c r="F3126" s="109"/>
      <c r="G3126" s="97"/>
      <c r="H3126" s="97"/>
      <c r="I3126" s="97"/>
      <c r="J3126" s="98"/>
      <c r="K3126" s="99"/>
      <c r="L3126" s="98"/>
      <c r="M3126" s="99"/>
      <c r="N3126" s="99"/>
      <c r="O3126" s="18"/>
      <c r="P3126" s="100" t="b">
        <v>0</v>
      </c>
      <c r="Q3126" s="18"/>
      <c r="R3126" s="101" t="str">
        <f t="shared" si="2792"/>
        <v/>
      </c>
      <c r="S3126" s="32"/>
      <c r="T3126" s="102" t="str">
        <f t="shared" si="2793"/>
        <v/>
      </c>
      <c r="U3126" s="18"/>
      <c r="V3126" s="75" t="s">
        <v>29</v>
      </c>
      <c r="W3126" s="104" t="str">
        <f t="shared" si="2828"/>
        <v>/</v>
      </c>
      <c r="X3126" s="111" t="s">
        <v>1862</v>
      </c>
      <c r="Y3126" s="106"/>
      <c r="Z3126" s="26" t="str">
        <f t="shared" si="5"/>
        <v/>
      </c>
      <c r="AA3126" s="26" t="str">
        <f t="shared" si="6"/>
        <v/>
      </c>
      <c r="AB3126" s="32" t="str">
        <f t="shared" si="7"/>
        <v/>
      </c>
      <c r="AC3126" s="32" t="str">
        <f t="shared" ref="AC3126:AG3126" si="3199">IF(J3126&lt;&gt;"", IF(AND($P3126=FALSE, $A3126=FALSE), -J3126, IF(AND($P3126=FALSE, $A3126=TRUE), 0, IF($P3126=TRUE, (J3126 / $R3126) * 100 * ($S3126 / 100)-J3126, ))), )</f>
        <v/>
      </c>
      <c r="AD3126" s="32" t="str">
        <f t="shared" si="3199"/>
        <v/>
      </c>
      <c r="AE3126" s="32" t="str">
        <f t="shared" si="3199"/>
        <v/>
      </c>
      <c r="AF3126" s="32" t="str">
        <f t="shared" si="3199"/>
        <v/>
      </c>
      <c r="AG3126" s="32" t="str">
        <f t="shared" si="3199"/>
        <v/>
      </c>
      <c r="AH3126" s="33"/>
    </row>
    <row r="3127" hidden="1" outlineLevel="3">
      <c r="A3127" s="95" t="b">
        <v>0</v>
      </c>
      <c r="B3127" s="96"/>
      <c r="C3127" s="18"/>
      <c r="D3127" s="107"/>
      <c r="E3127" s="108"/>
      <c r="F3127" s="109"/>
      <c r="G3127" s="97"/>
      <c r="H3127" s="97"/>
      <c r="I3127" s="97"/>
      <c r="J3127" s="98"/>
      <c r="K3127" s="99"/>
      <c r="L3127" s="98"/>
      <c r="M3127" s="99"/>
      <c r="N3127" s="99"/>
      <c r="O3127" s="18"/>
      <c r="P3127" s="100" t="b">
        <v>0</v>
      </c>
      <c r="Q3127" s="18"/>
      <c r="R3127" s="101" t="str">
        <f t="shared" si="2792"/>
        <v/>
      </c>
      <c r="S3127" s="32"/>
      <c r="T3127" s="102" t="str">
        <f t="shared" si="2793"/>
        <v/>
      </c>
      <c r="U3127" s="18"/>
      <c r="V3127" s="75" t="s">
        <v>29</v>
      </c>
      <c r="W3127" s="104" t="str">
        <f t="shared" si="2828"/>
        <v>/</v>
      </c>
      <c r="X3127" s="111" t="s">
        <v>1863</v>
      </c>
      <c r="Y3127" s="106"/>
      <c r="Z3127" s="26" t="str">
        <f t="shared" si="5"/>
        <v/>
      </c>
      <c r="AA3127" s="26" t="str">
        <f t="shared" si="6"/>
        <v/>
      </c>
      <c r="AB3127" s="32" t="str">
        <f t="shared" si="7"/>
        <v/>
      </c>
      <c r="AC3127" s="32" t="str">
        <f t="shared" ref="AC3127:AG3127" si="3200">IF(J3127&lt;&gt;"", IF(AND($P3127=FALSE, $A3127=FALSE), -J3127, IF(AND($P3127=FALSE, $A3127=TRUE), 0, IF($P3127=TRUE, (J3127 / $R3127) * 100 * ($S3127 / 100)-J3127, ))), )</f>
        <v/>
      </c>
      <c r="AD3127" s="32" t="str">
        <f t="shared" si="3200"/>
        <v/>
      </c>
      <c r="AE3127" s="32" t="str">
        <f t="shared" si="3200"/>
        <v/>
      </c>
      <c r="AF3127" s="32" t="str">
        <f t="shared" si="3200"/>
        <v/>
      </c>
      <c r="AG3127" s="32" t="str">
        <f t="shared" si="3200"/>
        <v/>
      </c>
      <c r="AH3127" s="33"/>
    </row>
    <row r="3128" hidden="1" outlineLevel="3">
      <c r="A3128" s="95" t="b">
        <v>0</v>
      </c>
      <c r="B3128" s="96"/>
      <c r="C3128" s="18"/>
      <c r="D3128" s="107"/>
      <c r="E3128" s="108"/>
      <c r="F3128" s="109"/>
      <c r="G3128" s="97"/>
      <c r="H3128" s="97"/>
      <c r="I3128" s="97"/>
      <c r="J3128" s="98"/>
      <c r="K3128" s="99"/>
      <c r="L3128" s="98"/>
      <c r="M3128" s="99"/>
      <c r="N3128" s="99"/>
      <c r="O3128" s="18"/>
      <c r="P3128" s="100" t="b">
        <v>0</v>
      </c>
      <c r="Q3128" s="18"/>
      <c r="R3128" s="101" t="str">
        <f t="shared" si="2792"/>
        <v/>
      </c>
      <c r="S3128" s="32"/>
      <c r="T3128" s="102" t="str">
        <f t="shared" si="2793"/>
        <v/>
      </c>
      <c r="U3128" s="18"/>
      <c r="V3128" s="75" t="s">
        <v>29</v>
      </c>
      <c r="W3128" s="104" t="str">
        <f t="shared" si="2828"/>
        <v>/</v>
      </c>
      <c r="X3128" s="111" t="s">
        <v>1864</v>
      </c>
      <c r="Y3128" s="106"/>
      <c r="Z3128" s="26" t="str">
        <f t="shared" si="5"/>
        <v/>
      </c>
      <c r="AA3128" s="26" t="str">
        <f t="shared" si="6"/>
        <v/>
      </c>
      <c r="AB3128" s="32" t="str">
        <f t="shared" si="7"/>
        <v/>
      </c>
      <c r="AC3128" s="32" t="str">
        <f t="shared" ref="AC3128:AG3128" si="3201">IF(J3128&lt;&gt;"", IF(AND($P3128=FALSE, $A3128=FALSE), -J3128, IF(AND($P3128=FALSE, $A3128=TRUE), 0, IF($P3128=TRUE, (J3128 / $R3128) * 100 * ($S3128 / 100)-J3128, ))), )</f>
        <v/>
      </c>
      <c r="AD3128" s="32" t="str">
        <f t="shared" si="3201"/>
        <v/>
      </c>
      <c r="AE3128" s="32" t="str">
        <f t="shared" si="3201"/>
        <v/>
      </c>
      <c r="AF3128" s="32" t="str">
        <f t="shared" si="3201"/>
        <v/>
      </c>
      <c r="AG3128" s="32" t="str">
        <f t="shared" si="3201"/>
        <v/>
      </c>
      <c r="AH3128" s="33"/>
    </row>
    <row r="3129" hidden="1" outlineLevel="2" collapsed="1">
      <c r="A3129" s="95" t="b">
        <v>0</v>
      </c>
      <c r="B3129" s="96"/>
      <c r="C3129" s="18"/>
      <c r="D3129" s="42">
        <v>45635.0</v>
      </c>
      <c r="E3129" s="20" t="s">
        <v>24</v>
      </c>
      <c r="F3129" s="53" t="s">
        <v>1858</v>
      </c>
      <c r="G3129" s="97">
        <v>1.0</v>
      </c>
      <c r="H3129" s="97"/>
      <c r="I3129" s="97">
        <v>2.0</v>
      </c>
      <c r="J3129" s="98"/>
      <c r="K3129" s="99"/>
      <c r="L3129" s="98"/>
      <c r="M3129" s="99"/>
      <c r="N3129" s="99"/>
      <c r="O3129" s="18"/>
      <c r="P3129" s="100" t="b">
        <v>0</v>
      </c>
      <c r="Q3129" s="18"/>
      <c r="R3129" s="101">
        <f t="shared" si="2792"/>
        <v>3</v>
      </c>
      <c r="S3129" s="32">
        <v>8.65</v>
      </c>
      <c r="T3129" s="102" t="str">
        <f t="shared" si="2793"/>
        <v>+188</v>
      </c>
      <c r="U3129" s="18"/>
      <c r="V3129" s="103" t="str">
        <f>IF(ISBLANK($D3129), "0",)</f>
        <v/>
      </c>
      <c r="W3129" s="104" t="str">
        <f t="shared" si="2828"/>
        <v/>
      </c>
      <c r="X3129" s="105"/>
      <c r="Y3129" s="106"/>
      <c r="Z3129" s="26">
        <f t="shared" si="5"/>
        <v>-1</v>
      </c>
      <c r="AA3129" s="26">
        <f t="shared" si="6"/>
        <v>-2</v>
      </c>
      <c r="AB3129" s="32" t="str">
        <f t="shared" si="7"/>
        <v/>
      </c>
      <c r="AC3129" s="32" t="str">
        <f t="shared" ref="AC3129:AG3129" si="3202">IF(J3129&lt;&gt;"", IF(AND($P3129=FALSE, $A3129=FALSE), -J3129, IF(AND($P3129=FALSE, $A3129=TRUE), 0, IF($P3129=TRUE, (J3129 / $R3129) * 100 * ($S3129 / 100)-J3129, ))), )</f>
        <v/>
      </c>
      <c r="AD3129" s="32" t="str">
        <f t="shared" si="3202"/>
        <v/>
      </c>
      <c r="AE3129" s="32" t="str">
        <f t="shared" si="3202"/>
        <v/>
      </c>
      <c r="AF3129" s="32" t="str">
        <f t="shared" si="3202"/>
        <v/>
      </c>
      <c r="AG3129" s="32" t="str">
        <f t="shared" si="3202"/>
        <v/>
      </c>
      <c r="AH3129" s="33"/>
    </row>
    <row r="3130" hidden="1" outlineLevel="3">
      <c r="A3130" s="95" t="b">
        <v>0</v>
      </c>
      <c r="B3130" s="96"/>
      <c r="C3130" s="18"/>
      <c r="D3130" s="107"/>
      <c r="E3130" s="108"/>
      <c r="F3130" s="109"/>
      <c r="G3130" s="97"/>
      <c r="H3130" s="97"/>
      <c r="I3130" s="97"/>
      <c r="J3130" s="98"/>
      <c r="K3130" s="99"/>
      <c r="L3130" s="98"/>
      <c r="M3130" s="99"/>
      <c r="N3130" s="99"/>
      <c r="O3130" s="18"/>
      <c r="P3130" s="100" t="b">
        <v>0</v>
      </c>
      <c r="Q3130" s="18"/>
      <c r="R3130" s="101" t="str">
        <f t="shared" si="2792"/>
        <v/>
      </c>
      <c r="S3130" s="32"/>
      <c r="T3130" s="102" t="str">
        <f t="shared" si="2793"/>
        <v/>
      </c>
      <c r="U3130" s="18"/>
      <c r="V3130" s="75" t="s">
        <v>29</v>
      </c>
      <c r="W3130" s="104" t="str">
        <f t="shared" si="2828"/>
        <v>/</v>
      </c>
      <c r="X3130" s="111" t="s">
        <v>1865</v>
      </c>
      <c r="Y3130" s="106"/>
      <c r="Z3130" s="26" t="str">
        <f t="shared" si="5"/>
        <v/>
      </c>
      <c r="AA3130" s="26" t="str">
        <f t="shared" si="6"/>
        <v/>
      </c>
      <c r="AB3130" s="32" t="str">
        <f t="shared" si="7"/>
        <v/>
      </c>
      <c r="AC3130" s="32" t="str">
        <f t="shared" ref="AC3130:AG3130" si="3203">IF(J3130&lt;&gt;"", IF(AND($P3130=FALSE, $A3130=FALSE), -J3130, IF(AND($P3130=FALSE, $A3130=TRUE), 0, IF($P3130=TRUE, (J3130 / $R3130) * 100 * ($S3130 / 100)-J3130, ))), )</f>
        <v/>
      </c>
      <c r="AD3130" s="32" t="str">
        <f t="shared" si="3203"/>
        <v/>
      </c>
      <c r="AE3130" s="32" t="str">
        <f t="shared" si="3203"/>
        <v/>
      </c>
      <c r="AF3130" s="32" t="str">
        <f t="shared" si="3203"/>
        <v/>
      </c>
      <c r="AG3130" s="32" t="str">
        <f t="shared" si="3203"/>
        <v/>
      </c>
      <c r="AH3130" s="33"/>
    </row>
    <row r="3131" hidden="1" outlineLevel="3">
      <c r="A3131" s="95" t="b">
        <v>0</v>
      </c>
      <c r="B3131" s="96"/>
      <c r="C3131" s="18"/>
      <c r="D3131" s="107"/>
      <c r="E3131" s="108"/>
      <c r="F3131" s="109"/>
      <c r="G3131" s="97"/>
      <c r="H3131" s="97"/>
      <c r="I3131" s="97"/>
      <c r="J3131" s="98"/>
      <c r="K3131" s="99"/>
      <c r="L3131" s="98"/>
      <c r="M3131" s="99"/>
      <c r="N3131" s="99"/>
      <c r="O3131" s="18"/>
      <c r="P3131" s="100" t="b">
        <v>0</v>
      </c>
      <c r="Q3131" s="18"/>
      <c r="R3131" s="101" t="str">
        <f t="shared" si="2792"/>
        <v/>
      </c>
      <c r="S3131" s="32"/>
      <c r="T3131" s="102" t="str">
        <f t="shared" si="2793"/>
        <v/>
      </c>
      <c r="U3131" s="18"/>
      <c r="V3131" s="113">
        <v>10.0</v>
      </c>
      <c r="W3131" s="104" t="str">
        <f t="shared" si="2828"/>
        <v>/</v>
      </c>
      <c r="X3131" s="111" t="s">
        <v>1866</v>
      </c>
      <c r="Y3131" s="106"/>
      <c r="Z3131" s="26" t="str">
        <f t="shared" si="5"/>
        <v/>
      </c>
      <c r="AA3131" s="26" t="str">
        <f t="shared" si="6"/>
        <v/>
      </c>
      <c r="AB3131" s="32" t="str">
        <f t="shared" si="7"/>
        <v/>
      </c>
      <c r="AC3131" s="32" t="str">
        <f t="shared" ref="AC3131:AG3131" si="3204">IF(J3131&lt;&gt;"", IF(AND($P3131=FALSE, $A3131=FALSE), -J3131, IF(AND($P3131=FALSE, $A3131=TRUE), 0, IF($P3131=TRUE, (J3131 / $R3131) * 100 * ($S3131 / 100)-J3131, ))), )</f>
        <v/>
      </c>
      <c r="AD3131" s="32" t="str">
        <f t="shared" si="3204"/>
        <v/>
      </c>
      <c r="AE3131" s="32" t="str">
        <f t="shared" si="3204"/>
        <v/>
      </c>
      <c r="AF3131" s="32" t="str">
        <f t="shared" si="3204"/>
        <v/>
      </c>
      <c r="AG3131" s="32" t="str">
        <f t="shared" si="3204"/>
        <v/>
      </c>
      <c r="AH3131" s="33"/>
    </row>
    <row r="3132" hidden="1" outlineLevel="2" collapsed="1">
      <c r="A3132" s="95" t="b">
        <v>0</v>
      </c>
      <c r="B3132" s="96"/>
      <c r="C3132" s="18"/>
      <c r="D3132" s="42">
        <v>45635.0</v>
      </c>
      <c r="E3132" s="20" t="s">
        <v>24</v>
      </c>
      <c r="F3132" s="53" t="s">
        <v>1858</v>
      </c>
      <c r="G3132" s="97">
        <v>1.0</v>
      </c>
      <c r="H3132" s="97"/>
      <c r="I3132" s="97">
        <v>2.0</v>
      </c>
      <c r="J3132" s="98"/>
      <c r="K3132" s="99"/>
      <c r="L3132" s="98"/>
      <c r="M3132" s="99"/>
      <c r="N3132" s="99"/>
      <c r="O3132" s="18"/>
      <c r="P3132" s="100" t="b">
        <v>1</v>
      </c>
      <c r="Q3132" s="18"/>
      <c r="R3132" s="101">
        <f t="shared" si="2792"/>
        <v>3</v>
      </c>
      <c r="S3132" s="32">
        <v>7.35</v>
      </c>
      <c r="T3132" s="102" t="str">
        <f t="shared" si="2793"/>
        <v>+145</v>
      </c>
      <c r="U3132" s="18"/>
      <c r="V3132" s="103" t="str">
        <f>IF(ISBLANK($D3132), "0",)</f>
        <v/>
      </c>
      <c r="W3132" s="104" t="str">
        <f t="shared" si="2828"/>
        <v/>
      </c>
      <c r="X3132" s="105"/>
      <c r="Y3132" s="106"/>
      <c r="Z3132" s="26">
        <f t="shared" si="5"/>
        <v>1.45</v>
      </c>
      <c r="AA3132" s="26">
        <f t="shared" si="6"/>
        <v>2.9</v>
      </c>
      <c r="AB3132" s="32" t="str">
        <f t="shared" si="7"/>
        <v/>
      </c>
      <c r="AC3132" s="32" t="str">
        <f t="shared" ref="AC3132:AG3132" si="3205">IF(J3132&lt;&gt;"", IF(AND($P3132=FALSE, $A3132=FALSE), -J3132, IF(AND($P3132=FALSE, $A3132=TRUE), 0, IF($P3132=TRUE, (J3132 / $R3132) * 100 * ($S3132 / 100)-J3132, ))), )</f>
        <v/>
      </c>
      <c r="AD3132" s="32" t="str">
        <f t="shared" si="3205"/>
        <v/>
      </c>
      <c r="AE3132" s="32" t="str">
        <f t="shared" si="3205"/>
        <v/>
      </c>
      <c r="AF3132" s="32" t="str">
        <f t="shared" si="3205"/>
        <v/>
      </c>
      <c r="AG3132" s="32" t="str">
        <f t="shared" si="3205"/>
        <v/>
      </c>
      <c r="AH3132" s="33"/>
    </row>
    <row r="3133" hidden="1" outlineLevel="3">
      <c r="A3133" s="95" t="b">
        <v>0</v>
      </c>
      <c r="B3133" s="96"/>
      <c r="C3133" s="18"/>
      <c r="D3133" s="107"/>
      <c r="E3133" s="108"/>
      <c r="F3133" s="109"/>
      <c r="G3133" s="97"/>
      <c r="H3133" s="97"/>
      <c r="I3133" s="97"/>
      <c r="J3133" s="98"/>
      <c r="K3133" s="99"/>
      <c r="L3133" s="98"/>
      <c r="M3133" s="99"/>
      <c r="N3133" s="99"/>
      <c r="O3133" s="18"/>
      <c r="P3133" s="100" t="b">
        <v>0</v>
      </c>
      <c r="Q3133" s="18"/>
      <c r="R3133" s="101" t="str">
        <f t="shared" si="2792"/>
        <v/>
      </c>
      <c r="S3133" s="32"/>
      <c r="T3133" s="102" t="str">
        <f t="shared" si="2793"/>
        <v/>
      </c>
      <c r="U3133" s="18"/>
      <c r="V3133" s="75" t="s">
        <v>29</v>
      </c>
      <c r="W3133" s="104" t="str">
        <f t="shared" si="2828"/>
        <v>/</v>
      </c>
      <c r="X3133" s="111" t="s">
        <v>1867</v>
      </c>
      <c r="Y3133" s="106"/>
      <c r="Z3133" s="26" t="str">
        <f t="shared" si="5"/>
        <v/>
      </c>
      <c r="AA3133" s="26" t="str">
        <f t="shared" si="6"/>
        <v/>
      </c>
      <c r="AB3133" s="32" t="str">
        <f t="shared" si="7"/>
        <v/>
      </c>
      <c r="AC3133" s="32" t="str">
        <f t="shared" ref="AC3133:AG3133" si="3206">IF(J3133&lt;&gt;"", IF(AND($P3133=FALSE, $A3133=FALSE), -J3133, IF(AND($P3133=FALSE, $A3133=TRUE), 0, IF($P3133=TRUE, (J3133 / $R3133) * 100 * ($S3133 / 100)-J3133, ))), )</f>
        <v/>
      </c>
      <c r="AD3133" s="32" t="str">
        <f t="shared" si="3206"/>
        <v/>
      </c>
      <c r="AE3133" s="32" t="str">
        <f t="shared" si="3206"/>
        <v/>
      </c>
      <c r="AF3133" s="32" t="str">
        <f t="shared" si="3206"/>
        <v/>
      </c>
      <c r="AG3133" s="32" t="str">
        <f t="shared" si="3206"/>
        <v/>
      </c>
      <c r="AH3133" s="33"/>
    </row>
    <row r="3134" hidden="1" outlineLevel="2">
      <c r="A3134" s="95" t="b">
        <v>0</v>
      </c>
      <c r="B3134" s="96"/>
      <c r="C3134" s="18"/>
      <c r="D3134" s="42">
        <v>45635.0</v>
      </c>
      <c r="E3134" s="20" t="s">
        <v>24</v>
      </c>
      <c r="F3134" s="53" t="s">
        <v>1858</v>
      </c>
      <c r="G3134" s="97">
        <v>1.0</v>
      </c>
      <c r="H3134" s="97"/>
      <c r="I3134" s="97">
        <v>2.0</v>
      </c>
      <c r="J3134" s="98"/>
      <c r="K3134" s="99"/>
      <c r="L3134" s="98"/>
      <c r="M3134" s="99"/>
      <c r="N3134" s="99"/>
      <c r="O3134" s="18"/>
      <c r="P3134" s="100" t="b">
        <v>0</v>
      </c>
      <c r="Q3134" s="18"/>
      <c r="R3134" s="101">
        <f t="shared" si="2792"/>
        <v>3</v>
      </c>
      <c r="S3134" s="32">
        <v>13.2</v>
      </c>
      <c r="T3134" s="102" t="str">
        <f t="shared" si="2793"/>
        <v>+340</v>
      </c>
      <c r="U3134" s="18"/>
      <c r="V3134" s="103" t="str">
        <f>IF(ISBLANK($D3134), "0",)</f>
        <v/>
      </c>
      <c r="W3134" s="104" t="str">
        <f t="shared" si="2828"/>
        <v/>
      </c>
      <c r="X3134" s="105"/>
      <c r="Y3134" s="106"/>
      <c r="Z3134" s="26">
        <f t="shared" si="5"/>
        <v>-1</v>
      </c>
      <c r="AA3134" s="26">
        <f t="shared" si="6"/>
        <v>-2</v>
      </c>
      <c r="AB3134" s="32" t="str">
        <f t="shared" si="7"/>
        <v/>
      </c>
      <c r="AC3134" s="32" t="str">
        <f t="shared" ref="AC3134:AG3134" si="3207">IF(J3134&lt;&gt;"", IF(AND($P3134=FALSE, $A3134=FALSE), -J3134, IF(AND($P3134=FALSE, $A3134=TRUE), 0, IF($P3134=TRUE, (J3134 / $R3134) * 100 * ($S3134 / 100)-J3134, ))), )</f>
        <v/>
      </c>
      <c r="AD3134" s="32" t="str">
        <f t="shared" si="3207"/>
        <v/>
      </c>
      <c r="AE3134" s="32" t="str">
        <f t="shared" si="3207"/>
        <v/>
      </c>
      <c r="AF3134" s="32" t="str">
        <f t="shared" si="3207"/>
        <v/>
      </c>
      <c r="AG3134" s="32" t="str">
        <f t="shared" si="3207"/>
        <v/>
      </c>
      <c r="AH3134" s="33"/>
    </row>
    <row r="3135" hidden="1" outlineLevel="3">
      <c r="A3135" s="95" t="b">
        <v>0</v>
      </c>
      <c r="B3135" s="96"/>
      <c r="C3135" s="18"/>
      <c r="D3135" s="107"/>
      <c r="E3135" s="108"/>
      <c r="F3135" s="109"/>
      <c r="G3135" s="97"/>
      <c r="H3135" s="97"/>
      <c r="I3135" s="97"/>
      <c r="J3135" s="98"/>
      <c r="K3135" s="99"/>
      <c r="L3135" s="98"/>
      <c r="M3135" s="99"/>
      <c r="N3135" s="99"/>
      <c r="O3135" s="18"/>
      <c r="P3135" s="100" t="b">
        <v>0</v>
      </c>
      <c r="Q3135" s="18"/>
      <c r="R3135" s="101" t="str">
        <f t="shared" si="2792"/>
        <v/>
      </c>
      <c r="S3135" s="32"/>
      <c r="T3135" s="102" t="str">
        <f t="shared" si="2793"/>
        <v/>
      </c>
      <c r="U3135" s="18"/>
      <c r="V3135" s="113">
        <v>1.0</v>
      </c>
      <c r="W3135" s="104" t="str">
        <f t="shared" si="2828"/>
        <v>/</v>
      </c>
      <c r="X3135" s="111" t="s">
        <v>1868</v>
      </c>
      <c r="Y3135" s="106"/>
      <c r="Z3135" s="26" t="str">
        <f t="shared" si="5"/>
        <v/>
      </c>
      <c r="AA3135" s="26" t="str">
        <f t="shared" si="6"/>
        <v/>
      </c>
      <c r="AB3135" s="32" t="str">
        <f t="shared" si="7"/>
        <v/>
      </c>
      <c r="AC3135" s="32" t="str">
        <f t="shared" ref="AC3135:AG3135" si="3208">IF(J3135&lt;&gt;"", IF(AND($P3135=FALSE, $A3135=FALSE), -J3135, IF(AND($P3135=FALSE, $A3135=TRUE), 0, IF($P3135=TRUE, (J3135 / $R3135) * 100 * ($S3135 / 100)-J3135, ))), )</f>
        <v/>
      </c>
      <c r="AD3135" s="32" t="str">
        <f t="shared" si="3208"/>
        <v/>
      </c>
      <c r="AE3135" s="32" t="str">
        <f t="shared" si="3208"/>
        <v/>
      </c>
      <c r="AF3135" s="32" t="str">
        <f t="shared" si="3208"/>
        <v/>
      </c>
      <c r="AG3135" s="32" t="str">
        <f t="shared" si="3208"/>
        <v/>
      </c>
      <c r="AH3135" s="33"/>
    </row>
    <row r="3136" hidden="1" outlineLevel="1" collapsed="1">
      <c r="A3136" s="95" t="b">
        <v>0</v>
      </c>
      <c r="B3136" s="96"/>
      <c r="C3136" s="18"/>
      <c r="D3136" s="42">
        <v>45638.0</v>
      </c>
      <c r="E3136" s="20" t="s">
        <v>24</v>
      </c>
      <c r="F3136" s="53" t="s">
        <v>1869</v>
      </c>
      <c r="G3136" s="97">
        <v>3.0</v>
      </c>
      <c r="H3136" s="97"/>
      <c r="I3136" s="97">
        <v>2.0</v>
      </c>
      <c r="J3136" s="98"/>
      <c r="K3136" s="99"/>
      <c r="L3136" s="98"/>
      <c r="M3136" s="99"/>
      <c r="N3136" s="99"/>
      <c r="O3136" s="18"/>
      <c r="P3136" s="100" t="b">
        <v>0</v>
      </c>
      <c r="Q3136" s="18"/>
      <c r="R3136" s="101">
        <f t="shared" si="2792"/>
        <v>5</v>
      </c>
      <c r="S3136" s="32">
        <v>10.81</v>
      </c>
      <c r="T3136" s="102" t="str">
        <f t="shared" si="2793"/>
        <v>+116</v>
      </c>
      <c r="U3136" s="18"/>
      <c r="V3136" s="103" t="str">
        <f>IF(ISBLANK($D3136), "0",)</f>
        <v/>
      </c>
      <c r="W3136" s="104" t="str">
        <f t="shared" si="2828"/>
        <v/>
      </c>
      <c r="X3136" s="105"/>
      <c r="Y3136" s="106"/>
      <c r="Z3136" s="26">
        <f t="shared" si="5"/>
        <v>-3</v>
      </c>
      <c r="AA3136" s="26">
        <f t="shared" si="6"/>
        <v>-2</v>
      </c>
      <c r="AB3136" s="32" t="str">
        <f t="shared" si="7"/>
        <v/>
      </c>
      <c r="AC3136" s="32" t="str">
        <f t="shared" ref="AC3136:AG3136" si="3209">IF(J3136&lt;&gt;"", IF(AND($P3136=FALSE, $A3136=FALSE), -J3136, IF(AND($P3136=FALSE, $A3136=TRUE), 0, IF($P3136=TRUE, (J3136 / $R3136) * 100 * ($S3136 / 100)-J3136, ))), )</f>
        <v/>
      </c>
      <c r="AD3136" s="32" t="str">
        <f t="shared" si="3209"/>
        <v/>
      </c>
      <c r="AE3136" s="32" t="str">
        <f t="shared" si="3209"/>
        <v/>
      </c>
      <c r="AF3136" s="32" t="str">
        <f t="shared" si="3209"/>
        <v/>
      </c>
      <c r="AG3136" s="32" t="str">
        <f t="shared" si="3209"/>
        <v/>
      </c>
      <c r="AH3136" s="33"/>
    </row>
    <row r="3137" hidden="1" outlineLevel="3">
      <c r="A3137" s="95" t="b">
        <v>0</v>
      </c>
      <c r="B3137" s="96"/>
      <c r="C3137" s="18"/>
      <c r="D3137" s="107"/>
      <c r="E3137" s="108"/>
      <c r="F3137" s="109"/>
      <c r="G3137" s="97"/>
      <c r="H3137" s="97"/>
      <c r="I3137" s="97"/>
      <c r="J3137" s="98"/>
      <c r="K3137" s="99"/>
      <c r="L3137" s="98"/>
      <c r="M3137" s="99"/>
      <c r="N3137" s="99"/>
      <c r="O3137" s="18"/>
      <c r="P3137" s="100" t="b">
        <v>0</v>
      </c>
      <c r="Q3137" s="18"/>
      <c r="R3137" s="101" t="str">
        <f t="shared" si="2792"/>
        <v/>
      </c>
      <c r="S3137" s="32"/>
      <c r="T3137" s="102" t="str">
        <f t="shared" si="2793"/>
        <v/>
      </c>
      <c r="U3137" s="18"/>
      <c r="V3137" s="75" t="s">
        <v>29</v>
      </c>
      <c r="W3137" s="104" t="str">
        <f t="shared" si="2828"/>
        <v>/</v>
      </c>
      <c r="X3137" s="111" t="s">
        <v>1804</v>
      </c>
      <c r="Y3137" s="106"/>
      <c r="Z3137" s="26" t="str">
        <f t="shared" si="5"/>
        <v/>
      </c>
      <c r="AA3137" s="26" t="str">
        <f t="shared" si="6"/>
        <v/>
      </c>
      <c r="AB3137" s="32" t="str">
        <f t="shared" si="7"/>
        <v/>
      </c>
      <c r="AC3137" s="32" t="str">
        <f t="shared" ref="AC3137:AG3137" si="3210">IF(J3137&lt;&gt;"", IF(AND($P3137=FALSE, $A3137=FALSE), -J3137, IF(AND($P3137=FALSE, $A3137=TRUE), 0, IF($P3137=TRUE, (J3137 / $R3137) * 100 * ($S3137 / 100)-J3137, ))), )</f>
        <v/>
      </c>
      <c r="AD3137" s="32" t="str">
        <f t="shared" si="3210"/>
        <v/>
      </c>
      <c r="AE3137" s="32" t="str">
        <f t="shared" si="3210"/>
        <v/>
      </c>
      <c r="AF3137" s="32" t="str">
        <f t="shared" si="3210"/>
        <v/>
      </c>
      <c r="AG3137" s="32" t="str">
        <f t="shared" si="3210"/>
        <v/>
      </c>
      <c r="AH3137" s="33"/>
    </row>
    <row r="3138" hidden="1" outlineLevel="3">
      <c r="A3138" s="95" t="b">
        <v>0</v>
      </c>
      <c r="B3138" s="96"/>
      <c r="C3138" s="18"/>
      <c r="D3138" s="107"/>
      <c r="E3138" s="108"/>
      <c r="F3138" s="109"/>
      <c r="G3138" s="97"/>
      <c r="H3138" s="97"/>
      <c r="I3138" s="97"/>
      <c r="J3138" s="98"/>
      <c r="K3138" s="99"/>
      <c r="L3138" s="98"/>
      <c r="M3138" s="99"/>
      <c r="N3138" s="99"/>
      <c r="O3138" s="18"/>
      <c r="P3138" s="100" t="b">
        <v>0</v>
      </c>
      <c r="Q3138" s="18"/>
      <c r="R3138" s="101" t="str">
        <f t="shared" si="2792"/>
        <v/>
      </c>
      <c r="S3138" s="32"/>
      <c r="T3138" s="102" t="str">
        <f t="shared" si="2793"/>
        <v/>
      </c>
      <c r="U3138" s="18"/>
      <c r="V3138" s="113">
        <v>2.0</v>
      </c>
      <c r="W3138" s="104" t="str">
        <f t="shared" si="2828"/>
        <v>/</v>
      </c>
      <c r="X3138" s="111" t="s">
        <v>1870</v>
      </c>
      <c r="Y3138" s="106"/>
      <c r="Z3138" s="26" t="str">
        <f t="shared" si="5"/>
        <v/>
      </c>
      <c r="AA3138" s="26" t="str">
        <f t="shared" si="6"/>
        <v/>
      </c>
      <c r="AB3138" s="32" t="str">
        <f t="shared" si="7"/>
        <v/>
      </c>
      <c r="AC3138" s="32" t="str">
        <f t="shared" ref="AC3138:AG3138" si="3211">IF(J3138&lt;&gt;"", IF(AND($P3138=FALSE, $A3138=FALSE), -J3138, IF(AND($P3138=FALSE, $A3138=TRUE), 0, IF($P3138=TRUE, (J3138 / $R3138) * 100 * ($S3138 / 100)-J3138, ))), )</f>
        <v/>
      </c>
      <c r="AD3138" s="32" t="str">
        <f t="shared" si="3211"/>
        <v/>
      </c>
      <c r="AE3138" s="32" t="str">
        <f t="shared" si="3211"/>
        <v/>
      </c>
      <c r="AF3138" s="32" t="str">
        <f t="shared" si="3211"/>
        <v/>
      </c>
      <c r="AG3138" s="32" t="str">
        <f t="shared" si="3211"/>
        <v/>
      </c>
      <c r="AH3138" s="33"/>
    </row>
    <row r="3139" hidden="1" outlineLevel="3">
      <c r="A3139" s="95" t="b">
        <v>0</v>
      </c>
      <c r="B3139" s="96"/>
      <c r="C3139" s="18"/>
      <c r="D3139" s="107"/>
      <c r="E3139" s="108"/>
      <c r="F3139" s="109"/>
      <c r="G3139" s="97"/>
      <c r="H3139" s="97"/>
      <c r="I3139" s="97"/>
      <c r="J3139" s="98"/>
      <c r="K3139" s="99"/>
      <c r="L3139" s="98"/>
      <c r="M3139" s="99"/>
      <c r="N3139" s="99"/>
      <c r="O3139" s="18"/>
      <c r="P3139" s="100" t="b">
        <v>0</v>
      </c>
      <c r="Q3139" s="18"/>
      <c r="R3139" s="101" t="str">
        <f t="shared" si="2792"/>
        <v/>
      </c>
      <c r="S3139" s="32"/>
      <c r="T3139" s="102" t="str">
        <f t="shared" si="2793"/>
        <v/>
      </c>
      <c r="U3139" s="18"/>
      <c r="V3139" s="75" t="s">
        <v>29</v>
      </c>
      <c r="W3139" s="104" t="str">
        <f t="shared" si="2828"/>
        <v>/</v>
      </c>
      <c r="X3139" s="111" t="s">
        <v>495</v>
      </c>
      <c r="Y3139" s="106"/>
      <c r="Z3139" s="26" t="str">
        <f t="shared" si="5"/>
        <v/>
      </c>
      <c r="AA3139" s="26" t="str">
        <f t="shared" si="6"/>
        <v/>
      </c>
      <c r="AB3139" s="32" t="str">
        <f t="shared" si="7"/>
        <v/>
      </c>
      <c r="AC3139" s="32" t="str">
        <f t="shared" ref="AC3139:AG3139" si="3212">IF(J3139&lt;&gt;"", IF(AND($P3139=FALSE, $A3139=FALSE), -J3139, IF(AND($P3139=FALSE, $A3139=TRUE), 0, IF($P3139=TRUE, (J3139 / $R3139) * 100 * ($S3139 / 100)-J3139, ))), )</f>
        <v/>
      </c>
      <c r="AD3139" s="32" t="str">
        <f t="shared" si="3212"/>
        <v/>
      </c>
      <c r="AE3139" s="32" t="str">
        <f t="shared" si="3212"/>
        <v/>
      </c>
      <c r="AF3139" s="32" t="str">
        <f t="shared" si="3212"/>
        <v/>
      </c>
      <c r="AG3139" s="32" t="str">
        <f t="shared" si="3212"/>
        <v/>
      </c>
      <c r="AH3139" s="33"/>
    </row>
    <row r="3140" hidden="1" outlineLevel="2" collapsed="1">
      <c r="A3140" s="95" t="b">
        <v>0</v>
      </c>
      <c r="B3140" s="96"/>
      <c r="C3140" s="18"/>
      <c r="D3140" s="42">
        <v>45638.0</v>
      </c>
      <c r="E3140" s="20" t="s">
        <v>24</v>
      </c>
      <c r="F3140" s="53" t="s">
        <v>1869</v>
      </c>
      <c r="G3140" s="97">
        <v>3.0</v>
      </c>
      <c r="H3140" s="97"/>
      <c r="I3140" s="97">
        <v>3.0</v>
      </c>
      <c r="J3140" s="98"/>
      <c r="K3140" s="99"/>
      <c r="L3140" s="98"/>
      <c r="M3140" s="99"/>
      <c r="N3140" s="99"/>
      <c r="O3140" s="18"/>
      <c r="P3140" s="100" t="b">
        <v>0</v>
      </c>
      <c r="Q3140" s="18"/>
      <c r="R3140" s="101">
        <f t="shared" si="2792"/>
        <v>6</v>
      </c>
      <c r="S3140" s="32">
        <v>15.3</v>
      </c>
      <c r="T3140" s="102" t="str">
        <f t="shared" si="2793"/>
        <v>+155</v>
      </c>
      <c r="U3140" s="18"/>
      <c r="V3140" s="103" t="str">
        <f>IF(ISBLANK($D3140), "0",)</f>
        <v/>
      </c>
      <c r="W3140" s="104" t="str">
        <f t="shared" si="2828"/>
        <v/>
      </c>
      <c r="X3140" s="105"/>
      <c r="Y3140" s="106"/>
      <c r="Z3140" s="26">
        <f t="shared" si="5"/>
        <v>-3</v>
      </c>
      <c r="AA3140" s="26">
        <f t="shared" si="6"/>
        <v>-3</v>
      </c>
      <c r="AB3140" s="32" t="str">
        <f t="shared" si="7"/>
        <v/>
      </c>
      <c r="AC3140" s="32" t="str">
        <f t="shared" ref="AC3140:AG3140" si="3213">IF(J3140&lt;&gt;"", IF(AND($P3140=FALSE, $A3140=FALSE), -J3140, IF(AND($P3140=FALSE, $A3140=TRUE), 0, IF($P3140=TRUE, (J3140 / $R3140) * 100 * ($S3140 / 100)-J3140, ))), )</f>
        <v/>
      </c>
      <c r="AD3140" s="32" t="str">
        <f t="shared" si="3213"/>
        <v/>
      </c>
      <c r="AE3140" s="32" t="str">
        <f t="shared" si="3213"/>
        <v/>
      </c>
      <c r="AF3140" s="32" t="str">
        <f t="shared" si="3213"/>
        <v/>
      </c>
      <c r="AG3140" s="32" t="str">
        <f t="shared" si="3213"/>
        <v/>
      </c>
      <c r="AH3140" s="33"/>
    </row>
    <row r="3141" hidden="1" outlineLevel="3">
      <c r="A3141" s="95" t="b">
        <v>0</v>
      </c>
      <c r="B3141" s="96"/>
      <c r="C3141" s="18"/>
      <c r="D3141" s="107"/>
      <c r="E3141" s="108"/>
      <c r="F3141" s="109"/>
      <c r="G3141" s="97"/>
      <c r="H3141" s="97"/>
      <c r="I3141" s="97"/>
      <c r="J3141" s="98"/>
      <c r="K3141" s="99"/>
      <c r="L3141" s="98"/>
      <c r="M3141" s="99"/>
      <c r="N3141" s="99"/>
      <c r="O3141" s="18"/>
      <c r="P3141" s="100" t="b">
        <v>0</v>
      </c>
      <c r="Q3141" s="18"/>
      <c r="R3141" s="101" t="str">
        <f t="shared" si="2792"/>
        <v/>
      </c>
      <c r="S3141" s="32"/>
      <c r="T3141" s="102" t="str">
        <f t="shared" si="2793"/>
        <v/>
      </c>
      <c r="U3141" s="18"/>
      <c r="V3141" s="113">
        <v>117.0</v>
      </c>
      <c r="W3141" s="104" t="str">
        <f t="shared" si="2828"/>
        <v>/</v>
      </c>
      <c r="X3141" s="111" t="s">
        <v>312</v>
      </c>
      <c r="Y3141" s="106"/>
      <c r="Z3141" s="26" t="str">
        <f t="shared" si="5"/>
        <v/>
      </c>
      <c r="AA3141" s="26" t="str">
        <f t="shared" si="6"/>
        <v/>
      </c>
      <c r="AB3141" s="32" t="str">
        <f t="shared" si="7"/>
        <v/>
      </c>
      <c r="AC3141" s="32" t="str">
        <f t="shared" ref="AC3141:AG3141" si="3214">IF(J3141&lt;&gt;"", IF(AND($P3141=FALSE, $A3141=FALSE), -J3141, IF(AND($P3141=FALSE, $A3141=TRUE), 0, IF($P3141=TRUE, (J3141 / $R3141) * 100 * ($S3141 / 100)-J3141, ))), )</f>
        <v/>
      </c>
      <c r="AD3141" s="32" t="str">
        <f t="shared" si="3214"/>
        <v/>
      </c>
      <c r="AE3141" s="32" t="str">
        <f t="shared" si="3214"/>
        <v/>
      </c>
      <c r="AF3141" s="32" t="str">
        <f t="shared" si="3214"/>
        <v/>
      </c>
      <c r="AG3141" s="32" t="str">
        <f t="shared" si="3214"/>
        <v/>
      </c>
      <c r="AH3141" s="33"/>
    </row>
    <row r="3142" hidden="1" outlineLevel="3">
      <c r="A3142" s="95" t="b">
        <v>0</v>
      </c>
      <c r="B3142" s="96"/>
      <c r="C3142" s="18"/>
      <c r="D3142" s="107"/>
      <c r="E3142" s="108"/>
      <c r="F3142" s="109"/>
      <c r="G3142" s="97"/>
      <c r="H3142" s="97"/>
      <c r="I3142" s="97"/>
      <c r="J3142" s="98"/>
      <c r="K3142" s="99"/>
      <c r="L3142" s="98"/>
      <c r="M3142" s="99"/>
      <c r="N3142" s="99"/>
      <c r="O3142" s="18"/>
      <c r="P3142" s="100" t="b">
        <v>0</v>
      </c>
      <c r="Q3142" s="18"/>
      <c r="R3142" s="101" t="str">
        <f t="shared" si="2792"/>
        <v/>
      </c>
      <c r="S3142" s="32"/>
      <c r="T3142" s="102" t="str">
        <f t="shared" si="2793"/>
        <v/>
      </c>
      <c r="U3142" s="18"/>
      <c r="V3142" s="113">
        <v>125.0</v>
      </c>
      <c r="W3142" s="104" t="str">
        <f t="shared" si="2828"/>
        <v>/</v>
      </c>
      <c r="X3142" s="111" t="s">
        <v>765</v>
      </c>
      <c r="Y3142" s="106"/>
      <c r="Z3142" s="26" t="str">
        <f t="shared" si="5"/>
        <v/>
      </c>
      <c r="AA3142" s="26" t="str">
        <f t="shared" si="6"/>
        <v/>
      </c>
      <c r="AB3142" s="32" t="str">
        <f t="shared" si="7"/>
        <v/>
      </c>
      <c r="AC3142" s="32" t="str">
        <f t="shared" ref="AC3142:AG3142" si="3215">IF(J3142&lt;&gt;"", IF(AND($P3142=FALSE, $A3142=FALSE), -J3142, IF(AND($P3142=FALSE, $A3142=TRUE), 0, IF($P3142=TRUE, (J3142 / $R3142) * 100 * ($S3142 / 100)-J3142, ))), )</f>
        <v/>
      </c>
      <c r="AD3142" s="32" t="str">
        <f t="shared" si="3215"/>
        <v/>
      </c>
      <c r="AE3142" s="32" t="str">
        <f t="shared" si="3215"/>
        <v/>
      </c>
      <c r="AF3142" s="32" t="str">
        <f t="shared" si="3215"/>
        <v/>
      </c>
      <c r="AG3142" s="32" t="str">
        <f t="shared" si="3215"/>
        <v/>
      </c>
      <c r="AH3142" s="33"/>
    </row>
    <row r="3143" hidden="1" outlineLevel="3">
      <c r="A3143" s="95" t="b">
        <v>0</v>
      </c>
      <c r="B3143" s="96"/>
      <c r="C3143" s="18"/>
      <c r="D3143" s="107"/>
      <c r="E3143" s="108"/>
      <c r="F3143" s="109"/>
      <c r="G3143" s="97"/>
      <c r="H3143" s="97"/>
      <c r="I3143" s="97"/>
      <c r="J3143" s="98"/>
      <c r="K3143" s="99"/>
      <c r="L3143" s="98"/>
      <c r="M3143" s="99"/>
      <c r="N3143" s="99"/>
      <c r="O3143" s="18"/>
      <c r="P3143" s="100" t="b">
        <v>0</v>
      </c>
      <c r="Q3143" s="18"/>
      <c r="R3143" s="101" t="str">
        <f t="shared" si="2792"/>
        <v/>
      </c>
      <c r="S3143" s="32"/>
      <c r="T3143" s="102" t="str">
        <f t="shared" si="2793"/>
        <v/>
      </c>
      <c r="U3143" s="18"/>
      <c r="V3143" s="103" t="str">
        <f t="shared" ref="V3143:V3144" si="3217">IF(ISBLANK($D3143), "0",)</f>
        <v>0</v>
      </c>
      <c r="W3143" s="104" t="str">
        <f t="shared" si="2828"/>
        <v>/</v>
      </c>
      <c r="X3143" s="111" t="s">
        <v>1239</v>
      </c>
      <c r="Y3143" s="106"/>
      <c r="Z3143" s="26" t="str">
        <f t="shared" si="5"/>
        <v/>
      </c>
      <c r="AA3143" s="26" t="str">
        <f t="shared" si="6"/>
        <v/>
      </c>
      <c r="AB3143" s="32" t="str">
        <f t="shared" si="7"/>
        <v/>
      </c>
      <c r="AC3143" s="32" t="str">
        <f t="shared" ref="AC3143:AG3143" si="3216">IF(J3143&lt;&gt;"", IF(AND($P3143=FALSE, $A3143=FALSE), -J3143, IF(AND($P3143=FALSE, $A3143=TRUE), 0, IF($P3143=TRUE, (J3143 / $R3143) * 100 * ($S3143 / 100)-J3143, ))), )</f>
        <v/>
      </c>
      <c r="AD3143" s="32" t="str">
        <f t="shared" si="3216"/>
        <v/>
      </c>
      <c r="AE3143" s="32" t="str">
        <f t="shared" si="3216"/>
        <v/>
      </c>
      <c r="AF3143" s="32" t="str">
        <f t="shared" si="3216"/>
        <v/>
      </c>
      <c r="AG3143" s="32" t="str">
        <f t="shared" si="3216"/>
        <v/>
      </c>
      <c r="AH3143" s="33"/>
    </row>
    <row r="3144" hidden="1" outlineLevel="3">
      <c r="A3144" s="95" t="b">
        <v>0</v>
      </c>
      <c r="B3144" s="96"/>
      <c r="C3144" s="18"/>
      <c r="D3144" s="107"/>
      <c r="E3144" s="108"/>
      <c r="F3144" s="109"/>
      <c r="G3144" s="97"/>
      <c r="H3144" s="97"/>
      <c r="I3144" s="97"/>
      <c r="J3144" s="98"/>
      <c r="K3144" s="99"/>
      <c r="L3144" s="98"/>
      <c r="M3144" s="99"/>
      <c r="N3144" s="99"/>
      <c r="O3144" s="18"/>
      <c r="P3144" s="100" t="b">
        <v>0</v>
      </c>
      <c r="Q3144" s="18"/>
      <c r="R3144" s="101" t="str">
        <f t="shared" si="2792"/>
        <v/>
      </c>
      <c r="S3144" s="32"/>
      <c r="T3144" s="102" t="str">
        <f t="shared" si="2793"/>
        <v/>
      </c>
      <c r="U3144" s="18"/>
      <c r="V3144" s="103" t="str">
        <f t="shared" si="3217"/>
        <v>0</v>
      </c>
      <c r="W3144" s="104" t="str">
        <f t="shared" si="2828"/>
        <v>/</v>
      </c>
      <c r="X3144" s="111" t="s">
        <v>1090</v>
      </c>
      <c r="Y3144" s="106"/>
      <c r="Z3144" s="26" t="str">
        <f t="shared" si="5"/>
        <v/>
      </c>
      <c r="AA3144" s="26" t="str">
        <f t="shared" si="6"/>
        <v/>
      </c>
      <c r="AB3144" s="32" t="str">
        <f t="shared" si="7"/>
        <v/>
      </c>
      <c r="AC3144" s="32" t="str">
        <f t="shared" ref="AC3144:AG3144" si="3218">IF(J3144&lt;&gt;"", IF(AND($P3144=FALSE, $A3144=FALSE), -J3144, IF(AND($P3144=FALSE, $A3144=TRUE), 0, IF($P3144=TRUE, (J3144 / $R3144) * 100 * ($S3144 / 100)-J3144, ))), )</f>
        <v/>
      </c>
      <c r="AD3144" s="32" t="str">
        <f t="shared" si="3218"/>
        <v/>
      </c>
      <c r="AE3144" s="32" t="str">
        <f t="shared" si="3218"/>
        <v/>
      </c>
      <c r="AF3144" s="32" t="str">
        <f t="shared" si="3218"/>
        <v/>
      </c>
      <c r="AG3144" s="32" t="str">
        <f t="shared" si="3218"/>
        <v/>
      </c>
      <c r="AH3144" s="33"/>
    </row>
    <row r="3145" hidden="1" outlineLevel="3">
      <c r="A3145" s="95" t="b">
        <v>0</v>
      </c>
      <c r="B3145" s="96"/>
      <c r="C3145" s="18"/>
      <c r="D3145" s="107"/>
      <c r="E3145" s="108"/>
      <c r="F3145" s="109"/>
      <c r="G3145" s="97"/>
      <c r="H3145" s="97"/>
      <c r="I3145" s="97"/>
      <c r="J3145" s="98"/>
      <c r="K3145" s="99"/>
      <c r="L3145" s="98"/>
      <c r="M3145" s="99"/>
      <c r="N3145" s="99"/>
      <c r="O3145" s="18"/>
      <c r="P3145" s="100" t="b">
        <v>0</v>
      </c>
      <c r="Q3145" s="18"/>
      <c r="R3145" s="101" t="str">
        <f t="shared" si="2792"/>
        <v/>
      </c>
      <c r="S3145" s="32"/>
      <c r="T3145" s="102" t="str">
        <f t="shared" si="2793"/>
        <v/>
      </c>
      <c r="U3145" s="18"/>
      <c r="V3145" s="75" t="s">
        <v>29</v>
      </c>
      <c r="W3145" s="104" t="str">
        <f t="shared" si="2828"/>
        <v>/</v>
      </c>
      <c r="X3145" s="111" t="s">
        <v>1871</v>
      </c>
      <c r="Y3145" s="106"/>
      <c r="Z3145" s="26" t="str">
        <f t="shared" si="5"/>
        <v/>
      </c>
      <c r="AA3145" s="26" t="str">
        <f t="shared" si="6"/>
        <v/>
      </c>
      <c r="AB3145" s="32" t="str">
        <f t="shared" si="7"/>
        <v/>
      </c>
      <c r="AC3145" s="32" t="str">
        <f t="shared" ref="AC3145:AG3145" si="3219">IF(J3145&lt;&gt;"", IF(AND($P3145=FALSE, $A3145=FALSE), -J3145, IF(AND($P3145=FALSE, $A3145=TRUE), 0, IF($P3145=TRUE, (J3145 / $R3145) * 100 * ($S3145 / 100)-J3145, ))), )</f>
        <v/>
      </c>
      <c r="AD3145" s="32" t="str">
        <f t="shared" si="3219"/>
        <v/>
      </c>
      <c r="AE3145" s="32" t="str">
        <f t="shared" si="3219"/>
        <v/>
      </c>
      <c r="AF3145" s="32" t="str">
        <f t="shared" si="3219"/>
        <v/>
      </c>
      <c r="AG3145" s="32" t="str">
        <f t="shared" si="3219"/>
        <v/>
      </c>
      <c r="AH3145" s="33"/>
    </row>
    <row r="3146" hidden="1" outlineLevel="2" collapsed="1">
      <c r="A3146" s="95" t="b">
        <v>0</v>
      </c>
      <c r="B3146" s="96"/>
      <c r="C3146" s="18"/>
      <c r="D3146" s="42">
        <v>45638.0</v>
      </c>
      <c r="E3146" s="20" t="s">
        <v>24</v>
      </c>
      <c r="F3146" s="53" t="s">
        <v>1869</v>
      </c>
      <c r="G3146" s="97">
        <v>1.0</v>
      </c>
      <c r="H3146" s="97"/>
      <c r="I3146" s="97">
        <v>2.0</v>
      </c>
      <c r="J3146" s="98"/>
      <c r="K3146" s="99"/>
      <c r="L3146" s="98"/>
      <c r="M3146" s="99"/>
      <c r="N3146" s="99"/>
      <c r="O3146" s="18"/>
      <c r="P3146" s="100" t="b">
        <v>0</v>
      </c>
      <c r="Q3146" s="18"/>
      <c r="R3146" s="101">
        <f t="shared" si="2792"/>
        <v>3</v>
      </c>
      <c r="S3146" s="32">
        <v>14.4</v>
      </c>
      <c r="T3146" s="102" t="str">
        <f t="shared" si="2793"/>
        <v>+380</v>
      </c>
      <c r="U3146" s="18"/>
      <c r="V3146" s="103" t="str">
        <f t="shared" ref="V3146:V3148" si="3221">IF(ISBLANK($D3146), "0",)</f>
        <v/>
      </c>
      <c r="W3146" s="104" t="str">
        <f t="shared" si="2828"/>
        <v/>
      </c>
      <c r="X3146" s="105"/>
      <c r="Y3146" s="106"/>
      <c r="Z3146" s="26">
        <f t="shared" si="5"/>
        <v>-1</v>
      </c>
      <c r="AA3146" s="26">
        <f t="shared" si="6"/>
        <v>-2</v>
      </c>
      <c r="AB3146" s="32" t="str">
        <f t="shared" si="7"/>
        <v/>
      </c>
      <c r="AC3146" s="32" t="str">
        <f t="shared" ref="AC3146:AG3146" si="3220">IF(J3146&lt;&gt;"", IF(AND($P3146=FALSE, $A3146=FALSE), -J3146, IF(AND($P3146=FALSE, $A3146=TRUE), 0, IF($P3146=TRUE, (J3146 / $R3146) * 100 * ($S3146 / 100)-J3146, ))), )</f>
        <v/>
      </c>
      <c r="AD3146" s="32" t="str">
        <f t="shared" si="3220"/>
        <v/>
      </c>
      <c r="AE3146" s="32" t="str">
        <f t="shared" si="3220"/>
        <v/>
      </c>
      <c r="AF3146" s="32" t="str">
        <f t="shared" si="3220"/>
        <v/>
      </c>
      <c r="AG3146" s="32" t="str">
        <f t="shared" si="3220"/>
        <v/>
      </c>
      <c r="AH3146" s="33"/>
    </row>
    <row r="3147" hidden="1" outlineLevel="3">
      <c r="A3147" s="95" t="b">
        <v>0</v>
      </c>
      <c r="B3147" s="96"/>
      <c r="C3147" s="18"/>
      <c r="D3147" s="107"/>
      <c r="E3147" s="108"/>
      <c r="F3147" s="109"/>
      <c r="G3147" s="97"/>
      <c r="H3147" s="97"/>
      <c r="I3147" s="97"/>
      <c r="J3147" s="98"/>
      <c r="K3147" s="99"/>
      <c r="L3147" s="98"/>
      <c r="M3147" s="99"/>
      <c r="N3147" s="99"/>
      <c r="O3147" s="18"/>
      <c r="P3147" s="100" t="b">
        <v>0</v>
      </c>
      <c r="Q3147" s="18"/>
      <c r="R3147" s="101" t="str">
        <f t="shared" si="2792"/>
        <v/>
      </c>
      <c r="S3147" s="32"/>
      <c r="T3147" s="102" t="str">
        <f t="shared" si="2793"/>
        <v/>
      </c>
      <c r="U3147" s="18"/>
      <c r="V3147" s="103" t="str">
        <f t="shared" si="3221"/>
        <v>0</v>
      </c>
      <c r="W3147" s="104" t="str">
        <f t="shared" si="2828"/>
        <v>/</v>
      </c>
      <c r="X3147" s="111" t="s">
        <v>1872</v>
      </c>
      <c r="Y3147" s="106"/>
      <c r="Z3147" s="26" t="str">
        <f t="shared" si="5"/>
        <v/>
      </c>
      <c r="AA3147" s="26" t="str">
        <f t="shared" si="6"/>
        <v/>
      </c>
      <c r="AB3147" s="32" t="str">
        <f t="shared" si="7"/>
        <v/>
      </c>
      <c r="AC3147" s="32" t="str">
        <f t="shared" ref="AC3147:AG3147" si="3222">IF(J3147&lt;&gt;"", IF(AND($P3147=FALSE, $A3147=FALSE), -J3147, IF(AND($P3147=FALSE, $A3147=TRUE), 0, IF($P3147=TRUE, (J3147 / $R3147) * 100 * ($S3147 / 100)-J3147, ))), )</f>
        <v/>
      </c>
      <c r="AD3147" s="32" t="str">
        <f t="shared" si="3222"/>
        <v/>
      </c>
      <c r="AE3147" s="32" t="str">
        <f t="shared" si="3222"/>
        <v/>
      </c>
      <c r="AF3147" s="32" t="str">
        <f t="shared" si="3222"/>
        <v/>
      </c>
      <c r="AG3147" s="32" t="str">
        <f t="shared" si="3222"/>
        <v/>
      </c>
      <c r="AH3147" s="33"/>
    </row>
    <row r="3148" hidden="1" outlineLevel="2">
      <c r="A3148" s="95" t="b">
        <v>0</v>
      </c>
      <c r="B3148" s="96"/>
      <c r="C3148" s="18"/>
      <c r="D3148" s="42">
        <v>45638.0</v>
      </c>
      <c r="E3148" s="20" t="s">
        <v>24</v>
      </c>
      <c r="F3148" s="53" t="s">
        <v>1869</v>
      </c>
      <c r="G3148" s="97">
        <v>1.5</v>
      </c>
      <c r="H3148" s="97"/>
      <c r="I3148" s="97">
        <v>2.5</v>
      </c>
      <c r="J3148" s="98"/>
      <c r="K3148" s="99"/>
      <c r="L3148" s="98"/>
      <c r="M3148" s="99"/>
      <c r="N3148" s="99"/>
      <c r="O3148" s="18"/>
      <c r="P3148" s="100" t="b">
        <v>1</v>
      </c>
      <c r="Q3148" s="18"/>
      <c r="R3148" s="101">
        <f t="shared" si="2792"/>
        <v>4</v>
      </c>
      <c r="S3148" s="32">
        <v>14.4</v>
      </c>
      <c r="T3148" s="102" t="str">
        <f t="shared" si="2793"/>
        <v>+260</v>
      </c>
      <c r="U3148" s="18"/>
      <c r="V3148" s="103" t="str">
        <f t="shared" si="3221"/>
        <v/>
      </c>
      <c r="W3148" s="104" t="str">
        <f t="shared" si="2828"/>
        <v/>
      </c>
      <c r="X3148" s="105"/>
      <c r="Y3148" s="106"/>
      <c r="Z3148" s="26">
        <f t="shared" si="5"/>
        <v>3.9</v>
      </c>
      <c r="AA3148" s="26">
        <f t="shared" si="6"/>
        <v>6.5</v>
      </c>
      <c r="AB3148" s="32" t="str">
        <f t="shared" si="7"/>
        <v/>
      </c>
      <c r="AC3148" s="32" t="str">
        <f t="shared" ref="AC3148:AG3148" si="3223">IF(J3148&lt;&gt;"", IF(AND($P3148=FALSE, $A3148=FALSE), -J3148, IF(AND($P3148=FALSE, $A3148=TRUE), 0, IF($P3148=TRUE, (J3148 / $R3148) * 100 * ($S3148 / 100)-J3148, ))), )</f>
        <v/>
      </c>
      <c r="AD3148" s="32" t="str">
        <f t="shared" si="3223"/>
        <v/>
      </c>
      <c r="AE3148" s="32" t="str">
        <f t="shared" si="3223"/>
        <v/>
      </c>
      <c r="AF3148" s="32" t="str">
        <f t="shared" si="3223"/>
        <v/>
      </c>
      <c r="AG3148" s="32" t="str">
        <f t="shared" si="3223"/>
        <v/>
      </c>
      <c r="AH3148" s="33"/>
    </row>
    <row r="3149" hidden="1" outlineLevel="3">
      <c r="A3149" s="95" t="b">
        <v>0</v>
      </c>
      <c r="B3149" s="96"/>
      <c r="C3149" s="18"/>
      <c r="D3149" s="107"/>
      <c r="E3149" s="108"/>
      <c r="F3149" s="109"/>
      <c r="G3149" s="97"/>
      <c r="H3149" s="97"/>
      <c r="I3149" s="97"/>
      <c r="J3149" s="98"/>
      <c r="K3149" s="99"/>
      <c r="L3149" s="98"/>
      <c r="M3149" s="99"/>
      <c r="N3149" s="99"/>
      <c r="O3149" s="18"/>
      <c r="P3149" s="100" t="b">
        <v>0</v>
      </c>
      <c r="Q3149" s="18"/>
      <c r="R3149" s="101" t="str">
        <f t="shared" si="2792"/>
        <v/>
      </c>
      <c r="S3149" s="32"/>
      <c r="T3149" s="102" t="str">
        <f t="shared" si="2793"/>
        <v/>
      </c>
      <c r="U3149" s="18"/>
      <c r="V3149" s="75" t="s">
        <v>29</v>
      </c>
      <c r="W3149" s="104" t="str">
        <f t="shared" si="2828"/>
        <v>/</v>
      </c>
      <c r="X3149" s="111" t="s">
        <v>1873</v>
      </c>
      <c r="Y3149" s="106"/>
      <c r="Z3149" s="26" t="str">
        <f t="shared" si="5"/>
        <v/>
      </c>
      <c r="AA3149" s="26" t="str">
        <f t="shared" si="6"/>
        <v/>
      </c>
      <c r="AB3149" s="32" t="str">
        <f t="shared" si="7"/>
        <v/>
      </c>
      <c r="AC3149" s="32" t="str">
        <f t="shared" ref="AC3149:AG3149" si="3224">IF(J3149&lt;&gt;"", IF(AND($P3149=FALSE, $A3149=FALSE), -J3149, IF(AND($P3149=FALSE, $A3149=TRUE), 0, IF($P3149=TRUE, (J3149 / $R3149) * 100 * ($S3149 / 100)-J3149, ))), )</f>
        <v/>
      </c>
      <c r="AD3149" s="32" t="str">
        <f t="shared" si="3224"/>
        <v/>
      </c>
      <c r="AE3149" s="32" t="str">
        <f t="shared" si="3224"/>
        <v/>
      </c>
      <c r="AF3149" s="32" t="str">
        <f t="shared" si="3224"/>
        <v/>
      </c>
      <c r="AG3149" s="32" t="str">
        <f t="shared" si="3224"/>
        <v/>
      </c>
      <c r="AH3149" s="33"/>
    </row>
    <row r="3150" hidden="1" outlineLevel="1" collapsed="1">
      <c r="A3150" s="95" t="b">
        <v>0</v>
      </c>
      <c r="B3150" s="96"/>
      <c r="C3150" s="18"/>
      <c r="D3150" s="42">
        <v>45642.0</v>
      </c>
      <c r="E3150" s="20" t="s">
        <v>24</v>
      </c>
      <c r="F3150" s="53" t="s">
        <v>1869</v>
      </c>
      <c r="G3150" s="97">
        <v>3.0</v>
      </c>
      <c r="H3150" s="97"/>
      <c r="I3150" s="97">
        <v>3.0</v>
      </c>
      <c r="J3150" s="98"/>
      <c r="K3150" s="99"/>
      <c r="L3150" s="98"/>
      <c r="M3150" s="99"/>
      <c r="N3150" s="99"/>
      <c r="O3150" s="18"/>
      <c r="P3150" s="100" t="b">
        <v>1</v>
      </c>
      <c r="Q3150" s="18"/>
      <c r="R3150" s="101">
        <f t="shared" si="2792"/>
        <v>6</v>
      </c>
      <c r="S3150" s="32">
        <v>12.48</v>
      </c>
      <c r="T3150" s="102" t="str">
        <f t="shared" si="2793"/>
        <v>+108</v>
      </c>
      <c r="U3150" s="18"/>
      <c r="V3150" s="103" t="str">
        <f>IF(ISBLANK($D3150), "0",)</f>
        <v/>
      </c>
      <c r="W3150" s="104" t="str">
        <f t="shared" si="2828"/>
        <v/>
      </c>
      <c r="X3150" s="105"/>
      <c r="Y3150" s="106"/>
      <c r="Z3150" s="26">
        <f t="shared" si="5"/>
        <v>3.24</v>
      </c>
      <c r="AA3150" s="26">
        <f t="shared" si="6"/>
        <v>3.24</v>
      </c>
      <c r="AB3150" s="32" t="str">
        <f t="shared" si="7"/>
        <v/>
      </c>
      <c r="AC3150" s="32" t="str">
        <f t="shared" ref="AC3150:AG3150" si="3225">IF(J3150&lt;&gt;"", IF(AND($P3150=FALSE, $A3150=FALSE), -J3150, IF(AND($P3150=FALSE, $A3150=TRUE), 0, IF($P3150=TRUE, (J3150 / $R3150) * 100 * ($S3150 / 100)-J3150, ))), )</f>
        <v/>
      </c>
      <c r="AD3150" s="32" t="str">
        <f t="shared" si="3225"/>
        <v/>
      </c>
      <c r="AE3150" s="32" t="str">
        <f t="shared" si="3225"/>
        <v/>
      </c>
      <c r="AF3150" s="32" t="str">
        <f t="shared" si="3225"/>
        <v/>
      </c>
      <c r="AG3150" s="32" t="str">
        <f t="shared" si="3225"/>
        <v/>
      </c>
      <c r="AH3150" s="33"/>
    </row>
    <row r="3151" hidden="1" outlineLevel="3">
      <c r="A3151" s="95" t="b">
        <v>0</v>
      </c>
      <c r="B3151" s="96"/>
      <c r="C3151" s="18"/>
      <c r="D3151" s="107"/>
      <c r="E3151" s="108"/>
      <c r="F3151" s="109"/>
      <c r="G3151" s="97"/>
      <c r="H3151" s="97"/>
      <c r="I3151" s="97"/>
      <c r="J3151" s="98"/>
      <c r="K3151" s="99"/>
      <c r="L3151" s="98"/>
      <c r="M3151" s="99"/>
      <c r="N3151" s="99"/>
      <c r="O3151" s="18"/>
      <c r="P3151" s="100" t="b">
        <v>0</v>
      </c>
      <c r="Q3151" s="18"/>
      <c r="R3151" s="101" t="str">
        <f t="shared" si="2792"/>
        <v/>
      </c>
      <c r="S3151" s="32"/>
      <c r="T3151" s="102" t="str">
        <f t="shared" si="2793"/>
        <v/>
      </c>
      <c r="U3151" s="18"/>
      <c r="V3151" s="75" t="s">
        <v>29</v>
      </c>
      <c r="W3151" s="104" t="str">
        <f t="shared" si="2828"/>
        <v>/</v>
      </c>
      <c r="X3151" s="111" t="s">
        <v>1602</v>
      </c>
      <c r="Y3151" s="106"/>
      <c r="Z3151" s="26" t="str">
        <f t="shared" si="5"/>
        <v/>
      </c>
      <c r="AA3151" s="26" t="str">
        <f t="shared" si="6"/>
        <v/>
      </c>
      <c r="AB3151" s="32" t="str">
        <f t="shared" si="7"/>
        <v/>
      </c>
      <c r="AC3151" s="32" t="str">
        <f t="shared" ref="AC3151:AG3151" si="3226">IF(J3151&lt;&gt;"", IF(AND($P3151=FALSE, $A3151=FALSE), -J3151, IF(AND($P3151=FALSE, $A3151=TRUE), 0, IF($P3151=TRUE, (J3151 / $R3151) * 100 * ($S3151 / 100)-J3151, ))), )</f>
        <v/>
      </c>
      <c r="AD3151" s="32" t="str">
        <f t="shared" si="3226"/>
        <v/>
      </c>
      <c r="AE3151" s="32" t="str">
        <f t="shared" si="3226"/>
        <v/>
      </c>
      <c r="AF3151" s="32" t="str">
        <f t="shared" si="3226"/>
        <v/>
      </c>
      <c r="AG3151" s="32" t="str">
        <f t="shared" si="3226"/>
        <v/>
      </c>
      <c r="AH3151" s="33"/>
    </row>
    <row r="3152" hidden="1" outlineLevel="3">
      <c r="A3152" s="95" t="b">
        <v>0</v>
      </c>
      <c r="B3152" s="96"/>
      <c r="C3152" s="18"/>
      <c r="D3152" s="107"/>
      <c r="E3152" s="108"/>
      <c r="F3152" s="109"/>
      <c r="G3152" s="97"/>
      <c r="H3152" s="97"/>
      <c r="I3152" s="97"/>
      <c r="J3152" s="98"/>
      <c r="K3152" s="99"/>
      <c r="L3152" s="98"/>
      <c r="M3152" s="99"/>
      <c r="N3152" s="99"/>
      <c r="O3152" s="18"/>
      <c r="P3152" s="100" t="b">
        <v>0</v>
      </c>
      <c r="Q3152" s="18"/>
      <c r="R3152" s="97"/>
      <c r="S3152" s="32"/>
      <c r="T3152" s="102" t="str">
        <f t="shared" si="2793"/>
        <v/>
      </c>
      <c r="U3152" s="18"/>
      <c r="V3152" s="75" t="s">
        <v>29</v>
      </c>
      <c r="W3152" s="104" t="str">
        <f t="shared" si="2828"/>
        <v>/</v>
      </c>
      <c r="X3152" s="111" t="s">
        <v>1874</v>
      </c>
      <c r="Y3152" s="106"/>
      <c r="Z3152" s="26" t="str">
        <f t="shared" si="5"/>
        <v/>
      </c>
      <c r="AA3152" s="26" t="str">
        <f t="shared" si="6"/>
        <v/>
      </c>
      <c r="AB3152" s="32" t="str">
        <f t="shared" si="7"/>
        <v/>
      </c>
      <c r="AC3152" s="32" t="str">
        <f t="shared" ref="AC3152:AG3152" si="3227">IF(J3152&lt;&gt;"", IF(AND($P3152=FALSE, $A3152=FALSE), -J3152, IF(AND($P3152=FALSE, $A3152=TRUE), 0, IF($P3152=TRUE, (J3152 / $R3152) * 100 * ($S3152 / 100)-J3152, ))), )</f>
        <v/>
      </c>
      <c r="AD3152" s="32" t="str">
        <f t="shared" si="3227"/>
        <v/>
      </c>
      <c r="AE3152" s="32" t="str">
        <f t="shared" si="3227"/>
        <v/>
      </c>
      <c r="AF3152" s="32" t="str">
        <f t="shared" si="3227"/>
        <v/>
      </c>
      <c r="AG3152" s="32" t="str">
        <f t="shared" si="3227"/>
        <v/>
      </c>
      <c r="AH3152" s="33"/>
    </row>
    <row r="3153" hidden="1" outlineLevel="3">
      <c r="A3153" s="95" t="b">
        <v>0</v>
      </c>
      <c r="B3153" s="96"/>
      <c r="C3153" s="18"/>
      <c r="D3153" s="107"/>
      <c r="E3153" s="108"/>
      <c r="F3153" s="109"/>
      <c r="G3153" s="97"/>
      <c r="H3153" s="97"/>
      <c r="I3153" s="97"/>
      <c r="J3153" s="98"/>
      <c r="K3153" s="99"/>
      <c r="L3153" s="98"/>
      <c r="M3153" s="99"/>
      <c r="N3153" s="99"/>
      <c r="O3153" s="18"/>
      <c r="P3153" s="100" t="b">
        <v>0</v>
      </c>
      <c r="Q3153" s="18"/>
      <c r="R3153" s="97"/>
      <c r="S3153" s="32"/>
      <c r="T3153" s="102" t="str">
        <f t="shared" si="2793"/>
        <v/>
      </c>
      <c r="U3153" s="18"/>
      <c r="V3153" s="75" t="s">
        <v>29</v>
      </c>
      <c r="W3153" s="104" t="str">
        <f t="shared" si="2828"/>
        <v>/</v>
      </c>
      <c r="X3153" s="111" t="s">
        <v>1875</v>
      </c>
      <c r="Y3153" s="106"/>
      <c r="Z3153" s="26" t="str">
        <f t="shared" si="5"/>
        <v/>
      </c>
      <c r="AA3153" s="26" t="str">
        <f t="shared" si="6"/>
        <v/>
      </c>
      <c r="AB3153" s="32" t="str">
        <f t="shared" si="7"/>
        <v/>
      </c>
      <c r="AC3153" s="32" t="str">
        <f t="shared" ref="AC3153:AG3153" si="3228">IF(J3153&lt;&gt;"", IF(AND($P3153=FALSE, $A3153=FALSE), -J3153, IF(AND($P3153=FALSE, $A3153=TRUE), 0, IF($P3153=TRUE, (J3153 / $R3153) * 100 * ($S3153 / 100)-J3153, ))), )</f>
        <v/>
      </c>
      <c r="AD3153" s="32" t="str">
        <f t="shared" si="3228"/>
        <v/>
      </c>
      <c r="AE3153" s="32" t="str">
        <f t="shared" si="3228"/>
        <v/>
      </c>
      <c r="AF3153" s="32" t="str">
        <f t="shared" si="3228"/>
        <v/>
      </c>
      <c r="AG3153" s="32" t="str">
        <f t="shared" si="3228"/>
        <v/>
      </c>
      <c r="AH3153" s="33"/>
    </row>
    <row r="3154" hidden="1" outlineLevel="3">
      <c r="A3154" s="95" t="b">
        <v>0</v>
      </c>
      <c r="B3154" s="96"/>
      <c r="C3154" s="18"/>
      <c r="D3154" s="107"/>
      <c r="E3154" s="108"/>
      <c r="F3154" s="109"/>
      <c r="G3154" s="97"/>
      <c r="H3154" s="97"/>
      <c r="I3154" s="97"/>
      <c r="J3154" s="98"/>
      <c r="K3154" s="99"/>
      <c r="L3154" s="98"/>
      <c r="M3154" s="99"/>
      <c r="N3154" s="99"/>
      <c r="O3154" s="18"/>
      <c r="P3154" s="100" t="b">
        <v>0</v>
      </c>
      <c r="Q3154" s="18"/>
      <c r="R3154" s="101" t="str">
        <f t="shared" ref="R3154:R3217" si="3230">IF(G3154 &lt;&gt; "",SUM(G3154:O3154),)</f>
        <v/>
      </c>
      <c r="S3154" s="32"/>
      <c r="T3154" s="102" t="str">
        <f t="shared" si="2793"/>
        <v/>
      </c>
      <c r="U3154" s="18"/>
      <c r="V3154" s="75" t="s">
        <v>29</v>
      </c>
      <c r="W3154" s="104" t="str">
        <f t="shared" si="2828"/>
        <v>/</v>
      </c>
      <c r="X3154" s="111" t="s">
        <v>1876</v>
      </c>
      <c r="Y3154" s="106"/>
      <c r="Z3154" s="26" t="str">
        <f t="shared" si="5"/>
        <v/>
      </c>
      <c r="AA3154" s="26" t="str">
        <f t="shared" si="6"/>
        <v/>
      </c>
      <c r="AB3154" s="32" t="str">
        <f t="shared" si="7"/>
        <v/>
      </c>
      <c r="AC3154" s="32" t="str">
        <f t="shared" ref="AC3154:AG3154" si="3229">IF(J3154&lt;&gt;"", IF(AND($P3154=FALSE, $A3154=FALSE), -J3154, IF(AND($P3154=FALSE, $A3154=TRUE), 0, IF($P3154=TRUE, (J3154 / $R3154) * 100 * ($S3154 / 100)-J3154, ))), )</f>
        <v/>
      </c>
      <c r="AD3154" s="32" t="str">
        <f t="shared" si="3229"/>
        <v/>
      </c>
      <c r="AE3154" s="32" t="str">
        <f t="shared" si="3229"/>
        <v/>
      </c>
      <c r="AF3154" s="32" t="str">
        <f t="shared" si="3229"/>
        <v/>
      </c>
      <c r="AG3154" s="32" t="str">
        <f t="shared" si="3229"/>
        <v/>
      </c>
      <c r="AH3154" s="33"/>
    </row>
    <row r="3155" hidden="1" outlineLevel="2" collapsed="1">
      <c r="A3155" s="95" t="b">
        <v>0</v>
      </c>
      <c r="B3155" s="96"/>
      <c r="C3155" s="18"/>
      <c r="D3155" s="42">
        <v>45642.0</v>
      </c>
      <c r="E3155" s="20" t="s">
        <v>24</v>
      </c>
      <c r="F3155" s="53" t="s">
        <v>1869</v>
      </c>
      <c r="G3155" s="97">
        <v>2.0</v>
      </c>
      <c r="H3155" s="97"/>
      <c r="I3155" s="97">
        <v>3.0</v>
      </c>
      <c r="J3155" s="98"/>
      <c r="K3155" s="99"/>
      <c r="L3155" s="98"/>
      <c r="M3155" s="99"/>
      <c r="N3155" s="99"/>
      <c r="O3155" s="18"/>
      <c r="P3155" s="100" t="b">
        <v>1</v>
      </c>
      <c r="Q3155" s="18"/>
      <c r="R3155" s="101">
        <f t="shared" si="3230"/>
        <v>5</v>
      </c>
      <c r="S3155" s="32">
        <v>10.0</v>
      </c>
      <c r="T3155" s="102">
        <f t="shared" si="2793"/>
        <v>-100</v>
      </c>
      <c r="U3155" s="18"/>
      <c r="V3155" s="103" t="str">
        <f>IF(ISBLANK($D3155), "0",)</f>
        <v/>
      </c>
      <c r="W3155" s="104" t="str">
        <f t="shared" si="2828"/>
        <v/>
      </c>
      <c r="X3155" s="105"/>
      <c r="Y3155" s="106"/>
      <c r="Z3155" s="26">
        <f t="shared" si="5"/>
        <v>2</v>
      </c>
      <c r="AA3155" s="26">
        <f t="shared" si="6"/>
        <v>3</v>
      </c>
      <c r="AB3155" s="32" t="str">
        <f t="shared" si="7"/>
        <v/>
      </c>
      <c r="AC3155" s="32" t="str">
        <f t="shared" ref="AC3155:AG3155" si="3231">IF(J3155&lt;&gt;"", IF(AND($P3155=FALSE, $A3155=FALSE), -J3155, IF(AND($P3155=FALSE, $A3155=TRUE), 0, IF($P3155=TRUE, (J3155 / $R3155) * 100 * ($S3155 / 100)-J3155, ))), )</f>
        <v/>
      </c>
      <c r="AD3155" s="32" t="str">
        <f t="shared" si="3231"/>
        <v/>
      </c>
      <c r="AE3155" s="32" t="str">
        <f t="shared" si="3231"/>
        <v/>
      </c>
      <c r="AF3155" s="32" t="str">
        <f t="shared" si="3231"/>
        <v/>
      </c>
      <c r="AG3155" s="32" t="str">
        <f t="shared" si="3231"/>
        <v/>
      </c>
      <c r="AH3155" s="33"/>
    </row>
    <row r="3156" hidden="1" outlineLevel="3">
      <c r="A3156" s="95" t="b">
        <v>0</v>
      </c>
      <c r="B3156" s="96"/>
      <c r="C3156" s="18"/>
      <c r="D3156" s="107"/>
      <c r="E3156" s="108"/>
      <c r="F3156" s="109"/>
      <c r="G3156" s="97"/>
      <c r="H3156" s="97"/>
      <c r="I3156" s="97"/>
      <c r="J3156" s="98"/>
      <c r="K3156" s="99"/>
      <c r="L3156" s="98"/>
      <c r="M3156" s="99"/>
      <c r="N3156" s="99"/>
      <c r="O3156" s="18"/>
      <c r="P3156" s="100" t="b">
        <v>0</v>
      </c>
      <c r="Q3156" s="18"/>
      <c r="R3156" s="101" t="str">
        <f t="shared" si="3230"/>
        <v/>
      </c>
      <c r="S3156" s="32"/>
      <c r="T3156" s="102" t="str">
        <f t="shared" si="2793"/>
        <v/>
      </c>
      <c r="U3156" s="18"/>
      <c r="V3156" s="75" t="s">
        <v>29</v>
      </c>
      <c r="W3156" s="104" t="str">
        <f t="shared" si="2828"/>
        <v>/</v>
      </c>
      <c r="X3156" s="111" t="s">
        <v>1877</v>
      </c>
      <c r="Y3156" s="106"/>
      <c r="Z3156" s="26" t="str">
        <f t="shared" si="5"/>
        <v/>
      </c>
      <c r="AA3156" s="26" t="str">
        <f t="shared" si="6"/>
        <v/>
      </c>
      <c r="AB3156" s="32" t="str">
        <f t="shared" si="7"/>
        <v/>
      </c>
      <c r="AC3156" s="32" t="str">
        <f t="shared" ref="AC3156:AG3156" si="3232">IF(J3156&lt;&gt;"", IF(AND($P3156=FALSE, $A3156=FALSE), -J3156, IF(AND($P3156=FALSE, $A3156=TRUE), 0, IF($P3156=TRUE, (J3156 / $R3156) * 100 * ($S3156 / 100)-J3156, ))), )</f>
        <v/>
      </c>
      <c r="AD3156" s="32" t="str">
        <f t="shared" si="3232"/>
        <v/>
      </c>
      <c r="AE3156" s="32" t="str">
        <f t="shared" si="3232"/>
        <v/>
      </c>
      <c r="AF3156" s="32" t="str">
        <f t="shared" si="3232"/>
        <v/>
      </c>
      <c r="AG3156" s="32" t="str">
        <f t="shared" si="3232"/>
        <v/>
      </c>
      <c r="AH3156" s="33"/>
    </row>
    <row r="3157" hidden="1" outlineLevel="2" collapsed="1">
      <c r="A3157" s="95" t="b">
        <v>0</v>
      </c>
      <c r="B3157" s="96"/>
      <c r="C3157" s="18"/>
      <c r="D3157" s="42">
        <v>45642.0</v>
      </c>
      <c r="E3157" s="20" t="s">
        <v>24</v>
      </c>
      <c r="F3157" s="53" t="s">
        <v>1869</v>
      </c>
      <c r="G3157" s="97">
        <v>1.0</v>
      </c>
      <c r="H3157" s="97"/>
      <c r="I3157" s="97">
        <v>2.0</v>
      </c>
      <c r="J3157" s="98"/>
      <c r="K3157" s="99"/>
      <c r="L3157" s="98"/>
      <c r="M3157" s="99"/>
      <c r="N3157" s="99"/>
      <c r="O3157" s="18"/>
      <c r="P3157" s="100" t="b">
        <v>0</v>
      </c>
      <c r="Q3157" s="18"/>
      <c r="R3157" s="101">
        <f t="shared" si="3230"/>
        <v>3</v>
      </c>
      <c r="S3157" s="32">
        <v>19.5</v>
      </c>
      <c r="T3157" s="102" t="str">
        <f t="shared" si="2793"/>
        <v>+550</v>
      </c>
      <c r="U3157" s="18"/>
      <c r="V3157" s="103" t="str">
        <f t="shared" ref="V3157:V3159" si="3234">IF(ISBLANK($D3157), "0",)</f>
        <v/>
      </c>
      <c r="W3157" s="104" t="str">
        <f t="shared" si="2828"/>
        <v/>
      </c>
      <c r="X3157" s="105"/>
      <c r="Y3157" s="106"/>
      <c r="Z3157" s="26">
        <f t="shared" si="5"/>
        <v>-1</v>
      </c>
      <c r="AA3157" s="26">
        <f t="shared" si="6"/>
        <v>-2</v>
      </c>
      <c r="AB3157" s="32" t="str">
        <f t="shared" si="7"/>
        <v/>
      </c>
      <c r="AC3157" s="32" t="str">
        <f t="shared" ref="AC3157:AG3157" si="3233">IF(J3157&lt;&gt;"", IF(AND($P3157=FALSE, $A3157=FALSE), -J3157, IF(AND($P3157=FALSE, $A3157=TRUE), 0, IF($P3157=TRUE, (J3157 / $R3157) * 100 * ($S3157 / 100)-J3157, ))), )</f>
        <v/>
      </c>
      <c r="AD3157" s="32" t="str">
        <f t="shared" si="3233"/>
        <v/>
      </c>
      <c r="AE3157" s="32" t="str">
        <f t="shared" si="3233"/>
        <v/>
      </c>
      <c r="AF3157" s="32" t="str">
        <f t="shared" si="3233"/>
        <v/>
      </c>
      <c r="AG3157" s="32" t="str">
        <f t="shared" si="3233"/>
        <v/>
      </c>
      <c r="AH3157" s="33"/>
    </row>
    <row r="3158" hidden="1" outlineLevel="3">
      <c r="A3158" s="95" t="b">
        <v>0</v>
      </c>
      <c r="B3158" s="96"/>
      <c r="C3158" s="18"/>
      <c r="D3158" s="107"/>
      <c r="E3158" s="108"/>
      <c r="F3158" s="109"/>
      <c r="G3158" s="97"/>
      <c r="H3158" s="97"/>
      <c r="I3158" s="97"/>
      <c r="J3158" s="98"/>
      <c r="K3158" s="99"/>
      <c r="L3158" s="98"/>
      <c r="M3158" s="99"/>
      <c r="N3158" s="99"/>
      <c r="O3158" s="18"/>
      <c r="P3158" s="100" t="b">
        <v>0</v>
      </c>
      <c r="Q3158" s="18"/>
      <c r="R3158" s="101" t="str">
        <f t="shared" si="3230"/>
        <v/>
      </c>
      <c r="S3158" s="32"/>
      <c r="T3158" s="102" t="str">
        <f t="shared" si="2793"/>
        <v/>
      </c>
      <c r="U3158" s="18"/>
      <c r="V3158" s="103" t="str">
        <f t="shared" si="3234"/>
        <v>0</v>
      </c>
      <c r="W3158" s="104" t="str">
        <f t="shared" si="2828"/>
        <v>/</v>
      </c>
      <c r="X3158" s="111" t="s">
        <v>1878</v>
      </c>
      <c r="Y3158" s="106"/>
      <c r="Z3158" s="26" t="str">
        <f t="shared" si="5"/>
        <v/>
      </c>
      <c r="AA3158" s="26" t="str">
        <f t="shared" si="6"/>
        <v/>
      </c>
      <c r="AB3158" s="32" t="str">
        <f t="shared" si="7"/>
        <v/>
      </c>
      <c r="AC3158" s="32" t="str">
        <f t="shared" ref="AC3158:AG3158" si="3235">IF(J3158&lt;&gt;"", IF(AND($P3158=FALSE, $A3158=FALSE), -J3158, IF(AND($P3158=FALSE, $A3158=TRUE), 0, IF($P3158=TRUE, (J3158 / $R3158) * 100 * ($S3158 / 100)-J3158, ))), )</f>
        <v/>
      </c>
      <c r="AD3158" s="32" t="str">
        <f t="shared" si="3235"/>
        <v/>
      </c>
      <c r="AE3158" s="32" t="str">
        <f t="shared" si="3235"/>
        <v/>
      </c>
      <c r="AF3158" s="32" t="str">
        <f t="shared" si="3235"/>
        <v/>
      </c>
      <c r="AG3158" s="32" t="str">
        <f t="shared" si="3235"/>
        <v/>
      </c>
      <c r="AH3158" s="33"/>
    </row>
    <row r="3159" hidden="1" outlineLevel="2" collapsed="1">
      <c r="A3159" s="95" t="b">
        <v>0</v>
      </c>
      <c r="B3159" s="96"/>
      <c r="C3159" s="18"/>
      <c r="D3159" s="42">
        <v>45642.0</v>
      </c>
      <c r="E3159" s="20" t="s">
        <v>24</v>
      </c>
      <c r="F3159" s="53" t="s">
        <v>1869</v>
      </c>
      <c r="G3159" s="97">
        <v>1.0</v>
      </c>
      <c r="H3159" s="97"/>
      <c r="I3159" s="97">
        <v>2.0</v>
      </c>
      <c r="J3159" s="98"/>
      <c r="K3159" s="99"/>
      <c r="L3159" s="98"/>
      <c r="M3159" s="99"/>
      <c r="N3159" s="99"/>
      <c r="O3159" s="18"/>
      <c r="P3159" s="100" t="b">
        <v>1</v>
      </c>
      <c r="Q3159" s="18"/>
      <c r="R3159" s="101">
        <f t="shared" si="3230"/>
        <v>3</v>
      </c>
      <c r="S3159" s="32">
        <v>18.96</v>
      </c>
      <c r="T3159" s="102" t="str">
        <f t="shared" si="2793"/>
        <v>+532</v>
      </c>
      <c r="U3159" s="18"/>
      <c r="V3159" s="103" t="str">
        <f t="shared" si="3234"/>
        <v/>
      </c>
      <c r="W3159" s="104" t="str">
        <f t="shared" si="2828"/>
        <v/>
      </c>
      <c r="X3159" s="105"/>
      <c r="Y3159" s="106"/>
      <c r="Z3159" s="26">
        <f t="shared" si="5"/>
        <v>5.32</v>
      </c>
      <c r="AA3159" s="26">
        <f t="shared" si="6"/>
        <v>10.64</v>
      </c>
      <c r="AB3159" s="32" t="str">
        <f t="shared" si="7"/>
        <v/>
      </c>
      <c r="AC3159" s="32" t="str">
        <f t="shared" ref="AC3159:AG3159" si="3236">IF(J3159&lt;&gt;"", IF(AND($P3159=FALSE, $A3159=FALSE), -J3159, IF(AND($P3159=FALSE, $A3159=TRUE), 0, IF($P3159=TRUE, (J3159 / $R3159) * 100 * ($S3159 / 100)-J3159, ))), )</f>
        <v/>
      </c>
      <c r="AD3159" s="32" t="str">
        <f t="shared" si="3236"/>
        <v/>
      </c>
      <c r="AE3159" s="32" t="str">
        <f t="shared" si="3236"/>
        <v/>
      </c>
      <c r="AF3159" s="32" t="str">
        <f t="shared" si="3236"/>
        <v/>
      </c>
      <c r="AG3159" s="32" t="str">
        <f t="shared" si="3236"/>
        <v/>
      </c>
      <c r="AH3159" s="33"/>
    </row>
    <row r="3160" hidden="1" outlineLevel="3">
      <c r="A3160" s="95" t="b">
        <v>0</v>
      </c>
      <c r="B3160" s="96"/>
      <c r="C3160" s="18"/>
      <c r="D3160" s="107"/>
      <c r="E3160" s="108"/>
      <c r="F3160" s="109"/>
      <c r="G3160" s="97"/>
      <c r="H3160" s="97"/>
      <c r="I3160" s="97"/>
      <c r="J3160" s="98"/>
      <c r="K3160" s="99"/>
      <c r="L3160" s="98"/>
      <c r="M3160" s="99"/>
      <c r="N3160" s="99"/>
      <c r="O3160" s="18"/>
      <c r="P3160" s="100" t="b">
        <v>0</v>
      </c>
      <c r="Q3160" s="18"/>
      <c r="R3160" s="101" t="str">
        <f t="shared" si="3230"/>
        <v/>
      </c>
      <c r="S3160" s="32"/>
      <c r="T3160" s="102" t="str">
        <f t="shared" si="2793"/>
        <v/>
      </c>
      <c r="U3160" s="18"/>
      <c r="V3160" s="75" t="s">
        <v>29</v>
      </c>
      <c r="W3160" s="104" t="str">
        <f t="shared" si="2828"/>
        <v>/</v>
      </c>
      <c r="X3160" s="111" t="s">
        <v>1603</v>
      </c>
      <c r="Y3160" s="106"/>
      <c r="Z3160" s="26" t="str">
        <f t="shared" si="5"/>
        <v/>
      </c>
      <c r="AA3160" s="26" t="str">
        <f t="shared" si="6"/>
        <v/>
      </c>
      <c r="AB3160" s="32" t="str">
        <f t="shared" si="7"/>
        <v/>
      </c>
      <c r="AC3160" s="32" t="str">
        <f t="shared" ref="AC3160:AG3160" si="3237">IF(J3160&lt;&gt;"", IF(AND($P3160=FALSE, $A3160=FALSE), -J3160, IF(AND($P3160=FALSE, $A3160=TRUE), 0, IF($P3160=TRUE, (J3160 / $R3160) * 100 * ($S3160 / 100)-J3160, ))), )</f>
        <v/>
      </c>
      <c r="AD3160" s="32" t="str">
        <f t="shared" si="3237"/>
        <v/>
      </c>
      <c r="AE3160" s="32" t="str">
        <f t="shared" si="3237"/>
        <v/>
      </c>
      <c r="AF3160" s="32" t="str">
        <f t="shared" si="3237"/>
        <v/>
      </c>
      <c r="AG3160" s="32" t="str">
        <f t="shared" si="3237"/>
        <v/>
      </c>
      <c r="AH3160" s="33"/>
    </row>
    <row r="3161" hidden="1" outlineLevel="3">
      <c r="A3161" s="95" t="b">
        <v>0</v>
      </c>
      <c r="B3161" s="96"/>
      <c r="C3161" s="18"/>
      <c r="D3161" s="107"/>
      <c r="E3161" s="108"/>
      <c r="F3161" s="109"/>
      <c r="G3161" s="97"/>
      <c r="H3161" s="97"/>
      <c r="I3161" s="97"/>
      <c r="J3161" s="98"/>
      <c r="K3161" s="99"/>
      <c r="L3161" s="98"/>
      <c r="M3161" s="99"/>
      <c r="N3161" s="99"/>
      <c r="O3161" s="18"/>
      <c r="P3161" s="100" t="b">
        <v>0</v>
      </c>
      <c r="Q3161" s="18"/>
      <c r="R3161" s="101" t="str">
        <f t="shared" si="3230"/>
        <v/>
      </c>
      <c r="S3161" s="32"/>
      <c r="T3161" s="102" t="str">
        <f t="shared" si="2793"/>
        <v/>
      </c>
      <c r="U3161" s="18"/>
      <c r="V3161" s="75" t="s">
        <v>29</v>
      </c>
      <c r="W3161" s="104" t="str">
        <f t="shared" si="2828"/>
        <v>/</v>
      </c>
      <c r="X3161" s="111" t="s">
        <v>1879</v>
      </c>
      <c r="Y3161" s="106"/>
      <c r="Z3161" s="26" t="str">
        <f t="shared" si="5"/>
        <v/>
      </c>
      <c r="AA3161" s="26" t="str">
        <f t="shared" si="6"/>
        <v/>
      </c>
      <c r="AB3161" s="32" t="str">
        <f t="shared" si="7"/>
        <v/>
      </c>
      <c r="AC3161" s="32" t="str">
        <f t="shared" ref="AC3161:AG3161" si="3238">IF(J3161&lt;&gt;"", IF(AND($P3161=FALSE, $A3161=FALSE), -J3161, IF(AND($P3161=FALSE, $A3161=TRUE), 0, IF($P3161=TRUE, (J3161 / $R3161) * 100 * ($S3161 / 100)-J3161, ))), )</f>
        <v/>
      </c>
      <c r="AD3161" s="32" t="str">
        <f t="shared" si="3238"/>
        <v/>
      </c>
      <c r="AE3161" s="32" t="str">
        <f t="shared" si="3238"/>
        <v/>
      </c>
      <c r="AF3161" s="32" t="str">
        <f t="shared" si="3238"/>
        <v/>
      </c>
      <c r="AG3161" s="32" t="str">
        <f t="shared" si="3238"/>
        <v/>
      </c>
      <c r="AH3161" s="33"/>
    </row>
    <row r="3162" hidden="1" outlineLevel="3">
      <c r="A3162" s="95" t="b">
        <v>0</v>
      </c>
      <c r="B3162" s="96"/>
      <c r="C3162" s="18"/>
      <c r="D3162" s="107"/>
      <c r="E3162" s="108"/>
      <c r="F3162" s="109"/>
      <c r="G3162" s="97"/>
      <c r="H3162" s="97"/>
      <c r="I3162" s="97"/>
      <c r="J3162" s="98"/>
      <c r="K3162" s="99"/>
      <c r="L3162" s="98"/>
      <c r="M3162" s="99"/>
      <c r="N3162" s="99"/>
      <c r="O3162" s="18"/>
      <c r="P3162" s="100" t="b">
        <v>0</v>
      </c>
      <c r="Q3162" s="18"/>
      <c r="R3162" s="101" t="str">
        <f t="shared" si="3230"/>
        <v/>
      </c>
      <c r="S3162" s="32"/>
      <c r="T3162" s="102" t="str">
        <f t="shared" si="2793"/>
        <v/>
      </c>
      <c r="U3162" s="18"/>
      <c r="V3162" s="75" t="s">
        <v>29</v>
      </c>
      <c r="W3162" s="104" t="str">
        <f t="shared" si="2828"/>
        <v>/</v>
      </c>
      <c r="X3162" s="111" t="s">
        <v>1086</v>
      </c>
      <c r="Y3162" s="106"/>
      <c r="Z3162" s="26" t="str">
        <f t="shared" si="5"/>
        <v/>
      </c>
      <c r="AA3162" s="26" t="str">
        <f t="shared" si="6"/>
        <v/>
      </c>
      <c r="AB3162" s="32" t="str">
        <f t="shared" si="7"/>
        <v/>
      </c>
      <c r="AC3162" s="32" t="str">
        <f t="shared" ref="AC3162:AG3162" si="3239">IF(J3162&lt;&gt;"", IF(AND($P3162=FALSE, $A3162=FALSE), -J3162, IF(AND($P3162=FALSE, $A3162=TRUE), 0, IF($P3162=TRUE, (J3162 / $R3162) * 100 * ($S3162 / 100)-J3162, ))), )</f>
        <v/>
      </c>
      <c r="AD3162" s="32" t="str">
        <f t="shared" si="3239"/>
        <v/>
      </c>
      <c r="AE3162" s="32" t="str">
        <f t="shared" si="3239"/>
        <v/>
      </c>
      <c r="AF3162" s="32" t="str">
        <f t="shared" si="3239"/>
        <v/>
      </c>
      <c r="AG3162" s="32" t="str">
        <f t="shared" si="3239"/>
        <v/>
      </c>
      <c r="AH3162" s="33"/>
    </row>
    <row r="3163" hidden="1" outlineLevel="3">
      <c r="A3163" s="95" t="b">
        <v>0</v>
      </c>
      <c r="B3163" s="96"/>
      <c r="C3163" s="18"/>
      <c r="D3163" s="107"/>
      <c r="E3163" s="108"/>
      <c r="F3163" s="109"/>
      <c r="G3163" s="97"/>
      <c r="H3163" s="97"/>
      <c r="I3163" s="97"/>
      <c r="J3163" s="98"/>
      <c r="K3163" s="99"/>
      <c r="L3163" s="98"/>
      <c r="M3163" s="99"/>
      <c r="N3163" s="99"/>
      <c r="O3163" s="18"/>
      <c r="P3163" s="100" t="b">
        <v>0</v>
      </c>
      <c r="Q3163" s="18"/>
      <c r="R3163" s="101" t="str">
        <f t="shared" si="3230"/>
        <v/>
      </c>
      <c r="S3163" s="32"/>
      <c r="T3163" s="102" t="str">
        <f t="shared" si="2793"/>
        <v/>
      </c>
      <c r="U3163" s="18"/>
      <c r="V3163" s="75" t="s">
        <v>29</v>
      </c>
      <c r="W3163" s="104" t="str">
        <f t="shared" si="2828"/>
        <v>/</v>
      </c>
      <c r="X3163" s="111" t="s">
        <v>778</v>
      </c>
      <c r="Y3163" s="106"/>
      <c r="Z3163" s="26" t="str">
        <f t="shared" si="5"/>
        <v/>
      </c>
      <c r="AA3163" s="26" t="str">
        <f t="shared" si="6"/>
        <v/>
      </c>
      <c r="AB3163" s="32" t="str">
        <f t="shared" si="7"/>
        <v/>
      </c>
      <c r="AC3163" s="32" t="str">
        <f t="shared" ref="AC3163:AG3163" si="3240">IF(J3163&lt;&gt;"", IF(AND($P3163=FALSE, $A3163=FALSE), -J3163, IF(AND($P3163=FALSE, $A3163=TRUE), 0, IF($P3163=TRUE, (J3163 / $R3163) * 100 * ($S3163 / 100)-J3163, ))), )</f>
        <v/>
      </c>
      <c r="AD3163" s="32" t="str">
        <f t="shared" si="3240"/>
        <v/>
      </c>
      <c r="AE3163" s="32" t="str">
        <f t="shared" si="3240"/>
        <v/>
      </c>
      <c r="AF3163" s="32" t="str">
        <f t="shared" si="3240"/>
        <v/>
      </c>
      <c r="AG3163" s="32" t="str">
        <f t="shared" si="3240"/>
        <v/>
      </c>
      <c r="AH3163" s="33"/>
    </row>
    <row r="3164" hidden="1" outlineLevel="3">
      <c r="A3164" s="95" t="b">
        <v>0</v>
      </c>
      <c r="B3164" s="96"/>
      <c r="C3164" s="18"/>
      <c r="D3164" s="107"/>
      <c r="E3164" s="108"/>
      <c r="F3164" s="109"/>
      <c r="G3164" s="97"/>
      <c r="H3164" s="97"/>
      <c r="I3164" s="97"/>
      <c r="J3164" s="98"/>
      <c r="K3164" s="99"/>
      <c r="L3164" s="98"/>
      <c r="M3164" s="99"/>
      <c r="N3164" s="99"/>
      <c r="O3164" s="18"/>
      <c r="P3164" s="100" t="b">
        <v>0</v>
      </c>
      <c r="Q3164" s="18"/>
      <c r="R3164" s="101" t="str">
        <f t="shared" si="3230"/>
        <v/>
      </c>
      <c r="S3164" s="32"/>
      <c r="T3164" s="102" t="str">
        <f t="shared" si="2793"/>
        <v/>
      </c>
      <c r="U3164" s="18"/>
      <c r="V3164" s="75" t="s">
        <v>29</v>
      </c>
      <c r="W3164" s="104" t="str">
        <f t="shared" si="2828"/>
        <v>/</v>
      </c>
      <c r="X3164" s="111" t="s">
        <v>1880</v>
      </c>
      <c r="Y3164" s="106"/>
      <c r="Z3164" s="26" t="str">
        <f t="shared" si="5"/>
        <v/>
      </c>
      <c r="AA3164" s="26" t="str">
        <f t="shared" si="6"/>
        <v/>
      </c>
      <c r="AB3164" s="32" t="str">
        <f t="shared" si="7"/>
        <v/>
      </c>
      <c r="AC3164" s="32" t="str">
        <f t="shared" ref="AC3164:AG3164" si="3241">IF(J3164&lt;&gt;"", IF(AND($P3164=FALSE, $A3164=FALSE), -J3164, IF(AND($P3164=FALSE, $A3164=TRUE), 0, IF($P3164=TRUE, (J3164 / $R3164) * 100 * ($S3164 / 100)-J3164, ))), )</f>
        <v/>
      </c>
      <c r="AD3164" s="32" t="str">
        <f t="shared" si="3241"/>
        <v/>
      </c>
      <c r="AE3164" s="32" t="str">
        <f t="shared" si="3241"/>
        <v/>
      </c>
      <c r="AF3164" s="32" t="str">
        <f t="shared" si="3241"/>
        <v/>
      </c>
      <c r="AG3164" s="32" t="str">
        <f t="shared" si="3241"/>
        <v/>
      </c>
      <c r="AH3164" s="33"/>
    </row>
    <row r="3165" hidden="1" outlineLevel="2" collapsed="1">
      <c r="A3165" s="95" t="b">
        <v>0</v>
      </c>
      <c r="B3165" s="96"/>
      <c r="C3165" s="18"/>
      <c r="D3165" s="42">
        <v>45642.0</v>
      </c>
      <c r="E3165" s="20" t="s">
        <v>24</v>
      </c>
      <c r="F3165" s="53" t="s">
        <v>1869</v>
      </c>
      <c r="G3165" s="97">
        <v>3.0</v>
      </c>
      <c r="H3165" s="97"/>
      <c r="I3165" s="97">
        <v>3.0</v>
      </c>
      <c r="J3165" s="98"/>
      <c r="K3165" s="99"/>
      <c r="L3165" s="98"/>
      <c r="M3165" s="99"/>
      <c r="N3165" s="99"/>
      <c r="O3165" s="18"/>
      <c r="P3165" s="100" t="b">
        <v>0</v>
      </c>
      <c r="Q3165" s="18"/>
      <c r="R3165" s="101">
        <f t="shared" si="3230"/>
        <v>6</v>
      </c>
      <c r="S3165" s="32">
        <v>12.48</v>
      </c>
      <c r="T3165" s="102" t="str">
        <f t="shared" si="2793"/>
        <v>+108</v>
      </c>
      <c r="U3165" s="18"/>
      <c r="V3165" s="103" t="str">
        <f>IF(ISBLANK($D3165), "0",)</f>
        <v/>
      </c>
      <c r="W3165" s="104" t="str">
        <f t="shared" si="2828"/>
        <v/>
      </c>
      <c r="X3165" s="105"/>
      <c r="Y3165" s="106"/>
      <c r="Z3165" s="26">
        <f t="shared" si="5"/>
        <v>-3</v>
      </c>
      <c r="AA3165" s="26">
        <f t="shared" si="6"/>
        <v>-3</v>
      </c>
      <c r="AB3165" s="32" t="str">
        <f t="shared" si="7"/>
        <v/>
      </c>
      <c r="AC3165" s="32" t="str">
        <f t="shared" ref="AC3165:AG3165" si="3242">IF(J3165&lt;&gt;"", IF(AND($P3165=FALSE, $A3165=FALSE), -J3165, IF(AND($P3165=FALSE, $A3165=TRUE), 0, IF($P3165=TRUE, (J3165 / $R3165) * 100 * ($S3165 / 100)-J3165, ))), )</f>
        <v/>
      </c>
      <c r="AD3165" s="32" t="str">
        <f t="shared" si="3242"/>
        <v/>
      </c>
      <c r="AE3165" s="32" t="str">
        <f t="shared" si="3242"/>
        <v/>
      </c>
      <c r="AF3165" s="32" t="str">
        <f t="shared" si="3242"/>
        <v/>
      </c>
      <c r="AG3165" s="32" t="str">
        <f t="shared" si="3242"/>
        <v/>
      </c>
      <c r="AH3165" s="33"/>
    </row>
    <row r="3166" hidden="1" outlineLevel="3">
      <c r="A3166" s="95" t="b">
        <v>0</v>
      </c>
      <c r="B3166" s="96"/>
      <c r="C3166" s="18"/>
      <c r="D3166" s="107"/>
      <c r="E3166" s="108"/>
      <c r="F3166" s="109"/>
      <c r="G3166" s="97"/>
      <c r="H3166" s="97"/>
      <c r="I3166" s="97"/>
      <c r="J3166" s="98"/>
      <c r="K3166" s="99"/>
      <c r="L3166" s="98"/>
      <c r="M3166" s="99"/>
      <c r="N3166" s="99"/>
      <c r="O3166" s="18"/>
      <c r="P3166" s="100" t="b">
        <v>0</v>
      </c>
      <c r="Q3166" s="18"/>
      <c r="R3166" s="101" t="str">
        <f t="shared" si="3230"/>
        <v/>
      </c>
      <c r="S3166" s="32"/>
      <c r="T3166" s="102" t="str">
        <f t="shared" si="2793"/>
        <v/>
      </c>
      <c r="U3166" s="18"/>
      <c r="V3166" s="75" t="s">
        <v>29</v>
      </c>
      <c r="W3166" s="104" t="str">
        <f t="shared" si="2828"/>
        <v>/</v>
      </c>
      <c r="X3166" s="111" t="s">
        <v>1881</v>
      </c>
      <c r="Y3166" s="106"/>
      <c r="Z3166" s="26" t="str">
        <f t="shared" si="5"/>
        <v/>
      </c>
      <c r="AA3166" s="26" t="str">
        <f t="shared" si="6"/>
        <v/>
      </c>
      <c r="AB3166" s="32" t="str">
        <f t="shared" si="7"/>
        <v/>
      </c>
      <c r="AC3166" s="32" t="str">
        <f t="shared" ref="AC3166:AG3166" si="3243">IF(J3166&lt;&gt;"", IF(AND($P3166=FALSE, $A3166=FALSE), -J3166, IF(AND($P3166=FALSE, $A3166=TRUE), 0, IF($P3166=TRUE, (J3166 / $R3166) * 100 * ($S3166 / 100)-J3166, ))), )</f>
        <v/>
      </c>
      <c r="AD3166" s="32" t="str">
        <f t="shared" si="3243"/>
        <v/>
      </c>
      <c r="AE3166" s="32" t="str">
        <f t="shared" si="3243"/>
        <v/>
      </c>
      <c r="AF3166" s="32" t="str">
        <f t="shared" si="3243"/>
        <v/>
      </c>
      <c r="AG3166" s="32" t="str">
        <f t="shared" si="3243"/>
        <v/>
      </c>
      <c r="AH3166" s="33"/>
    </row>
    <row r="3167" hidden="1" outlineLevel="3">
      <c r="A3167" s="95" t="b">
        <v>0</v>
      </c>
      <c r="B3167" s="96"/>
      <c r="C3167" s="18"/>
      <c r="D3167" s="107"/>
      <c r="E3167" s="108"/>
      <c r="F3167" s="109"/>
      <c r="G3167" s="97"/>
      <c r="H3167" s="97"/>
      <c r="I3167" s="97"/>
      <c r="J3167" s="98"/>
      <c r="K3167" s="99"/>
      <c r="L3167" s="98"/>
      <c r="M3167" s="99"/>
      <c r="N3167" s="99"/>
      <c r="O3167" s="18"/>
      <c r="P3167" s="100" t="b">
        <v>0</v>
      </c>
      <c r="Q3167" s="18"/>
      <c r="R3167" s="101" t="str">
        <f t="shared" si="3230"/>
        <v/>
      </c>
      <c r="S3167" s="32"/>
      <c r="T3167" s="102" t="str">
        <f t="shared" si="2793"/>
        <v/>
      </c>
      <c r="U3167" s="18"/>
      <c r="V3167" s="103" t="str">
        <f>IF(ISBLANK($D3167), "0",)</f>
        <v>0</v>
      </c>
      <c r="W3167" s="104" t="str">
        <f t="shared" si="2828"/>
        <v>/</v>
      </c>
      <c r="X3167" s="111" t="s">
        <v>1882</v>
      </c>
      <c r="Y3167" s="106"/>
      <c r="Z3167" s="26" t="str">
        <f t="shared" si="5"/>
        <v/>
      </c>
      <c r="AA3167" s="26" t="str">
        <f t="shared" si="6"/>
        <v/>
      </c>
      <c r="AB3167" s="32" t="str">
        <f t="shared" si="7"/>
        <v/>
      </c>
      <c r="AC3167" s="32" t="str">
        <f t="shared" ref="AC3167:AG3167" si="3244">IF(J3167&lt;&gt;"", IF(AND($P3167=FALSE, $A3167=FALSE), -J3167, IF(AND($P3167=FALSE, $A3167=TRUE), 0, IF($P3167=TRUE, (J3167 / $R3167) * 100 * ($S3167 / 100)-J3167, ))), )</f>
        <v/>
      </c>
      <c r="AD3167" s="32" t="str">
        <f t="shared" si="3244"/>
        <v/>
      </c>
      <c r="AE3167" s="32" t="str">
        <f t="shared" si="3244"/>
        <v/>
      </c>
      <c r="AF3167" s="32" t="str">
        <f t="shared" si="3244"/>
        <v/>
      </c>
      <c r="AG3167" s="32" t="str">
        <f t="shared" si="3244"/>
        <v/>
      </c>
      <c r="AH3167" s="33"/>
    </row>
    <row r="3168" hidden="1" outlineLevel="3">
      <c r="A3168" s="95" t="b">
        <v>0</v>
      </c>
      <c r="B3168" s="96"/>
      <c r="C3168" s="18"/>
      <c r="D3168" s="107"/>
      <c r="E3168" s="108"/>
      <c r="F3168" s="109"/>
      <c r="G3168" s="97"/>
      <c r="H3168" s="97"/>
      <c r="I3168" s="97"/>
      <c r="J3168" s="98"/>
      <c r="K3168" s="99"/>
      <c r="L3168" s="98"/>
      <c r="M3168" s="99"/>
      <c r="N3168" s="99"/>
      <c r="O3168" s="18"/>
      <c r="P3168" s="100" t="b">
        <v>0</v>
      </c>
      <c r="Q3168" s="18"/>
      <c r="R3168" s="101" t="str">
        <f t="shared" si="3230"/>
        <v/>
      </c>
      <c r="S3168" s="32"/>
      <c r="T3168" s="102" t="str">
        <f t="shared" si="2793"/>
        <v/>
      </c>
      <c r="U3168" s="18"/>
      <c r="V3168" s="75" t="s">
        <v>29</v>
      </c>
      <c r="W3168" s="104" t="str">
        <f t="shared" si="2828"/>
        <v>/</v>
      </c>
      <c r="X3168" s="111" t="s">
        <v>1883</v>
      </c>
      <c r="Y3168" s="106"/>
      <c r="Z3168" s="26" t="str">
        <f t="shared" si="5"/>
        <v/>
      </c>
      <c r="AA3168" s="26" t="str">
        <f t="shared" si="6"/>
        <v/>
      </c>
      <c r="AB3168" s="32" t="str">
        <f t="shared" si="7"/>
        <v/>
      </c>
      <c r="AC3168" s="32" t="str">
        <f t="shared" ref="AC3168:AG3168" si="3245">IF(J3168&lt;&gt;"", IF(AND($P3168=FALSE, $A3168=FALSE), -J3168, IF(AND($P3168=FALSE, $A3168=TRUE), 0, IF($P3168=TRUE, (J3168 / $R3168) * 100 * ($S3168 / 100)-J3168, ))), )</f>
        <v/>
      </c>
      <c r="AD3168" s="32" t="str">
        <f t="shared" si="3245"/>
        <v/>
      </c>
      <c r="AE3168" s="32" t="str">
        <f t="shared" si="3245"/>
        <v/>
      </c>
      <c r="AF3168" s="32" t="str">
        <f t="shared" si="3245"/>
        <v/>
      </c>
      <c r="AG3168" s="32" t="str">
        <f t="shared" si="3245"/>
        <v/>
      </c>
      <c r="AH3168" s="33"/>
    </row>
    <row r="3169" hidden="1" outlineLevel="2">
      <c r="A3169" s="95" t="b">
        <v>0</v>
      </c>
      <c r="B3169" s="96"/>
      <c r="C3169" s="18"/>
      <c r="D3169" s="42">
        <v>45642.0</v>
      </c>
      <c r="E3169" s="20" t="s">
        <v>24</v>
      </c>
      <c r="F3169" s="53" t="s">
        <v>1869</v>
      </c>
      <c r="G3169" s="97">
        <v>2.0</v>
      </c>
      <c r="H3169" s="97"/>
      <c r="I3169" s="97">
        <v>3.0</v>
      </c>
      <c r="J3169" s="98"/>
      <c r="K3169" s="99"/>
      <c r="L3169" s="98"/>
      <c r="M3169" s="99"/>
      <c r="N3169" s="99"/>
      <c r="O3169" s="18"/>
      <c r="P3169" s="100" t="b">
        <v>0</v>
      </c>
      <c r="Q3169" s="18"/>
      <c r="R3169" s="101">
        <f t="shared" si="3230"/>
        <v>5</v>
      </c>
      <c r="S3169" s="32">
        <v>12.15</v>
      </c>
      <c r="T3169" s="102" t="str">
        <f t="shared" si="2793"/>
        <v>+143</v>
      </c>
      <c r="U3169" s="18"/>
      <c r="V3169" s="103" t="str">
        <f>IF(ISBLANK($D3169), "0",)</f>
        <v/>
      </c>
      <c r="W3169" s="104" t="str">
        <f t="shared" si="2828"/>
        <v/>
      </c>
      <c r="X3169" s="105"/>
      <c r="Y3169" s="106"/>
      <c r="Z3169" s="26">
        <f t="shared" si="5"/>
        <v>-2</v>
      </c>
      <c r="AA3169" s="26">
        <f t="shared" si="6"/>
        <v>-3</v>
      </c>
      <c r="AB3169" s="32" t="str">
        <f t="shared" si="7"/>
        <v/>
      </c>
      <c r="AC3169" s="32" t="str">
        <f t="shared" ref="AC3169:AG3169" si="3246">IF(J3169&lt;&gt;"", IF(AND($P3169=FALSE, $A3169=FALSE), -J3169, IF(AND($P3169=FALSE, $A3169=TRUE), 0, IF($P3169=TRUE, (J3169 / $R3169) * 100 * ($S3169 / 100)-J3169, ))), )</f>
        <v/>
      </c>
      <c r="AD3169" s="32" t="str">
        <f t="shared" si="3246"/>
        <v/>
      </c>
      <c r="AE3169" s="32" t="str">
        <f t="shared" si="3246"/>
        <v/>
      </c>
      <c r="AF3169" s="32" t="str">
        <f t="shared" si="3246"/>
        <v/>
      </c>
      <c r="AG3169" s="32" t="str">
        <f t="shared" si="3246"/>
        <v/>
      </c>
      <c r="AH3169" s="33"/>
    </row>
    <row r="3170" hidden="1" outlineLevel="3">
      <c r="A3170" s="95" t="b">
        <v>0</v>
      </c>
      <c r="B3170" s="96"/>
      <c r="C3170" s="18"/>
      <c r="D3170" s="107"/>
      <c r="E3170" s="108"/>
      <c r="F3170" s="109"/>
      <c r="G3170" s="97"/>
      <c r="H3170" s="97"/>
      <c r="I3170" s="97"/>
      <c r="J3170" s="98"/>
      <c r="K3170" s="99"/>
      <c r="L3170" s="98"/>
      <c r="M3170" s="99"/>
      <c r="N3170" s="99"/>
      <c r="O3170" s="18"/>
      <c r="P3170" s="100" t="b">
        <v>0</v>
      </c>
      <c r="Q3170" s="18"/>
      <c r="R3170" s="101" t="str">
        <f t="shared" si="3230"/>
        <v/>
      </c>
      <c r="S3170" s="32"/>
      <c r="T3170" s="102" t="str">
        <f t="shared" si="2793"/>
        <v/>
      </c>
      <c r="U3170" s="18"/>
      <c r="V3170" s="75" t="s">
        <v>29</v>
      </c>
      <c r="W3170" s="104" t="str">
        <f t="shared" si="2828"/>
        <v>/</v>
      </c>
      <c r="X3170" s="111" t="s">
        <v>1884</v>
      </c>
      <c r="Y3170" s="106"/>
      <c r="Z3170" s="26" t="str">
        <f t="shared" si="5"/>
        <v/>
      </c>
      <c r="AA3170" s="26" t="str">
        <f t="shared" si="6"/>
        <v/>
      </c>
      <c r="AB3170" s="32" t="str">
        <f t="shared" si="7"/>
        <v/>
      </c>
      <c r="AC3170" s="32" t="str">
        <f t="shared" ref="AC3170:AG3170" si="3247">IF(J3170&lt;&gt;"", IF(AND($P3170=FALSE, $A3170=FALSE), -J3170, IF(AND($P3170=FALSE, $A3170=TRUE), 0, IF($P3170=TRUE, (J3170 / $R3170) * 100 * ($S3170 / 100)-J3170, ))), )</f>
        <v/>
      </c>
      <c r="AD3170" s="32" t="str">
        <f t="shared" si="3247"/>
        <v/>
      </c>
      <c r="AE3170" s="32" t="str">
        <f t="shared" si="3247"/>
        <v/>
      </c>
      <c r="AF3170" s="32" t="str">
        <f t="shared" si="3247"/>
        <v/>
      </c>
      <c r="AG3170" s="32" t="str">
        <f t="shared" si="3247"/>
        <v/>
      </c>
      <c r="AH3170" s="33"/>
    </row>
    <row r="3171" hidden="1" outlineLevel="3">
      <c r="A3171" s="95" t="b">
        <v>0</v>
      </c>
      <c r="B3171" s="96"/>
      <c r="C3171" s="18"/>
      <c r="D3171" s="107"/>
      <c r="E3171" s="108"/>
      <c r="F3171" s="109"/>
      <c r="G3171" s="97"/>
      <c r="H3171" s="97"/>
      <c r="I3171" s="97"/>
      <c r="J3171" s="98"/>
      <c r="K3171" s="99"/>
      <c r="L3171" s="98"/>
      <c r="M3171" s="99"/>
      <c r="N3171" s="99"/>
      <c r="O3171" s="18"/>
      <c r="P3171" s="100" t="b">
        <v>0</v>
      </c>
      <c r="Q3171" s="18"/>
      <c r="R3171" s="101" t="str">
        <f t="shared" si="3230"/>
        <v/>
      </c>
      <c r="S3171" s="32"/>
      <c r="T3171" s="102" t="str">
        <f t="shared" si="2793"/>
        <v/>
      </c>
      <c r="U3171" s="18"/>
      <c r="V3171" s="113">
        <v>35.0</v>
      </c>
      <c r="W3171" s="104" t="str">
        <f t="shared" si="2828"/>
        <v>/</v>
      </c>
      <c r="X3171" s="111" t="s">
        <v>1885</v>
      </c>
      <c r="Y3171" s="106"/>
      <c r="Z3171" s="26" t="str">
        <f t="shared" si="5"/>
        <v/>
      </c>
      <c r="AA3171" s="26" t="str">
        <f t="shared" si="6"/>
        <v/>
      </c>
      <c r="AB3171" s="32" t="str">
        <f t="shared" si="7"/>
        <v/>
      </c>
      <c r="AC3171" s="32" t="str">
        <f t="shared" ref="AC3171:AG3171" si="3248">IF(J3171&lt;&gt;"", IF(AND($P3171=FALSE, $A3171=FALSE), -J3171, IF(AND($P3171=FALSE, $A3171=TRUE), 0, IF($P3171=TRUE, (J3171 / $R3171) * 100 * ($S3171 / 100)-J3171, ))), )</f>
        <v/>
      </c>
      <c r="AD3171" s="32" t="str">
        <f t="shared" si="3248"/>
        <v/>
      </c>
      <c r="AE3171" s="32" t="str">
        <f t="shared" si="3248"/>
        <v/>
      </c>
      <c r="AF3171" s="32" t="str">
        <f t="shared" si="3248"/>
        <v/>
      </c>
      <c r="AG3171" s="32" t="str">
        <f t="shared" si="3248"/>
        <v/>
      </c>
      <c r="AH3171" s="33"/>
    </row>
    <row r="3172" hidden="1" outlineLevel="1" collapsed="1">
      <c r="A3172" s="95" t="b">
        <v>0</v>
      </c>
      <c r="B3172" s="96"/>
      <c r="C3172" s="18"/>
      <c r="D3172" s="42">
        <v>45645.0</v>
      </c>
      <c r="E3172" s="20" t="s">
        <v>24</v>
      </c>
      <c r="F3172" s="53" t="s">
        <v>1886</v>
      </c>
      <c r="G3172" s="97">
        <v>1.0</v>
      </c>
      <c r="H3172" s="97"/>
      <c r="I3172" s="97">
        <v>1.5</v>
      </c>
      <c r="J3172" s="98"/>
      <c r="K3172" s="99"/>
      <c r="L3172" s="98"/>
      <c r="M3172" s="99"/>
      <c r="N3172" s="99"/>
      <c r="O3172" s="18"/>
      <c r="P3172" s="100" t="b">
        <v>0</v>
      </c>
      <c r="Q3172" s="18"/>
      <c r="R3172" s="101">
        <f t="shared" si="3230"/>
        <v>2.5</v>
      </c>
      <c r="S3172" s="32">
        <v>42.5</v>
      </c>
      <c r="T3172" s="102" t="str">
        <f t="shared" si="2793"/>
        <v>+1600</v>
      </c>
      <c r="U3172" s="18"/>
      <c r="V3172" s="103" t="str">
        <f t="shared" ref="V3172:V3174" si="3250">IF(ISBLANK($D3172), "0",)</f>
        <v/>
      </c>
      <c r="W3172" s="104" t="str">
        <f t="shared" si="2828"/>
        <v/>
      </c>
      <c r="X3172" s="105"/>
      <c r="Y3172" s="106"/>
      <c r="Z3172" s="26">
        <f t="shared" si="5"/>
        <v>-1</v>
      </c>
      <c r="AA3172" s="26">
        <f t="shared" si="6"/>
        <v>-1.5</v>
      </c>
      <c r="AB3172" s="32" t="str">
        <f t="shared" si="7"/>
        <v/>
      </c>
      <c r="AC3172" s="32" t="str">
        <f t="shared" ref="AC3172:AG3172" si="3249">IF(J3172&lt;&gt;"", IF(AND($P3172=FALSE, $A3172=FALSE), -J3172, IF(AND($P3172=FALSE, $A3172=TRUE), 0, IF($P3172=TRUE, (J3172 / $R3172) * 100 * ($S3172 / 100)-J3172, ))), )</f>
        <v/>
      </c>
      <c r="AD3172" s="32" t="str">
        <f t="shared" si="3249"/>
        <v/>
      </c>
      <c r="AE3172" s="32" t="str">
        <f t="shared" si="3249"/>
        <v/>
      </c>
      <c r="AF3172" s="32" t="str">
        <f t="shared" si="3249"/>
        <v/>
      </c>
      <c r="AG3172" s="32" t="str">
        <f t="shared" si="3249"/>
        <v/>
      </c>
      <c r="AH3172" s="33"/>
    </row>
    <row r="3173" hidden="1" outlineLevel="3">
      <c r="A3173" s="95" t="b">
        <v>0</v>
      </c>
      <c r="B3173" s="96"/>
      <c r="C3173" s="18"/>
      <c r="D3173" s="107"/>
      <c r="E3173" s="108"/>
      <c r="F3173" s="109"/>
      <c r="G3173" s="97"/>
      <c r="H3173" s="97"/>
      <c r="I3173" s="97"/>
      <c r="J3173" s="98"/>
      <c r="K3173" s="99"/>
      <c r="L3173" s="98"/>
      <c r="M3173" s="99"/>
      <c r="N3173" s="99"/>
      <c r="O3173" s="18"/>
      <c r="P3173" s="100" t="b">
        <v>0</v>
      </c>
      <c r="Q3173" s="18"/>
      <c r="R3173" s="101" t="str">
        <f t="shared" si="3230"/>
        <v/>
      </c>
      <c r="S3173" s="32"/>
      <c r="T3173" s="102" t="str">
        <f t="shared" si="2793"/>
        <v/>
      </c>
      <c r="U3173" s="18"/>
      <c r="V3173" s="103" t="str">
        <f t="shared" si="3250"/>
        <v>0</v>
      </c>
      <c r="W3173" s="104" t="str">
        <f t="shared" si="2828"/>
        <v>/</v>
      </c>
      <c r="X3173" s="111" t="s">
        <v>1887</v>
      </c>
      <c r="Y3173" s="106"/>
      <c r="Z3173" s="26" t="str">
        <f t="shared" si="5"/>
        <v/>
      </c>
      <c r="AA3173" s="26" t="str">
        <f t="shared" si="6"/>
        <v/>
      </c>
      <c r="AB3173" s="32" t="str">
        <f t="shared" si="7"/>
        <v/>
      </c>
      <c r="AC3173" s="32" t="str">
        <f t="shared" ref="AC3173:AG3173" si="3251">IF(J3173&lt;&gt;"", IF(AND($P3173=FALSE, $A3173=FALSE), -J3173, IF(AND($P3173=FALSE, $A3173=TRUE), 0, IF($P3173=TRUE, (J3173 / $R3173) * 100 * ($S3173 / 100)-J3173, ))), )</f>
        <v/>
      </c>
      <c r="AD3173" s="32" t="str">
        <f t="shared" si="3251"/>
        <v/>
      </c>
      <c r="AE3173" s="32" t="str">
        <f t="shared" si="3251"/>
        <v/>
      </c>
      <c r="AF3173" s="32" t="str">
        <f t="shared" si="3251"/>
        <v/>
      </c>
      <c r="AG3173" s="32" t="str">
        <f t="shared" si="3251"/>
        <v/>
      </c>
      <c r="AH3173" s="33"/>
    </row>
    <row r="3174" hidden="1" outlineLevel="2" collapsed="1">
      <c r="A3174" s="95" t="b">
        <v>0</v>
      </c>
      <c r="B3174" s="96"/>
      <c r="C3174" s="18"/>
      <c r="D3174" s="42">
        <v>45645.0</v>
      </c>
      <c r="E3174" s="20" t="s">
        <v>24</v>
      </c>
      <c r="F3174" s="53" t="s">
        <v>1886</v>
      </c>
      <c r="G3174" s="97">
        <v>1.0</v>
      </c>
      <c r="H3174" s="97"/>
      <c r="I3174" s="97">
        <v>2.0</v>
      </c>
      <c r="J3174" s="98"/>
      <c r="K3174" s="99"/>
      <c r="L3174" s="98"/>
      <c r="M3174" s="99"/>
      <c r="N3174" s="99"/>
      <c r="O3174" s="18"/>
      <c r="P3174" s="100" t="b">
        <v>1</v>
      </c>
      <c r="Q3174" s="18"/>
      <c r="R3174" s="101">
        <f t="shared" si="3230"/>
        <v>3</v>
      </c>
      <c r="S3174" s="32">
        <v>22.5</v>
      </c>
      <c r="T3174" s="102" t="str">
        <f t="shared" si="2793"/>
        <v>+650</v>
      </c>
      <c r="U3174" s="18"/>
      <c r="V3174" s="103" t="str">
        <f t="shared" si="3250"/>
        <v/>
      </c>
      <c r="W3174" s="104" t="str">
        <f t="shared" si="2828"/>
        <v/>
      </c>
      <c r="X3174" s="105"/>
      <c r="Y3174" s="106"/>
      <c r="Z3174" s="26">
        <f t="shared" si="5"/>
        <v>6.5</v>
      </c>
      <c r="AA3174" s="26">
        <f t="shared" si="6"/>
        <v>13</v>
      </c>
      <c r="AB3174" s="32" t="str">
        <f t="shared" si="7"/>
        <v/>
      </c>
      <c r="AC3174" s="32" t="str">
        <f t="shared" ref="AC3174:AG3174" si="3252">IF(J3174&lt;&gt;"", IF(AND($P3174=FALSE, $A3174=FALSE), -J3174, IF(AND($P3174=FALSE, $A3174=TRUE), 0, IF($P3174=TRUE, (J3174 / $R3174) * 100 * ($S3174 / 100)-J3174, ))), )</f>
        <v/>
      </c>
      <c r="AD3174" s="32" t="str">
        <f t="shared" si="3252"/>
        <v/>
      </c>
      <c r="AE3174" s="32" t="str">
        <f t="shared" si="3252"/>
        <v/>
      </c>
      <c r="AF3174" s="32" t="str">
        <f t="shared" si="3252"/>
        <v/>
      </c>
      <c r="AG3174" s="32" t="str">
        <f t="shared" si="3252"/>
        <v/>
      </c>
      <c r="AH3174" s="33"/>
    </row>
    <row r="3175" hidden="1" outlineLevel="3">
      <c r="A3175" s="95" t="b">
        <v>0</v>
      </c>
      <c r="B3175" s="96"/>
      <c r="C3175" s="18"/>
      <c r="D3175" s="107"/>
      <c r="E3175" s="108"/>
      <c r="F3175" s="109"/>
      <c r="G3175" s="97"/>
      <c r="H3175" s="97"/>
      <c r="I3175" s="97"/>
      <c r="J3175" s="98"/>
      <c r="K3175" s="99"/>
      <c r="L3175" s="98"/>
      <c r="M3175" s="99"/>
      <c r="N3175" s="99"/>
      <c r="O3175" s="18"/>
      <c r="P3175" s="100" t="b">
        <v>0</v>
      </c>
      <c r="Q3175" s="18"/>
      <c r="R3175" s="101" t="str">
        <f t="shared" si="3230"/>
        <v/>
      </c>
      <c r="S3175" s="32"/>
      <c r="T3175" s="102" t="str">
        <f t="shared" si="2793"/>
        <v/>
      </c>
      <c r="U3175" s="18"/>
      <c r="V3175" s="113" t="s">
        <v>29</v>
      </c>
      <c r="W3175" s="104" t="str">
        <f t="shared" si="2828"/>
        <v>/</v>
      </c>
      <c r="X3175" s="111" t="s">
        <v>1888</v>
      </c>
      <c r="Y3175" s="106"/>
      <c r="Z3175" s="26" t="str">
        <f t="shared" si="5"/>
        <v/>
      </c>
      <c r="AA3175" s="26" t="str">
        <f t="shared" si="6"/>
        <v/>
      </c>
      <c r="AB3175" s="32" t="str">
        <f t="shared" si="7"/>
        <v/>
      </c>
      <c r="AC3175" s="32" t="str">
        <f t="shared" ref="AC3175:AG3175" si="3253">IF(J3175&lt;&gt;"", IF(AND($P3175=FALSE, $A3175=FALSE), -J3175, IF(AND($P3175=FALSE, $A3175=TRUE), 0, IF($P3175=TRUE, (J3175 / $R3175) * 100 * ($S3175 / 100)-J3175, ))), )</f>
        <v/>
      </c>
      <c r="AD3175" s="32" t="str">
        <f t="shared" si="3253"/>
        <v/>
      </c>
      <c r="AE3175" s="32" t="str">
        <f t="shared" si="3253"/>
        <v/>
      </c>
      <c r="AF3175" s="32" t="str">
        <f t="shared" si="3253"/>
        <v/>
      </c>
      <c r="AG3175" s="32" t="str">
        <f t="shared" si="3253"/>
        <v/>
      </c>
      <c r="AH3175" s="33"/>
    </row>
    <row r="3176" hidden="1" outlineLevel="2" collapsed="1">
      <c r="A3176" s="95" t="b">
        <v>0</v>
      </c>
      <c r="B3176" s="96"/>
      <c r="C3176" s="18"/>
      <c r="D3176" s="42">
        <v>45645.0</v>
      </c>
      <c r="E3176" s="20" t="s">
        <v>24</v>
      </c>
      <c r="F3176" s="53" t="s">
        <v>1886</v>
      </c>
      <c r="G3176" s="97">
        <v>3.0</v>
      </c>
      <c r="H3176" s="97"/>
      <c r="I3176" s="97">
        <v>3.0</v>
      </c>
      <c r="J3176" s="98"/>
      <c r="K3176" s="99"/>
      <c r="L3176" s="98"/>
      <c r="M3176" s="99"/>
      <c r="N3176" s="99"/>
      <c r="O3176" s="18"/>
      <c r="P3176" s="100" t="b">
        <v>1</v>
      </c>
      <c r="Q3176" s="18"/>
      <c r="R3176" s="101">
        <f t="shared" si="3230"/>
        <v>6</v>
      </c>
      <c r="S3176" s="32">
        <v>12.6</v>
      </c>
      <c r="T3176" s="102" t="str">
        <f t="shared" si="2793"/>
        <v>+110</v>
      </c>
      <c r="U3176" s="18"/>
      <c r="V3176" s="103" t="str">
        <f>IF(ISBLANK($D3176), "0",)</f>
        <v/>
      </c>
      <c r="W3176" s="104" t="str">
        <f t="shared" si="2828"/>
        <v/>
      </c>
      <c r="X3176" s="105"/>
      <c r="Y3176" s="106"/>
      <c r="Z3176" s="26">
        <f t="shared" si="5"/>
        <v>3.3</v>
      </c>
      <c r="AA3176" s="26">
        <f t="shared" si="6"/>
        <v>3.3</v>
      </c>
      <c r="AB3176" s="32" t="str">
        <f t="shared" si="7"/>
        <v/>
      </c>
      <c r="AC3176" s="32" t="str">
        <f t="shared" ref="AC3176:AG3176" si="3254">IF(J3176&lt;&gt;"", IF(AND($P3176=FALSE, $A3176=FALSE), -J3176, IF(AND($P3176=FALSE, $A3176=TRUE), 0, IF($P3176=TRUE, (J3176 / $R3176) * 100 * ($S3176 / 100)-J3176, ))), )</f>
        <v/>
      </c>
      <c r="AD3176" s="32" t="str">
        <f t="shared" si="3254"/>
        <v/>
      </c>
      <c r="AE3176" s="32" t="str">
        <f t="shared" si="3254"/>
        <v/>
      </c>
      <c r="AF3176" s="32" t="str">
        <f t="shared" si="3254"/>
        <v/>
      </c>
      <c r="AG3176" s="32" t="str">
        <f t="shared" si="3254"/>
        <v/>
      </c>
      <c r="AH3176" s="33"/>
    </row>
    <row r="3177" hidden="1" outlineLevel="3">
      <c r="A3177" s="95" t="b">
        <v>0</v>
      </c>
      <c r="B3177" s="96"/>
      <c r="C3177" s="18"/>
      <c r="D3177" s="107"/>
      <c r="E3177" s="108"/>
      <c r="F3177" s="109"/>
      <c r="G3177" s="97"/>
      <c r="H3177" s="97"/>
      <c r="I3177" s="97"/>
      <c r="J3177" s="98"/>
      <c r="K3177" s="99"/>
      <c r="L3177" s="98"/>
      <c r="M3177" s="99"/>
      <c r="N3177" s="99"/>
      <c r="O3177" s="18"/>
      <c r="P3177" s="100" t="b">
        <v>0</v>
      </c>
      <c r="Q3177" s="18"/>
      <c r="R3177" s="101" t="str">
        <f t="shared" si="3230"/>
        <v/>
      </c>
      <c r="S3177" s="32"/>
      <c r="T3177" s="102" t="str">
        <f t="shared" si="2793"/>
        <v/>
      </c>
      <c r="U3177" s="18"/>
      <c r="V3177" s="113" t="s">
        <v>29</v>
      </c>
      <c r="W3177" s="104" t="str">
        <f t="shared" si="2828"/>
        <v>/</v>
      </c>
      <c r="X3177" s="111" t="s">
        <v>1889</v>
      </c>
      <c r="Y3177" s="106"/>
      <c r="Z3177" s="26" t="str">
        <f t="shared" si="5"/>
        <v/>
      </c>
      <c r="AA3177" s="26" t="str">
        <f t="shared" si="6"/>
        <v/>
      </c>
      <c r="AB3177" s="32" t="str">
        <f t="shared" si="7"/>
        <v/>
      </c>
      <c r="AC3177" s="32" t="str">
        <f t="shared" ref="AC3177:AG3177" si="3255">IF(J3177&lt;&gt;"", IF(AND($P3177=FALSE, $A3177=FALSE), -J3177, IF(AND($P3177=FALSE, $A3177=TRUE), 0, IF($P3177=TRUE, (J3177 / $R3177) * 100 * ($S3177 / 100)-J3177, ))), )</f>
        <v/>
      </c>
      <c r="AD3177" s="32" t="str">
        <f t="shared" si="3255"/>
        <v/>
      </c>
      <c r="AE3177" s="32" t="str">
        <f t="shared" si="3255"/>
        <v/>
      </c>
      <c r="AF3177" s="32" t="str">
        <f t="shared" si="3255"/>
        <v/>
      </c>
      <c r="AG3177" s="32" t="str">
        <f t="shared" si="3255"/>
        <v/>
      </c>
      <c r="AH3177" s="33"/>
    </row>
    <row r="3178" hidden="1" outlineLevel="2" collapsed="1">
      <c r="A3178" s="95" t="b">
        <v>0</v>
      </c>
      <c r="B3178" s="96"/>
      <c r="C3178" s="18"/>
      <c r="D3178" s="42">
        <v>45645.0</v>
      </c>
      <c r="E3178" s="20" t="s">
        <v>24</v>
      </c>
      <c r="F3178" s="53" t="s">
        <v>1886</v>
      </c>
      <c r="G3178" s="97">
        <v>2.0</v>
      </c>
      <c r="H3178" s="97"/>
      <c r="I3178" s="97">
        <v>3.0</v>
      </c>
      <c r="J3178" s="98"/>
      <c r="K3178" s="99"/>
      <c r="L3178" s="98"/>
      <c r="M3178" s="99"/>
      <c r="N3178" s="99"/>
      <c r="O3178" s="18"/>
      <c r="P3178" s="100" t="b">
        <v>0</v>
      </c>
      <c r="Q3178" s="18"/>
      <c r="R3178" s="101">
        <f t="shared" si="3230"/>
        <v>5</v>
      </c>
      <c r="S3178" s="32">
        <v>11.65</v>
      </c>
      <c r="T3178" s="102" t="str">
        <f t="shared" si="2793"/>
        <v>+133</v>
      </c>
      <c r="U3178" s="18"/>
      <c r="V3178" s="103" t="str">
        <f>IF(ISBLANK($D3178), "0",)</f>
        <v/>
      </c>
      <c r="W3178" s="104" t="str">
        <f t="shared" si="2828"/>
        <v/>
      </c>
      <c r="X3178" s="105"/>
      <c r="Y3178" s="106"/>
      <c r="Z3178" s="26">
        <f t="shared" si="5"/>
        <v>-2</v>
      </c>
      <c r="AA3178" s="26">
        <f t="shared" si="6"/>
        <v>-3</v>
      </c>
      <c r="AB3178" s="32" t="str">
        <f t="shared" si="7"/>
        <v/>
      </c>
      <c r="AC3178" s="32" t="str">
        <f t="shared" ref="AC3178:AG3178" si="3256">IF(J3178&lt;&gt;"", IF(AND($P3178=FALSE, $A3178=FALSE), -J3178, IF(AND($P3178=FALSE, $A3178=TRUE), 0, IF($P3178=TRUE, (J3178 / $R3178) * 100 * ($S3178 / 100)-J3178, ))), )</f>
        <v/>
      </c>
      <c r="AD3178" s="32" t="str">
        <f t="shared" si="3256"/>
        <v/>
      </c>
      <c r="AE3178" s="32" t="str">
        <f t="shared" si="3256"/>
        <v/>
      </c>
      <c r="AF3178" s="32" t="str">
        <f t="shared" si="3256"/>
        <v/>
      </c>
      <c r="AG3178" s="32" t="str">
        <f t="shared" si="3256"/>
        <v/>
      </c>
      <c r="AH3178" s="33"/>
    </row>
    <row r="3179" hidden="1" outlineLevel="3">
      <c r="A3179" s="95" t="b">
        <v>0</v>
      </c>
      <c r="B3179" s="96"/>
      <c r="C3179" s="18"/>
      <c r="D3179" s="107"/>
      <c r="E3179" s="108"/>
      <c r="F3179" s="109"/>
      <c r="G3179" s="97"/>
      <c r="H3179" s="97"/>
      <c r="I3179" s="97"/>
      <c r="J3179" s="98"/>
      <c r="K3179" s="99"/>
      <c r="L3179" s="98"/>
      <c r="M3179" s="99"/>
      <c r="N3179" s="99"/>
      <c r="O3179" s="18"/>
      <c r="P3179" s="100" t="b">
        <v>0</v>
      </c>
      <c r="Q3179" s="18"/>
      <c r="R3179" s="101" t="str">
        <f t="shared" si="3230"/>
        <v/>
      </c>
      <c r="S3179" s="32"/>
      <c r="T3179" s="102" t="str">
        <f t="shared" si="2793"/>
        <v/>
      </c>
      <c r="U3179" s="18"/>
      <c r="V3179" s="113" t="s">
        <v>29</v>
      </c>
      <c r="W3179" s="104" t="str">
        <f t="shared" si="2828"/>
        <v>/</v>
      </c>
      <c r="X3179" s="111" t="s">
        <v>1890</v>
      </c>
      <c r="Y3179" s="106"/>
      <c r="Z3179" s="26" t="str">
        <f t="shared" si="5"/>
        <v/>
      </c>
      <c r="AA3179" s="26" t="str">
        <f t="shared" si="6"/>
        <v/>
      </c>
      <c r="AB3179" s="32" t="str">
        <f t="shared" si="7"/>
        <v/>
      </c>
      <c r="AC3179" s="32" t="str">
        <f t="shared" ref="AC3179:AG3179" si="3257">IF(J3179&lt;&gt;"", IF(AND($P3179=FALSE, $A3179=FALSE), -J3179, IF(AND($P3179=FALSE, $A3179=TRUE), 0, IF($P3179=TRUE, (J3179 / $R3179) * 100 * ($S3179 / 100)-J3179, ))), )</f>
        <v/>
      </c>
      <c r="AD3179" s="32" t="str">
        <f t="shared" si="3257"/>
        <v/>
      </c>
      <c r="AE3179" s="32" t="str">
        <f t="shared" si="3257"/>
        <v/>
      </c>
      <c r="AF3179" s="32" t="str">
        <f t="shared" si="3257"/>
        <v/>
      </c>
      <c r="AG3179" s="32" t="str">
        <f t="shared" si="3257"/>
        <v/>
      </c>
      <c r="AH3179" s="33"/>
    </row>
    <row r="3180" hidden="1" outlineLevel="3">
      <c r="A3180" s="95" t="b">
        <v>0</v>
      </c>
      <c r="B3180" s="96"/>
      <c r="C3180" s="18"/>
      <c r="D3180" s="107"/>
      <c r="E3180" s="108"/>
      <c r="F3180" s="109"/>
      <c r="G3180" s="97"/>
      <c r="H3180" s="97"/>
      <c r="I3180" s="97"/>
      <c r="J3180" s="98"/>
      <c r="K3180" s="99"/>
      <c r="L3180" s="98"/>
      <c r="M3180" s="99"/>
      <c r="N3180" s="99"/>
      <c r="O3180" s="18"/>
      <c r="P3180" s="100" t="b">
        <v>0</v>
      </c>
      <c r="Q3180" s="18"/>
      <c r="R3180" s="101" t="str">
        <f t="shared" si="3230"/>
        <v/>
      </c>
      <c r="S3180" s="32"/>
      <c r="T3180" s="102" t="str">
        <f t="shared" si="2793"/>
        <v/>
      </c>
      <c r="U3180" s="18"/>
      <c r="V3180" s="113" t="s">
        <v>29</v>
      </c>
      <c r="W3180" s="104" t="str">
        <f t="shared" si="2828"/>
        <v>/</v>
      </c>
      <c r="X3180" s="111" t="s">
        <v>1832</v>
      </c>
      <c r="Y3180" s="106"/>
      <c r="Z3180" s="26" t="str">
        <f t="shared" si="5"/>
        <v/>
      </c>
      <c r="AA3180" s="26" t="str">
        <f t="shared" si="6"/>
        <v/>
      </c>
      <c r="AB3180" s="32" t="str">
        <f t="shared" si="7"/>
        <v/>
      </c>
      <c r="AC3180" s="32" t="str">
        <f t="shared" ref="AC3180:AG3180" si="3258">IF(J3180&lt;&gt;"", IF(AND($P3180=FALSE, $A3180=FALSE), -J3180, IF(AND($P3180=FALSE, $A3180=TRUE), 0, IF($P3180=TRUE, (J3180 / $R3180) * 100 * ($S3180 / 100)-J3180, ))), )</f>
        <v/>
      </c>
      <c r="AD3180" s="32" t="str">
        <f t="shared" si="3258"/>
        <v/>
      </c>
      <c r="AE3180" s="32" t="str">
        <f t="shared" si="3258"/>
        <v/>
      </c>
      <c r="AF3180" s="32" t="str">
        <f t="shared" si="3258"/>
        <v/>
      </c>
      <c r="AG3180" s="32" t="str">
        <f t="shared" si="3258"/>
        <v/>
      </c>
      <c r="AH3180" s="33"/>
    </row>
    <row r="3181" hidden="1" outlineLevel="3">
      <c r="A3181" s="95" t="b">
        <v>0</v>
      </c>
      <c r="B3181" s="96"/>
      <c r="C3181" s="18"/>
      <c r="D3181" s="107"/>
      <c r="E3181" s="108"/>
      <c r="F3181" s="109"/>
      <c r="G3181" s="97"/>
      <c r="H3181" s="97"/>
      <c r="I3181" s="97"/>
      <c r="J3181" s="98"/>
      <c r="K3181" s="99"/>
      <c r="L3181" s="98"/>
      <c r="M3181" s="99"/>
      <c r="N3181" s="99"/>
      <c r="O3181" s="18"/>
      <c r="P3181" s="100" t="b">
        <v>0</v>
      </c>
      <c r="Q3181" s="18"/>
      <c r="R3181" s="101" t="str">
        <f t="shared" si="3230"/>
        <v/>
      </c>
      <c r="S3181" s="32"/>
      <c r="T3181" s="102" t="str">
        <f t="shared" si="2793"/>
        <v/>
      </c>
      <c r="U3181" s="18"/>
      <c r="V3181" s="75" t="s">
        <v>29</v>
      </c>
      <c r="W3181" s="104" t="str">
        <f t="shared" si="2828"/>
        <v>/</v>
      </c>
      <c r="X3181" s="111" t="s">
        <v>1891</v>
      </c>
      <c r="Y3181" s="106"/>
      <c r="Z3181" s="26" t="str">
        <f t="shared" si="5"/>
        <v/>
      </c>
      <c r="AA3181" s="26" t="str">
        <f t="shared" si="6"/>
        <v/>
      </c>
      <c r="AB3181" s="32" t="str">
        <f t="shared" si="7"/>
        <v/>
      </c>
      <c r="AC3181" s="32" t="str">
        <f t="shared" ref="AC3181:AG3181" si="3259">IF(J3181&lt;&gt;"", IF(AND($P3181=FALSE, $A3181=FALSE), -J3181, IF(AND($P3181=FALSE, $A3181=TRUE), 0, IF($P3181=TRUE, (J3181 / $R3181) * 100 * ($S3181 / 100)-J3181, ))), )</f>
        <v/>
      </c>
      <c r="AD3181" s="32" t="str">
        <f t="shared" si="3259"/>
        <v/>
      </c>
      <c r="AE3181" s="32" t="str">
        <f t="shared" si="3259"/>
        <v/>
      </c>
      <c r="AF3181" s="32" t="str">
        <f t="shared" si="3259"/>
        <v/>
      </c>
      <c r="AG3181" s="32" t="str">
        <f t="shared" si="3259"/>
        <v/>
      </c>
      <c r="AH3181" s="33"/>
    </row>
    <row r="3182" hidden="1" outlineLevel="3">
      <c r="A3182" s="95" t="b">
        <v>0</v>
      </c>
      <c r="B3182" s="96"/>
      <c r="C3182" s="18"/>
      <c r="D3182" s="107"/>
      <c r="E3182" s="108"/>
      <c r="F3182" s="109"/>
      <c r="G3182" s="97"/>
      <c r="H3182" s="97"/>
      <c r="I3182" s="97"/>
      <c r="J3182" s="98"/>
      <c r="K3182" s="99"/>
      <c r="L3182" s="98"/>
      <c r="M3182" s="99"/>
      <c r="N3182" s="99"/>
      <c r="O3182" s="18"/>
      <c r="P3182" s="100" t="b">
        <v>0</v>
      </c>
      <c r="Q3182" s="18"/>
      <c r="R3182" s="101" t="str">
        <f t="shared" si="3230"/>
        <v/>
      </c>
      <c r="S3182" s="32"/>
      <c r="T3182" s="102" t="str">
        <f t="shared" si="2793"/>
        <v/>
      </c>
      <c r="U3182" s="18"/>
      <c r="V3182" s="113">
        <v>58.0</v>
      </c>
      <c r="W3182" s="104" t="str">
        <f t="shared" si="2828"/>
        <v>/</v>
      </c>
      <c r="X3182" s="111" t="s">
        <v>1892</v>
      </c>
      <c r="Y3182" s="106"/>
      <c r="Z3182" s="26" t="str">
        <f t="shared" si="5"/>
        <v/>
      </c>
      <c r="AA3182" s="26" t="str">
        <f t="shared" si="6"/>
        <v/>
      </c>
      <c r="AB3182" s="32" t="str">
        <f t="shared" si="7"/>
        <v/>
      </c>
      <c r="AC3182" s="32" t="str">
        <f t="shared" ref="AC3182:AG3182" si="3260">IF(J3182&lt;&gt;"", IF(AND($P3182=FALSE, $A3182=FALSE), -J3182, IF(AND($P3182=FALSE, $A3182=TRUE), 0, IF($P3182=TRUE, (J3182 / $R3182) * 100 * ($S3182 / 100)-J3182, ))), )</f>
        <v/>
      </c>
      <c r="AD3182" s="32" t="str">
        <f t="shared" si="3260"/>
        <v/>
      </c>
      <c r="AE3182" s="32" t="str">
        <f t="shared" si="3260"/>
        <v/>
      </c>
      <c r="AF3182" s="32" t="str">
        <f t="shared" si="3260"/>
        <v/>
      </c>
      <c r="AG3182" s="32" t="str">
        <f t="shared" si="3260"/>
        <v/>
      </c>
      <c r="AH3182" s="33"/>
    </row>
    <row r="3183" hidden="1" outlineLevel="2">
      <c r="A3183" s="95" t="b">
        <v>0</v>
      </c>
      <c r="B3183" s="96"/>
      <c r="C3183" s="18"/>
      <c r="D3183" s="42">
        <v>45645.0</v>
      </c>
      <c r="E3183" s="20" t="s">
        <v>24</v>
      </c>
      <c r="F3183" s="53" t="s">
        <v>1886</v>
      </c>
      <c r="G3183" s="97">
        <v>2.0</v>
      </c>
      <c r="H3183" s="97"/>
      <c r="I3183" s="97">
        <v>3.0</v>
      </c>
      <c r="J3183" s="98"/>
      <c r="K3183" s="99"/>
      <c r="L3183" s="98"/>
      <c r="M3183" s="99"/>
      <c r="N3183" s="99"/>
      <c r="O3183" s="18"/>
      <c r="P3183" s="100" t="b">
        <v>1</v>
      </c>
      <c r="Q3183" s="18"/>
      <c r="R3183" s="101">
        <f t="shared" si="3230"/>
        <v>5</v>
      </c>
      <c r="S3183" s="32">
        <v>10.78</v>
      </c>
      <c r="T3183" s="102" t="str">
        <f t="shared" si="2793"/>
        <v>+116</v>
      </c>
      <c r="U3183" s="18"/>
      <c r="V3183" s="103" t="str">
        <f>IF(ISBLANK($D3183), "0",)</f>
        <v/>
      </c>
      <c r="W3183" s="104" t="str">
        <f t="shared" si="2828"/>
        <v/>
      </c>
      <c r="X3183" s="105"/>
      <c r="Y3183" s="106"/>
      <c r="Z3183" s="26">
        <f t="shared" si="5"/>
        <v>2.312</v>
      </c>
      <c r="AA3183" s="26">
        <f t="shared" si="6"/>
        <v>3.468</v>
      </c>
      <c r="AB3183" s="32" t="str">
        <f t="shared" si="7"/>
        <v/>
      </c>
      <c r="AC3183" s="32" t="str">
        <f t="shared" ref="AC3183:AG3183" si="3261">IF(J3183&lt;&gt;"", IF(AND($P3183=FALSE, $A3183=FALSE), -J3183, IF(AND($P3183=FALSE, $A3183=TRUE), 0, IF($P3183=TRUE, (J3183 / $R3183) * 100 * ($S3183 / 100)-J3183, ))), )</f>
        <v/>
      </c>
      <c r="AD3183" s="32" t="str">
        <f t="shared" si="3261"/>
        <v/>
      </c>
      <c r="AE3183" s="32" t="str">
        <f t="shared" si="3261"/>
        <v/>
      </c>
      <c r="AF3183" s="32" t="str">
        <f t="shared" si="3261"/>
        <v/>
      </c>
      <c r="AG3183" s="32" t="str">
        <f t="shared" si="3261"/>
        <v/>
      </c>
      <c r="AH3183" s="33"/>
    </row>
    <row r="3184" hidden="1" outlineLevel="3">
      <c r="A3184" s="95" t="b">
        <v>0</v>
      </c>
      <c r="B3184" s="96"/>
      <c r="C3184" s="18"/>
      <c r="D3184" s="107"/>
      <c r="E3184" s="108"/>
      <c r="F3184" s="109"/>
      <c r="G3184" s="97"/>
      <c r="H3184" s="97"/>
      <c r="I3184" s="97"/>
      <c r="J3184" s="98"/>
      <c r="K3184" s="99"/>
      <c r="L3184" s="98"/>
      <c r="M3184" s="99"/>
      <c r="N3184" s="99"/>
      <c r="O3184" s="18"/>
      <c r="P3184" s="100" t="b">
        <v>0</v>
      </c>
      <c r="Q3184" s="18"/>
      <c r="R3184" s="101" t="str">
        <f t="shared" si="3230"/>
        <v/>
      </c>
      <c r="S3184" s="32"/>
      <c r="T3184" s="102" t="str">
        <f t="shared" si="2793"/>
        <v/>
      </c>
      <c r="U3184" s="18"/>
      <c r="V3184" s="75" t="s">
        <v>29</v>
      </c>
      <c r="W3184" s="104" t="str">
        <f t="shared" si="2828"/>
        <v>/</v>
      </c>
      <c r="X3184" s="111" t="s">
        <v>1893</v>
      </c>
      <c r="Y3184" s="106"/>
      <c r="Z3184" s="26" t="str">
        <f t="shared" si="5"/>
        <v/>
      </c>
      <c r="AA3184" s="26" t="str">
        <f t="shared" si="6"/>
        <v/>
      </c>
      <c r="AB3184" s="32" t="str">
        <f t="shared" si="7"/>
        <v/>
      </c>
      <c r="AC3184" s="32" t="str">
        <f t="shared" ref="AC3184:AG3184" si="3262">IF(J3184&lt;&gt;"", IF(AND($P3184=FALSE, $A3184=FALSE), -J3184, IF(AND($P3184=FALSE, $A3184=TRUE), 0, IF($P3184=TRUE, (J3184 / $R3184) * 100 * ($S3184 / 100)-J3184, ))), )</f>
        <v/>
      </c>
      <c r="AD3184" s="32" t="str">
        <f t="shared" si="3262"/>
        <v/>
      </c>
      <c r="AE3184" s="32" t="str">
        <f t="shared" si="3262"/>
        <v/>
      </c>
      <c r="AF3184" s="32" t="str">
        <f t="shared" si="3262"/>
        <v/>
      </c>
      <c r="AG3184" s="32" t="str">
        <f t="shared" si="3262"/>
        <v/>
      </c>
      <c r="AH3184" s="33"/>
    </row>
    <row r="3185" hidden="1" outlineLevel="3">
      <c r="A3185" s="95" t="b">
        <v>0</v>
      </c>
      <c r="B3185" s="96"/>
      <c r="C3185" s="18"/>
      <c r="D3185" s="107"/>
      <c r="E3185" s="108"/>
      <c r="F3185" s="109"/>
      <c r="G3185" s="97"/>
      <c r="H3185" s="97"/>
      <c r="I3185" s="97"/>
      <c r="J3185" s="98"/>
      <c r="K3185" s="99"/>
      <c r="L3185" s="98"/>
      <c r="M3185" s="99"/>
      <c r="N3185" s="99"/>
      <c r="O3185" s="18"/>
      <c r="P3185" s="100" t="b">
        <v>0</v>
      </c>
      <c r="Q3185" s="18"/>
      <c r="R3185" s="101" t="str">
        <f t="shared" si="3230"/>
        <v/>
      </c>
      <c r="S3185" s="32"/>
      <c r="T3185" s="102" t="str">
        <f t="shared" si="2793"/>
        <v/>
      </c>
      <c r="U3185" s="18"/>
      <c r="V3185" s="66" t="s">
        <v>29</v>
      </c>
      <c r="W3185" s="104" t="str">
        <f t="shared" si="2828"/>
        <v>/</v>
      </c>
      <c r="X3185" s="111" t="s">
        <v>1894</v>
      </c>
      <c r="Y3185" s="106"/>
      <c r="Z3185" s="26" t="str">
        <f t="shared" si="5"/>
        <v/>
      </c>
      <c r="AA3185" s="26" t="str">
        <f t="shared" si="6"/>
        <v/>
      </c>
      <c r="AB3185" s="32" t="str">
        <f t="shared" si="7"/>
        <v/>
      </c>
      <c r="AC3185" s="32" t="str">
        <f t="shared" ref="AC3185:AG3185" si="3263">IF(J3185&lt;&gt;"", IF(AND($P3185=FALSE, $A3185=FALSE), -J3185, IF(AND($P3185=FALSE, $A3185=TRUE), 0, IF($P3185=TRUE, (J3185 / $R3185) * 100 * ($S3185 / 100)-J3185, ))), )</f>
        <v/>
      </c>
      <c r="AD3185" s="32" t="str">
        <f t="shared" si="3263"/>
        <v/>
      </c>
      <c r="AE3185" s="32" t="str">
        <f t="shared" si="3263"/>
        <v/>
      </c>
      <c r="AF3185" s="32" t="str">
        <f t="shared" si="3263"/>
        <v/>
      </c>
      <c r="AG3185" s="32" t="str">
        <f t="shared" si="3263"/>
        <v/>
      </c>
      <c r="AH3185" s="33"/>
    </row>
    <row r="3186" hidden="1" outlineLevel="3">
      <c r="A3186" s="95" t="b">
        <v>0</v>
      </c>
      <c r="B3186" s="96"/>
      <c r="C3186" s="18"/>
      <c r="D3186" s="107"/>
      <c r="E3186" s="108"/>
      <c r="F3186" s="109"/>
      <c r="G3186" s="97"/>
      <c r="H3186" s="97"/>
      <c r="I3186" s="97"/>
      <c r="J3186" s="98"/>
      <c r="K3186" s="99"/>
      <c r="L3186" s="98"/>
      <c r="M3186" s="99"/>
      <c r="N3186" s="99"/>
      <c r="O3186" s="18"/>
      <c r="P3186" s="100" t="b">
        <v>0</v>
      </c>
      <c r="Q3186" s="18"/>
      <c r="R3186" s="101" t="str">
        <f t="shared" si="3230"/>
        <v/>
      </c>
      <c r="S3186" s="32"/>
      <c r="T3186" s="102" t="str">
        <f t="shared" si="2793"/>
        <v/>
      </c>
      <c r="U3186" s="18"/>
      <c r="V3186" s="75" t="s">
        <v>29</v>
      </c>
      <c r="W3186" s="104" t="str">
        <f t="shared" si="2828"/>
        <v>/</v>
      </c>
      <c r="X3186" s="111" t="s">
        <v>1895</v>
      </c>
      <c r="Y3186" s="106"/>
      <c r="Z3186" s="26" t="str">
        <f t="shared" si="5"/>
        <v/>
      </c>
      <c r="AA3186" s="26" t="str">
        <f t="shared" si="6"/>
        <v/>
      </c>
      <c r="AB3186" s="32" t="str">
        <f t="shared" si="7"/>
        <v/>
      </c>
      <c r="AC3186" s="32" t="str">
        <f t="shared" ref="AC3186:AG3186" si="3264">IF(J3186&lt;&gt;"", IF(AND($P3186=FALSE, $A3186=FALSE), -J3186, IF(AND($P3186=FALSE, $A3186=TRUE), 0, IF($P3186=TRUE, (J3186 / $R3186) * 100 * ($S3186 / 100)-J3186, ))), )</f>
        <v/>
      </c>
      <c r="AD3186" s="32" t="str">
        <f t="shared" si="3264"/>
        <v/>
      </c>
      <c r="AE3186" s="32" t="str">
        <f t="shared" si="3264"/>
        <v/>
      </c>
      <c r="AF3186" s="32" t="str">
        <f t="shared" si="3264"/>
        <v/>
      </c>
      <c r="AG3186" s="32" t="str">
        <f t="shared" si="3264"/>
        <v/>
      </c>
      <c r="AH3186" s="33"/>
    </row>
    <row r="3187" hidden="1" outlineLevel="3">
      <c r="A3187" s="95" t="b">
        <v>0</v>
      </c>
      <c r="B3187" s="96"/>
      <c r="C3187" s="18"/>
      <c r="D3187" s="107"/>
      <c r="E3187" s="108"/>
      <c r="F3187" s="109"/>
      <c r="G3187" s="97"/>
      <c r="H3187" s="97"/>
      <c r="I3187" s="97"/>
      <c r="J3187" s="98"/>
      <c r="K3187" s="99"/>
      <c r="L3187" s="98"/>
      <c r="M3187" s="99"/>
      <c r="N3187" s="99"/>
      <c r="O3187" s="18"/>
      <c r="P3187" s="100" t="b">
        <v>0</v>
      </c>
      <c r="Q3187" s="18"/>
      <c r="R3187" s="101" t="str">
        <f t="shared" si="3230"/>
        <v/>
      </c>
      <c r="S3187" s="32"/>
      <c r="T3187" s="102" t="str">
        <f t="shared" si="2793"/>
        <v/>
      </c>
      <c r="U3187" s="18"/>
      <c r="V3187" s="66" t="s">
        <v>29</v>
      </c>
      <c r="W3187" s="104" t="str">
        <f t="shared" si="2828"/>
        <v>/</v>
      </c>
      <c r="X3187" s="111" t="s">
        <v>848</v>
      </c>
      <c r="Y3187" s="106"/>
      <c r="Z3187" s="26" t="str">
        <f t="shared" si="5"/>
        <v/>
      </c>
      <c r="AA3187" s="26" t="str">
        <f t="shared" si="6"/>
        <v/>
      </c>
      <c r="AB3187" s="32" t="str">
        <f t="shared" si="7"/>
        <v/>
      </c>
      <c r="AC3187" s="32" t="str">
        <f t="shared" ref="AC3187:AG3187" si="3265">IF(J3187&lt;&gt;"", IF(AND($P3187=FALSE, $A3187=FALSE), -J3187, IF(AND($P3187=FALSE, $A3187=TRUE), 0, IF($P3187=TRUE, (J3187 / $R3187) * 100 * ($S3187 / 100)-J3187, ))), )</f>
        <v/>
      </c>
      <c r="AD3187" s="32" t="str">
        <f t="shared" si="3265"/>
        <v/>
      </c>
      <c r="AE3187" s="32" t="str">
        <f t="shared" si="3265"/>
        <v/>
      </c>
      <c r="AF3187" s="32" t="str">
        <f t="shared" si="3265"/>
        <v/>
      </c>
      <c r="AG3187" s="32" t="str">
        <f t="shared" si="3265"/>
        <v/>
      </c>
      <c r="AH3187" s="33"/>
    </row>
    <row r="3188" hidden="1" outlineLevel="1" collapsed="1">
      <c r="A3188" s="95" t="b">
        <v>0</v>
      </c>
      <c r="B3188" s="96"/>
      <c r="C3188" s="18"/>
      <c r="D3188" s="42">
        <v>45649.0</v>
      </c>
      <c r="E3188" s="20" t="s">
        <v>24</v>
      </c>
      <c r="F3188" s="53" t="s">
        <v>1886</v>
      </c>
      <c r="G3188" s="97">
        <v>2.5</v>
      </c>
      <c r="H3188" s="97"/>
      <c r="I3188" s="97">
        <v>2.5</v>
      </c>
      <c r="J3188" s="98"/>
      <c r="K3188" s="99"/>
      <c r="L3188" s="98"/>
      <c r="M3188" s="99"/>
      <c r="N3188" s="99"/>
      <c r="O3188" s="18"/>
      <c r="P3188" s="100" t="b">
        <v>0</v>
      </c>
      <c r="Q3188" s="18"/>
      <c r="R3188" s="101">
        <f t="shared" si="3230"/>
        <v>5</v>
      </c>
      <c r="S3188" s="32">
        <v>9.17</v>
      </c>
      <c r="T3188" s="102">
        <f t="shared" si="2793"/>
        <v>-120</v>
      </c>
      <c r="U3188" s="18"/>
      <c r="V3188" s="103" t="str">
        <f>IF(ISBLANK($D3188), "0",)</f>
        <v/>
      </c>
      <c r="W3188" s="104" t="str">
        <f t="shared" si="2828"/>
        <v/>
      </c>
      <c r="X3188" s="105"/>
      <c r="Y3188" s="106"/>
      <c r="Z3188" s="26">
        <f t="shared" si="5"/>
        <v>-2.5</v>
      </c>
      <c r="AA3188" s="26">
        <f t="shared" si="6"/>
        <v>-2.5</v>
      </c>
      <c r="AB3188" s="32" t="str">
        <f t="shared" si="7"/>
        <v/>
      </c>
      <c r="AC3188" s="32" t="str">
        <f t="shared" ref="AC3188:AG3188" si="3266">IF(J3188&lt;&gt;"", IF(AND($P3188=FALSE, $A3188=FALSE), -J3188, IF(AND($P3188=FALSE, $A3188=TRUE), 0, IF($P3188=TRUE, (J3188 / $R3188) * 100 * ($S3188 / 100)-J3188, ))), )</f>
        <v/>
      </c>
      <c r="AD3188" s="32" t="str">
        <f t="shared" si="3266"/>
        <v/>
      </c>
      <c r="AE3188" s="32" t="str">
        <f t="shared" si="3266"/>
        <v/>
      </c>
      <c r="AF3188" s="32" t="str">
        <f t="shared" si="3266"/>
        <v/>
      </c>
      <c r="AG3188" s="32" t="str">
        <f t="shared" si="3266"/>
        <v/>
      </c>
      <c r="AH3188" s="33"/>
    </row>
    <row r="3189" hidden="1" outlineLevel="3">
      <c r="A3189" s="95" t="b">
        <v>0</v>
      </c>
      <c r="B3189" s="96"/>
      <c r="C3189" s="18"/>
      <c r="D3189" s="107"/>
      <c r="E3189" s="108"/>
      <c r="F3189" s="109"/>
      <c r="G3189" s="97"/>
      <c r="H3189" s="97"/>
      <c r="I3189" s="97"/>
      <c r="J3189" s="98"/>
      <c r="K3189" s="99"/>
      <c r="L3189" s="98"/>
      <c r="M3189" s="99"/>
      <c r="N3189" s="99"/>
      <c r="O3189" s="18"/>
      <c r="P3189" s="100" t="b">
        <v>0</v>
      </c>
      <c r="Q3189" s="18"/>
      <c r="R3189" s="101" t="str">
        <f t="shared" si="3230"/>
        <v/>
      </c>
      <c r="S3189" s="32"/>
      <c r="T3189" s="102" t="str">
        <f t="shared" si="2793"/>
        <v/>
      </c>
      <c r="U3189" s="18"/>
      <c r="V3189" s="113">
        <v>3.0</v>
      </c>
      <c r="W3189" s="104" t="str">
        <f t="shared" si="2828"/>
        <v>/</v>
      </c>
      <c r="X3189" s="111" t="s">
        <v>1896</v>
      </c>
      <c r="Y3189" s="106"/>
      <c r="Z3189" s="26" t="str">
        <f t="shared" si="5"/>
        <v/>
      </c>
      <c r="AA3189" s="26" t="str">
        <f t="shared" si="6"/>
        <v/>
      </c>
      <c r="AB3189" s="32" t="str">
        <f t="shared" si="7"/>
        <v/>
      </c>
      <c r="AC3189" s="32" t="str">
        <f t="shared" ref="AC3189:AG3189" si="3267">IF(J3189&lt;&gt;"", IF(AND($P3189=FALSE, $A3189=FALSE), -J3189, IF(AND($P3189=FALSE, $A3189=TRUE), 0, IF($P3189=TRUE, (J3189 / $R3189) * 100 * ($S3189 / 100)-J3189, ))), )</f>
        <v/>
      </c>
      <c r="AD3189" s="32" t="str">
        <f t="shared" si="3267"/>
        <v/>
      </c>
      <c r="AE3189" s="32" t="str">
        <f t="shared" si="3267"/>
        <v/>
      </c>
      <c r="AF3189" s="32" t="str">
        <f t="shared" si="3267"/>
        <v/>
      </c>
      <c r="AG3189" s="32" t="str">
        <f t="shared" si="3267"/>
        <v/>
      </c>
      <c r="AH3189" s="33"/>
    </row>
    <row r="3190" hidden="1" outlineLevel="2" collapsed="1">
      <c r="A3190" s="95" t="b">
        <v>0</v>
      </c>
      <c r="B3190" s="96"/>
      <c r="C3190" s="18"/>
      <c r="D3190" s="42">
        <v>45649.0</v>
      </c>
      <c r="E3190" s="20" t="s">
        <v>24</v>
      </c>
      <c r="F3190" s="53" t="s">
        <v>1886</v>
      </c>
      <c r="G3190" s="97">
        <v>2.5</v>
      </c>
      <c r="H3190" s="97"/>
      <c r="I3190" s="97">
        <v>2.5</v>
      </c>
      <c r="J3190" s="98"/>
      <c r="K3190" s="99"/>
      <c r="L3190" s="98"/>
      <c r="M3190" s="99"/>
      <c r="N3190" s="99"/>
      <c r="O3190" s="18"/>
      <c r="P3190" s="100" t="b">
        <v>1</v>
      </c>
      <c r="Q3190" s="18"/>
      <c r="R3190" s="101">
        <f t="shared" si="3230"/>
        <v>5</v>
      </c>
      <c r="S3190" s="32">
        <v>9.55</v>
      </c>
      <c r="T3190" s="102">
        <f t="shared" si="2793"/>
        <v>-110</v>
      </c>
      <c r="U3190" s="18"/>
      <c r="V3190" s="103" t="str">
        <f>IF(ISBLANK($D3190), "0",)</f>
        <v/>
      </c>
      <c r="W3190" s="104" t="str">
        <f t="shared" si="2828"/>
        <v/>
      </c>
      <c r="X3190" s="105"/>
      <c r="Y3190" s="106"/>
      <c r="Z3190" s="26">
        <f t="shared" si="5"/>
        <v>2.275</v>
      </c>
      <c r="AA3190" s="26">
        <f t="shared" si="6"/>
        <v>2.275</v>
      </c>
      <c r="AB3190" s="32" t="str">
        <f t="shared" si="7"/>
        <v/>
      </c>
      <c r="AC3190" s="32" t="str">
        <f t="shared" ref="AC3190:AG3190" si="3268">IF(J3190&lt;&gt;"", IF(AND($P3190=FALSE, $A3190=FALSE), -J3190, IF(AND($P3190=FALSE, $A3190=TRUE), 0, IF($P3190=TRUE, (J3190 / $R3190) * 100 * ($S3190 / 100)-J3190, ))), )</f>
        <v/>
      </c>
      <c r="AD3190" s="32" t="str">
        <f t="shared" si="3268"/>
        <v/>
      </c>
      <c r="AE3190" s="32" t="str">
        <f t="shared" si="3268"/>
        <v/>
      </c>
      <c r="AF3190" s="32" t="str">
        <f t="shared" si="3268"/>
        <v/>
      </c>
      <c r="AG3190" s="32" t="str">
        <f t="shared" si="3268"/>
        <v/>
      </c>
      <c r="AH3190" s="33"/>
    </row>
    <row r="3191" hidden="1" outlineLevel="3">
      <c r="A3191" s="95" t="b">
        <v>0</v>
      </c>
      <c r="B3191" s="96"/>
      <c r="C3191" s="18"/>
      <c r="D3191" s="107"/>
      <c r="E3191" s="108"/>
      <c r="F3191" s="109"/>
      <c r="G3191" s="97"/>
      <c r="H3191" s="97"/>
      <c r="I3191" s="97"/>
      <c r="J3191" s="98"/>
      <c r="K3191" s="99"/>
      <c r="L3191" s="98"/>
      <c r="M3191" s="99"/>
      <c r="N3191" s="99"/>
      <c r="O3191" s="18"/>
      <c r="P3191" s="100" t="b">
        <v>0</v>
      </c>
      <c r="Q3191" s="18"/>
      <c r="R3191" s="101" t="str">
        <f t="shared" si="3230"/>
        <v/>
      </c>
      <c r="S3191" s="32"/>
      <c r="T3191" s="102" t="str">
        <f t="shared" si="2793"/>
        <v/>
      </c>
      <c r="U3191" s="18"/>
      <c r="V3191" s="75" t="s">
        <v>29</v>
      </c>
      <c r="W3191" s="104" t="str">
        <f t="shared" si="2828"/>
        <v>/</v>
      </c>
      <c r="X3191" s="111" t="s">
        <v>1897</v>
      </c>
      <c r="Y3191" s="106"/>
      <c r="Z3191" s="26" t="str">
        <f t="shared" si="5"/>
        <v/>
      </c>
      <c r="AA3191" s="26" t="str">
        <f t="shared" si="6"/>
        <v/>
      </c>
      <c r="AB3191" s="32" t="str">
        <f t="shared" si="7"/>
        <v/>
      </c>
      <c r="AC3191" s="32" t="str">
        <f t="shared" ref="AC3191:AG3191" si="3269">IF(J3191&lt;&gt;"", IF(AND($P3191=FALSE, $A3191=FALSE), -J3191, IF(AND($P3191=FALSE, $A3191=TRUE), 0, IF($P3191=TRUE, (J3191 / $R3191) * 100 * ($S3191 / 100)-J3191, ))), )</f>
        <v/>
      </c>
      <c r="AD3191" s="32" t="str">
        <f t="shared" si="3269"/>
        <v/>
      </c>
      <c r="AE3191" s="32" t="str">
        <f t="shared" si="3269"/>
        <v/>
      </c>
      <c r="AF3191" s="32" t="str">
        <f t="shared" si="3269"/>
        <v/>
      </c>
      <c r="AG3191" s="32" t="str">
        <f t="shared" si="3269"/>
        <v/>
      </c>
      <c r="AH3191" s="33"/>
    </row>
    <row r="3192" hidden="1" outlineLevel="2" collapsed="1">
      <c r="A3192" s="95" t="b">
        <v>0</v>
      </c>
      <c r="B3192" s="96"/>
      <c r="C3192" s="18"/>
      <c r="D3192" s="42">
        <v>45649.0</v>
      </c>
      <c r="E3192" s="20" t="s">
        <v>24</v>
      </c>
      <c r="F3192" s="53" t="s">
        <v>1886</v>
      </c>
      <c r="G3192" s="97">
        <v>2.5</v>
      </c>
      <c r="H3192" s="97"/>
      <c r="I3192" s="97">
        <v>2.5</v>
      </c>
      <c r="J3192" s="98"/>
      <c r="K3192" s="99"/>
      <c r="L3192" s="98"/>
      <c r="M3192" s="99"/>
      <c r="N3192" s="99"/>
      <c r="O3192" s="18"/>
      <c r="P3192" s="100" t="b">
        <v>0</v>
      </c>
      <c r="Q3192" s="18"/>
      <c r="R3192" s="101">
        <f t="shared" si="3230"/>
        <v>5</v>
      </c>
      <c r="S3192" s="32">
        <v>9.55</v>
      </c>
      <c r="T3192" s="102">
        <f t="shared" si="2793"/>
        <v>-110</v>
      </c>
      <c r="U3192" s="18"/>
      <c r="V3192" s="103" t="str">
        <f>IF(ISBLANK($D3192), "0",)</f>
        <v/>
      </c>
      <c r="W3192" s="104" t="str">
        <f t="shared" si="2828"/>
        <v/>
      </c>
      <c r="X3192" s="105"/>
      <c r="Y3192" s="106"/>
      <c r="Z3192" s="26">
        <f t="shared" si="5"/>
        <v>-2.5</v>
      </c>
      <c r="AA3192" s="26">
        <f t="shared" si="6"/>
        <v>-2.5</v>
      </c>
      <c r="AB3192" s="32" t="str">
        <f t="shared" si="7"/>
        <v/>
      </c>
      <c r="AC3192" s="32" t="str">
        <f t="shared" ref="AC3192:AG3192" si="3270">IF(J3192&lt;&gt;"", IF(AND($P3192=FALSE, $A3192=FALSE), -J3192, IF(AND($P3192=FALSE, $A3192=TRUE), 0, IF($P3192=TRUE, (J3192 / $R3192) * 100 * ($S3192 / 100)-J3192, ))), )</f>
        <v/>
      </c>
      <c r="AD3192" s="32" t="str">
        <f t="shared" si="3270"/>
        <v/>
      </c>
      <c r="AE3192" s="32" t="str">
        <f t="shared" si="3270"/>
        <v/>
      </c>
      <c r="AF3192" s="32" t="str">
        <f t="shared" si="3270"/>
        <v/>
      </c>
      <c r="AG3192" s="32" t="str">
        <f t="shared" si="3270"/>
        <v/>
      </c>
      <c r="AH3192" s="33"/>
    </row>
    <row r="3193" hidden="1" outlineLevel="3">
      <c r="A3193" s="95" t="b">
        <v>0</v>
      </c>
      <c r="B3193" s="96"/>
      <c r="C3193" s="18"/>
      <c r="D3193" s="107"/>
      <c r="E3193" s="108"/>
      <c r="F3193" s="109"/>
      <c r="G3193" s="97"/>
      <c r="H3193" s="97"/>
      <c r="I3193" s="97"/>
      <c r="J3193" s="98"/>
      <c r="K3193" s="99"/>
      <c r="L3193" s="98"/>
      <c r="M3193" s="99"/>
      <c r="N3193" s="99"/>
      <c r="O3193" s="18"/>
      <c r="P3193" s="100" t="b">
        <v>0</v>
      </c>
      <c r="Q3193" s="18"/>
      <c r="R3193" s="101" t="str">
        <f t="shared" si="3230"/>
        <v/>
      </c>
      <c r="S3193" s="32"/>
      <c r="T3193" s="102" t="str">
        <f t="shared" si="2793"/>
        <v/>
      </c>
      <c r="U3193" s="18"/>
      <c r="V3193" s="113">
        <v>69.0</v>
      </c>
      <c r="W3193" s="104" t="str">
        <f t="shared" si="2828"/>
        <v>/</v>
      </c>
      <c r="X3193" s="111" t="s">
        <v>1898</v>
      </c>
      <c r="Y3193" s="106"/>
      <c r="Z3193" s="26" t="str">
        <f t="shared" si="5"/>
        <v/>
      </c>
      <c r="AA3193" s="26" t="str">
        <f t="shared" si="6"/>
        <v/>
      </c>
      <c r="AB3193" s="32" t="str">
        <f t="shared" si="7"/>
        <v/>
      </c>
      <c r="AC3193" s="32" t="str">
        <f t="shared" ref="AC3193:AG3193" si="3271">IF(J3193&lt;&gt;"", IF(AND($P3193=FALSE, $A3193=FALSE), -J3193, IF(AND($P3193=FALSE, $A3193=TRUE), 0, IF($P3193=TRUE, (J3193 / $R3193) * 100 * ($S3193 / 100)-J3193, ))), )</f>
        <v/>
      </c>
      <c r="AD3193" s="32" t="str">
        <f t="shared" si="3271"/>
        <v/>
      </c>
      <c r="AE3193" s="32" t="str">
        <f t="shared" si="3271"/>
        <v/>
      </c>
      <c r="AF3193" s="32" t="str">
        <f t="shared" si="3271"/>
        <v/>
      </c>
      <c r="AG3193" s="32" t="str">
        <f t="shared" si="3271"/>
        <v/>
      </c>
      <c r="AH3193" s="33"/>
    </row>
    <row r="3194" hidden="1" outlineLevel="2" collapsed="1">
      <c r="A3194" s="95" t="b">
        <v>0</v>
      </c>
      <c r="B3194" s="96"/>
      <c r="C3194" s="18"/>
      <c r="D3194" s="42">
        <v>45649.0</v>
      </c>
      <c r="E3194" s="20" t="s">
        <v>24</v>
      </c>
      <c r="F3194" s="53" t="s">
        <v>1886</v>
      </c>
      <c r="G3194" s="97">
        <v>2.5</v>
      </c>
      <c r="H3194" s="97"/>
      <c r="I3194" s="97">
        <v>2.5</v>
      </c>
      <c r="J3194" s="98"/>
      <c r="K3194" s="99"/>
      <c r="L3194" s="98"/>
      <c r="M3194" s="99"/>
      <c r="N3194" s="99"/>
      <c r="O3194" s="18"/>
      <c r="P3194" s="100" t="b">
        <v>0</v>
      </c>
      <c r="Q3194" s="18"/>
      <c r="R3194" s="101">
        <f t="shared" si="3230"/>
        <v>5</v>
      </c>
      <c r="S3194" s="32">
        <v>9.55</v>
      </c>
      <c r="T3194" s="102">
        <f t="shared" si="2793"/>
        <v>-110</v>
      </c>
      <c r="U3194" s="18"/>
      <c r="V3194" s="103" t="str">
        <f>IF(ISBLANK($D3194), "0",)</f>
        <v/>
      </c>
      <c r="W3194" s="104" t="str">
        <f t="shared" si="2828"/>
        <v/>
      </c>
      <c r="X3194" s="105"/>
      <c r="Y3194" s="106"/>
      <c r="Z3194" s="26">
        <f t="shared" si="5"/>
        <v>-2.5</v>
      </c>
      <c r="AA3194" s="26">
        <f t="shared" si="6"/>
        <v>-2.5</v>
      </c>
      <c r="AB3194" s="32" t="str">
        <f t="shared" si="7"/>
        <v/>
      </c>
      <c r="AC3194" s="32" t="str">
        <f t="shared" ref="AC3194:AG3194" si="3272">IF(J3194&lt;&gt;"", IF(AND($P3194=FALSE, $A3194=FALSE), -J3194, IF(AND($P3194=FALSE, $A3194=TRUE), 0, IF($P3194=TRUE, (J3194 / $R3194) * 100 * ($S3194 / 100)-J3194, ))), )</f>
        <v/>
      </c>
      <c r="AD3194" s="32" t="str">
        <f t="shared" si="3272"/>
        <v/>
      </c>
      <c r="AE3194" s="32" t="str">
        <f t="shared" si="3272"/>
        <v/>
      </c>
      <c r="AF3194" s="32" t="str">
        <f t="shared" si="3272"/>
        <v/>
      </c>
      <c r="AG3194" s="32" t="str">
        <f t="shared" si="3272"/>
        <v/>
      </c>
      <c r="AH3194" s="33"/>
    </row>
    <row r="3195" hidden="1" outlineLevel="3">
      <c r="A3195" s="95" t="b">
        <v>0</v>
      </c>
      <c r="B3195" s="96"/>
      <c r="C3195" s="18"/>
      <c r="D3195" s="107"/>
      <c r="E3195" s="108"/>
      <c r="F3195" s="109"/>
      <c r="G3195" s="97"/>
      <c r="H3195" s="97"/>
      <c r="I3195" s="97"/>
      <c r="J3195" s="98"/>
      <c r="K3195" s="99"/>
      <c r="L3195" s="98"/>
      <c r="M3195" s="99"/>
      <c r="N3195" s="99"/>
      <c r="O3195" s="18"/>
      <c r="P3195" s="100" t="b">
        <v>0</v>
      </c>
      <c r="Q3195" s="18"/>
      <c r="R3195" s="101" t="str">
        <f t="shared" si="3230"/>
        <v/>
      </c>
      <c r="S3195" s="32"/>
      <c r="T3195" s="102" t="str">
        <f t="shared" si="2793"/>
        <v/>
      </c>
      <c r="U3195" s="18"/>
      <c r="V3195" s="113">
        <v>15.0</v>
      </c>
      <c r="W3195" s="104" t="str">
        <f t="shared" si="2828"/>
        <v>/</v>
      </c>
      <c r="X3195" s="111" t="s">
        <v>1899</v>
      </c>
      <c r="Y3195" s="106"/>
      <c r="Z3195" s="26" t="str">
        <f t="shared" si="5"/>
        <v/>
      </c>
      <c r="AA3195" s="26" t="str">
        <f t="shared" si="6"/>
        <v/>
      </c>
      <c r="AB3195" s="32" t="str">
        <f t="shared" si="7"/>
        <v/>
      </c>
      <c r="AC3195" s="32" t="str">
        <f t="shared" ref="AC3195:AG3195" si="3273">IF(J3195&lt;&gt;"", IF(AND($P3195=FALSE, $A3195=FALSE), -J3195, IF(AND($P3195=FALSE, $A3195=TRUE), 0, IF($P3195=TRUE, (J3195 / $R3195) * 100 * ($S3195 / 100)-J3195, ))), )</f>
        <v/>
      </c>
      <c r="AD3195" s="32" t="str">
        <f t="shared" si="3273"/>
        <v/>
      </c>
      <c r="AE3195" s="32" t="str">
        <f t="shared" si="3273"/>
        <v/>
      </c>
      <c r="AF3195" s="32" t="str">
        <f t="shared" si="3273"/>
        <v/>
      </c>
      <c r="AG3195" s="32" t="str">
        <f t="shared" si="3273"/>
        <v/>
      </c>
      <c r="AH3195" s="33"/>
    </row>
    <row r="3196" hidden="1" outlineLevel="2">
      <c r="A3196" s="95" t="b">
        <v>0</v>
      </c>
      <c r="B3196" s="96"/>
      <c r="C3196" s="18"/>
      <c r="D3196" s="42">
        <v>45649.0</v>
      </c>
      <c r="E3196" s="20" t="s">
        <v>24</v>
      </c>
      <c r="F3196" s="53" t="s">
        <v>1886</v>
      </c>
      <c r="G3196" s="97">
        <v>2.0</v>
      </c>
      <c r="H3196" s="97"/>
      <c r="I3196" s="97">
        <v>3.0</v>
      </c>
      <c r="J3196" s="98"/>
      <c r="K3196" s="99"/>
      <c r="L3196" s="98"/>
      <c r="M3196" s="99"/>
      <c r="N3196" s="99"/>
      <c r="O3196" s="18"/>
      <c r="P3196" s="100" t="b">
        <v>0</v>
      </c>
      <c r="Q3196" s="18"/>
      <c r="R3196" s="101">
        <f t="shared" si="3230"/>
        <v>5</v>
      </c>
      <c r="S3196" s="32">
        <v>11.03</v>
      </c>
      <c r="T3196" s="102" t="str">
        <f t="shared" si="2793"/>
        <v>+121</v>
      </c>
      <c r="U3196" s="18"/>
      <c r="V3196" s="103" t="str">
        <f>IF(ISBLANK($D3196), "0",)</f>
        <v/>
      </c>
      <c r="W3196" s="104" t="str">
        <f t="shared" si="2828"/>
        <v/>
      </c>
      <c r="X3196" s="105"/>
      <c r="Y3196" s="106"/>
      <c r="Z3196" s="26">
        <f t="shared" si="5"/>
        <v>-2</v>
      </c>
      <c r="AA3196" s="26">
        <f t="shared" si="6"/>
        <v>-3</v>
      </c>
      <c r="AB3196" s="32" t="str">
        <f t="shared" si="7"/>
        <v/>
      </c>
      <c r="AC3196" s="32" t="str">
        <f t="shared" ref="AC3196:AG3196" si="3274">IF(J3196&lt;&gt;"", IF(AND($P3196=FALSE, $A3196=FALSE), -J3196, IF(AND($P3196=FALSE, $A3196=TRUE), 0, IF($P3196=TRUE, (J3196 / $R3196) * 100 * ($S3196 / 100)-J3196, ))), )</f>
        <v/>
      </c>
      <c r="AD3196" s="32" t="str">
        <f t="shared" si="3274"/>
        <v/>
      </c>
      <c r="AE3196" s="32" t="str">
        <f t="shared" si="3274"/>
        <v/>
      </c>
      <c r="AF3196" s="32" t="str">
        <f t="shared" si="3274"/>
        <v/>
      </c>
      <c r="AG3196" s="32" t="str">
        <f t="shared" si="3274"/>
        <v/>
      </c>
      <c r="AH3196" s="33"/>
    </row>
    <row r="3197" hidden="1" outlineLevel="3">
      <c r="A3197" s="95" t="b">
        <v>0</v>
      </c>
      <c r="B3197" s="96"/>
      <c r="C3197" s="18"/>
      <c r="D3197" s="107"/>
      <c r="E3197" s="108"/>
      <c r="F3197" s="109"/>
      <c r="G3197" s="97"/>
      <c r="H3197" s="97"/>
      <c r="I3197" s="97"/>
      <c r="J3197" s="98"/>
      <c r="K3197" s="99"/>
      <c r="L3197" s="98"/>
      <c r="M3197" s="99"/>
      <c r="N3197" s="99"/>
      <c r="O3197" s="18"/>
      <c r="P3197" s="100" t="b">
        <v>0</v>
      </c>
      <c r="Q3197" s="18"/>
      <c r="R3197" s="101" t="str">
        <f t="shared" si="3230"/>
        <v/>
      </c>
      <c r="S3197" s="32"/>
      <c r="T3197" s="102" t="str">
        <f t="shared" si="2793"/>
        <v/>
      </c>
      <c r="U3197" s="18"/>
      <c r="V3197" s="113">
        <v>182.0</v>
      </c>
      <c r="W3197" s="104" t="str">
        <f t="shared" si="2828"/>
        <v>/</v>
      </c>
      <c r="X3197" s="111" t="s">
        <v>372</v>
      </c>
      <c r="Y3197" s="106"/>
      <c r="Z3197" s="26" t="str">
        <f t="shared" si="5"/>
        <v/>
      </c>
      <c r="AA3197" s="26" t="str">
        <f t="shared" si="6"/>
        <v/>
      </c>
      <c r="AB3197" s="32" t="str">
        <f t="shared" si="7"/>
        <v/>
      </c>
      <c r="AC3197" s="32" t="str">
        <f t="shared" ref="AC3197:AG3197" si="3275">IF(J3197&lt;&gt;"", IF(AND($P3197=FALSE, $A3197=FALSE), -J3197, IF(AND($P3197=FALSE, $A3197=TRUE), 0, IF($P3197=TRUE, (J3197 / $R3197) * 100 * ($S3197 / 100)-J3197, ))), )</f>
        <v/>
      </c>
      <c r="AD3197" s="32" t="str">
        <f t="shared" si="3275"/>
        <v/>
      </c>
      <c r="AE3197" s="32" t="str">
        <f t="shared" si="3275"/>
        <v/>
      </c>
      <c r="AF3197" s="32" t="str">
        <f t="shared" si="3275"/>
        <v/>
      </c>
      <c r="AG3197" s="32" t="str">
        <f t="shared" si="3275"/>
        <v/>
      </c>
      <c r="AH3197" s="33"/>
    </row>
    <row r="3198" hidden="1" outlineLevel="3">
      <c r="A3198" s="95" t="b">
        <v>0</v>
      </c>
      <c r="B3198" s="96"/>
      <c r="C3198" s="18"/>
      <c r="D3198" s="107"/>
      <c r="E3198" s="108"/>
      <c r="F3198" s="109"/>
      <c r="G3198" s="97"/>
      <c r="H3198" s="97"/>
      <c r="I3198" s="97"/>
      <c r="J3198" s="98"/>
      <c r="K3198" s="99"/>
      <c r="L3198" s="98"/>
      <c r="M3198" s="99"/>
      <c r="N3198" s="99"/>
      <c r="O3198" s="18"/>
      <c r="P3198" s="100" t="b">
        <v>0</v>
      </c>
      <c r="Q3198" s="18"/>
      <c r="R3198" s="101" t="str">
        <f t="shared" si="3230"/>
        <v/>
      </c>
      <c r="S3198" s="32"/>
      <c r="T3198" s="102" t="str">
        <f t="shared" si="2793"/>
        <v/>
      </c>
      <c r="U3198" s="18"/>
      <c r="V3198" s="75" t="s">
        <v>29</v>
      </c>
      <c r="W3198" s="104" t="str">
        <f t="shared" si="2828"/>
        <v>/</v>
      </c>
      <c r="X3198" s="111" t="s">
        <v>126</v>
      </c>
      <c r="Y3198" s="106"/>
      <c r="Z3198" s="26" t="str">
        <f t="shared" si="5"/>
        <v/>
      </c>
      <c r="AA3198" s="26" t="str">
        <f t="shared" si="6"/>
        <v/>
      </c>
      <c r="AB3198" s="32" t="str">
        <f t="shared" si="7"/>
        <v/>
      </c>
      <c r="AC3198" s="32" t="str">
        <f t="shared" ref="AC3198:AG3198" si="3276">IF(J3198&lt;&gt;"", IF(AND($P3198=FALSE, $A3198=FALSE), -J3198, IF(AND($P3198=FALSE, $A3198=TRUE), 0, IF($P3198=TRUE, (J3198 / $R3198) * 100 * ($S3198 / 100)-J3198, ))), )</f>
        <v/>
      </c>
      <c r="AD3198" s="32" t="str">
        <f t="shared" si="3276"/>
        <v/>
      </c>
      <c r="AE3198" s="32" t="str">
        <f t="shared" si="3276"/>
        <v/>
      </c>
      <c r="AF3198" s="32" t="str">
        <f t="shared" si="3276"/>
        <v/>
      </c>
      <c r="AG3198" s="32" t="str">
        <f t="shared" si="3276"/>
        <v/>
      </c>
      <c r="AH3198" s="33"/>
    </row>
    <row r="3199" hidden="1" outlineLevel="3">
      <c r="A3199" s="95" t="b">
        <v>0</v>
      </c>
      <c r="B3199" s="96"/>
      <c r="C3199" s="18"/>
      <c r="D3199" s="107"/>
      <c r="E3199" s="108"/>
      <c r="F3199" s="109"/>
      <c r="G3199" s="97"/>
      <c r="H3199" s="97"/>
      <c r="I3199" s="97"/>
      <c r="J3199" s="98"/>
      <c r="K3199" s="99"/>
      <c r="L3199" s="98"/>
      <c r="M3199" s="99"/>
      <c r="N3199" s="99"/>
      <c r="O3199" s="18"/>
      <c r="P3199" s="100" t="b">
        <v>0</v>
      </c>
      <c r="Q3199" s="18"/>
      <c r="R3199" s="101" t="str">
        <f t="shared" si="3230"/>
        <v/>
      </c>
      <c r="S3199" s="32"/>
      <c r="T3199" s="102" t="str">
        <f t="shared" si="2793"/>
        <v/>
      </c>
      <c r="U3199" s="18"/>
      <c r="V3199" s="113">
        <v>15.0</v>
      </c>
      <c r="W3199" s="104" t="str">
        <f t="shared" si="2828"/>
        <v>/</v>
      </c>
      <c r="X3199" s="111" t="s">
        <v>1900</v>
      </c>
      <c r="Y3199" s="106"/>
      <c r="Z3199" s="26" t="str">
        <f t="shared" si="5"/>
        <v/>
      </c>
      <c r="AA3199" s="26" t="str">
        <f t="shared" si="6"/>
        <v/>
      </c>
      <c r="AB3199" s="32" t="str">
        <f t="shared" si="7"/>
        <v/>
      </c>
      <c r="AC3199" s="32" t="str">
        <f t="shared" ref="AC3199:AG3199" si="3277">IF(J3199&lt;&gt;"", IF(AND($P3199=FALSE, $A3199=FALSE), -J3199, IF(AND($P3199=FALSE, $A3199=TRUE), 0, IF($P3199=TRUE, (J3199 / $R3199) * 100 * ($S3199 / 100)-J3199, ))), )</f>
        <v/>
      </c>
      <c r="AD3199" s="32" t="str">
        <f t="shared" si="3277"/>
        <v/>
      </c>
      <c r="AE3199" s="32" t="str">
        <f t="shared" si="3277"/>
        <v/>
      </c>
      <c r="AF3199" s="32" t="str">
        <f t="shared" si="3277"/>
        <v/>
      </c>
      <c r="AG3199" s="32" t="str">
        <f t="shared" si="3277"/>
        <v/>
      </c>
      <c r="AH3199" s="33"/>
    </row>
    <row r="3200" hidden="1" outlineLevel="3">
      <c r="A3200" s="95" t="b">
        <v>0</v>
      </c>
      <c r="B3200" s="96"/>
      <c r="C3200" s="18"/>
      <c r="D3200" s="107"/>
      <c r="E3200" s="108"/>
      <c r="F3200" s="109"/>
      <c r="G3200" s="97"/>
      <c r="H3200" s="97"/>
      <c r="I3200" s="97"/>
      <c r="J3200" s="98"/>
      <c r="K3200" s="99"/>
      <c r="L3200" s="98"/>
      <c r="M3200" s="99"/>
      <c r="N3200" s="99"/>
      <c r="O3200" s="18"/>
      <c r="P3200" s="100" t="b">
        <v>0</v>
      </c>
      <c r="Q3200" s="18"/>
      <c r="R3200" s="101" t="str">
        <f t="shared" si="3230"/>
        <v/>
      </c>
      <c r="S3200" s="32"/>
      <c r="T3200" s="102" t="str">
        <f t="shared" si="2793"/>
        <v/>
      </c>
      <c r="U3200" s="18"/>
      <c r="V3200" s="75" t="s">
        <v>29</v>
      </c>
      <c r="W3200" s="104" t="str">
        <f t="shared" si="2828"/>
        <v>/</v>
      </c>
      <c r="X3200" s="111" t="s">
        <v>1901</v>
      </c>
      <c r="Y3200" s="106"/>
      <c r="Z3200" s="26" t="str">
        <f t="shared" si="5"/>
        <v/>
      </c>
      <c r="AA3200" s="26" t="str">
        <f t="shared" si="6"/>
        <v/>
      </c>
      <c r="AB3200" s="32" t="str">
        <f t="shared" si="7"/>
        <v/>
      </c>
      <c r="AC3200" s="32" t="str">
        <f t="shared" ref="AC3200:AG3200" si="3278">IF(J3200&lt;&gt;"", IF(AND($P3200=FALSE, $A3200=FALSE), -J3200, IF(AND($P3200=FALSE, $A3200=TRUE), 0, IF($P3200=TRUE, (J3200 / $R3200) * 100 * ($S3200 / 100)-J3200, ))), )</f>
        <v/>
      </c>
      <c r="AD3200" s="32" t="str">
        <f t="shared" si="3278"/>
        <v/>
      </c>
      <c r="AE3200" s="32" t="str">
        <f t="shared" si="3278"/>
        <v/>
      </c>
      <c r="AF3200" s="32" t="str">
        <f t="shared" si="3278"/>
        <v/>
      </c>
      <c r="AG3200" s="32" t="str">
        <f t="shared" si="3278"/>
        <v/>
      </c>
      <c r="AH3200" s="33"/>
    </row>
    <row r="3201" hidden="1" outlineLevel="1" collapsed="1">
      <c r="A3201" s="95" t="b">
        <v>0</v>
      </c>
      <c r="B3201" s="96"/>
      <c r="C3201" s="18"/>
      <c r="D3201" s="42">
        <v>45651.0</v>
      </c>
      <c r="E3201" s="20" t="s">
        <v>24</v>
      </c>
      <c r="F3201" s="53" t="s">
        <v>1902</v>
      </c>
      <c r="G3201" s="97">
        <v>1.0</v>
      </c>
      <c r="H3201" s="97"/>
      <c r="I3201" s="97">
        <v>2.0</v>
      </c>
      <c r="J3201" s="98"/>
      <c r="K3201" s="99"/>
      <c r="L3201" s="98"/>
      <c r="M3201" s="99"/>
      <c r="N3201" s="99"/>
      <c r="O3201" s="18"/>
      <c r="P3201" s="100" t="b">
        <v>0</v>
      </c>
      <c r="Q3201" s="18"/>
      <c r="R3201" s="101">
        <f t="shared" si="3230"/>
        <v>3</v>
      </c>
      <c r="S3201" s="32">
        <v>10.44</v>
      </c>
      <c r="T3201" s="102" t="str">
        <f t="shared" si="2793"/>
        <v>+248</v>
      </c>
      <c r="U3201" s="18"/>
      <c r="V3201" s="103" t="str">
        <f>IF(ISBLANK($D3201), "0",)</f>
        <v/>
      </c>
      <c r="W3201" s="104" t="str">
        <f t="shared" si="2828"/>
        <v/>
      </c>
      <c r="X3201" s="105"/>
      <c r="Y3201" s="106"/>
      <c r="Z3201" s="26">
        <f t="shared" si="5"/>
        <v>-1</v>
      </c>
      <c r="AA3201" s="26">
        <f t="shared" si="6"/>
        <v>-2</v>
      </c>
      <c r="AB3201" s="32" t="str">
        <f t="shared" si="7"/>
        <v/>
      </c>
      <c r="AC3201" s="32" t="str">
        <f t="shared" ref="AC3201:AG3201" si="3279">IF(J3201&lt;&gt;"", IF(AND($P3201=FALSE, $A3201=FALSE), -J3201, IF(AND($P3201=FALSE, $A3201=TRUE), 0, IF($P3201=TRUE, (J3201 / $R3201) * 100 * ($S3201 / 100)-J3201, ))), )</f>
        <v/>
      </c>
      <c r="AD3201" s="32" t="str">
        <f t="shared" si="3279"/>
        <v/>
      </c>
      <c r="AE3201" s="32" t="str">
        <f t="shared" si="3279"/>
        <v/>
      </c>
      <c r="AF3201" s="32" t="str">
        <f t="shared" si="3279"/>
        <v/>
      </c>
      <c r="AG3201" s="32" t="str">
        <f t="shared" si="3279"/>
        <v/>
      </c>
      <c r="AH3201" s="33"/>
    </row>
    <row r="3202" hidden="1" outlineLevel="3">
      <c r="A3202" s="95" t="b">
        <v>0</v>
      </c>
      <c r="B3202" s="96"/>
      <c r="C3202" s="18"/>
      <c r="D3202" s="107"/>
      <c r="E3202" s="108"/>
      <c r="F3202" s="109"/>
      <c r="G3202" s="97"/>
      <c r="H3202" s="97"/>
      <c r="I3202" s="97"/>
      <c r="J3202" s="98"/>
      <c r="K3202" s="99"/>
      <c r="L3202" s="98"/>
      <c r="M3202" s="99"/>
      <c r="N3202" s="99"/>
      <c r="O3202" s="18"/>
      <c r="P3202" s="100" t="b">
        <v>0</v>
      </c>
      <c r="Q3202" s="18"/>
      <c r="R3202" s="101" t="str">
        <f t="shared" si="3230"/>
        <v/>
      </c>
      <c r="S3202" s="32"/>
      <c r="T3202" s="102" t="str">
        <f t="shared" si="2793"/>
        <v/>
      </c>
      <c r="U3202" s="18"/>
      <c r="V3202" s="75" t="s">
        <v>29</v>
      </c>
      <c r="W3202" s="104" t="str">
        <f t="shared" si="2828"/>
        <v>/</v>
      </c>
      <c r="X3202" s="111" t="s">
        <v>872</v>
      </c>
      <c r="Y3202" s="106"/>
      <c r="Z3202" s="26" t="str">
        <f t="shared" si="5"/>
        <v/>
      </c>
      <c r="AA3202" s="26" t="str">
        <f t="shared" si="6"/>
        <v/>
      </c>
      <c r="AB3202" s="32" t="str">
        <f t="shared" si="7"/>
        <v/>
      </c>
      <c r="AC3202" s="32" t="str">
        <f t="shared" ref="AC3202:AG3202" si="3280">IF(J3202&lt;&gt;"", IF(AND($P3202=FALSE, $A3202=FALSE), -J3202, IF(AND($P3202=FALSE, $A3202=TRUE), 0, IF($P3202=TRUE, (J3202 / $R3202) * 100 * ($S3202 / 100)-J3202, ))), )</f>
        <v/>
      </c>
      <c r="AD3202" s="32" t="str">
        <f t="shared" si="3280"/>
        <v/>
      </c>
      <c r="AE3202" s="32" t="str">
        <f t="shared" si="3280"/>
        <v/>
      </c>
      <c r="AF3202" s="32" t="str">
        <f t="shared" si="3280"/>
        <v/>
      </c>
      <c r="AG3202" s="32" t="str">
        <f t="shared" si="3280"/>
        <v/>
      </c>
      <c r="AH3202" s="33"/>
    </row>
    <row r="3203" hidden="1" outlineLevel="3">
      <c r="A3203" s="95" t="b">
        <v>0</v>
      </c>
      <c r="B3203" s="96"/>
      <c r="C3203" s="18"/>
      <c r="D3203" s="107"/>
      <c r="E3203" s="108"/>
      <c r="F3203" s="109"/>
      <c r="G3203" s="97"/>
      <c r="H3203" s="97"/>
      <c r="I3203" s="97"/>
      <c r="J3203" s="98"/>
      <c r="K3203" s="99"/>
      <c r="L3203" s="98"/>
      <c r="M3203" s="99"/>
      <c r="N3203" s="99"/>
      <c r="O3203" s="18"/>
      <c r="P3203" s="100" t="b">
        <v>0</v>
      </c>
      <c r="Q3203" s="18"/>
      <c r="R3203" s="101" t="str">
        <f t="shared" si="3230"/>
        <v/>
      </c>
      <c r="S3203" s="32"/>
      <c r="T3203" s="102" t="str">
        <f t="shared" si="2793"/>
        <v/>
      </c>
      <c r="U3203" s="18"/>
      <c r="V3203" s="103" t="str">
        <f t="shared" ref="V3203:V3204" si="3282">IF(ISBLANK($D3203), "0",)</f>
        <v>0</v>
      </c>
      <c r="W3203" s="104" t="str">
        <f t="shared" si="2828"/>
        <v>/</v>
      </c>
      <c r="X3203" s="111" t="s">
        <v>1069</v>
      </c>
      <c r="Y3203" s="106"/>
      <c r="Z3203" s="26" t="str">
        <f t="shared" si="5"/>
        <v/>
      </c>
      <c r="AA3203" s="26" t="str">
        <f t="shared" si="6"/>
        <v/>
      </c>
      <c r="AB3203" s="32" t="str">
        <f t="shared" si="7"/>
        <v/>
      </c>
      <c r="AC3203" s="32" t="str">
        <f t="shared" ref="AC3203:AG3203" si="3281">IF(J3203&lt;&gt;"", IF(AND($P3203=FALSE, $A3203=FALSE), -J3203, IF(AND($P3203=FALSE, $A3203=TRUE), 0, IF($P3203=TRUE, (J3203 / $R3203) * 100 * ($S3203 / 100)-J3203, ))), )</f>
        <v/>
      </c>
      <c r="AD3203" s="32" t="str">
        <f t="shared" si="3281"/>
        <v/>
      </c>
      <c r="AE3203" s="32" t="str">
        <f t="shared" si="3281"/>
        <v/>
      </c>
      <c r="AF3203" s="32" t="str">
        <f t="shared" si="3281"/>
        <v/>
      </c>
      <c r="AG3203" s="32" t="str">
        <f t="shared" si="3281"/>
        <v/>
      </c>
      <c r="AH3203" s="33"/>
    </row>
    <row r="3204" hidden="1" outlineLevel="2" collapsed="1">
      <c r="A3204" s="95" t="b">
        <v>0</v>
      </c>
      <c r="B3204" s="96"/>
      <c r="C3204" s="18"/>
      <c r="D3204" s="42">
        <v>45651.0</v>
      </c>
      <c r="E3204" s="20" t="s">
        <v>24</v>
      </c>
      <c r="F3204" s="53" t="s">
        <v>1902</v>
      </c>
      <c r="G3204" s="97">
        <v>3.0</v>
      </c>
      <c r="H3204" s="97"/>
      <c r="I3204" s="97">
        <v>3.0</v>
      </c>
      <c r="J3204" s="98"/>
      <c r="K3204" s="99"/>
      <c r="L3204" s="98"/>
      <c r="M3204" s="99"/>
      <c r="N3204" s="99"/>
      <c r="O3204" s="18"/>
      <c r="P3204" s="100" t="b">
        <v>0</v>
      </c>
      <c r="Q3204" s="18"/>
      <c r="R3204" s="101">
        <f t="shared" si="3230"/>
        <v>6</v>
      </c>
      <c r="S3204" s="32">
        <v>14.06</v>
      </c>
      <c r="T3204" s="102" t="str">
        <f t="shared" si="2793"/>
        <v>+134</v>
      </c>
      <c r="U3204" s="18"/>
      <c r="V3204" s="103" t="str">
        <f t="shared" si="3282"/>
        <v/>
      </c>
      <c r="W3204" s="104" t="str">
        <f t="shared" si="2828"/>
        <v/>
      </c>
      <c r="X3204" s="105"/>
      <c r="Y3204" s="106"/>
      <c r="Z3204" s="26">
        <f t="shared" si="5"/>
        <v>-3</v>
      </c>
      <c r="AA3204" s="26">
        <f t="shared" si="6"/>
        <v>-3</v>
      </c>
      <c r="AB3204" s="32" t="str">
        <f t="shared" si="7"/>
        <v/>
      </c>
      <c r="AC3204" s="32" t="str">
        <f t="shared" ref="AC3204:AG3204" si="3283">IF(J3204&lt;&gt;"", IF(AND($P3204=FALSE, $A3204=FALSE), -J3204, IF(AND($P3204=FALSE, $A3204=TRUE), 0, IF($P3204=TRUE, (J3204 / $R3204) * 100 * ($S3204 / 100)-J3204, ))), )</f>
        <v/>
      </c>
      <c r="AD3204" s="32" t="str">
        <f t="shared" si="3283"/>
        <v/>
      </c>
      <c r="AE3204" s="32" t="str">
        <f t="shared" si="3283"/>
        <v/>
      </c>
      <c r="AF3204" s="32" t="str">
        <f t="shared" si="3283"/>
        <v/>
      </c>
      <c r="AG3204" s="32" t="str">
        <f t="shared" si="3283"/>
        <v/>
      </c>
      <c r="AH3204" s="33"/>
    </row>
    <row r="3205" hidden="1" outlineLevel="3">
      <c r="A3205" s="95" t="b">
        <v>0</v>
      </c>
      <c r="B3205" s="96"/>
      <c r="C3205" s="18"/>
      <c r="D3205" s="107"/>
      <c r="E3205" s="108"/>
      <c r="F3205" s="109"/>
      <c r="G3205" s="97"/>
      <c r="H3205" s="97"/>
      <c r="I3205" s="97"/>
      <c r="J3205" s="98"/>
      <c r="K3205" s="99"/>
      <c r="L3205" s="98"/>
      <c r="M3205" s="99"/>
      <c r="N3205" s="99"/>
      <c r="O3205" s="18"/>
      <c r="P3205" s="100" t="b">
        <v>0</v>
      </c>
      <c r="Q3205" s="18"/>
      <c r="R3205" s="101" t="str">
        <f t="shared" si="3230"/>
        <v/>
      </c>
      <c r="S3205" s="32"/>
      <c r="T3205" s="102" t="str">
        <f t="shared" si="2793"/>
        <v/>
      </c>
      <c r="U3205" s="18"/>
      <c r="V3205" s="113">
        <v>179.0</v>
      </c>
      <c r="W3205" s="104" t="str">
        <f t="shared" si="2828"/>
        <v>/</v>
      </c>
      <c r="X3205" s="111" t="s">
        <v>1903</v>
      </c>
      <c r="Y3205" s="106"/>
      <c r="Z3205" s="26" t="str">
        <f t="shared" si="5"/>
        <v/>
      </c>
      <c r="AA3205" s="26" t="str">
        <f t="shared" si="6"/>
        <v/>
      </c>
      <c r="AB3205" s="32" t="str">
        <f t="shared" si="7"/>
        <v/>
      </c>
      <c r="AC3205" s="32" t="str">
        <f t="shared" ref="AC3205:AG3205" si="3284">IF(J3205&lt;&gt;"", IF(AND($P3205=FALSE, $A3205=FALSE), -J3205, IF(AND($P3205=FALSE, $A3205=TRUE), 0, IF($P3205=TRUE, (J3205 / $R3205) * 100 * ($S3205 / 100)-J3205, ))), )</f>
        <v/>
      </c>
      <c r="AD3205" s="32" t="str">
        <f t="shared" si="3284"/>
        <v/>
      </c>
      <c r="AE3205" s="32" t="str">
        <f t="shared" si="3284"/>
        <v/>
      </c>
      <c r="AF3205" s="32" t="str">
        <f t="shared" si="3284"/>
        <v/>
      </c>
      <c r="AG3205" s="32" t="str">
        <f t="shared" si="3284"/>
        <v/>
      </c>
      <c r="AH3205" s="33"/>
    </row>
    <row r="3206" hidden="1" outlineLevel="3">
      <c r="A3206" s="95" t="b">
        <v>0</v>
      </c>
      <c r="B3206" s="96"/>
      <c r="C3206" s="18"/>
      <c r="D3206" s="107"/>
      <c r="E3206" s="108"/>
      <c r="F3206" s="109"/>
      <c r="G3206" s="97"/>
      <c r="H3206" s="97"/>
      <c r="I3206" s="97"/>
      <c r="J3206" s="98"/>
      <c r="K3206" s="99"/>
      <c r="L3206" s="98"/>
      <c r="M3206" s="99"/>
      <c r="N3206" s="99"/>
      <c r="O3206" s="18"/>
      <c r="P3206" s="100" t="b">
        <v>0</v>
      </c>
      <c r="Q3206" s="18"/>
      <c r="R3206" s="101" t="str">
        <f t="shared" si="3230"/>
        <v/>
      </c>
      <c r="S3206" s="32"/>
      <c r="T3206" s="102" t="str">
        <f t="shared" si="2793"/>
        <v/>
      </c>
      <c r="U3206" s="18"/>
      <c r="V3206" s="113">
        <v>166.0</v>
      </c>
      <c r="W3206" s="104" t="str">
        <f t="shared" si="2828"/>
        <v>/</v>
      </c>
      <c r="X3206" s="111" t="s">
        <v>1781</v>
      </c>
      <c r="Y3206" s="106"/>
      <c r="Z3206" s="26" t="str">
        <f t="shared" si="5"/>
        <v/>
      </c>
      <c r="AA3206" s="26" t="str">
        <f t="shared" si="6"/>
        <v/>
      </c>
      <c r="AB3206" s="32" t="str">
        <f t="shared" si="7"/>
        <v/>
      </c>
      <c r="AC3206" s="32" t="str">
        <f t="shared" ref="AC3206:AG3206" si="3285">IF(J3206&lt;&gt;"", IF(AND($P3206=FALSE, $A3206=FALSE), -J3206, IF(AND($P3206=FALSE, $A3206=TRUE), 0, IF($P3206=TRUE, (J3206 / $R3206) * 100 * ($S3206 / 100)-J3206, ))), )</f>
        <v/>
      </c>
      <c r="AD3206" s="32" t="str">
        <f t="shared" si="3285"/>
        <v/>
      </c>
      <c r="AE3206" s="32" t="str">
        <f t="shared" si="3285"/>
        <v/>
      </c>
      <c r="AF3206" s="32" t="str">
        <f t="shared" si="3285"/>
        <v/>
      </c>
      <c r="AG3206" s="32" t="str">
        <f t="shared" si="3285"/>
        <v/>
      </c>
      <c r="AH3206" s="33"/>
    </row>
    <row r="3207" hidden="1" outlineLevel="3">
      <c r="A3207" s="95" t="b">
        <v>0</v>
      </c>
      <c r="B3207" s="96"/>
      <c r="C3207" s="18"/>
      <c r="D3207" s="107"/>
      <c r="E3207" s="108"/>
      <c r="F3207" s="109"/>
      <c r="G3207" s="97"/>
      <c r="H3207" s="97"/>
      <c r="I3207" s="97"/>
      <c r="J3207" s="98"/>
      <c r="K3207" s="99"/>
      <c r="L3207" s="98"/>
      <c r="M3207" s="99"/>
      <c r="N3207" s="99"/>
      <c r="O3207" s="18"/>
      <c r="P3207" s="100" t="b">
        <v>0</v>
      </c>
      <c r="Q3207" s="18"/>
      <c r="R3207" s="101" t="str">
        <f t="shared" si="3230"/>
        <v/>
      </c>
      <c r="S3207" s="32"/>
      <c r="T3207" s="102" t="str">
        <f t="shared" si="2793"/>
        <v/>
      </c>
      <c r="U3207" s="18"/>
      <c r="V3207" s="103" t="str">
        <f>IF(ISBLANK($D3207), "0",)</f>
        <v>0</v>
      </c>
      <c r="W3207" s="104" t="str">
        <f t="shared" si="2828"/>
        <v>/</v>
      </c>
      <c r="X3207" s="111" t="s">
        <v>1904</v>
      </c>
      <c r="Y3207" s="106"/>
      <c r="Z3207" s="26" t="str">
        <f t="shared" si="5"/>
        <v/>
      </c>
      <c r="AA3207" s="26" t="str">
        <f t="shared" si="6"/>
        <v/>
      </c>
      <c r="AB3207" s="32" t="str">
        <f t="shared" si="7"/>
        <v/>
      </c>
      <c r="AC3207" s="32" t="str">
        <f t="shared" ref="AC3207:AG3207" si="3286">IF(J3207&lt;&gt;"", IF(AND($P3207=FALSE, $A3207=FALSE), -J3207, IF(AND($P3207=FALSE, $A3207=TRUE), 0, IF($P3207=TRUE, (J3207 / $R3207) * 100 * ($S3207 / 100)-J3207, ))), )</f>
        <v/>
      </c>
      <c r="AD3207" s="32" t="str">
        <f t="shared" si="3286"/>
        <v/>
      </c>
      <c r="AE3207" s="32" t="str">
        <f t="shared" si="3286"/>
        <v/>
      </c>
      <c r="AF3207" s="32" t="str">
        <f t="shared" si="3286"/>
        <v/>
      </c>
      <c r="AG3207" s="32" t="str">
        <f t="shared" si="3286"/>
        <v/>
      </c>
      <c r="AH3207" s="33"/>
    </row>
    <row r="3208" hidden="1" outlineLevel="3">
      <c r="A3208" s="95" t="b">
        <v>0</v>
      </c>
      <c r="B3208" s="96"/>
      <c r="C3208" s="18"/>
      <c r="D3208" s="107"/>
      <c r="E3208" s="108"/>
      <c r="F3208" s="109"/>
      <c r="G3208" s="97"/>
      <c r="H3208" s="97"/>
      <c r="I3208" s="97"/>
      <c r="J3208" s="98"/>
      <c r="K3208" s="99"/>
      <c r="L3208" s="98"/>
      <c r="M3208" s="99"/>
      <c r="N3208" s="99"/>
      <c r="O3208" s="18"/>
      <c r="P3208" s="100" t="b">
        <v>0</v>
      </c>
      <c r="Q3208" s="18"/>
      <c r="R3208" s="101" t="str">
        <f t="shared" si="3230"/>
        <v/>
      </c>
      <c r="S3208" s="32"/>
      <c r="T3208" s="102" t="str">
        <f t="shared" si="2793"/>
        <v/>
      </c>
      <c r="U3208" s="18"/>
      <c r="V3208" s="113">
        <v>2.0</v>
      </c>
      <c r="W3208" s="104" t="str">
        <f t="shared" si="2828"/>
        <v>/</v>
      </c>
      <c r="X3208" s="111" t="s">
        <v>1905</v>
      </c>
      <c r="Y3208" s="106"/>
      <c r="Z3208" s="26" t="str">
        <f t="shared" si="5"/>
        <v/>
      </c>
      <c r="AA3208" s="26" t="str">
        <f t="shared" si="6"/>
        <v/>
      </c>
      <c r="AB3208" s="32" t="str">
        <f t="shared" si="7"/>
        <v/>
      </c>
      <c r="AC3208" s="32" t="str">
        <f t="shared" ref="AC3208:AG3208" si="3287">IF(J3208&lt;&gt;"", IF(AND($P3208=FALSE, $A3208=FALSE), -J3208, IF(AND($P3208=FALSE, $A3208=TRUE), 0, IF($P3208=TRUE, (J3208 / $R3208) * 100 * ($S3208 / 100)-J3208, ))), )</f>
        <v/>
      </c>
      <c r="AD3208" s="32" t="str">
        <f t="shared" si="3287"/>
        <v/>
      </c>
      <c r="AE3208" s="32" t="str">
        <f t="shared" si="3287"/>
        <v/>
      </c>
      <c r="AF3208" s="32" t="str">
        <f t="shared" si="3287"/>
        <v/>
      </c>
      <c r="AG3208" s="32" t="str">
        <f t="shared" si="3287"/>
        <v/>
      </c>
      <c r="AH3208" s="33"/>
    </row>
    <row r="3209" hidden="1" outlineLevel="3">
      <c r="A3209" s="95" t="b">
        <v>0</v>
      </c>
      <c r="B3209" s="96"/>
      <c r="C3209" s="18"/>
      <c r="D3209" s="107"/>
      <c r="E3209" s="108"/>
      <c r="F3209" s="109"/>
      <c r="G3209" s="97"/>
      <c r="H3209" s="97"/>
      <c r="I3209" s="97"/>
      <c r="J3209" s="98"/>
      <c r="K3209" s="99"/>
      <c r="L3209" s="98"/>
      <c r="M3209" s="99"/>
      <c r="N3209" s="99"/>
      <c r="O3209" s="18"/>
      <c r="P3209" s="100" t="b">
        <v>0</v>
      </c>
      <c r="Q3209" s="18"/>
      <c r="R3209" s="101" t="str">
        <f t="shared" si="3230"/>
        <v/>
      </c>
      <c r="S3209" s="32"/>
      <c r="T3209" s="102" t="str">
        <f t="shared" si="2793"/>
        <v/>
      </c>
      <c r="U3209" s="18"/>
      <c r="V3209" s="75" t="s">
        <v>29</v>
      </c>
      <c r="W3209" s="104" t="str">
        <f t="shared" si="2828"/>
        <v>/</v>
      </c>
      <c r="X3209" s="111" t="s">
        <v>1192</v>
      </c>
      <c r="Y3209" s="106"/>
      <c r="Z3209" s="26" t="str">
        <f t="shared" si="5"/>
        <v/>
      </c>
      <c r="AA3209" s="26" t="str">
        <f t="shared" si="6"/>
        <v/>
      </c>
      <c r="AB3209" s="32" t="str">
        <f t="shared" si="7"/>
        <v/>
      </c>
      <c r="AC3209" s="32" t="str">
        <f t="shared" ref="AC3209:AG3209" si="3288">IF(J3209&lt;&gt;"", IF(AND($P3209=FALSE, $A3209=FALSE), -J3209, IF(AND($P3209=FALSE, $A3209=TRUE), 0, IF($P3209=TRUE, (J3209 / $R3209) * 100 * ($S3209 / 100)-J3209, ))), )</f>
        <v/>
      </c>
      <c r="AD3209" s="32" t="str">
        <f t="shared" si="3288"/>
        <v/>
      </c>
      <c r="AE3209" s="32" t="str">
        <f t="shared" si="3288"/>
        <v/>
      </c>
      <c r="AF3209" s="32" t="str">
        <f t="shared" si="3288"/>
        <v/>
      </c>
      <c r="AG3209" s="32" t="str">
        <f t="shared" si="3288"/>
        <v/>
      </c>
      <c r="AH3209" s="33"/>
    </row>
    <row r="3210" hidden="1" outlineLevel="2">
      <c r="A3210" s="95" t="b">
        <v>0</v>
      </c>
      <c r="B3210" s="96"/>
      <c r="C3210" s="18"/>
      <c r="D3210" s="42">
        <v>45651.0</v>
      </c>
      <c r="E3210" s="20" t="s">
        <v>24</v>
      </c>
      <c r="F3210" s="53" t="s">
        <v>1902</v>
      </c>
      <c r="G3210" s="97">
        <v>3.0</v>
      </c>
      <c r="H3210" s="97"/>
      <c r="I3210" s="97">
        <v>3.0</v>
      </c>
      <c r="J3210" s="98"/>
      <c r="K3210" s="99"/>
      <c r="L3210" s="98"/>
      <c r="M3210" s="99"/>
      <c r="N3210" s="99"/>
      <c r="O3210" s="18"/>
      <c r="P3210" s="100" t="b">
        <v>0</v>
      </c>
      <c r="Q3210" s="18"/>
      <c r="R3210" s="101">
        <f t="shared" si="3230"/>
        <v>6</v>
      </c>
      <c r="S3210" s="32">
        <v>14.66</v>
      </c>
      <c r="T3210" s="102" t="str">
        <f t="shared" si="2793"/>
        <v>+144</v>
      </c>
      <c r="U3210" s="18"/>
      <c r="V3210" s="103" t="str">
        <f>IF(ISBLANK($D3210), "0",)</f>
        <v/>
      </c>
      <c r="W3210" s="104" t="str">
        <f t="shared" si="2828"/>
        <v/>
      </c>
      <c r="X3210" s="105"/>
      <c r="Y3210" s="106"/>
      <c r="Z3210" s="26">
        <f t="shared" si="5"/>
        <v>-3</v>
      </c>
      <c r="AA3210" s="26">
        <f t="shared" si="6"/>
        <v>-3</v>
      </c>
      <c r="AB3210" s="32" t="str">
        <f t="shared" si="7"/>
        <v/>
      </c>
      <c r="AC3210" s="32" t="str">
        <f t="shared" ref="AC3210:AG3210" si="3289">IF(J3210&lt;&gt;"", IF(AND($P3210=FALSE, $A3210=FALSE), -J3210, IF(AND($P3210=FALSE, $A3210=TRUE), 0, IF($P3210=TRUE, (J3210 / $R3210) * 100 * ($S3210 / 100)-J3210, ))), )</f>
        <v/>
      </c>
      <c r="AD3210" s="32" t="str">
        <f t="shared" si="3289"/>
        <v/>
      </c>
      <c r="AE3210" s="32" t="str">
        <f t="shared" si="3289"/>
        <v/>
      </c>
      <c r="AF3210" s="32" t="str">
        <f t="shared" si="3289"/>
        <v/>
      </c>
      <c r="AG3210" s="32" t="str">
        <f t="shared" si="3289"/>
        <v/>
      </c>
      <c r="AH3210" s="33"/>
    </row>
    <row r="3211" hidden="1" outlineLevel="3">
      <c r="A3211" s="95" t="b">
        <v>0</v>
      </c>
      <c r="B3211" s="96"/>
      <c r="C3211" s="18"/>
      <c r="D3211" s="107"/>
      <c r="E3211" s="108"/>
      <c r="F3211" s="109"/>
      <c r="G3211" s="97"/>
      <c r="H3211" s="97"/>
      <c r="I3211" s="97"/>
      <c r="J3211" s="98"/>
      <c r="K3211" s="99"/>
      <c r="L3211" s="98"/>
      <c r="M3211" s="99"/>
      <c r="N3211" s="99"/>
      <c r="O3211" s="18"/>
      <c r="P3211" s="100" t="b">
        <v>0</v>
      </c>
      <c r="Q3211" s="18"/>
      <c r="R3211" s="101" t="str">
        <f t="shared" si="3230"/>
        <v/>
      </c>
      <c r="S3211" s="32"/>
      <c r="T3211" s="102" t="str">
        <f t="shared" si="2793"/>
        <v/>
      </c>
      <c r="U3211" s="18"/>
      <c r="V3211" s="113">
        <v>3.0</v>
      </c>
      <c r="W3211" s="104" t="str">
        <f t="shared" si="2828"/>
        <v>/</v>
      </c>
      <c r="X3211" s="111" t="s">
        <v>1906</v>
      </c>
      <c r="Y3211" s="106"/>
      <c r="Z3211" s="26" t="str">
        <f t="shared" si="5"/>
        <v/>
      </c>
      <c r="AA3211" s="26" t="str">
        <f t="shared" si="6"/>
        <v/>
      </c>
      <c r="AB3211" s="32" t="str">
        <f t="shared" si="7"/>
        <v/>
      </c>
      <c r="AC3211" s="32" t="str">
        <f t="shared" ref="AC3211:AG3211" si="3290">IF(J3211&lt;&gt;"", IF(AND($P3211=FALSE, $A3211=FALSE), -J3211, IF(AND($P3211=FALSE, $A3211=TRUE), 0, IF($P3211=TRUE, (J3211 / $R3211) * 100 * ($S3211 / 100)-J3211, ))), )</f>
        <v/>
      </c>
      <c r="AD3211" s="32" t="str">
        <f t="shared" si="3290"/>
        <v/>
      </c>
      <c r="AE3211" s="32" t="str">
        <f t="shared" si="3290"/>
        <v/>
      </c>
      <c r="AF3211" s="32" t="str">
        <f t="shared" si="3290"/>
        <v/>
      </c>
      <c r="AG3211" s="32" t="str">
        <f t="shared" si="3290"/>
        <v/>
      </c>
      <c r="AH3211" s="33"/>
    </row>
    <row r="3212" hidden="1" outlineLevel="3">
      <c r="A3212" s="95" t="b">
        <v>0</v>
      </c>
      <c r="B3212" s="96"/>
      <c r="C3212" s="18"/>
      <c r="D3212" s="107"/>
      <c r="E3212" s="108"/>
      <c r="F3212" s="109"/>
      <c r="G3212" s="97"/>
      <c r="H3212" s="97"/>
      <c r="I3212" s="97"/>
      <c r="J3212" s="98"/>
      <c r="K3212" s="99"/>
      <c r="L3212" s="98"/>
      <c r="M3212" s="99"/>
      <c r="N3212" s="99"/>
      <c r="O3212" s="18"/>
      <c r="P3212" s="100" t="b">
        <v>0</v>
      </c>
      <c r="Q3212" s="18"/>
      <c r="R3212" s="101" t="str">
        <f t="shared" si="3230"/>
        <v/>
      </c>
      <c r="S3212" s="32"/>
      <c r="T3212" s="102" t="str">
        <f t="shared" si="2793"/>
        <v/>
      </c>
      <c r="U3212" s="18"/>
      <c r="V3212" s="113">
        <v>59.0</v>
      </c>
      <c r="W3212" s="104" t="str">
        <f t="shared" si="2828"/>
        <v>/</v>
      </c>
      <c r="X3212" s="111" t="s">
        <v>1907</v>
      </c>
      <c r="Y3212" s="106"/>
      <c r="Z3212" s="26" t="str">
        <f t="shared" si="5"/>
        <v/>
      </c>
      <c r="AA3212" s="26" t="str">
        <f t="shared" si="6"/>
        <v/>
      </c>
      <c r="AB3212" s="32" t="str">
        <f t="shared" si="7"/>
        <v/>
      </c>
      <c r="AC3212" s="32" t="str">
        <f t="shared" ref="AC3212:AG3212" si="3291">IF(J3212&lt;&gt;"", IF(AND($P3212=FALSE, $A3212=FALSE), -J3212, IF(AND($P3212=FALSE, $A3212=TRUE), 0, IF($P3212=TRUE, (J3212 / $R3212) * 100 * ($S3212 / 100)-J3212, ))), )</f>
        <v/>
      </c>
      <c r="AD3212" s="32" t="str">
        <f t="shared" si="3291"/>
        <v/>
      </c>
      <c r="AE3212" s="32" t="str">
        <f t="shared" si="3291"/>
        <v/>
      </c>
      <c r="AF3212" s="32" t="str">
        <f t="shared" si="3291"/>
        <v/>
      </c>
      <c r="AG3212" s="32" t="str">
        <f t="shared" si="3291"/>
        <v/>
      </c>
      <c r="AH3212" s="33"/>
    </row>
    <row r="3213" hidden="1" outlineLevel="3">
      <c r="A3213" s="95" t="b">
        <v>0</v>
      </c>
      <c r="B3213" s="96"/>
      <c r="C3213" s="18"/>
      <c r="D3213" s="107"/>
      <c r="E3213" s="108"/>
      <c r="F3213" s="109"/>
      <c r="G3213" s="97"/>
      <c r="H3213" s="97"/>
      <c r="I3213" s="97"/>
      <c r="J3213" s="98"/>
      <c r="K3213" s="99"/>
      <c r="L3213" s="98"/>
      <c r="M3213" s="99"/>
      <c r="N3213" s="99"/>
      <c r="O3213" s="18"/>
      <c r="P3213" s="100" t="b">
        <v>0</v>
      </c>
      <c r="Q3213" s="18"/>
      <c r="R3213" s="101" t="str">
        <f t="shared" si="3230"/>
        <v/>
      </c>
      <c r="S3213" s="32"/>
      <c r="T3213" s="102" t="str">
        <f t="shared" si="2793"/>
        <v/>
      </c>
      <c r="U3213" s="18"/>
      <c r="V3213" s="75" t="s">
        <v>29</v>
      </c>
      <c r="W3213" s="104" t="str">
        <f t="shared" si="2828"/>
        <v>/</v>
      </c>
      <c r="X3213" s="111" t="s">
        <v>1778</v>
      </c>
      <c r="Y3213" s="106"/>
      <c r="Z3213" s="26" t="str">
        <f t="shared" si="5"/>
        <v/>
      </c>
      <c r="AA3213" s="26" t="str">
        <f t="shared" si="6"/>
        <v/>
      </c>
      <c r="AB3213" s="32" t="str">
        <f t="shared" si="7"/>
        <v/>
      </c>
      <c r="AC3213" s="32" t="str">
        <f t="shared" ref="AC3213:AG3213" si="3292">IF(J3213&lt;&gt;"", IF(AND($P3213=FALSE, $A3213=FALSE), -J3213, IF(AND($P3213=FALSE, $A3213=TRUE), 0, IF($P3213=TRUE, (J3213 / $R3213) * 100 * ($S3213 / 100)-J3213, ))), )</f>
        <v/>
      </c>
      <c r="AD3213" s="32" t="str">
        <f t="shared" si="3292"/>
        <v/>
      </c>
      <c r="AE3213" s="32" t="str">
        <f t="shared" si="3292"/>
        <v/>
      </c>
      <c r="AF3213" s="32" t="str">
        <f t="shared" si="3292"/>
        <v/>
      </c>
      <c r="AG3213" s="32" t="str">
        <f t="shared" si="3292"/>
        <v/>
      </c>
      <c r="AH3213" s="33"/>
    </row>
    <row r="3214" hidden="1" outlineLevel="3">
      <c r="A3214" s="95" t="b">
        <v>0</v>
      </c>
      <c r="B3214" s="96"/>
      <c r="C3214" s="18"/>
      <c r="D3214" s="107"/>
      <c r="E3214" s="108"/>
      <c r="F3214" s="109"/>
      <c r="G3214" s="97"/>
      <c r="H3214" s="97"/>
      <c r="I3214" s="97"/>
      <c r="J3214" s="98"/>
      <c r="K3214" s="99"/>
      <c r="L3214" s="98"/>
      <c r="M3214" s="99"/>
      <c r="N3214" s="99"/>
      <c r="O3214" s="18"/>
      <c r="P3214" s="100" t="b">
        <v>0</v>
      </c>
      <c r="Q3214" s="18"/>
      <c r="R3214" s="101" t="str">
        <f t="shared" si="3230"/>
        <v/>
      </c>
      <c r="S3214" s="32"/>
      <c r="T3214" s="102" t="str">
        <f t="shared" si="2793"/>
        <v/>
      </c>
      <c r="U3214" s="18"/>
      <c r="V3214" s="113">
        <v>18.0</v>
      </c>
      <c r="W3214" s="104" t="str">
        <f t="shared" si="2828"/>
        <v>/</v>
      </c>
      <c r="X3214" s="111" t="s">
        <v>141</v>
      </c>
      <c r="Y3214" s="106"/>
      <c r="Z3214" s="26" t="str">
        <f t="shared" si="5"/>
        <v/>
      </c>
      <c r="AA3214" s="26" t="str">
        <f t="shared" si="6"/>
        <v/>
      </c>
      <c r="AB3214" s="32" t="str">
        <f t="shared" si="7"/>
        <v/>
      </c>
      <c r="AC3214" s="32" t="str">
        <f t="shared" ref="AC3214:AG3214" si="3293">IF(J3214&lt;&gt;"", IF(AND($P3214=FALSE, $A3214=FALSE), -J3214, IF(AND($P3214=FALSE, $A3214=TRUE), 0, IF($P3214=TRUE, (J3214 / $R3214) * 100 * ($S3214 / 100)-J3214, ))), )</f>
        <v/>
      </c>
      <c r="AD3214" s="32" t="str">
        <f t="shared" si="3293"/>
        <v/>
      </c>
      <c r="AE3214" s="32" t="str">
        <f t="shared" si="3293"/>
        <v/>
      </c>
      <c r="AF3214" s="32" t="str">
        <f t="shared" si="3293"/>
        <v/>
      </c>
      <c r="AG3214" s="32" t="str">
        <f t="shared" si="3293"/>
        <v/>
      </c>
      <c r="AH3214" s="33"/>
    </row>
    <row r="3215" hidden="1" outlineLevel="2" collapsed="1">
      <c r="A3215" s="95" t="b">
        <v>0</v>
      </c>
      <c r="B3215" s="96"/>
      <c r="C3215" s="18"/>
      <c r="D3215" s="42">
        <v>45651.0</v>
      </c>
      <c r="E3215" s="20" t="s">
        <v>24</v>
      </c>
      <c r="F3215" s="53" t="s">
        <v>1902</v>
      </c>
      <c r="G3215" s="97">
        <v>3.0</v>
      </c>
      <c r="H3215" s="97"/>
      <c r="I3215" s="97">
        <v>4.0</v>
      </c>
      <c r="J3215" s="98"/>
      <c r="K3215" s="99"/>
      <c r="L3215" s="98"/>
      <c r="M3215" s="99"/>
      <c r="N3215" s="99"/>
      <c r="O3215" s="18"/>
      <c r="P3215" s="100" t="b">
        <v>0</v>
      </c>
      <c r="Q3215" s="18"/>
      <c r="R3215" s="101">
        <f t="shared" si="3230"/>
        <v>7</v>
      </c>
      <c r="S3215" s="32">
        <v>13.09</v>
      </c>
      <c r="T3215" s="102">
        <f t="shared" si="2793"/>
        <v>-115</v>
      </c>
      <c r="U3215" s="18"/>
      <c r="V3215" s="103" t="str">
        <f>IF(ISBLANK($D3215), "0",)</f>
        <v/>
      </c>
      <c r="W3215" s="104" t="str">
        <f t="shared" si="2828"/>
        <v/>
      </c>
      <c r="X3215" s="105"/>
      <c r="Y3215" s="106"/>
      <c r="Z3215" s="26">
        <f t="shared" si="5"/>
        <v>-3</v>
      </c>
      <c r="AA3215" s="26">
        <f t="shared" si="6"/>
        <v>-4</v>
      </c>
      <c r="AB3215" s="32" t="str">
        <f t="shared" si="7"/>
        <v/>
      </c>
      <c r="AC3215" s="32" t="str">
        <f t="shared" ref="AC3215:AG3215" si="3294">IF(J3215&lt;&gt;"", IF(AND($P3215=FALSE, $A3215=FALSE), -J3215, IF(AND($P3215=FALSE, $A3215=TRUE), 0, IF($P3215=TRUE, (J3215 / $R3215) * 100 * ($S3215 / 100)-J3215, ))), )</f>
        <v/>
      </c>
      <c r="AD3215" s="32" t="str">
        <f t="shared" si="3294"/>
        <v/>
      </c>
      <c r="AE3215" s="32" t="str">
        <f t="shared" si="3294"/>
        <v/>
      </c>
      <c r="AF3215" s="32" t="str">
        <f t="shared" si="3294"/>
        <v/>
      </c>
      <c r="AG3215" s="32" t="str">
        <f t="shared" si="3294"/>
        <v/>
      </c>
      <c r="AH3215" s="33"/>
    </row>
    <row r="3216" hidden="1" outlineLevel="3">
      <c r="A3216" s="95" t="b">
        <v>0</v>
      </c>
      <c r="B3216" s="96"/>
      <c r="C3216" s="18"/>
      <c r="D3216" s="107"/>
      <c r="E3216" s="108"/>
      <c r="F3216" s="109"/>
      <c r="G3216" s="97"/>
      <c r="H3216" s="97"/>
      <c r="I3216" s="97"/>
      <c r="J3216" s="98"/>
      <c r="K3216" s="99"/>
      <c r="L3216" s="98"/>
      <c r="M3216" s="99"/>
      <c r="N3216" s="99"/>
      <c r="O3216" s="18"/>
      <c r="P3216" s="100" t="b">
        <v>0</v>
      </c>
      <c r="Q3216" s="18"/>
      <c r="R3216" s="101" t="str">
        <f t="shared" si="3230"/>
        <v/>
      </c>
      <c r="S3216" s="32"/>
      <c r="T3216" s="102" t="str">
        <f t="shared" si="2793"/>
        <v/>
      </c>
      <c r="U3216" s="18"/>
      <c r="V3216" s="75">
        <v>0.0</v>
      </c>
      <c r="W3216" s="104" t="str">
        <f t="shared" si="2828"/>
        <v>/</v>
      </c>
      <c r="X3216" s="111" t="s">
        <v>1908</v>
      </c>
      <c r="Y3216" s="106"/>
      <c r="Z3216" s="26" t="str">
        <f t="shared" si="5"/>
        <v/>
      </c>
      <c r="AA3216" s="26" t="str">
        <f t="shared" si="6"/>
        <v/>
      </c>
      <c r="AB3216" s="32" t="str">
        <f t="shared" si="7"/>
        <v/>
      </c>
      <c r="AC3216" s="32" t="str">
        <f t="shared" ref="AC3216:AG3216" si="3295">IF(J3216&lt;&gt;"", IF(AND($P3216=FALSE, $A3216=FALSE), -J3216, IF(AND($P3216=FALSE, $A3216=TRUE), 0, IF($P3216=TRUE, (J3216 / $R3216) * 100 * ($S3216 / 100)-J3216, ))), )</f>
        <v/>
      </c>
      <c r="AD3216" s="32" t="str">
        <f t="shared" si="3295"/>
        <v/>
      </c>
      <c r="AE3216" s="32" t="str">
        <f t="shared" si="3295"/>
        <v/>
      </c>
      <c r="AF3216" s="32" t="str">
        <f t="shared" si="3295"/>
        <v/>
      </c>
      <c r="AG3216" s="32" t="str">
        <f t="shared" si="3295"/>
        <v/>
      </c>
      <c r="AH3216" s="33"/>
    </row>
    <row r="3217" hidden="1" outlineLevel="2" collapsed="1">
      <c r="A3217" s="95" t="b">
        <v>0</v>
      </c>
      <c r="B3217" s="96"/>
      <c r="C3217" s="18"/>
      <c r="D3217" s="42">
        <v>45651.0</v>
      </c>
      <c r="E3217" s="20" t="s">
        <v>24</v>
      </c>
      <c r="F3217" s="53" t="s">
        <v>1902</v>
      </c>
      <c r="G3217" s="97">
        <v>1.0</v>
      </c>
      <c r="H3217" s="97"/>
      <c r="I3217" s="97">
        <v>2.0</v>
      </c>
      <c r="J3217" s="98"/>
      <c r="K3217" s="99"/>
      <c r="L3217" s="98"/>
      <c r="M3217" s="99"/>
      <c r="N3217" s="99"/>
      <c r="O3217" s="18"/>
      <c r="P3217" s="100" t="b">
        <v>0</v>
      </c>
      <c r="Q3217" s="18"/>
      <c r="R3217" s="101">
        <f t="shared" si="3230"/>
        <v>3</v>
      </c>
      <c r="S3217" s="32">
        <v>18.0</v>
      </c>
      <c r="T3217" s="102" t="str">
        <f t="shared" si="2793"/>
        <v>+500</v>
      </c>
      <c r="U3217" s="18"/>
      <c r="V3217" s="103" t="str">
        <f t="shared" ref="V3217:V3219" si="3297">IF(ISBLANK($D3217), "0",)</f>
        <v/>
      </c>
      <c r="W3217" s="104" t="str">
        <f t="shared" si="2828"/>
        <v/>
      </c>
      <c r="X3217" s="105"/>
      <c r="Y3217" s="106"/>
      <c r="Z3217" s="26">
        <f t="shared" si="5"/>
        <v>-1</v>
      </c>
      <c r="AA3217" s="26">
        <f t="shared" si="6"/>
        <v>-2</v>
      </c>
      <c r="AB3217" s="32" t="str">
        <f t="shared" si="7"/>
        <v/>
      </c>
      <c r="AC3217" s="32" t="str">
        <f t="shared" ref="AC3217:AG3217" si="3296">IF(J3217&lt;&gt;"", IF(AND($P3217=FALSE, $A3217=FALSE), -J3217, IF(AND($P3217=FALSE, $A3217=TRUE), 0, IF($P3217=TRUE, (J3217 / $R3217) * 100 * ($S3217 / 100)-J3217, ))), )</f>
        <v/>
      </c>
      <c r="AD3217" s="32" t="str">
        <f t="shared" si="3296"/>
        <v/>
      </c>
      <c r="AE3217" s="32" t="str">
        <f t="shared" si="3296"/>
        <v/>
      </c>
      <c r="AF3217" s="32" t="str">
        <f t="shared" si="3296"/>
        <v/>
      </c>
      <c r="AG3217" s="32" t="str">
        <f t="shared" si="3296"/>
        <v/>
      </c>
      <c r="AH3217" s="33"/>
    </row>
    <row r="3218" hidden="1" outlineLevel="3">
      <c r="A3218" s="95" t="b">
        <v>0</v>
      </c>
      <c r="B3218" s="96"/>
      <c r="C3218" s="18"/>
      <c r="D3218" s="42"/>
      <c r="E3218" s="20"/>
      <c r="F3218" s="53"/>
      <c r="G3218" s="97"/>
      <c r="H3218" s="97"/>
      <c r="I3218" s="97"/>
      <c r="J3218" s="98"/>
      <c r="K3218" s="99"/>
      <c r="L3218" s="98"/>
      <c r="M3218" s="99"/>
      <c r="N3218" s="99"/>
      <c r="O3218" s="18"/>
      <c r="P3218" s="100"/>
      <c r="Q3218" s="18"/>
      <c r="R3218" s="101"/>
      <c r="S3218" s="32"/>
      <c r="T3218" s="102" t="str">
        <f t="shared" si="2793"/>
        <v/>
      </c>
      <c r="U3218" s="18"/>
      <c r="V3218" s="103" t="str">
        <f t="shared" si="3297"/>
        <v>0</v>
      </c>
      <c r="W3218" s="104" t="str">
        <f t="shared" si="2828"/>
        <v>/</v>
      </c>
      <c r="X3218" s="111" t="s">
        <v>1909</v>
      </c>
      <c r="Y3218" s="106"/>
      <c r="Z3218" s="26" t="str">
        <f t="shared" si="5"/>
        <v/>
      </c>
      <c r="AA3218" s="26" t="str">
        <f t="shared" si="6"/>
        <v/>
      </c>
      <c r="AB3218" s="32" t="str">
        <f t="shared" si="7"/>
        <v/>
      </c>
      <c r="AC3218" s="32" t="str">
        <f t="shared" ref="AC3218:AG3218" si="3298">IF(J3218&lt;&gt;"", IF(AND($P3218=FALSE, $A3218=FALSE), -J3218, IF(AND($P3218=FALSE, $A3218=TRUE), 0, IF($P3218=TRUE, (J3218 / $R3218) * 100 * ($S3218 / 100)-J3218, ))), )</f>
        <v/>
      </c>
      <c r="AD3218" s="32" t="str">
        <f t="shared" si="3298"/>
        <v/>
      </c>
      <c r="AE3218" s="32" t="str">
        <f t="shared" si="3298"/>
        <v/>
      </c>
      <c r="AF3218" s="32" t="str">
        <f t="shared" si="3298"/>
        <v/>
      </c>
      <c r="AG3218" s="32" t="str">
        <f t="shared" si="3298"/>
        <v/>
      </c>
      <c r="AH3218" s="33"/>
    </row>
    <row r="3219" hidden="1" outlineLevel="1" collapsed="1">
      <c r="A3219" s="95" t="b">
        <v>0</v>
      </c>
      <c r="B3219" s="96"/>
      <c r="C3219" s="18"/>
      <c r="D3219" s="42">
        <v>45652.0</v>
      </c>
      <c r="E3219" s="20" t="s">
        <v>24</v>
      </c>
      <c r="F3219" s="53" t="s">
        <v>1902</v>
      </c>
      <c r="G3219" s="97">
        <v>4.0</v>
      </c>
      <c r="H3219" s="97"/>
      <c r="I3219" s="97">
        <v>4.0</v>
      </c>
      <c r="J3219" s="98"/>
      <c r="K3219" s="99"/>
      <c r="L3219" s="98"/>
      <c r="M3219" s="99"/>
      <c r="N3219" s="99"/>
      <c r="O3219" s="18"/>
      <c r="P3219" s="100" t="b">
        <v>0</v>
      </c>
      <c r="Q3219" s="18"/>
      <c r="R3219" s="101">
        <f t="shared" ref="R3219:R3285" si="3300">IF(G3219 &lt;&gt; "",SUM(G3219:O3219),)</f>
        <v>8</v>
      </c>
      <c r="S3219" s="32">
        <v>15.27</v>
      </c>
      <c r="T3219" s="102">
        <f t="shared" si="2793"/>
        <v>-110</v>
      </c>
      <c r="U3219" s="18"/>
      <c r="V3219" s="103" t="str">
        <f t="shared" si="3297"/>
        <v/>
      </c>
      <c r="W3219" s="104" t="str">
        <f t="shared" si="2828"/>
        <v/>
      </c>
      <c r="X3219" s="105"/>
      <c r="Y3219" s="106"/>
      <c r="Z3219" s="26">
        <f t="shared" si="5"/>
        <v>-4</v>
      </c>
      <c r="AA3219" s="26">
        <f t="shared" si="6"/>
        <v>-4</v>
      </c>
      <c r="AB3219" s="32" t="str">
        <f t="shared" si="7"/>
        <v/>
      </c>
      <c r="AC3219" s="32" t="str">
        <f t="shared" ref="AC3219:AG3219" si="3299">IF(J3219&lt;&gt;"", IF(AND($P3219=FALSE, $A3219=FALSE), -J3219, IF(AND($P3219=FALSE, $A3219=TRUE), 0, IF($P3219=TRUE, (J3219 / $R3219) * 100 * ($S3219 / 100)-J3219, ))), )</f>
        <v/>
      </c>
      <c r="AD3219" s="32" t="str">
        <f t="shared" si="3299"/>
        <v/>
      </c>
      <c r="AE3219" s="32" t="str">
        <f t="shared" si="3299"/>
        <v/>
      </c>
      <c r="AF3219" s="32" t="str">
        <f t="shared" si="3299"/>
        <v/>
      </c>
      <c r="AG3219" s="32" t="str">
        <f t="shared" si="3299"/>
        <v/>
      </c>
      <c r="AH3219" s="33"/>
    </row>
    <row r="3220" hidden="1" outlineLevel="3">
      <c r="A3220" s="95" t="b">
        <v>0</v>
      </c>
      <c r="B3220" s="96"/>
      <c r="C3220" s="18"/>
      <c r="D3220" s="107"/>
      <c r="E3220" s="108"/>
      <c r="F3220" s="109"/>
      <c r="G3220" s="97"/>
      <c r="H3220" s="97"/>
      <c r="I3220" s="97"/>
      <c r="J3220" s="98"/>
      <c r="K3220" s="99"/>
      <c r="L3220" s="98"/>
      <c r="M3220" s="99"/>
      <c r="N3220" s="99"/>
      <c r="O3220" s="18"/>
      <c r="P3220" s="100" t="b">
        <v>0</v>
      </c>
      <c r="Q3220" s="18"/>
      <c r="R3220" s="101" t="str">
        <f t="shared" si="3300"/>
        <v/>
      </c>
      <c r="S3220" s="32"/>
      <c r="T3220" s="102" t="str">
        <f t="shared" si="2793"/>
        <v/>
      </c>
      <c r="U3220" s="18"/>
      <c r="V3220" s="113">
        <v>57.0</v>
      </c>
      <c r="W3220" s="104" t="str">
        <f t="shared" si="2828"/>
        <v>/</v>
      </c>
      <c r="X3220" s="111" t="s">
        <v>1910</v>
      </c>
      <c r="Y3220" s="106"/>
      <c r="Z3220" s="26" t="str">
        <f t="shared" si="5"/>
        <v/>
      </c>
      <c r="AA3220" s="26" t="str">
        <f t="shared" si="6"/>
        <v/>
      </c>
      <c r="AB3220" s="32" t="str">
        <f t="shared" si="7"/>
        <v/>
      </c>
      <c r="AC3220" s="32" t="str">
        <f t="shared" ref="AC3220:AG3220" si="3301">IF(J3220&lt;&gt;"", IF(AND($P3220=FALSE, $A3220=FALSE), -J3220, IF(AND($P3220=FALSE, $A3220=TRUE), 0, IF($P3220=TRUE, (J3220 / $R3220) * 100 * ($S3220 / 100)-J3220, ))), )</f>
        <v/>
      </c>
      <c r="AD3220" s="32" t="str">
        <f t="shared" si="3301"/>
        <v/>
      </c>
      <c r="AE3220" s="32" t="str">
        <f t="shared" si="3301"/>
        <v/>
      </c>
      <c r="AF3220" s="32" t="str">
        <f t="shared" si="3301"/>
        <v/>
      </c>
      <c r="AG3220" s="32" t="str">
        <f t="shared" si="3301"/>
        <v/>
      </c>
      <c r="AH3220" s="33"/>
    </row>
    <row r="3221" hidden="1" outlineLevel="2" collapsed="1">
      <c r="A3221" s="95" t="b">
        <v>0</v>
      </c>
      <c r="B3221" s="96"/>
      <c r="C3221" s="18"/>
      <c r="D3221" s="42">
        <v>45652.0</v>
      </c>
      <c r="E3221" s="20" t="s">
        <v>24</v>
      </c>
      <c r="F3221" s="53" t="s">
        <v>1902</v>
      </c>
      <c r="G3221" s="97">
        <v>2.0</v>
      </c>
      <c r="H3221" s="97"/>
      <c r="I3221" s="97">
        <v>3.0</v>
      </c>
      <c r="J3221" s="98"/>
      <c r="K3221" s="99"/>
      <c r="L3221" s="98"/>
      <c r="M3221" s="99"/>
      <c r="N3221" s="99"/>
      <c r="O3221" s="18"/>
      <c r="P3221" s="100" t="b">
        <v>0</v>
      </c>
      <c r="Q3221" s="18"/>
      <c r="R3221" s="101">
        <f t="shared" si="3300"/>
        <v>5</v>
      </c>
      <c r="S3221" s="32">
        <v>9.63</v>
      </c>
      <c r="T3221" s="102">
        <f t="shared" si="2793"/>
        <v>-108</v>
      </c>
      <c r="U3221" s="18"/>
      <c r="V3221" s="103" t="str">
        <f>IF(ISBLANK($D3221), "0",)</f>
        <v/>
      </c>
      <c r="W3221" s="104" t="str">
        <f t="shared" si="2828"/>
        <v/>
      </c>
      <c r="X3221" s="105"/>
      <c r="Y3221" s="106"/>
      <c r="Z3221" s="26">
        <f t="shared" si="5"/>
        <v>-2</v>
      </c>
      <c r="AA3221" s="26">
        <f t="shared" si="6"/>
        <v>-3</v>
      </c>
      <c r="AB3221" s="32" t="str">
        <f t="shared" si="7"/>
        <v/>
      </c>
      <c r="AC3221" s="32" t="str">
        <f t="shared" ref="AC3221:AG3221" si="3302">IF(J3221&lt;&gt;"", IF(AND($P3221=FALSE, $A3221=FALSE), -J3221, IF(AND($P3221=FALSE, $A3221=TRUE), 0, IF($P3221=TRUE, (J3221 / $R3221) * 100 * ($S3221 / 100)-J3221, ))), )</f>
        <v/>
      </c>
      <c r="AD3221" s="32" t="str">
        <f t="shared" si="3302"/>
        <v/>
      </c>
      <c r="AE3221" s="32" t="str">
        <f t="shared" si="3302"/>
        <v/>
      </c>
      <c r="AF3221" s="32" t="str">
        <f t="shared" si="3302"/>
        <v/>
      </c>
      <c r="AG3221" s="32" t="str">
        <f t="shared" si="3302"/>
        <v/>
      </c>
      <c r="AH3221" s="33"/>
    </row>
    <row r="3222" hidden="1" outlineLevel="3">
      <c r="A3222" s="95" t="b">
        <v>0</v>
      </c>
      <c r="B3222" s="96"/>
      <c r="C3222" s="18"/>
      <c r="D3222" s="107"/>
      <c r="E3222" s="108"/>
      <c r="F3222" s="109"/>
      <c r="G3222" s="97"/>
      <c r="H3222" s="97"/>
      <c r="I3222" s="97"/>
      <c r="J3222" s="98"/>
      <c r="K3222" s="99"/>
      <c r="L3222" s="98"/>
      <c r="M3222" s="99"/>
      <c r="N3222" s="99"/>
      <c r="O3222" s="18"/>
      <c r="P3222" s="100" t="b">
        <v>0</v>
      </c>
      <c r="Q3222" s="18"/>
      <c r="R3222" s="101" t="str">
        <f t="shared" si="3300"/>
        <v/>
      </c>
      <c r="S3222" s="32"/>
      <c r="T3222" s="102" t="str">
        <f t="shared" si="2793"/>
        <v/>
      </c>
      <c r="U3222" s="18"/>
      <c r="V3222" s="113">
        <v>-3.0</v>
      </c>
      <c r="W3222" s="104" t="str">
        <f t="shared" si="2828"/>
        <v>/</v>
      </c>
      <c r="X3222" s="111" t="s">
        <v>1911</v>
      </c>
      <c r="Y3222" s="106"/>
      <c r="Z3222" s="26" t="str">
        <f t="shared" si="5"/>
        <v/>
      </c>
      <c r="AA3222" s="26" t="str">
        <f t="shared" si="6"/>
        <v/>
      </c>
      <c r="AB3222" s="32" t="str">
        <f t="shared" si="7"/>
        <v/>
      </c>
      <c r="AC3222" s="32" t="str">
        <f t="shared" ref="AC3222:AG3222" si="3303">IF(J3222&lt;&gt;"", IF(AND($P3222=FALSE, $A3222=FALSE), -J3222, IF(AND($P3222=FALSE, $A3222=TRUE), 0, IF($P3222=TRUE, (J3222 / $R3222) * 100 * ($S3222 / 100)-J3222, ))), )</f>
        <v/>
      </c>
      <c r="AD3222" s="32" t="str">
        <f t="shared" si="3303"/>
        <v/>
      </c>
      <c r="AE3222" s="32" t="str">
        <f t="shared" si="3303"/>
        <v/>
      </c>
      <c r="AF3222" s="32" t="str">
        <f t="shared" si="3303"/>
        <v/>
      </c>
      <c r="AG3222" s="32" t="str">
        <f t="shared" si="3303"/>
        <v/>
      </c>
      <c r="AH3222" s="33"/>
    </row>
    <row r="3223" hidden="1" outlineLevel="2">
      <c r="A3223" s="95" t="b">
        <v>0</v>
      </c>
      <c r="B3223" s="96"/>
      <c r="C3223" s="18"/>
      <c r="D3223" s="42">
        <v>45652.0</v>
      </c>
      <c r="E3223" s="20" t="s">
        <v>24</v>
      </c>
      <c r="F3223" s="53" t="s">
        <v>1902</v>
      </c>
      <c r="G3223" s="97">
        <v>2.0</v>
      </c>
      <c r="H3223" s="97"/>
      <c r="I3223" s="97">
        <v>3.0</v>
      </c>
      <c r="J3223" s="98"/>
      <c r="K3223" s="99"/>
      <c r="L3223" s="98"/>
      <c r="M3223" s="99"/>
      <c r="N3223" s="99"/>
      <c r="O3223" s="18"/>
      <c r="P3223" s="100" t="b">
        <v>0</v>
      </c>
      <c r="Q3223" s="18"/>
      <c r="R3223" s="101">
        <f t="shared" si="3300"/>
        <v>5</v>
      </c>
      <c r="S3223" s="32">
        <v>11.59</v>
      </c>
      <c r="T3223" s="102" t="str">
        <f t="shared" si="2793"/>
        <v>+132</v>
      </c>
      <c r="U3223" s="18"/>
      <c r="V3223" s="103" t="str">
        <f>IF(ISBLANK($D3223), "0",)</f>
        <v/>
      </c>
      <c r="W3223" s="104" t="str">
        <f t="shared" si="2828"/>
        <v/>
      </c>
      <c r="X3223" s="105"/>
      <c r="Y3223" s="106"/>
      <c r="Z3223" s="26">
        <f t="shared" si="5"/>
        <v>-2</v>
      </c>
      <c r="AA3223" s="26">
        <f t="shared" si="6"/>
        <v>-3</v>
      </c>
      <c r="AB3223" s="32" t="str">
        <f t="shared" si="7"/>
        <v/>
      </c>
      <c r="AC3223" s="32" t="str">
        <f t="shared" ref="AC3223:AG3223" si="3304">IF(J3223&lt;&gt;"", IF(AND($P3223=FALSE, $A3223=FALSE), -J3223, IF(AND($P3223=FALSE, $A3223=TRUE), 0, IF($P3223=TRUE, (J3223 / $R3223) * 100 * ($S3223 / 100)-J3223, ))), )</f>
        <v/>
      </c>
      <c r="AD3223" s="32" t="str">
        <f t="shared" si="3304"/>
        <v/>
      </c>
      <c r="AE3223" s="32" t="str">
        <f t="shared" si="3304"/>
        <v/>
      </c>
      <c r="AF3223" s="32" t="str">
        <f t="shared" si="3304"/>
        <v/>
      </c>
      <c r="AG3223" s="32" t="str">
        <f t="shared" si="3304"/>
        <v/>
      </c>
      <c r="AH3223" s="33"/>
    </row>
    <row r="3224" hidden="1" outlineLevel="3">
      <c r="A3224" s="95" t="b">
        <v>0</v>
      </c>
      <c r="B3224" s="96"/>
      <c r="C3224" s="18"/>
      <c r="D3224" s="107"/>
      <c r="E3224" s="108"/>
      <c r="F3224" s="109"/>
      <c r="G3224" s="97"/>
      <c r="H3224" s="97"/>
      <c r="I3224" s="97"/>
      <c r="J3224" s="98"/>
      <c r="K3224" s="99"/>
      <c r="L3224" s="98"/>
      <c r="M3224" s="99"/>
      <c r="N3224" s="99"/>
      <c r="O3224" s="18"/>
      <c r="P3224" s="100" t="b">
        <v>0</v>
      </c>
      <c r="Q3224" s="18"/>
      <c r="R3224" s="101" t="str">
        <f t="shared" si="3300"/>
        <v/>
      </c>
      <c r="S3224" s="32"/>
      <c r="T3224" s="102" t="str">
        <f t="shared" si="2793"/>
        <v/>
      </c>
      <c r="U3224" s="18"/>
      <c r="V3224" s="113">
        <v>122.0</v>
      </c>
      <c r="W3224" s="104" t="str">
        <f t="shared" si="2828"/>
        <v>/</v>
      </c>
      <c r="X3224" s="111" t="s">
        <v>1912</v>
      </c>
      <c r="Y3224" s="106"/>
      <c r="Z3224" s="26" t="str">
        <f t="shared" si="5"/>
        <v/>
      </c>
      <c r="AA3224" s="26" t="str">
        <f t="shared" si="6"/>
        <v/>
      </c>
      <c r="AB3224" s="32" t="str">
        <f t="shared" si="7"/>
        <v/>
      </c>
      <c r="AC3224" s="32" t="str">
        <f t="shared" ref="AC3224:AG3224" si="3305">IF(J3224&lt;&gt;"", IF(AND($P3224=FALSE, $A3224=FALSE), -J3224, IF(AND($P3224=FALSE, $A3224=TRUE), 0, IF($P3224=TRUE, (J3224 / $R3224) * 100 * ($S3224 / 100)-J3224, ))), )</f>
        <v/>
      </c>
      <c r="AD3224" s="32" t="str">
        <f t="shared" si="3305"/>
        <v/>
      </c>
      <c r="AE3224" s="32" t="str">
        <f t="shared" si="3305"/>
        <v/>
      </c>
      <c r="AF3224" s="32" t="str">
        <f t="shared" si="3305"/>
        <v/>
      </c>
      <c r="AG3224" s="32" t="str">
        <f t="shared" si="3305"/>
        <v/>
      </c>
      <c r="AH3224" s="33"/>
    </row>
    <row r="3225" hidden="1" outlineLevel="3">
      <c r="A3225" s="95" t="b">
        <v>0</v>
      </c>
      <c r="B3225" s="96"/>
      <c r="C3225" s="18"/>
      <c r="D3225" s="107"/>
      <c r="E3225" s="108"/>
      <c r="F3225" s="109"/>
      <c r="G3225" s="97"/>
      <c r="H3225" s="97"/>
      <c r="I3225" s="97"/>
      <c r="J3225" s="98"/>
      <c r="K3225" s="99"/>
      <c r="L3225" s="98"/>
      <c r="M3225" s="99"/>
      <c r="N3225" s="99"/>
      <c r="O3225" s="18"/>
      <c r="P3225" s="100" t="b">
        <v>0</v>
      </c>
      <c r="Q3225" s="18"/>
      <c r="R3225" s="101" t="str">
        <f t="shared" si="3300"/>
        <v/>
      </c>
      <c r="S3225" s="32"/>
      <c r="T3225" s="102" t="str">
        <f t="shared" si="2793"/>
        <v/>
      </c>
      <c r="U3225" s="18"/>
      <c r="V3225" s="113">
        <v>160.0</v>
      </c>
      <c r="W3225" s="104" t="str">
        <f t="shared" si="2828"/>
        <v>/</v>
      </c>
      <c r="X3225" s="111" t="s">
        <v>607</v>
      </c>
      <c r="Y3225" s="106"/>
      <c r="Z3225" s="26" t="str">
        <f t="shared" si="5"/>
        <v/>
      </c>
      <c r="AA3225" s="26" t="str">
        <f t="shared" si="6"/>
        <v/>
      </c>
      <c r="AB3225" s="32" t="str">
        <f t="shared" si="7"/>
        <v/>
      </c>
      <c r="AC3225" s="32" t="str">
        <f t="shared" ref="AC3225:AG3225" si="3306">IF(J3225&lt;&gt;"", IF(AND($P3225=FALSE, $A3225=FALSE), -J3225, IF(AND($P3225=FALSE, $A3225=TRUE), 0, IF($P3225=TRUE, (J3225 / $R3225) * 100 * ($S3225 / 100)-J3225, ))), )</f>
        <v/>
      </c>
      <c r="AD3225" s="32" t="str">
        <f t="shared" si="3306"/>
        <v/>
      </c>
      <c r="AE3225" s="32" t="str">
        <f t="shared" si="3306"/>
        <v/>
      </c>
      <c r="AF3225" s="32" t="str">
        <f t="shared" si="3306"/>
        <v/>
      </c>
      <c r="AG3225" s="32" t="str">
        <f t="shared" si="3306"/>
        <v/>
      </c>
      <c r="AH3225" s="33"/>
    </row>
    <row r="3226" hidden="1" outlineLevel="3">
      <c r="A3226" s="95" t="b">
        <v>0</v>
      </c>
      <c r="B3226" s="96"/>
      <c r="C3226" s="18"/>
      <c r="D3226" s="107"/>
      <c r="E3226" s="108"/>
      <c r="F3226" s="109"/>
      <c r="G3226" s="97"/>
      <c r="H3226" s="97"/>
      <c r="I3226" s="97"/>
      <c r="J3226" s="98"/>
      <c r="K3226" s="99"/>
      <c r="L3226" s="98"/>
      <c r="M3226" s="99"/>
      <c r="N3226" s="99"/>
      <c r="O3226" s="18"/>
      <c r="P3226" s="100" t="b">
        <v>0</v>
      </c>
      <c r="Q3226" s="18"/>
      <c r="R3226" s="101" t="str">
        <f t="shared" si="3300"/>
        <v/>
      </c>
      <c r="S3226" s="32"/>
      <c r="T3226" s="102" t="str">
        <f t="shared" si="2793"/>
        <v/>
      </c>
      <c r="U3226" s="18"/>
      <c r="V3226" s="113">
        <v>32.0</v>
      </c>
      <c r="W3226" s="104" t="str">
        <f t="shared" si="2828"/>
        <v>/</v>
      </c>
      <c r="X3226" s="111" t="s">
        <v>1913</v>
      </c>
      <c r="Y3226" s="106"/>
      <c r="Z3226" s="26" t="str">
        <f t="shared" si="5"/>
        <v/>
      </c>
      <c r="AA3226" s="26" t="str">
        <f t="shared" si="6"/>
        <v/>
      </c>
      <c r="AB3226" s="32" t="str">
        <f t="shared" si="7"/>
        <v/>
      </c>
      <c r="AC3226" s="32" t="str">
        <f t="shared" ref="AC3226:AG3226" si="3307">IF(J3226&lt;&gt;"", IF(AND($P3226=FALSE, $A3226=FALSE), -J3226, IF(AND($P3226=FALSE, $A3226=TRUE), 0, IF($P3226=TRUE, (J3226 / $R3226) * 100 * ($S3226 / 100)-J3226, ))), )</f>
        <v/>
      </c>
      <c r="AD3226" s="32" t="str">
        <f t="shared" si="3307"/>
        <v/>
      </c>
      <c r="AE3226" s="32" t="str">
        <f t="shared" si="3307"/>
        <v/>
      </c>
      <c r="AF3226" s="32" t="str">
        <f t="shared" si="3307"/>
        <v/>
      </c>
      <c r="AG3226" s="32" t="str">
        <f t="shared" si="3307"/>
        <v/>
      </c>
      <c r="AH3226" s="33"/>
    </row>
    <row r="3227" hidden="1" outlineLevel="3">
      <c r="A3227" s="95" t="b">
        <v>0</v>
      </c>
      <c r="B3227" s="96"/>
      <c r="C3227" s="18"/>
      <c r="D3227" s="107"/>
      <c r="E3227" s="108"/>
      <c r="F3227" s="109"/>
      <c r="G3227" s="97"/>
      <c r="H3227" s="97"/>
      <c r="I3227" s="97"/>
      <c r="J3227" s="98"/>
      <c r="K3227" s="99"/>
      <c r="L3227" s="98"/>
      <c r="M3227" s="99"/>
      <c r="N3227" s="99"/>
      <c r="O3227" s="18"/>
      <c r="P3227" s="100" t="b">
        <v>0</v>
      </c>
      <c r="Q3227" s="18"/>
      <c r="R3227" s="101" t="str">
        <f t="shared" si="3300"/>
        <v/>
      </c>
      <c r="S3227" s="32"/>
      <c r="T3227" s="102" t="str">
        <f t="shared" si="2793"/>
        <v/>
      </c>
      <c r="U3227" s="18"/>
      <c r="V3227" s="75" t="s">
        <v>29</v>
      </c>
      <c r="W3227" s="104" t="str">
        <f t="shared" si="2828"/>
        <v>/</v>
      </c>
      <c r="X3227" s="111" t="s">
        <v>1914</v>
      </c>
      <c r="Y3227" s="106"/>
      <c r="Z3227" s="26" t="str">
        <f t="shared" si="5"/>
        <v/>
      </c>
      <c r="AA3227" s="26" t="str">
        <f t="shared" si="6"/>
        <v/>
      </c>
      <c r="AB3227" s="32" t="str">
        <f t="shared" si="7"/>
        <v/>
      </c>
      <c r="AC3227" s="32" t="str">
        <f t="shared" ref="AC3227:AG3227" si="3308">IF(J3227&lt;&gt;"", IF(AND($P3227=FALSE, $A3227=FALSE), -J3227, IF(AND($P3227=FALSE, $A3227=TRUE), 0, IF($P3227=TRUE, (J3227 / $R3227) * 100 * ($S3227 / 100)-J3227, ))), )</f>
        <v/>
      </c>
      <c r="AD3227" s="32" t="str">
        <f t="shared" si="3308"/>
        <v/>
      </c>
      <c r="AE3227" s="32" t="str">
        <f t="shared" si="3308"/>
        <v/>
      </c>
      <c r="AF3227" s="32" t="str">
        <f t="shared" si="3308"/>
        <v/>
      </c>
      <c r="AG3227" s="32" t="str">
        <f t="shared" si="3308"/>
        <v/>
      </c>
      <c r="AH3227" s="33"/>
    </row>
    <row r="3228" hidden="1" outlineLevel="1" collapsed="1">
      <c r="A3228" s="95" t="b">
        <v>0</v>
      </c>
      <c r="B3228" s="96"/>
      <c r="C3228" s="18"/>
      <c r="D3228" s="42">
        <v>45654.0</v>
      </c>
      <c r="E3228" s="20" t="s">
        <v>24</v>
      </c>
      <c r="F3228" s="53" t="s">
        <v>1902</v>
      </c>
      <c r="G3228" s="97">
        <v>2.0</v>
      </c>
      <c r="H3228" s="97"/>
      <c r="I3228" s="97">
        <v>3.0</v>
      </c>
      <c r="J3228" s="98"/>
      <c r="K3228" s="99"/>
      <c r="L3228" s="98"/>
      <c r="M3228" s="99"/>
      <c r="N3228" s="99"/>
      <c r="O3228" s="18"/>
      <c r="P3228" s="100" t="b">
        <v>1</v>
      </c>
      <c r="Q3228" s="18"/>
      <c r="R3228" s="101">
        <f t="shared" si="3300"/>
        <v>5</v>
      </c>
      <c r="S3228" s="32">
        <v>10.1</v>
      </c>
      <c r="T3228" s="102" t="str">
        <f t="shared" si="2793"/>
        <v>+102</v>
      </c>
      <c r="U3228" s="18"/>
      <c r="V3228" s="103" t="str">
        <f>IF(ISBLANK($D3228), "0",)</f>
        <v/>
      </c>
      <c r="W3228" s="104" t="str">
        <f t="shared" si="2828"/>
        <v/>
      </c>
      <c r="X3228" s="105"/>
      <c r="Y3228" s="106"/>
      <c r="Z3228" s="26">
        <f t="shared" si="5"/>
        <v>2.04</v>
      </c>
      <c r="AA3228" s="26">
        <f t="shared" si="6"/>
        <v>3.06</v>
      </c>
      <c r="AB3228" s="32" t="str">
        <f t="shared" si="7"/>
        <v/>
      </c>
      <c r="AC3228" s="32" t="str">
        <f t="shared" ref="AC3228:AG3228" si="3309">IF(J3228&lt;&gt;"", IF(AND($P3228=FALSE, $A3228=FALSE), -J3228, IF(AND($P3228=FALSE, $A3228=TRUE), 0, IF($P3228=TRUE, (J3228 / $R3228) * 100 * ($S3228 / 100)-J3228, ))), )</f>
        <v/>
      </c>
      <c r="AD3228" s="32" t="str">
        <f t="shared" si="3309"/>
        <v/>
      </c>
      <c r="AE3228" s="32" t="str">
        <f t="shared" si="3309"/>
        <v/>
      </c>
      <c r="AF3228" s="32" t="str">
        <f t="shared" si="3309"/>
        <v/>
      </c>
      <c r="AG3228" s="32" t="str">
        <f t="shared" si="3309"/>
        <v/>
      </c>
      <c r="AH3228" s="33"/>
    </row>
    <row r="3229" hidden="1" outlineLevel="3">
      <c r="A3229" s="95" t="b">
        <v>0</v>
      </c>
      <c r="B3229" s="96"/>
      <c r="C3229" s="18"/>
      <c r="D3229" s="107"/>
      <c r="E3229" s="108"/>
      <c r="F3229" s="109"/>
      <c r="G3229" s="97"/>
      <c r="H3229" s="97"/>
      <c r="I3229" s="97"/>
      <c r="J3229" s="98"/>
      <c r="K3229" s="99"/>
      <c r="L3229" s="98"/>
      <c r="M3229" s="99"/>
      <c r="N3229" s="99"/>
      <c r="O3229" s="18"/>
      <c r="P3229" s="100" t="b">
        <v>0</v>
      </c>
      <c r="Q3229" s="18"/>
      <c r="R3229" s="101" t="str">
        <f t="shared" si="3300"/>
        <v/>
      </c>
      <c r="S3229" s="32"/>
      <c r="T3229" s="102" t="str">
        <f t="shared" si="2793"/>
        <v/>
      </c>
      <c r="U3229" s="18"/>
      <c r="V3229" s="113" t="s">
        <v>29</v>
      </c>
      <c r="W3229" s="104" t="str">
        <f t="shared" si="2828"/>
        <v>/</v>
      </c>
      <c r="X3229" s="111" t="s">
        <v>1857</v>
      </c>
      <c r="Y3229" s="106"/>
      <c r="Z3229" s="26" t="str">
        <f t="shared" si="5"/>
        <v/>
      </c>
      <c r="AA3229" s="26" t="str">
        <f t="shared" si="6"/>
        <v/>
      </c>
      <c r="AB3229" s="32" t="str">
        <f t="shared" si="7"/>
        <v/>
      </c>
      <c r="AC3229" s="32" t="str">
        <f t="shared" ref="AC3229:AG3229" si="3310">IF(J3229&lt;&gt;"", IF(AND($P3229=FALSE, $A3229=FALSE), -J3229, IF(AND($P3229=FALSE, $A3229=TRUE), 0, IF($P3229=TRUE, (J3229 / $R3229) * 100 * ($S3229 / 100)-J3229, ))), )</f>
        <v/>
      </c>
      <c r="AD3229" s="32" t="str">
        <f t="shared" si="3310"/>
        <v/>
      </c>
      <c r="AE3229" s="32" t="str">
        <f t="shared" si="3310"/>
        <v/>
      </c>
      <c r="AF3229" s="32" t="str">
        <f t="shared" si="3310"/>
        <v/>
      </c>
      <c r="AG3229" s="32" t="str">
        <f t="shared" si="3310"/>
        <v/>
      </c>
      <c r="AH3229" s="33"/>
    </row>
    <row r="3230" hidden="1" outlineLevel="3">
      <c r="A3230" s="95" t="b">
        <v>0</v>
      </c>
      <c r="B3230" s="96"/>
      <c r="C3230" s="18"/>
      <c r="D3230" s="107"/>
      <c r="E3230" s="108"/>
      <c r="F3230" s="109"/>
      <c r="G3230" s="97"/>
      <c r="H3230" s="97"/>
      <c r="I3230" s="97"/>
      <c r="J3230" s="98"/>
      <c r="K3230" s="99"/>
      <c r="L3230" s="98"/>
      <c r="M3230" s="99"/>
      <c r="N3230" s="99"/>
      <c r="O3230" s="18"/>
      <c r="P3230" s="100" t="b">
        <v>0</v>
      </c>
      <c r="Q3230" s="18"/>
      <c r="R3230" s="101" t="str">
        <f t="shared" si="3300"/>
        <v/>
      </c>
      <c r="S3230" s="32"/>
      <c r="T3230" s="102" t="str">
        <f t="shared" si="2793"/>
        <v/>
      </c>
      <c r="U3230" s="18"/>
      <c r="V3230" s="113" t="s">
        <v>29</v>
      </c>
      <c r="W3230" s="104" t="str">
        <f t="shared" si="2828"/>
        <v>/</v>
      </c>
      <c r="X3230" s="111" t="s">
        <v>140</v>
      </c>
      <c r="Y3230" s="106"/>
      <c r="Z3230" s="26" t="str">
        <f t="shared" si="5"/>
        <v/>
      </c>
      <c r="AA3230" s="26" t="str">
        <f t="shared" si="6"/>
        <v/>
      </c>
      <c r="AB3230" s="32" t="str">
        <f t="shared" si="7"/>
        <v/>
      </c>
      <c r="AC3230" s="32" t="str">
        <f t="shared" ref="AC3230:AG3230" si="3311">IF(J3230&lt;&gt;"", IF(AND($P3230=FALSE, $A3230=FALSE), -J3230, IF(AND($P3230=FALSE, $A3230=TRUE), 0, IF($P3230=TRUE, (J3230 / $R3230) * 100 * ($S3230 / 100)-J3230, ))), )</f>
        <v/>
      </c>
      <c r="AD3230" s="32" t="str">
        <f t="shared" si="3311"/>
        <v/>
      </c>
      <c r="AE3230" s="32" t="str">
        <f t="shared" si="3311"/>
        <v/>
      </c>
      <c r="AF3230" s="32" t="str">
        <f t="shared" si="3311"/>
        <v/>
      </c>
      <c r="AG3230" s="32" t="str">
        <f t="shared" si="3311"/>
        <v/>
      </c>
      <c r="AH3230" s="33"/>
    </row>
    <row r="3231" hidden="1" outlineLevel="3">
      <c r="A3231" s="95" t="b">
        <v>0</v>
      </c>
      <c r="B3231" s="96"/>
      <c r="C3231" s="18"/>
      <c r="D3231" s="107"/>
      <c r="E3231" s="108"/>
      <c r="F3231" s="109"/>
      <c r="G3231" s="97"/>
      <c r="H3231" s="97"/>
      <c r="I3231" s="97"/>
      <c r="J3231" s="98"/>
      <c r="K3231" s="99"/>
      <c r="L3231" s="98"/>
      <c r="M3231" s="99"/>
      <c r="N3231" s="99"/>
      <c r="O3231" s="18"/>
      <c r="P3231" s="100" t="b">
        <v>0</v>
      </c>
      <c r="Q3231" s="18"/>
      <c r="R3231" s="101" t="str">
        <f t="shared" si="3300"/>
        <v/>
      </c>
      <c r="S3231" s="32"/>
      <c r="T3231" s="102" t="str">
        <f t="shared" si="2793"/>
        <v/>
      </c>
      <c r="U3231" s="18"/>
      <c r="V3231" s="113" t="s">
        <v>29</v>
      </c>
      <c r="W3231" s="104" t="str">
        <f t="shared" si="2828"/>
        <v>/</v>
      </c>
      <c r="X3231" s="111" t="s">
        <v>1797</v>
      </c>
      <c r="Y3231" s="106"/>
      <c r="Z3231" s="26" t="str">
        <f t="shared" si="5"/>
        <v/>
      </c>
      <c r="AA3231" s="26" t="str">
        <f t="shared" si="6"/>
        <v/>
      </c>
      <c r="AB3231" s="32" t="str">
        <f t="shared" si="7"/>
        <v/>
      </c>
      <c r="AC3231" s="32" t="str">
        <f t="shared" ref="AC3231:AG3231" si="3312">IF(J3231&lt;&gt;"", IF(AND($P3231=FALSE, $A3231=FALSE), -J3231, IF(AND($P3231=FALSE, $A3231=TRUE), 0, IF($P3231=TRUE, (J3231 / $R3231) * 100 * ($S3231 / 100)-J3231, ))), )</f>
        <v/>
      </c>
      <c r="AD3231" s="32" t="str">
        <f t="shared" si="3312"/>
        <v/>
      </c>
      <c r="AE3231" s="32" t="str">
        <f t="shared" si="3312"/>
        <v/>
      </c>
      <c r="AF3231" s="32" t="str">
        <f t="shared" si="3312"/>
        <v/>
      </c>
      <c r="AG3231" s="32" t="str">
        <f t="shared" si="3312"/>
        <v/>
      </c>
      <c r="AH3231" s="33"/>
    </row>
    <row r="3232" hidden="1" outlineLevel="3">
      <c r="A3232" s="95" t="b">
        <v>0</v>
      </c>
      <c r="B3232" s="96"/>
      <c r="C3232" s="18"/>
      <c r="D3232" s="107"/>
      <c r="E3232" s="108"/>
      <c r="F3232" s="109"/>
      <c r="G3232" s="97"/>
      <c r="H3232" s="97"/>
      <c r="I3232" s="97"/>
      <c r="J3232" s="98"/>
      <c r="K3232" s="99"/>
      <c r="L3232" s="98"/>
      <c r="M3232" s="99"/>
      <c r="N3232" s="99"/>
      <c r="O3232" s="18"/>
      <c r="P3232" s="100" t="b">
        <v>0</v>
      </c>
      <c r="Q3232" s="18"/>
      <c r="R3232" s="101" t="str">
        <f t="shared" si="3300"/>
        <v/>
      </c>
      <c r="S3232" s="32"/>
      <c r="T3232" s="102" t="str">
        <f t="shared" si="2793"/>
        <v/>
      </c>
      <c r="U3232" s="18"/>
      <c r="V3232" s="113" t="s">
        <v>29</v>
      </c>
      <c r="W3232" s="104" t="str">
        <f t="shared" si="2828"/>
        <v>/</v>
      </c>
      <c r="X3232" s="111" t="s">
        <v>1895</v>
      </c>
      <c r="Y3232" s="106"/>
      <c r="Z3232" s="26" t="str">
        <f t="shared" si="5"/>
        <v/>
      </c>
      <c r="AA3232" s="26" t="str">
        <f t="shared" si="6"/>
        <v/>
      </c>
      <c r="AB3232" s="32" t="str">
        <f t="shared" si="7"/>
        <v/>
      </c>
      <c r="AC3232" s="32" t="str">
        <f t="shared" ref="AC3232:AG3232" si="3313">IF(J3232&lt;&gt;"", IF(AND($P3232=FALSE, $A3232=FALSE), -J3232, IF(AND($P3232=FALSE, $A3232=TRUE), 0, IF($P3232=TRUE, (J3232 / $R3232) * 100 * ($S3232 / 100)-J3232, ))), )</f>
        <v/>
      </c>
      <c r="AD3232" s="32" t="str">
        <f t="shared" si="3313"/>
        <v/>
      </c>
      <c r="AE3232" s="32" t="str">
        <f t="shared" si="3313"/>
        <v/>
      </c>
      <c r="AF3232" s="32" t="str">
        <f t="shared" si="3313"/>
        <v/>
      </c>
      <c r="AG3232" s="32" t="str">
        <f t="shared" si="3313"/>
        <v/>
      </c>
      <c r="AH3232" s="33"/>
    </row>
    <row r="3233" hidden="1" outlineLevel="2" collapsed="1">
      <c r="A3233" s="95" t="b">
        <v>0</v>
      </c>
      <c r="B3233" s="96"/>
      <c r="C3233" s="18"/>
      <c r="D3233" s="42">
        <v>45654.0</v>
      </c>
      <c r="E3233" s="20" t="s">
        <v>24</v>
      </c>
      <c r="F3233" s="53" t="s">
        <v>1902</v>
      </c>
      <c r="G3233" s="97">
        <v>4.0</v>
      </c>
      <c r="H3233" s="97"/>
      <c r="I3233" s="97">
        <v>4.0</v>
      </c>
      <c r="J3233" s="98"/>
      <c r="K3233" s="99"/>
      <c r="L3233" s="98"/>
      <c r="M3233" s="99"/>
      <c r="N3233" s="99"/>
      <c r="O3233" s="18"/>
      <c r="P3233" s="100" t="b">
        <v>1</v>
      </c>
      <c r="Q3233" s="18"/>
      <c r="R3233" s="101">
        <f t="shared" si="3300"/>
        <v>8</v>
      </c>
      <c r="S3233" s="32">
        <v>15.27</v>
      </c>
      <c r="T3233" s="102">
        <f t="shared" si="2793"/>
        <v>-110</v>
      </c>
      <c r="U3233" s="18"/>
      <c r="V3233" s="103" t="str">
        <f>IF(ISBLANK($D3233), "0",)</f>
        <v/>
      </c>
      <c r="W3233" s="104" t="str">
        <f t="shared" si="2828"/>
        <v/>
      </c>
      <c r="X3233" s="105"/>
      <c r="Y3233" s="106"/>
      <c r="Z3233" s="26">
        <f t="shared" si="5"/>
        <v>3.635</v>
      </c>
      <c r="AA3233" s="26">
        <f t="shared" si="6"/>
        <v>3.635</v>
      </c>
      <c r="AB3233" s="32" t="str">
        <f t="shared" si="7"/>
        <v/>
      </c>
      <c r="AC3233" s="32" t="str">
        <f t="shared" ref="AC3233:AG3233" si="3314">IF(J3233&lt;&gt;"", IF(AND($P3233=FALSE, $A3233=FALSE), -J3233, IF(AND($P3233=FALSE, $A3233=TRUE), 0, IF($P3233=TRUE, (J3233 / $R3233) * 100 * ($S3233 / 100)-J3233, ))), )</f>
        <v/>
      </c>
      <c r="AD3233" s="32" t="str">
        <f t="shared" si="3314"/>
        <v/>
      </c>
      <c r="AE3233" s="32" t="str">
        <f t="shared" si="3314"/>
        <v/>
      </c>
      <c r="AF3233" s="32" t="str">
        <f t="shared" si="3314"/>
        <v/>
      </c>
      <c r="AG3233" s="32" t="str">
        <f t="shared" si="3314"/>
        <v/>
      </c>
      <c r="AH3233" s="33"/>
    </row>
    <row r="3234" hidden="1" outlineLevel="3">
      <c r="A3234" s="95" t="b">
        <v>0</v>
      </c>
      <c r="B3234" s="96"/>
      <c r="C3234" s="18"/>
      <c r="D3234" s="107"/>
      <c r="E3234" s="108"/>
      <c r="F3234" s="109"/>
      <c r="G3234" s="97"/>
      <c r="H3234" s="97"/>
      <c r="I3234" s="97"/>
      <c r="J3234" s="98"/>
      <c r="K3234" s="99"/>
      <c r="L3234" s="98"/>
      <c r="M3234" s="99"/>
      <c r="N3234" s="99"/>
      <c r="O3234" s="18"/>
      <c r="P3234" s="100" t="b">
        <v>0</v>
      </c>
      <c r="Q3234" s="18"/>
      <c r="R3234" s="101" t="str">
        <f t="shared" si="3300"/>
        <v/>
      </c>
      <c r="S3234" s="32"/>
      <c r="T3234" s="102" t="str">
        <f t="shared" si="2793"/>
        <v/>
      </c>
      <c r="U3234" s="18"/>
      <c r="V3234" s="113" t="s">
        <v>29</v>
      </c>
      <c r="W3234" s="104" t="str">
        <f t="shared" si="2828"/>
        <v>/</v>
      </c>
      <c r="X3234" s="111" t="s">
        <v>1915</v>
      </c>
      <c r="Y3234" s="106"/>
      <c r="Z3234" s="26" t="str">
        <f t="shared" si="5"/>
        <v/>
      </c>
      <c r="AA3234" s="26" t="str">
        <f t="shared" si="6"/>
        <v/>
      </c>
      <c r="AB3234" s="32" t="str">
        <f t="shared" si="7"/>
        <v/>
      </c>
      <c r="AC3234" s="32" t="str">
        <f t="shared" ref="AC3234:AG3234" si="3315">IF(J3234&lt;&gt;"", IF(AND($P3234=FALSE, $A3234=FALSE), -J3234, IF(AND($P3234=FALSE, $A3234=TRUE), 0, IF($P3234=TRUE, (J3234 / $R3234) * 100 * ($S3234 / 100)-J3234, ))), )</f>
        <v/>
      </c>
      <c r="AD3234" s="32" t="str">
        <f t="shared" si="3315"/>
        <v/>
      </c>
      <c r="AE3234" s="32" t="str">
        <f t="shared" si="3315"/>
        <v/>
      </c>
      <c r="AF3234" s="32" t="str">
        <f t="shared" si="3315"/>
        <v/>
      </c>
      <c r="AG3234" s="32" t="str">
        <f t="shared" si="3315"/>
        <v/>
      </c>
      <c r="AH3234" s="33"/>
    </row>
    <row r="3235" hidden="1" outlineLevel="2" collapsed="1">
      <c r="A3235" s="95" t="b">
        <v>0</v>
      </c>
      <c r="B3235" s="96"/>
      <c r="C3235" s="18"/>
      <c r="D3235" s="42">
        <v>45654.0</v>
      </c>
      <c r="E3235" s="20" t="s">
        <v>24</v>
      </c>
      <c r="F3235" s="53" t="s">
        <v>1902</v>
      </c>
      <c r="G3235" s="97">
        <v>1.0</v>
      </c>
      <c r="H3235" s="97"/>
      <c r="I3235" s="97">
        <v>3.0</v>
      </c>
      <c r="J3235" s="98"/>
      <c r="K3235" s="99"/>
      <c r="L3235" s="98"/>
      <c r="M3235" s="99"/>
      <c r="N3235" s="99"/>
      <c r="O3235" s="18"/>
      <c r="P3235" s="100" t="b">
        <v>1</v>
      </c>
      <c r="Q3235" s="18"/>
      <c r="R3235" s="101">
        <f t="shared" si="3300"/>
        <v>4</v>
      </c>
      <c r="S3235" s="32">
        <v>16.0</v>
      </c>
      <c r="T3235" s="102" t="str">
        <f t="shared" si="2793"/>
        <v>+300</v>
      </c>
      <c r="U3235" s="18"/>
      <c r="V3235" s="103" t="str">
        <f>IF(ISBLANK($D3235), "0",)</f>
        <v/>
      </c>
      <c r="W3235" s="104" t="str">
        <f t="shared" si="2828"/>
        <v/>
      </c>
      <c r="Y3235" s="106"/>
      <c r="Z3235" s="26">
        <f t="shared" si="5"/>
        <v>3</v>
      </c>
      <c r="AA3235" s="26">
        <f t="shared" si="6"/>
        <v>9</v>
      </c>
      <c r="AB3235" s="32" t="str">
        <f t="shared" si="7"/>
        <v/>
      </c>
      <c r="AC3235" s="32" t="str">
        <f t="shared" ref="AC3235:AG3235" si="3316">IF(J3235&lt;&gt;"", IF(AND($P3235=FALSE, $A3235=FALSE), -J3235, IF(AND($P3235=FALSE, $A3235=TRUE), 0, IF($P3235=TRUE, (J3235 / $R3235) * 100 * ($S3235 / 100)-J3235, ))), )</f>
        <v/>
      </c>
      <c r="AD3235" s="32" t="str">
        <f t="shared" si="3316"/>
        <v/>
      </c>
      <c r="AE3235" s="32" t="str">
        <f t="shared" si="3316"/>
        <v/>
      </c>
      <c r="AF3235" s="32" t="str">
        <f t="shared" si="3316"/>
        <v/>
      </c>
      <c r="AG3235" s="32" t="str">
        <f t="shared" si="3316"/>
        <v/>
      </c>
      <c r="AH3235" s="33"/>
    </row>
    <row r="3236" hidden="1" outlineLevel="3">
      <c r="A3236" s="95" t="b">
        <v>0</v>
      </c>
      <c r="B3236" s="96"/>
      <c r="C3236" s="18"/>
      <c r="D3236" s="107"/>
      <c r="E3236" s="108"/>
      <c r="F3236" s="109"/>
      <c r="G3236" s="97"/>
      <c r="H3236" s="97"/>
      <c r="I3236" s="97"/>
      <c r="J3236" s="98"/>
      <c r="K3236" s="99"/>
      <c r="L3236" s="98"/>
      <c r="M3236" s="99"/>
      <c r="N3236" s="99"/>
      <c r="O3236" s="18"/>
      <c r="P3236" s="100" t="b">
        <v>0</v>
      </c>
      <c r="Q3236" s="18"/>
      <c r="R3236" s="101" t="str">
        <f t="shared" si="3300"/>
        <v/>
      </c>
      <c r="S3236" s="32"/>
      <c r="T3236" s="102" t="str">
        <f t="shared" si="2793"/>
        <v/>
      </c>
      <c r="U3236" s="18"/>
      <c r="V3236" s="113" t="s">
        <v>29</v>
      </c>
      <c r="W3236" s="104" t="str">
        <f t="shared" si="2828"/>
        <v>/</v>
      </c>
      <c r="X3236" s="111" t="s">
        <v>1916</v>
      </c>
      <c r="Y3236" s="106"/>
      <c r="Z3236" s="26" t="str">
        <f t="shared" si="5"/>
        <v/>
      </c>
      <c r="AA3236" s="26" t="str">
        <f t="shared" si="6"/>
        <v/>
      </c>
      <c r="AB3236" s="32" t="str">
        <f t="shared" si="7"/>
        <v/>
      </c>
      <c r="AC3236" s="32" t="str">
        <f t="shared" ref="AC3236:AG3236" si="3317">IF(J3236&lt;&gt;"", IF(AND($P3236=FALSE, $A3236=FALSE), -J3236, IF(AND($P3236=FALSE, $A3236=TRUE), 0, IF($P3236=TRUE, (J3236 / $R3236) * 100 * ($S3236 / 100)-J3236, ))), )</f>
        <v/>
      </c>
      <c r="AD3236" s="32" t="str">
        <f t="shared" si="3317"/>
        <v/>
      </c>
      <c r="AE3236" s="32" t="str">
        <f t="shared" si="3317"/>
        <v/>
      </c>
      <c r="AF3236" s="32" t="str">
        <f t="shared" si="3317"/>
        <v/>
      </c>
      <c r="AG3236" s="32" t="str">
        <f t="shared" si="3317"/>
        <v/>
      </c>
      <c r="AH3236" s="33"/>
    </row>
    <row r="3237" hidden="1" outlineLevel="2" collapsed="1">
      <c r="A3237" s="95" t="b">
        <v>0</v>
      </c>
      <c r="B3237" s="96"/>
      <c r="C3237" s="18"/>
      <c r="D3237" s="42">
        <v>45654.0</v>
      </c>
      <c r="E3237" s="20" t="s">
        <v>24</v>
      </c>
      <c r="F3237" s="53" t="s">
        <v>1902</v>
      </c>
      <c r="G3237" s="97">
        <v>2.0</v>
      </c>
      <c r="H3237" s="97"/>
      <c r="I3237" s="97">
        <v>3.0</v>
      </c>
      <c r="J3237" s="98"/>
      <c r="K3237" s="99"/>
      <c r="L3237" s="98"/>
      <c r="M3237" s="99"/>
      <c r="N3237" s="99"/>
      <c r="O3237" s="18"/>
      <c r="P3237" s="100" t="b">
        <v>1</v>
      </c>
      <c r="Q3237" s="18"/>
      <c r="R3237" s="101">
        <f t="shared" si="3300"/>
        <v>5</v>
      </c>
      <c r="S3237" s="32">
        <v>15.34</v>
      </c>
      <c r="T3237" s="102" t="str">
        <f t="shared" si="2793"/>
        <v>+207</v>
      </c>
      <c r="U3237" s="18"/>
      <c r="V3237" s="103" t="str">
        <f>IF(ISBLANK($D3237), "0",)</f>
        <v/>
      </c>
      <c r="W3237" s="104" t="str">
        <f t="shared" si="2828"/>
        <v/>
      </c>
      <c r="X3237" s="105"/>
      <c r="Y3237" s="106"/>
      <c r="Z3237" s="26">
        <f t="shared" si="5"/>
        <v>4.136</v>
      </c>
      <c r="AA3237" s="26">
        <f t="shared" si="6"/>
        <v>6.204</v>
      </c>
      <c r="AB3237" s="32" t="str">
        <f t="shared" si="7"/>
        <v/>
      </c>
      <c r="AC3237" s="32" t="str">
        <f t="shared" ref="AC3237:AG3237" si="3318">IF(J3237&lt;&gt;"", IF(AND($P3237=FALSE, $A3237=FALSE), -J3237, IF(AND($P3237=FALSE, $A3237=TRUE), 0, IF($P3237=TRUE, (J3237 / $R3237) * 100 * ($S3237 / 100)-J3237, ))), )</f>
        <v/>
      </c>
      <c r="AD3237" s="32" t="str">
        <f t="shared" si="3318"/>
        <v/>
      </c>
      <c r="AE3237" s="32" t="str">
        <f t="shared" si="3318"/>
        <v/>
      </c>
      <c r="AF3237" s="32" t="str">
        <f t="shared" si="3318"/>
        <v/>
      </c>
      <c r="AG3237" s="32" t="str">
        <f t="shared" si="3318"/>
        <v/>
      </c>
      <c r="AH3237" s="33"/>
    </row>
    <row r="3238" hidden="1" outlineLevel="3">
      <c r="A3238" s="95" t="b">
        <v>0</v>
      </c>
      <c r="B3238" s="96"/>
      <c r="C3238" s="18"/>
      <c r="D3238" s="107"/>
      <c r="E3238" s="108"/>
      <c r="F3238" s="109"/>
      <c r="G3238" s="97"/>
      <c r="H3238" s="97"/>
      <c r="I3238" s="97"/>
      <c r="J3238" s="98"/>
      <c r="K3238" s="99"/>
      <c r="L3238" s="98"/>
      <c r="M3238" s="99"/>
      <c r="N3238" s="99"/>
      <c r="O3238" s="18"/>
      <c r="P3238" s="100" t="b">
        <v>0</v>
      </c>
      <c r="Q3238" s="18"/>
      <c r="R3238" s="101" t="str">
        <f t="shared" si="3300"/>
        <v/>
      </c>
      <c r="S3238" s="32"/>
      <c r="T3238" s="102" t="str">
        <f t="shared" si="2793"/>
        <v/>
      </c>
      <c r="U3238" s="18"/>
      <c r="V3238" s="113" t="s">
        <v>29</v>
      </c>
      <c r="W3238" s="104" t="str">
        <f t="shared" si="2828"/>
        <v>/</v>
      </c>
      <c r="X3238" s="111" t="s">
        <v>143</v>
      </c>
      <c r="Y3238" s="106"/>
      <c r="Z3238" s="26" t="str">
        <f t="shared" si="5"/>
        <v/>
      </c>
      <c r="AA3238" s="26" t="str">
        <f t="shared" si="6"/>
        <v/>
      </c>
      <c r="AB3238" s="32" t="str">
        <f t="shared" si="7"/>
        <v/>
      </c>
      <c r="AC3238" s="32" t="str">
        <f t="shared" ref="AC3238:AG3238" si="3319">IF(J3238&lt;&gt;"", IF(AND($P3238=FALSE, $A3238=FALSE), -J3238, IF(AND($P3238=FALSE, $A3238=TRUE), 0, IF($P3238=TRUE, (J3238 / $R3238) * 100 * ($S3238 / 100)-J3238, ))), )</f>
        <v/>
      </c>
      <c r="AD3238" s="32" t="str">
        <f t="shared" si="3319"/>
        <v/>
      </c>
      <c r="AE3238" s="32" t="str">
        <f t="shared" si="3319"/>
        <v/>
      </c>
      <c r="AF3238" s="32" t="str">
        <f t="shared" si="3319"/>
        <v/>
      </c>
      <c r="AG3238" s="32" t="str">
        <f t="shared" si="3319"/>
        <v/>
      </c>
      <c r="AH3238" s="33"/>
    </row>
    <row r="3239" hidden="1" outlineLevel="3">
      <c r="A3239" s="95" t="b">
        <v>0</v>
      </c>
      <c r="B3239" s="96"/>
      <c r="C3239" s="18"/>
      <c r="D3239" s="107"/>
      <c r="E3239" s="108"/>
      <c r="F3239" s="109"/>
      <c r="G3239" s="97"/>
      <c r="H3239" s="97"/>
      <c r="I3239" s="97"/>
      <c r="J3239" s="98"/>
      <c r="K3239" s="99"/>
      <c r="L3239" s="98"/>
      <c r="M3239" s="99"/>
      <c r="N3239" s="99"/>
      <c r="O3239" s="18"/>
      <c r="P3239" s="100" t="b">
        <v>0</v>
      </c>
      <c r="Q3239" s="18"/>
      <c r="R3239" s="101" t="str">
        <f t="shared" si="3300"/>
        <v/>
      </c>
      <c r="S3239" s="32"/>
      <c r="T3239" s="102" t="str">
        <f t="shared" si="2793"/>
        <v/>
      </c>
      <c r="U3239" s="18"/>
      <c r="V3239" s="113" t="s">
        <v>29</v>
      </c>
      <c r="W3239" s="104" t="str">
        <f t="shared" si="2828"/>
        <v>/</v>
      </c>
      <c r="X3239" s="111" t="s">
        <v>848</v>
      </c>
      <c r="Y3239" s="106"/>
      <c r="Z3239" s="26" t="str">
        <f t="shared" si="5"/>
        <v/>
      </c>
      <c r="AA3239" s="26" t="str">
        <f t="shared" si="6"/>
        <v/>
      </c>
      <c r="AB3239" s="32" t="str">
        <f t="shared" si="7"/>
        <v/>
      </c>
      <c r="AC3239" s="32" t="str">
        <f t="shared" ref="AC3239:AG3239" si="3320">IF(J3239&lt;&gt;"", IF(AND($P3239=FALSE, $A3239=FALSE), -J3239, IF(AND($P3239=FALSE, $A3239=TRUE), 0, IF($P3239=TRUE, (J3239 / $R3239) * 100 * ($S3239 / 100)-J3239, ))), )</f>
        <v/>
      </c>
      <c r="AD3239" s="32" t="str">
        <f t="shared" si="3320"/>
        <v/>
      </c>
      <c r="AE3239" s="32" t="str">
        <f t="shared" si="3320"/>
        <v/>
      </c>
      <c r="AF3239" s="32" t="str">
        <f t="shared" si="3320"/>
        <v/>
      </c>
      <c r="AG3239" s="32" t="str">
        <f t="shared" si="3320"/>
        <v/>
      </c>
      <c r="AH3239" s="33"/>
    </row>
    <row r="3240" hidden="1" outlineLevel="3">
      <c r="A3240" s="95" t="b">
        <v>0</v>
      </c>
      <c r="B3240" s="96"/>
      <c r="C3240" s="18"/>
      <c r="D3240" s="107"/>
      <c r="E3240" s="108"/>
      <c r="F3240" s="109"/>
      <c r="G3240" s="97"/>
      <c r="H3240" s="97"/>
      <c r="I3240" s="97"/>
      <c r="J3240" s="98"/>
      <c r="K3240" s="99"/>
      <c r="L3240" s="98"/>
      <c r="M3240" s="99"/>
      <c r="N3240" s="99"/>
      <c r="O3240" s="18"/>
      <c r="P3240" s="100" t="b">
        <v>0</v>
      </c>
      <c r="Q3240" s="18"/>
      <c r="R3240" s="101" t="str">
        <f t="shared" si="3300"/>
        <v/>
      </c>
      <c r="S3240" s="32"/>
      <c r="T3240" s="102" t="str">
        <f t="shared" si="2793"/>
        <v/>
      </c>
      <c r="U3240" s="18"/>
      <c r="V3240" s="113" t="s">
        <v>29</v>
      </c>
      <c r="W3240" s="104" t="str">
        <f t="shared" si="2828"/>
        <v>/</v>
      </c>
      <c r="X3240" s="111" t="s">
        <v>1848</v>
      </c>
      <c r="Y3240" s="106"/>
      <c r="Z3240" s="26" t="str">
        <f t="shared" si="5"/>
        <v/>
      </c>
      <c r="AA3240" s="26" t="str">
        <f t="shared" si="6"/>
        <v/>
      </c>
      <c r="AB3240" s="32" t="str">
        <f t="shared" si="7"/>
        <v/>
      </c>
      <c r="AC3240" s="32" t="str">
        <f t="shared" ref="AC3240:AG3240" si="3321">IF(J3240&lt;&gt;"", IF(AND($P3240=FALSE, $A3240=FALSE), -J3240, IF(AND($P3240=FALSE, $A3240=TRUE), 0, IF($P3240=TRUE, (J3240 / $R3240) * 100 * ($S3240 / 100)-J3240, ))), )</f>
        <v/>
      </c>
      <c r="AD3240" s="32" t="str">
        <f t="shared" si="3321"/>
        <v/>
      </c>
      <c r="AE3240" s="32" t="str">
        <f t="shared" si="3321"/>
        <v/>
      </c>
      <c r="AF3240" s="32" t="str">
        <f t="shared" si="3321"/>
        <v/>
      </c>
      <c r="AG3240" s="32" t="str">
        <f t="shared" si="3321"/>
        <v/>
      </c>
      <c r="AH3240" s="33"/>
    </row>
    <row r="3241" hidden="1" outlineLevel="3">
      <c r="A3241" s="95" t="b">
        <v>0</v>
      </c>
      <c r="B3241" s="96"/>
      <c r="C3241" s="18"/>
      <c r="D3241" s="107"/>
      <c r="E3241" s="108"/>
      <c r="F3241" s="109"/>
      <c r="G3241" s="97"/>
      <c r="H3241" s="97"/>
      <c r="I3241" s="97"/>
      <c r="J3241" s="98"/>
      <c r="K3241" s="99"/>
      <c r="L3241" s="98"/>
      <c r="M3241" s="99"/>
      <c r="N3241" s="99"/>
      <c r="O3241" s="18"/>
      <c r="P3241" s="100" t="b">
        <v>0</v>
      </c>
      <c r="Q3241" s="18"/>
      <c r="R3241" s="101" t="str">
        <f t="shared" si="3300"/>
        <v/>
      </c>
      <c r="S3241" s="32"/>
      <c r="T3241" s="102" t="str">
        <f t="shared" si="2793"/>
        <v/>
      </c>
      <c r="U3241" s="18"/>
      <c r="V3241" s="113" t="s">
        <v>29</v>
      </c>
      <c r="W3241" s="104" t="str">
        <f t="shared" si="2828"/>
        <v>/</v>
      </c>
      <c r="X3241" s="111" t="s">
        <v>1917</v>
      </c>
      <c r="Y3241" s="106"/>
      <c r="Z3241" s="26" t="str">
        <f t="shared" si="5"/>
        <v/>
      </c>
      <c r="AA3241" s="26" t="str">
        <f t="shared" si="6"/>
        <v/>
      </c>
      <c r="AB3241" s="32" t="str">
        <f t="shared" si="7"/>
        <v/>
      </c>
      <c r="AC3241" s="32" t="str">
        <f t="shared" ref="AC3241:AG3241" si="3322">IF(J3241&lt;&gt;"", IF(AND($P3241=FALSE, $A3241=FALSE), -J3241, IF(AND($P3241=FALSE, $A3241=TRUE), 0, IF($P3241=TRUE, (J3241 / $R3241) * 100 * ($S3241 / 100)-J3241, ))), )</f>
        <v/>
      </c>
      <c r="AD3241" s="32" t="str">
        <f t="shared" si="3322"/>
        <v/>
      </c>
      <c r="AE3241" s="32" t="str">
        <f t="shared" si="3322"/>
        <v/>
      </c>
      <c r="AF3241" s="32" t="str">
        <f t="shared" si="3322"/>
        <v/>
      </c>
      <c r="AG3241" s="32" t="str">
        <f t="shared" si="3322"/>
        <v/>
      </c>
      <c r="AH3241" s="33"/>
    </row>
    <row r="3242" hidden="1" outlineLevel="3">
      <c r="A3242" s="95" t="b">
        <v>0</v>
      </c>
      <c r="B3242" s="96"/>
      <c r="C3242" s="18"/>
      <c r="D3242" s="107"/>
      <c r="E3242" s="108"/>
      <c r="F3242" s="109"/>
      <c r="G3242" s="97"/>
      <c r="H3242" s="97"/>
      <c r="I3242" s="97"/>
      <c r="J3242" s="98"/>
      <c r="K3242" s="99"/>
      <c r="L3242" s="98"/>
      <c r="M3242" s="99"/>
      <c r="N3242" s="99"/>
      <c r="O3242" s="18"/>
      <c r="P3242" s="100" t="b">
        <v>0</v>
      </c>
      <c r="Q3242" s="18"/>
      <c r="R3242" s="101" t="str">
        <f t="shared" si="3300"/>
        <v/>
      </c>
      <c r="S3242" s="32"/>
      <c r="T3242" s="102" t="str">
        <f t="shared" si="2793"/>
        <v/>
      </c>
      <c r="U3242" s="18"/>
      <c r="V3242" s="113" t="s">
        <v>29</v>
      </c>
      <c r="W3242" s="104" t="str">
        <f t="shared" si="2828"/>
        <v>/</v>
      </c>
      <c r="X3242" s="111" t="s">
        <v>1675</v>
      </c>
      <c r="Y3242" s="106"/>
      <c r="Z3242" s="26" t="str">
        <f t="shared" si="5"/>
        <v/>
      </c>
      <c r="AA3242" s="26" t="str">
        <f t="shared" si="6"/>
        <v/>
      </c>
      <c r="AB3242" s="32" t="str">
        <f t="shared" si="7"/>
        <v/>
      </c>
      <c r="AC3242" s="32" t="str">
        <f t="shared" ref="AC3242:AG3242" si="3323">IF(J3242&lt;&gt;"", IF(AND($P3242=FALSE, $A3242=FALSE), -J3242, IF(AND($P3242=FALSE, $A3242=TRUE), 0, IF($P3242=TRUE, (J3242 / $R3242) * 100 * ($S3242 / 100)-J3242, ))), )</f>
        <v/>
      </c>
      <c r="AD3242" s="32" t="str">
        <f t="shared" si="3323"/>
        <v/>
      </c>
      <c r="AE3242" s="32" t="str">
        <f t="shared" si="3323"/>
        <v/>
      </c>
      <c r="AF3242" s="32" t="str">
        <f t="shared" si="3323"/>
        <v/>
      </c>
      <c r="AG3242" s="32" t="str">
        <f t="shared" si="3323"/>
        <v/>
      </c>
      <c r="AH3242" s="33"/>
    </row>
    <row r="3243" hidden="1" outlineLevel="2" collapsed="1">
      <c r="A3243" s="95" t="b">
        <v>0</v>
      </c>
      <c r="B3243" s="96"/>
      <c r="C3243" s="18"/>
      <c r="D3243" s="42">
        <v>45654.0</v>
      </c>
      <c r="E3243" s="20" t="s">
        <v>24</v>
      </c>
      <c r="F3243" s="53" t="s">
        <v>1902</v>
      </c>
      <c r="G3243" s="97">
        <v>2.0</v>
      </c>
      <c r="H3243" s="97"/>
      <c r="I3243" s="97">
        <v>3.0</v>
      </c>
      <c r="J3243" s="98"/>
      <c r="K3243" s="99"/>
      <c r="L3243" s="98"/>
      <c r="M3243" s="99"/>
      <c r="N3243" s="99"/>
      <c r="O3243" s="18"/>
      <c r="P3243" s="100" t="b">
        <v>0</v>
      </c>
      <c r="Q3243" s="18"/>
      <c r="R3243" s="101">
        <f t="shared" si="3300"/>
        <v>5</v>
      </c>
      <c r="S3243" s="32">
        <v>10.84</v>
      </c>
      <c r="T3243" s="102" t="str">
        <f t="shared" si="2793"/>
        <v>+117</v>
      </c>
      <c r="U3243" s="18"/>
      <c r="V3243" s="103" t="str">
        <f>IF(ISBLANK($D3243), "0",)</f>
        <v/>
      </c>
      <c r="W3243" s="104" t="str">
        <f t="shared" si="2828"/>
        <v/>
      </c>
      <c r="X3243" s="105"/>
      <c r="Y3243" s="106"/>
      <c r="Z3243" s="26">
        <f t="shared" si="5"/>
        <v>-2</v>
      </c>
      <c r="AA3243" s="26">
        <f t="shared" si="6"/>
        <v>-3</v>
      </c>
      <c r="AB3243" s="32" t="str">
        <f t="shared" si="7"/>
        <v/>
      </c>
      <c r="AC3243" s="32" t="str">
        <f t="shared" ref="AC3243:AG3243" si="3324">IF(J3243&lt;&gt;"", IF(AND($P3243=FALSE, $A3243=FALSE), -J3243, IF(AND($P3243=FALSE, $A3243=TRUE), 0, IF($P3243=TRUE, (J3243 / $R3243) * 100 * ($S3243 / 100)-J3243, ))), )</f>
        <v/>
      </c>
      <c r="AD3243" s="32" t="str">
        <f t="shared" si="3324"/>
        <v/>
      </c>
      <c r="AE3243" s="32" t="str">
        <f t="shared" si="3324"/>
        <v/>
      </c>
      <c r="AF3243" s="32" t="str">
        <f t="shared" si="3324"/>
        <v/>
      </c>
      <c r="AG3243" s="32" t="str">
        <f t="shared" si="3324"/>
        <v/>
      </c>
      <c r="AH3243" s="33"/>
    </row>
    <row r="3244" hidden="1" outlineLevel="3">
      <c r="A3244" s="95" t="b">
        <v>0</v>
      </c>
      <c r="B3244" s="96"/>
      <c r="C3244" s="18"/>
      <c r="D3244" s="107"/>
      <c r="E3244" s="108"/>
      <c r="F3244" s="109"/>
      <c r="G3244" s="97"/>
      <c r="H3244" s="97"/>
      <c r="I3244" s="97"/>
      <c r="J3244" s="98"/>
      <c r="K3244" s="99"/>
      <c r="L3244" s="98"/>
      <c r="M3244" s="99"/>
      <c r="N3244" s="99"/>
      <c r="O3244" s="18"/>
      <c r="P3244" s="100" t="b">
        <v>0</v>
      </c>
      <c r="Q3244" s="18"/>
      <c r="R3244" s="101" t="str">
        <f t="shared" si="3300"/>
        <v/>
      </c>
      <c r="S3244" s="32"/>
      <c r="T3244" s="102" t="str">
        <f t="shared" si="2793"/>
        <v/>
      </c>
      <c r="U3244" s="18"/>
      <c r="V3244" s="113" t="s">
        <v>29</v>
      </c>
      <c r="W3244" s="104" t="str">
        <f t="shared" si="2828"/>
        <v>/</v>
      </c>
      <c r="X3244" s="111" t="s">
        <v>1093</v>
      </c>
      <c r="Y3244" s="106"/>
      <c r="Z3244" s="26" t="str">
        <f t="shared" si="5"/>
        <v/>
      </c>
      <c r="AA3244" s="26" t="str">
        <f t="shared" si="6"/>
        <v/>
      </c>
      <c r="AB3244" s="32" t="str">
        <f t="shared" si="7"/>
        <v/>
      </c>
      <c r="AC3244" s="32" t="str">
        <f t="shared" ref="AC3244:AG3244" si="3325">IF(J3244&lt;&gt;"", IF(AND($P3244=FALSE, $A3244=FALSE), -J3244, IF(AND($P3244=FALSE, $A3244=TRUE), 0, IF($P3244=TRUE, (J3244 / $R3244) * 100 * ($S3244 / 100)-J3244, ))), )</f>
        <v/>
      </c>
      <c r="AD3244" s="32" t="str">
        <f t="shared" si="3325"/>
        <v/>
      </c>
      <c r="AE3244" s="32" t="str">
        <f t="shared" si="3325"/>
        <v/>
      </c>
      <c r="AF3244" s="32" t="str">
        <f t="shared" si="3325"/>
        <v/>
      </c>
      <c r="AG3244" s="32" t="str">
        <f t="shared" si="3325"/>
        <v/>
      </c>
      <c r="AH3244" s="33"/>
    </row>
    <row r="3245" hidden="1" outlineLevel="3">
      <c r="A3245" s="95" t="b">
        <v>0</v>
      </c>
      <c r="B3245" s="96"/>
      <c r="C3245" s="18"/>
      <c r="D3245" s="107"/>
      <c r="E3245" s="108"/>
      <c r="F3245" s="109"/>
      <c r="G3245" s="97"/>
      <c r="H3245" s="97"/>
      <c r="I3245" s="97"/>
      <c r="J3245" s="98"/>
      <c r="K3245" s="99"/>
      <c r="L3245" s="98"/>
      <c r="M3245" s="99"/>
      <c r="N3245" s="99"/>
      <c r="O3245" s="18"/>
      <c r="P3245" s="100" t="b">
        <v>0</v>
      </c>
      <c r="Q3245" s="18"/>
      <c r="R3245" s="101" t="str">
        <f t="shared" si="3300"/>
        <v/>
      </c>
      <c r="S3245" s="32"/>
      <c r="T3245" s="102" t="str">
        <f t="shared" si="2793"/>
        <v/>
      </c>
      <c r="U3245" s="18"/>
      <c r="V3245" s="113">
        <v>72.0</v>
      </c>
      <c r="W3245" s="104" t="str">
        <f t="shared" si="2828"/>
        <v>/</v>
      </c>
      <c r="X3245" s="111" t="s">
        <v>1918</v>
      </c>
      <c r="Y3245" s="106"/>
      <c r="Z3245" s="26" t="str">
        <f t="shared" si="5"/>
        <v/>
      </c>
      <c r="AA3245" s="26" t="str">
        <f t="shared" si="6"/>
        <v/>
      </c>
      <c r="AB3245" s="32" t="str">
        <f t="shared" si="7"/>
        <v/>
      </c>
      <c r="AC3245" s="32" t="str">
        <f t="shared" ref="AC3245:AG3245" si="3326">IF(J3245&lt;&gt;"", IF(AND($P3245=FALSE, $A3245=FALSE), -J3245, IF(AND($P3245=FALSE, $A3245=TRUE), 0, IF($P3245=TRUE, (J3245 / $R3245) * 100 * ($S3245 / 100)-J3245, ))), )</f>
        <v/>
      </c>
      <c r="AD3245" s="32" t="str">
        <f t="shared" si="3326"/>
        <v/>
      </c>
      <c r="AE3245" s="32" t="str">
        <f t="shared" si="3326"/>
        <v/>
      </c>
      <c r="AF3245" s="32" t="str">
        <f t="shared" si="3326"/>
        <v/>
      </c>
      <c r="AG3245" s="32" t="str">
        <f t="shared" si="3326"/>
        <v/>
      </c>
      <c r="AH3245" s="33"/>
    </row>
    <row r="3246" hidden="1" outlineLevel="2" collapsed="1">
      <c r="A3246" s="95" t="b">
        <v>0</v>
      </c>
      <c r="B3246" s="96"/>
      <c r="C3246" s="18"/>
      <c r="D3246" s="42">
        <v>45654.0</v>
      </c>
      <c r="E3246" s="20" t="s">
        <v>24</v>
      </c>
      <c r="F3246" s="53" t="s">
        <v>1902</v>
      </c>
      <c r="G3246" s="97">
        <v>2.0</v>
      </c>
      <c r="H3246" s="97"/>
      <c r="I3246" s="97">
        <v>3.0</v>
      </c>
      <c r="J3246" s="98"/>
      <c r="K3246" s="99"/>
      <c r="L3246" s="98"/>
      <c r="M3246" s="99"/>
      <c r="N3246" s="99"/>
      <c r="O3246" s="18"/>
      <c r="P3246" s="100" t="b">
        <v>0</v>
      </c>
      <c r="Q3246" s="18"/>
      <c r="R3246" s="101">
        <f t="shared" si="3300"/>
        <v>5</v>
      </c>
      <c r="S3246" s="32">
        <v>10.42</v>
      </c>
      <c r="T3246" s="102" t="str">
        <f t="shared" si="2793"/>
        <v>+108</v>
      </c>
      <c r="U3246" s="18"/>
      <c r="V3246" s="103" t="str">
        <f>IF(ISBLANK($D3246), "0",)</f>
        <v/>
      </c>
      <c r="W3246" s="104" t="str">
        <f t="shared" si="2828"/>
        <v/>
      </c>
      <c r="X3246" s="105"/>
      <c r="Y3246" s="106"/>
      <c r="Z3246" s="26">
        <f t="shared" si="5"/>
        <v>-2</v>
      </c>
      <c r="AA3246" s="26">
        <f t="shared" si="6"/>
        <v>-3</v>
      </c>
      <c r="AB3246" s="32" t="str">
        <f t="shared" si="7"/>
        <v/>
      </c>
      <c r="AC3246" s="32" t="str">
        <f t="shared" ref="AC3246:AG3246" si="3327">IF(J3246&lt;&gt;"", IF(AND($P3246=FALSE, $A3246=FALSE), -J3246, IF(AND($P3246=FALSE, $A3246=TRUE), 0, IF($P3246=TRUE, (J3246 / $R3246) * 100 * ($S3246 / 100)-J3246, ))), )</f>
        <v/>
      </c>
      <c r="AD3246" s="32" t="str">
        <f t="shared" si="3327"/>
        <v/>
      </c>
      <c r="AE3246" s="32" t="str">
        <f t="shared" si="3327"/>
        <v/>
      </c>
      <c r="AF3246" s="32" t="str">
        <f t="shared" si="3327"/>
        <v/>
      </c>
      <c r="AG3246" s="32" t="str">
        <f t="shared" si="3327"/>
        <v/>
      </c>
      <c r="AH3246" s="33"/>
    </row>
    <row r="3247" hidden="1" outlineLevel="3">
      <c r="A3247" s="95" t="b">
        <v>0</v>
      </c>
      <c r="B3247" s="96"/>
      <c r="C3247" s="18"/>
      <c r="D3247" s="107"/>
      <c r="E3247" s="108"/>
      <c r="F3247" s="109"/>
      <c r="G3247" s="97"/>
      <c r="H3247" s="97"/>
      <c r="I3247" s="97"/>
      <c r="J3247" s="98"/>
      <c r="K3247" s="99"/>
      <c r="L3247" s="98"/>
      <c r="M3247" s="99"/>
      <c r="N3247" s="99"/>
      <c r="O3247" s="18"/>
      <c r="P3247" s="100" t="b">
        <v>0</v>
      </c>
      <c r="Q3247" s="18"/>
      <c r="R3247" s="101" t="str">
        <f t="shared" si="3300"/>
        <v/>
      </c>
      <c r="S3247" s="32"/>
      <c r="T3247" s="102" t="str">
        <f t="shared" si="2793"/>
        <v/>
      </c>
      <c r="U3247" s="18"/>
      <c r="V3247" s="113" t="s">
        <v>29</v>
      </c>
      <c r="W3247" s="104" t="str">
        <f t="shared" si="2828"/>
        <v>/</v>
      </c>
      <c r="X3247" s="111" t="s">
        <v>1714</v>
      </c>
      <c r="Y3247" s="106"/>
      <c r="Z3247" s="26" t="str">
        <f t="shared" si="5"/>
        <v/>
      </c>
      <c r="AA3247" s="26" t="str">
        <f t="shared" si="6"/>
        <v/>
      </c>
      <c r="AB3247" s="32" t="str">
        <f t="shared" si="7"/>
        <v/>
      </c>
      <c r="AC3247" s="32" t="str">
        <f t="shared" ref="AC3247:AG3247" si="3328">IF(J3247&lt;&gt;"", IF(AND($P3247=FALSE, $A3247=FALSE), -J3247, IF(AND($P3247=FALSE, $A3247=TRUE), 0, IF($P3247=TRUE, (J3247 / $R3247) * 100 * ($S3247 / 100)-J3247, ))), )</f>
        <v/>
      </c>
      <c r="AD3247" s="32" t="str">
        <f t="shared" si="3328"/>
        <v/>
      </c>
      <c r="AE3247" s="32" t="str">
        <f t="shared" si="3328"/>
        <v/>
      </c>
      <c r="AF3247" s="32" t="str">
        <f t="shared" si="3328"/>
        <v/>
      </c>
      <c r="AG3247" s="32" t="str">
        <f t="shared" si="3328"/>
        <v/>
      </c>
      <c r="AH3247" s="33"/>
    </row>
    <row r="3248" hidden="1" outlineLevel="3">
      <c r="A3248" s="95" t="b">
        <v>0</v>
      </c>
      <c r="B3248" s="96"/>
      <c r="C3248" s="18"/>
      <c r="D3248" s="107"/>
      <c r="E3248" s="108"/>
      <c r="F3248" s="109"/>
      <c r="G3248" s="97"/>
      <c r="H3248" s="97"/>
      <c r="I3248" s="97"/>
      <c r="J3248" s="98"/>
      <c r="K3248" s="99"/>
      <c r="L3248" s="98"/>
      <c r="M3248" s="99"/>
      <c r="N3248" s="99"/>
      <c r="O3248" s="18"/>
      <c r="P3248" s="100" t="b">
        <v>0</v>
      </c>
      <c r="Q3248" s="18"/>
      <c r="R3248" s="101" t="str">
        <f t="shared" si="3300"/>
        <v/>
      </c>
      <c r="S3248" s="32"/>
      <c r="T3248" s="102" t="str">
        <f t="shared" si="2793"/>
        <v/>
      </c>
      <c r="U3248" s="18"/>
      <c r="V3248" s="113" t="s">
        <v>29</v>
      </c>
      <c r="W3248" s="104" t="str">
        <f t="shared" si="2828"/>
        <v>/</v>
      </c>
      <c r="X3248" s="111" t="s">
        <v>1803</v>
      </c>
      <c r="Y3248" s="106"/>
      <c r="Z3248" s="26" t="str">
        <f t="shared" si="5"/>
        <v/>
      </c>
      <c r="AA3248" s="26" t="str">
        <f t="shared" si="6"/>
        <v/>
      </c>
      <c r="AB3248" s="32" t="str">
        <f t="shared" si="7"/>
        <v/>
      </c>
      <c r="AC3248" s="32" t="str">
        <f t="shared" ref="AC3248:AG3248" si="3329">IF(J3248&lt;&gt;"", IF(AND($P3248=FALSE, $A3248=FALSE), -J3248, IF(AND($P3248=FALSE, $A3248=TRUE), 0, IF($P3248=TRUE, (J3248 / $R3248) * 100 * ($S3248 / 100)-J3248, ))), )</f>
        <v/>
      </c>
      <c r="AD3248" s="32" t="str">
        <f t="shared" si="3329"/>
        <v/>
      </c>
      <c r="AE3248" s="32" t="str">
        <f t="shared" si="3329"/>
        <v/>
      </c>
      <c r="AF3248" s="32" t="str">
        <f t="shared" si="3329"/>
        <v/>
      </c>
      <c r="AG3248" s="32" t="str">
        <f t="shared" si="3329"/>
        <v/>
      </c>
      <c r="AH3248" s="33"/>
    </row>
    <row r="3249" hidden="1" outlineLevel="3">
      <c r="A3249" s="95" t="b">
        <v>0</v>
      </c>
      <c r="B3249" s="96"/>
      <c r="C3249" s="18"/>
      <c r="D3249" s="107"/>
      <c r="E3249" s="108"/>
      <c r="F3249" s="109"/>
      <c r="G3249" s="97"/>
      <c r="H3249" s="97"/>
      <c r="I3249" s="97"/>
      <c r="J3249" s="98"/>
      <c r="K3249" s="99"/>
      <c r="L3249" s="98"/>
      <c r="M3249" s="99"/>
      <c r="N3249" s="99"/>
      <c r="O3249" s="18"/>
      <c r="P3249" s="100" t="b">
        <v>0</v>
      </c>
      <c r="Q3249" s="18"/>
      <c r="R3249" s="101" t="str">
        <f t="shared" si="3300"/>
        <v/>
      </c>
      <c r="S3249" s="32"/>
      <c r="T3249" s="102" t="str">
        <f t="shared" si="2793"/>
        <v/>
      </c>
      <c r="U3249" s="18"/>
      <c r="V3249" s="103" t="str">
        <f>IF(ISBLANK($D3249), "0",)</f>
        <v>0</v>
      </c>
      <c r="W3249" s="104" t="str">
        <f t="shared" si="2828"/>
        <v>/</v>
      </c>
      <c r="X3249" s="111" t="s">
        <v>1090</v>
      </c>
      <c r="Y3249" s="106"/>
      <c r="Z3249" s="26" t="str">
        <f t="shared" si="5"/>
        <v/>
      </c>
      <c r="AA3249" s="26" t="str">
        <f t="shared" si="6"/>
        <v/>
      </c>
      <c r="AB3249" s="32" t="str">
        <f t="shared" si="7"/>
        <v/>
      </c>
      <c r="AC3249" s="32" t="str">
        <f t="shared" ref="AC3249:AG3249" si="3330">IF(J3249&lt;&gt;"", IF(AND($P3249=FALSE, $A3249=FALSE), -J3249, IF(AND($P3249=FALSE, $A3249=TRUE), 0, IF($P3249=TRUE, (J3249 / $R3249) * 100 * ($S3249 / 100)-J3249, ))), )</f>
        <v/>
      </c>
      <c r="AD3249" s="32" t="str">
        <f t="shared" si="3330"/>
        <v/>
      </c>
      <c r="AE3249" s="32" t="str">
        <f t="shared" si="3330"/>
        <v/>
      </c>
      <c r="AF3249" s="32" t="str">
        <f t="shared" si="3330"/>
        <v/>
      </c>
      <c r="AG3249" s="32" t="str">
        <f t="shared" si="3330"/>
        <v/>
      </c>
      <c r="AH3249" s="33"/>
    </row>
    <row r="3250" hidden="1" outlineLevel="3">
      <c r="A3250" s="95" t="b">
        <v>0</v>
      </c>
      <c r="B3250" s="96"/>
      <c r="C3250" s="18"/>
      <c r="D3250" s="107"/>
      <c r="E3250" s="108"/>
      <c r="F3250" s="109"/>
      <c r="G3250" s="97"/>
      <c r="H3250" s="97"/>
      <c r="I3250" s="97"/>
      <c r="J3250" s="98"/>
      <c r="K3250" s="99"/>
      <c r="L3250" s="98"/>
      <c r="M3250" s="99"/>
      <c r="N3250" s="99"/>
      <c r="O3250" s="18"/>
      <c r="P3250" s="100" t="b">
        <v>0</v>
      </c>
      <c r="Q3250" s="18"/>
      <c r="R3250" s="101" t="str">
        <f t="shared" si="3300"/>
        <v/>
      </c>
      <c r="S3250" s="32"/>
      <c r="T3250" s="102" t="str">
        <f t="shared" si="2793"/>
        <v/>
      </c>
      <c r="U3250" s="18"/>
      <c r="V3250" s="113" t="s">
        <v>29</v>
      </c>
      <c r="W3250" s="104" t="str">
        <f t="shared" si="2828"/>
        <v>/</v>
      </c>
      <c r="X3250" s="111" t="s">
        <v>1919</v>
      </c>
      <c r="Y3250" s="106"/>
      <c r="Z3250" s="26" t="str">
        <f t="shared" si="5"/>
        <v/>
      </c>
      <c r="AA3250" s="26" t="str">
        <f t="shared" si="6"/>
        <v/>
      </c>
      <c r="AB3250" s="32" t="str">
        <f t="shared" si="7"/>
        <v/>
      </c>
      <c r="AC3250" s="32" t="str">
        <f t="shared" ref="AC3250:AG3250" si="3331">IF(J3250&lt;&gt;"", IF(AND($P3250=FALSE, $A3250=FALSE), -J3250, IF(AND($P3250=FALSE, $A3250=TRUE), 0, IF($P3250=TRUE, (J3250 / $R3250) * 100 * ($S3250 / 100)-J3250, ))), )</f>
        <v/>
      </c>
      <c r="AD3250" s="32" t="str">
        <f t="shared" si="3331"/>
        <v/>
      </c>
      <c r="AE3250" s="32" t="str">
        <f t="shared" si="3331"/>
        <v/>
      </c>
      <c r="AF3250" s="32" t="str">
        <f t="shared" si="3331"/>
        <v/>
      </c>
      <c r="AG3250" s="32" t="str">
        <f t="shared" si="3331"/>
        <v/>
      </c>
      <c r="AH3250" s="33"/>
    </row>
    <row r="3251" hidden="1" outlineLevel="2" collapsed="1">
      <c r="A3251" s="95" t="b">
        <v>0</v>
      </c>
      <c r="B3251" s="96"/>
      <c r="C3251" s="18"/>
      <c r="D3251" s="42">
        <v>45654.0</v>
      </c>
      <c r="E3251" s="20" t="s">
        <v>24</v>
      </c>
      <c r="F3251" s="53" t="s">
        <v>1902</v>
      </c>
      <c r="G3251" s="97">
        <v>2.0</v>
      </c>
      <c r="H3251" s="97"/>
      <c r="I3251" s="97">
        <v>3.0</v>
      </c>
      <c r="J3251" s="98"/>
      <c r="K3251" s="99"/>
      <c r="L3251" s="98"/>
      <c r="M3251" s="99"/>
      <c r="N3251" s="99"/>
      <c r="O3251" s="18"/>
      <c r="P3251" s="100" t="b">
        <v>0</v>
      </c>
      <c r="Q3251" s="18"/>
      <c r="R3251" s="101">
        <f t="shared" si="3300"/>
        <v>5</v>
      </c>
      <c r="S3251" s="32">
        <v>12.5</v>
      </c>
      <c r="T3251" s="102" t="str">
        <f t="shared" si="2793"/>
        <v>+150</v>
      </c>
      <c r="U3251" s="18"/>
      <c r="V3251" s="103" t="str">
        <f>IF(ISBLANK($D3251), "0",)</f>
        <v/>
      </c>
      <c r="W3251" s="104" t="str">
        <f t="shared" si="2828"/>
        <v/>
      </c>
      <c r="X3251" s="105"/>
      <c r="Y3251" s="106"/>
      <c r="Z3251" s="26">
        <f t="shared" si="5"/>
        <v>-2</v>
      </c>
      <c r="AA3251" s="26">
        <f t="shared" si="6"/>
        <v>-3</v>
      </c>
      <c r="AB3251" s="32" t="str">
        <f t="shared" si="7"/>
        <v/>
      </c>
      <c r="AC3251" s="32" t="str">
        <f t="shared" ref="AC3251:AG3251" si="3332">IF(J3251&lt;&gt;"", IF(AND($P3251=FALSE, $A3251=FALSE), -J3251, IF(AND($P3251=FALSE, $A3251=TRUE), 0, IF($P3251=TRUE, (J3251 / $R3251) * 100 * ($S3251 / 100)-J3251, ))), )</f>
        <v/>
      </c>
      <c r="AD3251" s="32" t="str">
        <f t="shared" si="3332"/>
        <v/>
      </c>
      <c r="AE3251" s="32" t="str">
        <f t="shared" si="3332"/>
        <v/>
      </c>
      <c r="AF3251" s="32" t="str">
        <f t="shared" si="3332"/>
        <v/>
      </c>
      <c r="AG3251" s="32" t="str">
        <f t="shared" si="3332"/>
        <v/>
      </c>
      <c r="AH3251" s="33"/>
    </row>
    <row r="3252" hidden="1" outlineLevel="3">
      <c r="A3252" s="95" t="b">
        <v>0</v>
      </c>
      <c r="B3252" s="96"/>
      <c r="C3252" s="18"/>
      <c r="D3252" s="107"/>
      <c r="E3252" s="108"/>
      <c r="F3252" s="109"/>
      <c r="G3252" s="97"/>
      <c r="H3252" s="97"/>
      <c r="I3252" s="97"/>
      <c r="J3252" s="98"/>
      <c r="K3252" s="99"/>
      <c r="L3252" s="98"/>
      <c r="M3252" s="99"/>
      <c r="N3252" s="99"/>
      <c r="O3252" s="18"/>
      <c r="P3252" s="100" t="b">
        <v>0</v>
      </c>
      <c r="Q3252" s="18"/>
      <c r="R3252" s="101" t="str">
        <f t="shared" si="3300"/>
        <v/>
      </c>
      <c r="S3252" s="32"/>
      <c r="T3252" s="102" t="str">
        <f t="shared" si="2793"/>
        <v/>
      </c>
      <c r="U3252" s="18"/>
      <c r="V3252" s="113">
        <v>0.0</v>
      </c>
      <c r="W3252" s="104" t="str">
        <f t="shared" si="2828"/>
        <v>/</v>
      </c>
      <c r="X3252" s="111" t="s">
        <v>1920</v>
      </c>
      <c r="Y3252" s="106"/>
      <c r="Z3252" s="26" t="str">
        <f t="shared" si="5"/>
        <v/>
      </c>
      <c r="AA3252" s="26" t="str">
        <f t="shared" si="6"/>
        <v/>
      </c>
      <c r="AB3252" s="32" t="str">
        <f t="shared" si="7"/>
        <v/>
      </c>
      <c r="AC3252" s="32" t="str">
        <f t="shared" ref="AC3252:AG3252" si="3333">IF(J3252&lt;&gt;"", IF(AND($P3252=FALSE, $A3252=FALSE), -J3252, IF(AND($P3252=FALSE, $A3252=TRUE), 0, IF($P3252=TRUE, (J3252 / $R3252) * 100 * ($S3252 / 100)-J3252, ))), )</f>
        <v/>
      </c>
      <c r="AD3252" s="32" t="str">
        <f t="shared" si="3333"/>
        <v/>
      </c>
      <c r="AE3252" s="32" t="str">
        <f t="shared" si="3333"/>
        <v/>
      </c>
      <c r="AF3252" s="32" t="str">
        <f t="shared" si="3333"/>
        <v/>
      </c>
      <c r="AG3252" s="32" t="str">
        <f t="shared" si="3333"/>
        <v/>
      </c>
      <c r="AH3252" s="33"/>
    </row>
    <row r="3253" hidden="1" outlineLevel="2">
      <c r="A3253" s="95" t="b">
        <v>0</v>
      </c>
      <c r="B3253" s="96"/>
      <c r="C3253" s="18"/>
      <c r="D3253" s="42">
        <v>45654.0</v>
      </c>
      <c r="E3253" s="20" t="s">
        <v>24</v>
      </c>
      <c r="F3253" s="53" t="s">
        <v>1902</v>
      </c>
      <c r="G3253" s="97">
        <v>0.75</v>
      </c>
      <c r="H3253" s="97"/>
      <c r="I3253" s="97">
        <v>0.75</v>
      </c>
      <c r="J3253" s="98"/>
      <c r="K3253" s="99"/>
      <c r="L3253" s="98"/>
      <c r="M3253" s="99"/>
      <c r="N3253" s="99"/>
      <c r="O3253" s="18"/>
      <c r="P3253" s="100" t="b">
        <v>0</v>
      </c>
      <c r="Q3253" s="18"/>
      <c r="R3253" s="101">
        <f t="shared" si="3300"/>
        <v>1.5</v>
      </c>
      <c r="S3253" s="32">
        <v>22.5</v>
      </c>
      <c r="T3253" s="102" t="str">
        <f t="shared" si="2793"/>
        <v>+1400</v>
      </c>
      <c r="U3253" s="18"/>
      <c r="V3253" s="103" t="str">
        <f>IF(ISBLANK($D3253), "0",)</f>
        <v/>
      </c>
      <c r="W3253" s="104" t="str">
        <f t="shared" si="2828"/>
        <v/>
      </c>
      <c r="X3253" s="105"/>
      <c r="Y3253" s="106"/>
      <c r="Z3253" s="26">
        <f t="shared" si="5"/>
        <v>-0.75</v>
      </c>
      <c r="AA3253" s="26">
        <f t="shared" si="6"/>
        <v>-0.75</v>
      </c>
      <c r="AB3253" s="32" t="str">
        <f t="shared" si="7"/>
        <v/>
      </c>
      <c r="AC3253" s="32" t="str">
        <f t="shared" ref="AC3253:AG3253" si="3334">IF(J3253&lt;&gt;"", IF(AND($P3253=FALSE, $A3253=FALSE), -J3253, IF(AND($P3253=FALSE, $A3253=TRUE), 0, IF($P3253=TRUE, (J3253 / $R3253) * 100 * ($S3253 / 100)-J3253, ))), )</f>
        <v/>
      </c>
      <c r="AD3253" s="32" t="str">
        <f t="shared" si="3334"/>
        <v/>
      </c>
      <c r="AE3253" s="32" t="str">
        <f t="shared" si="3334"/>
        <v/>
      </c>
      <c r="AF3253" s="32" t="str">
        <f t="shared" si="3334"/>
        <v/>
      </c>
      <c r="AG3253" s="32" t="str">
        <f t="shared" si="3334"/>
        <v/>
      </c>
      <c r="AH3253" s="33"/>
    </row>
    <row r="3254" hidden="1" outlineLevel="3">
      <c r="A3254" s="95" t="b">
        <v>0</v>
      </c>
      <c r="B3254" s="96"/>
      <c r="C3254" s="18"/>
      <c r="D3254" s="107"/>
      <c r="E3254" s="108"/>
      <c r="F3254" s="109"/>
      <c r="G3254" s="97"/>
      <c r="H3254" s="97"/>
      <c r="I3254" s="97"/>
      <c r="J3254" s="98"/>
      <c r="K3254" s="99"/>
      <c r="L3254" s="98"/>
      <c r="M3254" s="99"/>
      <c r="N3254" s="99"/>
      <c r="O3254" s="18"/>
      <c r="P3254" s="100" t="b">
        <v>0</v>
      </c>
      <c r="Q3254" s="18"/>
      <c r="R3254" s="101" t="str">
        <f t="shared" si="3300"/>
        <v/>
      </c>
      <c r="S3254" s="32"/>
      <c r="T3254" s="102" t="str">
        <f t="shared" si="2793"/>
        <v/>
      </c>
      <c r="U3254" s="18"/>
      <c r="V3254" s="113">
        <v>0.0</v>
      </c>
      <c r="W3254" s="104" t="str">
        <f t="shared" si="2828"/>
        <v>/</v>
      </c>
      <c r="X3254" s="111" t="s">
        <v>1921</v>
      </c>
      <c r="Y3254" s="106"/>
      <c r="Z3254" s="26" t="str">
        <f t="shared" si="5"/>
        <v/>
      </c>
      <c r="AA3254" s="26" t="str">
        <f t="shared" si="6"/>
        <v/>
      </c>
      <c r="AB3254" s="32" t="str">
        <f t="shared" si="7"/>
        <v/>
      </c>
      <c r="AC3254" s="32" t="str">
        <f t="shared" ref="AC3254:AG3254" si="3335">IF(J3254&lt;&gt;"", IF(AND($P3254=FALSE, $A3254=FALSE), -J3254, IF(AND($P3254=FALSE, $A3254=TRUE), 0, IF($P3254=TRUE, (J3254 / $R3254) * 100 * ($S3254 / 100)-J3254, ))), )</f>
        <v/>
      </c>
      <c r="AD3254" s="32" t="str">
        <f t="shared" si="3335"/>
        <v/>
      </c>
      <c r="AE3254" s="32" t="str">
        <f t="shared" si="3335"/>
        <v/>
      </c>
      <c r="AF3254" s="32" t="str">
        <f t="shared" si="3335"/>
        <v/>
      </c>
      <c r="AG3254" s="32" t="str">
        <f t="shared" si="3335"/>
        <v/>
      </c>
      <c r="AH3254" s="33"/>
    </row>
    <row r="3255" hidden="1" outlineLevel="1" collapsed="1">
      <c r="A3255" s="95" t="b">
        <v>0</v>
      </c>
      <c r="B3255" s="96"/>
      <c r="C3255" s="18"/>
      <c r="D3255" s="42">
        <v>45655.0</v>
      </c>
      <c r="E3255" s="20" t="s">
        <v>24</v>
      </c>
      <c r="F3255" s="53" t="s">
        <v>1902</v>
      </c>
      <c r="G3255" s="97">
        <v>2.0</v>
      </c>
      <c r="H3255" s="97"/>
      <c r="I3255" s="97">
        <v>3.0</v>
      </c>
      <c r="J3255" s="98"/>
      <c r="K3255" s="99"/>
      <c r="L3255" s="98"/>
      <c r="M3255" s="99"/>
      <c r="N3255" s="99"/>
      <c r="O3255" s="18"/>
      <c r="P3255" s="100" t="b">
        <v>1</v>
      </c>
      <c r="Q3255" s="18"/>
      <c r="R3255" s="101">
        <f t="shared" si="3300"/>
        <v>5</v>
      </c>
      <c r="S3255" s="32">
        <v>13.96</v>
      </c>
      <c r="T3255" s="102" t="str">
        <f t="shared" si="2793"/>
        <v>+179</v>
      </c>
      <c r="U3255" s="18"/>
      <c r="V3255" s="103" t="str">
        <f>IF(ISBLANK($D3255), "0",)</f>
        <v/>
      </c>
      <c r="W3255" s="104" t="str">
        <f t="shared" si="2828"/>
        <v/>
      </c>
      <c r="X3255" s="105"/>
      <c r="Y3255" s="106"/>
      <c r="Z3255" s="26">
        <f t="shared" si="5"/>
        <v>3.584</v>
      </c>
      <c r="AA3255" s="26">
        <f t="shared" si="6"/>
        <v>5.376</v>
      </c>
      <c r="AB3255" s="32" t="str">
        <f t="shared" si="7"/>
        <v/>
      </c>
      <c r="AC3255" s="32" t="str">
        <f t="shared" ref="AC3255:AG3255" si="3336">IF(J3255&lt;&gt;"", IF(AND($P3255=FALSE, $A3255=FALSE), -J3255, IF(AND($P3255=FALSE, $A3255=TRUE), 0, IF($P3255=TRUE, (J3255 / $R3255) * 100 * ($S3255 / 100)-J3255, ))), )</f>
        <v/>
      </c>
      <c r="AD3255" s="32" t="str">
        <f t="shared" si="3336"/>
        <v/>
      </c>
      <c r="AE3255" s="32" t="str">
        <f t="shared" si="3336"/>
        <v/>
      </c>
      <c r="AF3255" s="32" t="str">
        <f t="shared" si="3336"/>
        <v/>
      </c>
      <c r="AG3255" s="32" t="str">
        <f t="shared" si="3336"/>
        <v/>
      </c>
      <c r="AH3255" s="33"/>
    </row>
    <row r="3256" hidden="1" outlineLevel="2">
      <c r="A3256" s="95" t="b">
        <v>0</v>
      </c>
      <c r="B3256" s="96"/>
      <c r="C3256" s="18"/>
      <c r="D3256" s="107"/>
      <c r="E3256" s="108"/>
      <c r="F3256" s="109"/>
      <c r="G3256" s="97"/>
      <c r="H3256" s="97"/>
      <c r="I3256" s="97"/>
      <c r="J3256" s="98"/>
      <c r="K3256" s="99"/>
      <c r="L3256" s="98"/>
      <c r="M3256" s="99"/>
      <c r="N3256" s="99"/>
      <c r="O3256" s="18"/>
      <c r="P3256" s="100" t="b">
        <v>0</v>
      </c>
      <c r="Q3256" s="18"/>
      <c r="R3256" s="101" t="str">
        <f t="shared" si="3300"/>
        <v/>
      </c>
      <c r="S3256" s="32"/>
      <c r="T3256" s="102" t="str">
        <f t="shared" si="2793"/>
        <v/>
      </c>
      <c r="U3256" s="18"/>
      <c r="V3256" s="75" t="s">
        <v>29</v>
      </c>
      <c r="W3256" s="104" t="str">
        <f t="shared" si="2828"/>
        <v>/</v>
      </c>
      <c r="X3256" s="111" t="s">
        <v>1922</v>
      </c>
      <c r="Y3256" s="106"/>
      <c r="Z3256" s="26" t="str">
        <f t="shared" si="5"/>
        <v/>
      </c>
      <c r="AA3256" s="26" t="str">
        <f t="shared" si="6"/>
        <v/>
      </c>
      <c r="AB3256" s="32" t="str">
        <f t="shared" si="7"/>
        <v/>
      </c>
      <c r="AC3256" s="32" t="str">
        <f t="shared" ref="AC3256:AG3256" si="3337">IF(J3256&lt;&gt;"", IF(AND($P3256=FALSE, $A3256=FALSE), -J3256, IF(AND($P3256=FALSE, $A3256=TRUE), 0, IF($P3256=TRUE, (J3256 / $R3256) * 100 * ($S3256 / 100)-J3256, ))), )</f>
        <v/>
      </c>
      <c r="AD3256" s="32" t="str">
        <f t="shared" si="3337"/>
        <v/>
      </c>
      <c r="AE3256" s="32" t="str">
        <f t="shared" si="3337"/>
        <v/>
      </c>
      <c r="AF3256" s="32" t="str">
        <f t="shared" si="3337"/>
        <v/>
      </c>
      <c r="AG3256" s="32" t="str">
        <f t="shared" si="3337"/>
        <v/>
      </c>
      <c r="AH3256" s="33"/>
    </row>
    <row r="3257" hidden="1" outlineLevel="2">
      <c r="A3257" s="95" t="b">
        <v>0</v>
      </c>
      <c r="B3257" s="96"/>
      <c r="C3257" s="18"/>
      <c r="D3257" s="107"/>
      <c r="E3257" s="108"/>
      <c r="F3257" s="109"/>
      <c r="G3257" s="97"/>
      <c r="H3257" s="97"/>
      <c r="I3257" s="97"/>
      <c r="J3257" s="98"/>
      <c r="K3257" s="99"/>
      <c r="L3257" s="98"/>
      <c r="M3257" s="99"/>
      <c r="N3257" s="99"/>
      <c r="O3257" s="18"/>
      <c r="P3257" s="100" t="b">
        <v>0</v>
      </c>
      <c r="Q3257" s="18"/>
      <c r="R3257" s="101" t="str">
        <f t="shared" si="3300"/>
        <v/>
      </c>
      <c r="S3257" s="32"/>
      <c r="T3257" s="102" t="str">
        <f t="shared" si="2793"/>
        <v/>
      </c>
      <c r="U3257" s="18"/>
      <c r="V3257" s="75" t="s">
        <v>29</v>
      </c>
      <c r="W3257" s="104" t="str">
        <f t="shared" si="2828"/>
        <v>/</v>
      </c>
      <c r="X3257" s="111" t="s">
        <v>1923</v>
      </c>
      <c r="Y3257" s="106"/>
      <c r="Z3257" s="26" t="str">
        <f t="shared" si="5"/>
        <v/>
      </c>
      <c r="AA3257" s="26" t="str">
        <f t="shared" si="6"/>
        <v/>
      </c>
      <c r="AB3257" s="32" t="str">
        <f t="shared" si="7"/>
        <v/>
      </c>
      <c r="AC3257" s="32" t="str">
        <f t="shared" ref="AC3257:AG3257" si="3338">IF(J3257&lt;&gt;"", IF(AND($P3257=FALSE, $A3257=FALSE), -J3257, IF(AND($P3257=FALSE, $A3257=TRUE), 0, IF($P3257=TRUE, (J3257 / $R3257) * 100 * ($S3257 / 100)-J3257, ))), )</f>
        <v/>
      </c>
      <c r="AD3257" s="32" t="str">
        <f t="shared" si="3338"/>
        <v/>
      </c>
      <c r="AE3257" s="32" t="str">
        <f t="shared" si="3338"/>
        <v/>
      </c>
      <c r="AF3257" s="32" t="str">
        <f t="shared" si="3338"/>
        <v/>
      </c>
      <c r="AG3257" s="32" t="str">
        <f t="shared" si="3338"/>
        <v/>
      </c>
      <c r="AH3257" s="33"/>
    </row>
    <row r="3258" hidden="1" outlineLevel="2">
      <c r="A3258" s="95" t="b">
        <v>0</v>
      </c>
      <c r="B3258" s="96"/>
      <c r="C3258" s="18"/>
      <c r="D3258" s="107"/>
      <c r="E3258" s="108"/>
      <c r="F3258" s="109"/>
      <c r="G3258" s="97"/>
      <c r="H3258" s="97"/>
      <c r="I3258" s="97"/>
      <c r="J3258" s="98"/>
      <c r="K3258" s="99"/>
      <c r="L3258" s="98"/>
      <c r="M3258" s="99"/>
      <c r="N3258" s="99"/>
      <c r="O3258" s="18"/>
      <c r="P3258" s="100" t="b">
        <v>0</v>
      </c>
      <c r="Q3258" s="18"/>
      <c r="R3258" s="101" t="str">
        <f t="shared" si="3300"/>
        <v/>
      </c>
      <c r="S3258" s="32"/>
      <c r="T3258" s="102" t="str">
        <f t="shared" si="2793"/>
        <v/>
      </c>
      <c r="U3258" s="18"/>
      <c r="V3258" s="75" t="s">
        <v>29</v>
      </c>
      <c r="W3258" s="104" t="str">
        <f t="shared" si="2828"/>
        <v>/</v>
      </c>
      <c r="X3258" s="111" t="s">
        <v>1924</v>
      </c>
      <c r="Y3258" s="106"/>
      <c r="Z3258" s="26" t="str">
        <f t="shared" si="5"/>
        <v/>
      </c>
      <c r="AA3258" s="26" t="str">
        <f t="shared" si="6"/>
        <v/>
      </c>
      <c r="AB3258" s="32" t="str">
        <f t="shared" si="7"/>
        <v/>
      </c>
      <c r="AC3258" s="32" t="str">
        <f t="shared" ref="AC3258:AG3258" si="3339">IF(J3258&lt;&gt;"", IF(AND($P3258=FALSE, $A3258=FALSE), -J3258, IF(AND($P3258=FALSE, $A3258=TRUE), 0, IF($P3258=TRUE, (J3258 / $R3258) * 100 * ($S3258 / 100)-J3258, ))), )</f>
        <v/>
      </c>
      <c r="AD3258" s="32" t="str">
        <f t="shared" si="3339"/>
        <v/>
      </c>
      <c r="AE3258" s="32" t="str">
        <f t="shared" si="3339"/>
        <v/>
      </c>
      <c r="AF3258" s="32" t="str">
        <f t="shared" si="3339"/>
        <v/>
      </c>
      <c r="AG3258" s="32" t="str">
        <f t="shared" si="3339"/>
        <v/>
      </c>
      <c r="AH3258" s="33"/>
    </row>
    <row r="3259" hidden="1" outlineLevel="1" collapsed="1">
      <c r="A3259" s="95" t="b">
        <v>0</v>
      </c>
      <c r="B3259" s="96"/>
      <c r="C3259" s="18"/>
      <c r="D3259" s="42">
        <v>45655.0</v>
      </c>
      <c r="E3259" s="20" t="s">
        <v>24</v>
      </c>
      <c r="F3259" s="53" t="s">
        <v>1902</v>
      </c>
      <c r="G3259" s="97">
        <v>2.0</v>
      </c>
      <c r="H3259" s="97"/>
      <c r="I3259" s="97">
        <v>3.0</v>
      </c>
      <c r="J3259" s="98"/>
      <c r="K3259" s="99"/>
      <c r="L3259" s="98"/>
      <c r="M3259" s="99"/>
      <c r="N3259" s="99"/>
      <c r="O3259" s="18"/>
      <c r="P3259" s="100" t="b">
        <v>1</v>
      </c>
      <c r="Q3259" s="18"/>
      <c r="R3259" s="101">
        <f t="shared" si="3300"/>
        <v>5</v>
      </c>
      <c r="S3259" s="32">
        <v>10.66</v>
      </c>
      <c r="T3259" s="102" t="str">
        <f t="shared" si="2793"/>
        <v>+113</v>
      </c>
      <c r="U3259" s="18"/>
      <c r="V3259" s="103" t="str">
        <f>IF(ISBLANK($D3259), "0",)</f>
        <v/>
      </c>
      <c r="W3259" s="104" t="str">
        <f t="shared" si="2828"/>
        <v/>
      </c>
      <c r="X3259" s="105"/>
      <c r="Y3259" s="106"/>
      <c r="Z3259" s="26">
        <f t="shared" si="5"/>
        <v>2.264</v>
      </c>
      <c r="AA3259" s="26">
        <f t="shared" si="6"/>
        <v>3.396</v>
      </c>
      <c r="AB3259" s="32" t="str">
        <f t="shared" si="7"/>
        <v/>
      </c>
      <c r="AC3259" s="32" t="str">
        <f t="shared" ref="AC3259:AG3259" si="3340">IF(J3259&lt;&gt;"", IF(AND($P3259=FALSE, $A3259=FALSE), -J3259, IF(AND($P3259=FALSE, $A3259=TRUE), 0, IF($P3259=TRUE, (J3259 / $R3259) * 100 * ($S3259 / 100)-J3259, ))), )</f>
        <v/>
      </c>
      <c r="AD3259" s="32" t="str">
        <f t="shared" si="3340"/>
        <v/>
      </c>
      <c r="AE3259" s="32" t="str">
        <f t="shared" si="3340"/>
        <v/>
      </c>
      <c r="AF3259" s="32" t="str">
        <f t="shared" si="3340"/>
        <v/>
      </c>
      <c r="AG3259" s="32" t="str">
        <f t="shared" si="3340"/>
        <v/>
      </c>
      <c r="AH3259" s="33"/>
    </row>
    <row r="3260" hidden="1" outlineLevel="2">
      <c r="A3260" s="95" t="b">
        <v>0</v>
      </c>
      <c r="B3260" s="96"/>
      <c r="C3260" s="18"/>
      <c r="D3260" s="107"/>
      <c r="E3260" s="108"/>
      <c r="F3260" s="109"/>
      <c r="G3260" s="97"/>
      <c r="H3260" s="97"/>
      <c r="I3260" s="97"/>
      <c r="J3260" s="98"/>
      <c r="K3260" s="99"/>
      <c r="L3260" s="98"/>
      <c r="M3260" s="99"/>
      <c r="N3260" s="99"/>
      <c r="O3260" s="18"/>
      <c r="P3260" s="100" t="b">
        <v>0</v>
      </c>
      <c r="Q3260" s="18"/>
      <c r="R3260" s="101" t="str">
        <f t="shared" si="3300"/>
        <v/>
      </c>
      <c r="S3260" s="32"/>
      <c r="T3260" s="102" t="str">
        <f t="shared" si="2793"/>
        <v/>
      </c>
      <c r="U3260" s="18"/>
      <c r="V3260" s="75" t="s">
        <v>29</v>
      </c>
      <c r="W3260" s="104" t="str">
        <f t="shared" si="2828"/>
        <v>/</v>
      </c>
      <c r="X3260" s="111" t="s">
        <v>1812</v>
      </c>
      <c r="Y3260" s="106"/>
      <c r="Z3260" s="26" t="str">
        <f t="shared" si="5"/>
        <v/>
      </c>
      <c r="AA3260" s="26" t="str">
        <f t="shared" si="6"/>
        <v/>
      </c>
      <c r="AB3260" s="32" t="str">
        <f t="shared" si="7"/>
        <v/>
      </c>
      <c r="AC3260" s="32" t="str">
        <f t="shared" ref="AC3260:AG3260" si="3341">IF(J3260&lt;&gt;"", IF(AND($P3260=FALSE, $A3260=FALSE), -J3260, IF(AND($P3260=FALSE, $A3260=TRUE), 0, IF($P3260=TRUE, (J3260 / $R3260) * 100 * ($S3260 / 100)-J3260, ))), )</f>
        <v/>
      </c>
      <c r="AD3260" s="32" t="str">
        <f t="shared" si="3341"/>
        <v/>
      </c>
      <c r="AE3260" s="32" t="str">
        <f t="shared" si="3341"/>
        <v/>
      </c>
      <c r="AF3260" s="32" t="str">
        <f t="shared" si="3341"/>
        <v/>
      </c>
      <c r="AG3260" s="32" t="str">
        <f t="shared" si="3341"/>
        <v/>
      </c>
      <c r="AH3260" s="33"/>
    </row>
    <row r="3261" hidden="1" outlineLevel="2">
      <c r="A3261" s="95" t="b">
        <v>0</v>
      </c>
      <c r="B3261" s="96"/>
      <c r="C3261" s="18"/>
      <c r="D3261" s="107"/>
      <c r="E3261" s="108"/>
      <c r="F3261" s="109"/>
      <c r="G3261" s="97"/>
      <c r="H3261" s="97"/>
      <c r="I3261" s="97"/>
      <c r="J3261" s="98"/>
      <c r="K3261" s="99"/>
      <c r="L3261" s="98"/>
      <c r="M3261" s="99"/>
      <c r="N3261" s="99"/>
      <c r="O3261" s="18"/>
      <c r="P3261" s="100" t="b">
        <v>0</v>
      </c>
      <c r="Q3261" s="18"/>
      <c r="R3261" s="101" t="str">
        <f t="shared" si="3300"/>
        <v/>
      </c>
      <c r="S3261" s="32"/>
      <c r="T3261" s="102" t="str">
        <f t="shared" si="2793"/>
        <v/>
      </c>
      <c r="U3261" s="18"/>
      <c r="V3261" s="75" t="s">
        <v>29</v>
      </c>
      <c r="W3261" s="104" t="str">
        <f t="shared" si="2828"/>
        <v>/</v>
      </c>
      <c r="X3261" s="111" t="s">
        <v>1925</v>
      </c>
      <c r="Y3261" s="106"/>
      <c r="Z3261" s="26" t="str">
        <f t="shared" si="5"/>
        <v/>
      </c>
      <c r="AA3261" s="26" t="str">
        <f t="shared" si="6"/>
        <v/>
      </c>
      <c r="AB3261" s="32" t="str">
        <f t="shared" si="7"/>
        <v/>
      </c>
      <c r="AC3261" s="32" t="str">
        <f t="shared" ref="AC3261:AG3261" si="3342">IF(J3261&lt;&gt;"", IF(AND($P3261=FALSE, $A3261=FALSE), -J3261, IF(AND($P3261=FALSE, $A3261=TRUE), 0, IF($P3261=TRUE, (J3261 / $R3261) * 100 * ($S3261 / 100)-J3261, ))), )</f>
        <v/>
      </c>
      <c r="AD3261" s="32" t="str">
        <f t="shared" si="3342"/>
        <v/>
      </c>
      <c r="AE3261" s="32" t="str">
        <f t="shared" si="3342"/>
        <v/>
      </c>
      <c r="AF3261" s="32" t="str">
        <f t="shared" si="3342"/>
        <v/>
      </c>
      <c r="AG3261" s="32" t="str">
        <f t="shared" si="3342"/>
        <v/>
      </c>
      <c r="AH3261" s="33"/>
    </row>
    <row r="3262" hidden="1" outlineLevel="2">
      <c r="A3262" s="95" t="b">
        <v>0</v>
      </c>
      <c r="B3262" s="96"/>
      <c r="C3262" s="18"/>
      <c r="D3262" s="107"/>
      <c r="E3262" s="108"/>
      <c r="F3262" s="109"/>
      <c r="G3262" s="97"/>
      <c r="H3262" s="97"/>
      <c r="I3262" s="97"/>
      <c r="J3262" s="98"/>
      <c r="K3262" s="99"/>
      <c r="L3262" s="98"/>
      <c r="M3262" s="99"/>
      <c r="N3262" s="99"/>
      <c r="O3262" s="18"/>
      <c r="P3262" s="100" t="b">
        <v>0</v>
      </c>
      <c r="Q3262" s="18"/>
      <c r="R3262" s="101" t="str">
        <f t="shared" si="3300"/>
        <v/>
      </c>
      <c r="S3262" s="32"/>
      <c r="T3262" s="102" t="str">
        <f t="shared" si="2793"/>
        <v/>
      </c>
      <c r="U3262" s="18"/>
      <c r="V3262" s="75" t="s">
        <v>29</v>
      </c>
      <c r="W3262" s="104" t="str">
        <f t="shared" si="2828"/>
        <v>/</v>
      </c>
      <c r="X3262" s="111" t="s">
        <v>1926</v>
      </c>
      <c r="Y3262" s="106"/>
      <c r="Z3262" s="26" t="str">
        <f t="shared" si="5"/>
        <v/>
      </c>
      <c r="AA3262" s="26" t="str">
        <f t="shared" si="6"/>
        <v/>
      </c>
      <c r="AB3262" s="32" t="str">
        <f t="shared" si="7"/>
        <v/>
      </c>
      <c r="AC3262" s="32" t="str">
        <f t="shared" ref="AC3262:AG3262" si="3343">IF(J3262&lt;&gt;"", IF(AND($P3262=FALSE, $A3262=FALSE), -J3262, IF(AND($P3262=FALSE, $A3262=TRUE), 0, IF($P3262=TRUE, (J3262 / $R3262) * 100 * ($S3262 / 100)-J3262, ))), )</f>
        <v/>
      </c>
      <c r="AD3262" s="32" t="str">
        <f t="shared" si="3343"/>
        <v/>
      </c>
      <c r="AE3262" s="32" t="str">
        <f t="shared" si="3343"/>
        <v/>
      </c>
      <c r="AF3262" s="32" t="str">
        <f t="shared" si="3343"/>
        <v/>
      </c>
      <c r="AG3262" s="32" t="str">
        <f t="shared" si="3343"/>
        <v/>
      </c>
      <c r="AH3262" s="33"/>
    </row>
    <row r="3263" hidden="1" outlineLevel="1" collapsed="1">
      <c r="A3263" s="95" t="b">
        <v>0</v>
      </c>
      <c r="B3263" s="96"/>
      <c r="C3263" s="18"/>
      <c r="D3263" s="42">
        <v>45655.0</v>
      </c>
      <c r="E3263" s="20" t="s">
        <v>24</v>
      </c>
      <c r="F3263" s="53" t="s">
        <v>1902</v>
      </c>
      <c r="G3263" s="97">
        <v>2.0</v>
      </c>
      <c r="H3263" s="97"/>
      <c r="I3263" s="97">
        <v>3.0</v>
      </c>
      <c r="J3263" s="98"/>
      <c r="K3263" s="99"/>
      <c r="L3263" s="98"/>
      <c r="M3263" s="99"/>
      <c r="N3263" s="99"/>
      <c r="O3263" s="18"/>
      <c r="P3263" s="100" t="b">
        <v>0</v>
      </c>
      <c r="Q3263" s="18"/>
      <c r="R3263" s="101">
        <f t="shared" si="3300"/>
        <v>5</v>
      </c>
      <c r="S3263" s="32">
        <v>16.02</v>
      </c>
      <c r="T3263" s="102" t="str">
        <f t="shared" si="2793"/>
        <v>+220</v>
      </c>
      <c r="U3263" s="18"/>
      <c r="V3263" s="103" t="str">
        <f>IF(ISBLANK($D3263), "0",)</f>
        <v/>
      </c>
      <c r="W3263" s="104" t="str">
        <f t="shared" si="2828"/>
        <v/>
      </c>
      <c r="X3263" s="105"/>
      <c r="Y3263" s="106"/>
      <c r="Z3263" s="26">
        <f t="shared" si="5"/>
        <v>-2</v>
      </c>
      <c r="AA3263" s="26">
        <f t="shared" si="6"/>
        <v>-3</v>
      </c>
      <c r="AB3263" s="32" t="str">
        <f t="shared" si="7"/>
        <v/>
      </c>
      <c r="AC3263" s="32" t="str">
        <f t="shared" ref="AC3263:AG3263" si="3344">IF(J3263&lt;&gt;"", IF(AND($P3263=FALSE, $A3263=FALSE), -J3263, IF(AND($P3263=FALSE, $A3263=TRUE), 0, IF($P3263=TRUE, (J3263 / $R3263) * 100 * ($S3263 / 100)-J3263, ))), )</f>
        <v/>
      </c>
      <c r="AD3263" s="32" t="str">
        <f t="shared" si="3344"/>
        <v/>
      </c>
      <c r="AE3263" s="32" t="str">
        <f t="shared" si="3344"/>
        <v/>
      </c>
      <c r="AF3263" s="32" t="str">
        <f t="shared" si="3344"/>
        <v/>
      </c>
      <c r="AG3263" s="32" t="str">
        <f t="shared" si="3344"/>
        <v/>
      </c>
      <c r="AH3263" s="33"/>
    </row>
    <row r="3264" hidden="1" outlineLevel="2">
      <c r="A3264" s="95" t="b">
        <v>0</v>
      </c>
      <c r="B3264" s="96"/>
      <c r="C3264" s="18"/>
      <c r="D3264" s="107"/>
      <c r="E3264" s="108"/>
      <c r="F3264" s="109"/>
      <c r="G3264" s="97"/>
      <c r="H3264" s="97"/>
      <c r="I3264" s="97"/>
      <c r="J3264" s="98"/>
      <c r="K3264" s="99"/>
      <c r="L3264" s="98"/>
      <c r="M3264" s="99"/>
      <c r="N3264" s="99"/>
      <c r="O3264" s="18"/>
      <c r="P3264" s="100" t="b">
        <v>0</v>
      </c>
      <c r="Q3264" s="18"/>
      <c r="R3264" s="101" t="str">
        <f t="shared" si="3300"/>
        <v/>
      </c>
      <c r="S3264" s="32"/>
      <c r="T3264" s="102" t="str">
        <f t="shared" si="2793"/>
        <v/>
      </c>
      <c r="U3264" s="18"/>
      <c r="V3264" s="113">
        <v>1.0</v>
      </c>
      <c r="W3264" s="104" t="str">
        <f t="shared" si="2828"/>
        <v>/</v>
      </c>
      <c r="X3264" s="111" t="s">
        <v>1927</v>
      </c>
      <c r="Y3264" s="106"/>
      <c r="Z3264" s="26" t="str">
        <f t="shared" si="5"/>
        <v/>
      </c>
      <c r="AA3264" s="26" t="str">
        <f t="shared" si="6"/>
        <v/>
      </c>
      <c r="AB3264" s="32" t="str">
        <f t="shared" si="7"/>
        <v/>
      </c>
      <c r="AC3264" s="32" t="str">
        <f t="shared" ref="AC3264:AG3264" si="3345">IF(J3264&lt;&gt;"", IF(AND($P3264=FALSE, $A3264=FALSE), -J3264, IF(AND($P3264=FALSE, $A3264=TRUE), 0, IF($P3264=TRUE, (J3264 / $R3264) * 100 * ($S3264 / 100)-J3264, ))), )</f>
        <v/>
      </c>
      <c r="AD3264" s="32" t="str">
        <f t="shared" si="3345"/>
        <v/>
      </c>
      <c r="AE3264" s="32" t="str">
        <f t="shared" si="3345"/>
        <v/>
      </c>
      <c r="AF3264" s="32" t="str">
        <f t="shared" si="3345"/>
        <v/>
      </c>
      <c r="AG3264" s="32" t="str">
        <f t="shared" si="3345"/>
        <v/>
      </c>
      <c r="AH3264" s="33"/>
    </row>
    <row r="3265" hidden="1" outlineLevel="2">
      <c r="A3265" s="95" t="b">
        <v>0</v>
      </c>
      <c r="B3265" s="96"/>
      <c r="C3265" s="18"/>
      <c r="D3265" s="107"/>
      <c r="E3265" s="108"/>
      <c r="F3265" s="109"/>
      <c r="G3265" s="97"/>
      <c r="H3265" s="97"/>
      <c r="I3265" s="97"/>
      <c r="J3265" s="98"/>
      <c r="K3265" s="99"/>
      <c r="L3265" s="98"/>
      <c r="M3265" s="99"/>
      <c r="N3265" s="99"/>
      <c r="O3265" s="18"/>
      <c r="P3265" s="100" t="b">
        <v>0</v>
      </c>
      <c r="Q3265" s="18"/>
      <c r="R3265" s="101" t="str">
        <f t="shared" si="3300"/>
        <v/>
      </c>
      <c r="S3265" s="32"/>
      <c r="T3265" s="102" t="str">
        <f t="shared" si="2793"/>
        <v/>
      </c>
      <c r="U3265" s="18"/>
      <c r="V3265" s="75" t="s">
        <v>29</v>
      </c>
      <c r="W3265" s="104" t="str">
        <f t="shared" si="2828"/>
        <v>/</v>
      </c>
      <c r="X3265" s="111" t="s">
        <v>1928</v>
      </c>
      <c r="Y3265" s="106"/>
      <c r="Z3265" s="26" t="str">
        <f t="shared" si="5"/>
        <v/>
      </c>
      <c r="AA3265" s="26" t="str">
        <f t="shared" si="6"/>
        <v/>
      </c>
      <c r="AB3265" s="32" t="str">
        <f t="shared" si="7"/>
        <v/>
      </c>
      <c r="AC3265" s="32" t="str">
        <f t="shared" ref="AC3265:AG3265" si="3346">IF(J3265&lt;&gt;"", IF(AND($P3265=FALSE, $A3265=FALSE), -J3265, IF(AND($P3265=FALSE, $A3265=TRUE), 0, IF($P3265=TRUE, (J3265 / $R3265) * 100 * ($S3265 / 100)-J3265, ))), )</f>
        <v/>
      </c>
      <c r="AD3265" s="32" t="str">
        <f t="shared" si="3346"/>
        <v/>
      </c>
      <c r="AE3265" s="32" t="str">
        <f t="shared" si="3346"/>
        <v/>
      </c>
      <c r="AF3265" s="32" t="str">
        <f t="shared" si="3346"/>
        <v/>
      </c>
      <c r="AG3265" s="32" t="str">
        <f t="shared" si="3346"/>
        <v/>
      </c>
      <c r="AH3265" s="33"/>
    </row>
    <row r="3266" hidden="1" outlineLevel="1" collapsed="1">
      <c r="A3266" s="95" t="b">
        <v>0</v>
      </c>
      <c r="B3266" s="96"/>
      <c r="C3266" s="18"/>
      <c r="D3266" s="42">
        <v>45655.0</v>
      </c>
      <c r="E3266" s="20" t="s">
        <v>24</v>
      </c>
      <c r="F3266" s="53" t="s">
        <v>1902</v>
      </c>
      <c r="G3266" s="97">
        <v>2.0</v>
      </c>
      <c r="H3266" s="97"/>
      <c r="I3266" s="97">
        <v>3.0</v>
      </c>
      <c r="J3266" s="98"/>
      <c r="K3266" s="99"/>
      <c r="L3266" s="98"/>
      <c r="M3266" s="99"/>
      <c r="N3266" s="99"/>
      <c r="O3266" s="18"/>
      <c r="P3266" s="100" t="b">
        <v>0</v>
      </c>
      <c r="Q3266" s="18"/>
      <c r="R3266" s="101">
        <f t="shared" si="3300"/>
        <v>5</v>
      </c>
      <c r="S3266" s="32">
        <v>10.0</v>
      </c>
      <c r="T3266" s="102">
        <f t="shared" si="2793"/>
        <v>-100</v>
      </c>
      <c r="U3266" s="18"/>
      <c r="V3266" s="103" t="str">
        <f>IF(ISBLANK($D3266), "0",)</f>
        <v/>
      </c>
      <c r="W3266" s="104" t="str">
        <f t="shared" si="2828"/>
        <v/>
      </c>
      <c r="X3266" s="105"/>
      <c r="Y3266" s="106"/>
      <c r="Z3266" s="26">
        <f t="shared" si="5"/>
        <v>-2</v>
      </c>
      <c r="AA3266" s="26">
        <f t="shared" si="6"/>
        <v>-3</v>
      </c>
      <c r="AB3266" s="32" t="str">
        <f t="shared" si="7"/>
        <v/>
      </c>
      <c r="AC3266" s="32" t="str">
        <f t="shared" ref="AC3266:AG3266" si="3347">IF(J3266&lt;&gt;"", IF(AND($P3266=FALSE, $A3266=FALSE), -J3266, IF(AND($P3266=FALSE, $A3266=TRUE), 0, IF($P3266=TRUE, (J3266 / $R3266) * 100 * ($S3266 / 100)-J3266, ))), )</f>
        <v/>
      </c>
      <c r="AD3266" s="32" t="str">
        <f t="shared" si="3347"/>
        <v/>
      </c>
      <c r="AE3266" s="32" t="str">
        <f t="shared" si="3347"/>
        <v/>
      </c>
      <c r="AF3266" s="32" t="str">
        <f t="shared" si="3347"/>
        <v/>
      </c>
      <c r="AG3266" s="32" t="str">
        <f t="shared" si="3347"/>
        <v/>
      </c>
      <c r="AH3266" s="33"/>
    </row>
    <row r="3267" hidden="1" outlineLevel="2">
      <c r="A3267" s="95" t="b">
        <v>0</v>
      </c>
      <c r="B3267" s="96"/>
      <c r="C3267" s="18"/>
      <c r="D3267" s="107"/>
      <c r="E3267" s="108"/>
      <c r="F3267" s="109"/>
      <c r="G3267" s="97"/>
      <c r="H3267" s="97"/>
      <c r="I3267" s="97"/>
      <c r="J3267" s="98"/>
      <c r="K3267" s="99"/>
      <c r="L3267" s="98"/>
      <c r="M3267" s="99"/>
      <c r="N3267" s="99"/>
      <c r="O3267" s="18"/>
      <c r="P3267" s="100" t="b">
        <v>0</v>
      </c>
      <c r="Q3267" s="18"/>
      <c r="R3267" s="101" t="str">
        <f t="shared" si="3300"/>
        <v/>
      </c>
      <c r="S3267" s="32"/>
      <c r="T3267" s="102" t="str">
        <f t="shared" si="2793"/>
        <v/>
      </c>
      <c r="U3267" s="18"/>
      <c r="V3267" s="113">
        <v>37.0</v>
      </c>
      <c r="W3267" s="104" t="str">
        <f t="shared" si="2828"/>
        <v>/</v>
      </c>
      <c r="X3267" s="111" t="s">
        <v>1574</v>
      </c>
      <c r="Y3267" s="106"/>
      <c r="Z3267" s="26" t="str">
        <f t="shared" si="5"/>
        <v/>
      </c>
      <c r="AA3267" s="26" t="str">
        <f t="shared" si="6"/>
        <v/>
      </c>
      <c r="AB3267" s="32" t="str">
        <f t="shared" si="7"/>
        <v/>
      </c>
      <c r="AC3267" s="32" t="str">
        <f t="shared" ref="AC3267:AG3267" si="3348">IF(J3267&lt;&gt;"", IF(AND($P3267=FALSE, $A3267=FALSE), -J3267, IF(AND($P3267=FALSE, $A3267=TRUE), 0, IF($P3267=TRUE, (J3267 / $R3267) * 100 * ($S3267 / 100)-J3267, ))), )</f>
        <v/>
      </c>
      <c r="AD3267" s="32" t="str">
        <f t="shared" si="3348"/>
        <v/>
      </c>
      <c r="AE3267" s="32" t="str">
        <f t="shared" si="3348"/>
        <v/>
      </c>
      <c r="AF3267" s="32" t="str">
        <f t="shared" si="3348"/>
        <v/>
      </c>
      <c r="AG3267" s="32" t="str">
        <f t="shared" si="3348"/>
        <v/>
      </c>
      <c r="AH3267" s="33"/>
    </row>
    <row r="3268" hidden="1" outlineLevel="1">
      <c r="A3268" s="95" t="b">
        <v>0</v>
      </c>
      <c r="B3268" s="96"/>
      <c r="C3268" s="18"/>
      <c r="D3268" s="42">
        <v>45655.0</v>
      </c>
      <c r="E3268" s="20" t="s">
        <v>24</v>
      </c>
      <c r="F3268" s="53" t="s">
        <v>1902</v>
      </c>
      <c r="G3268" s="97">
        <v>1.0</v>
      </c>
      <c r="H3268" s="97"/>
      <c r="I3268" s="97">
        <v>2.5</v>
      </c>
      <c r="J3268" s="98"/>
      <c r="K3268" s="99"/>
      <c r="L3268" s="98"/>
      <c r="M3268" s="99"/>
      <c r="N3268" s="99"/>
      <c r="O3268" s="18"/>
      <c r="P3268" s="100" t="b">
        <v>0</v>
      </c>
      <c r="Q3268" s="18"/>
      <c r="R3268" s="101">
        <f t="shared" si="3300"/>
        <v>3.5</v>
      </c>
      <c r="S3268" s="32">
        <v>35.0</v>
      </c>
      <c r="T3268" s="102" t="str">
        <f t="shared" si="2793"/>
        <v>+900</v>
      </c>
      <c r="U3268" s="18"/>
      <c r="V3268" s="103" t="str">
        <f>IF(ISBLANK($D3268), "0",)</f>
        <v/>
      </c>
      <c r="W3268" s="104" t="str">
        <f t="shared" si="2828"/>
        <v/>
      </c>
      <c r="X3268" s="105"/>
      <c r="Y3268" s="106"/>
      <c r="Z3268" s="26">
        <f t="shared" si="5"/>
        <v>-1</v>
      </c>
      <c r="AA3268" s="26">
        <f t="shared" si="6"/>
        <v>-2.5</v>
      </c>
      <c r="AB3268" s="32" t="str">
        <f t="shared" si="7"/>
        <v/>
      </c>
      <c r="AC3268" s="32" t="str">
        <f t="shared" ref="AC3268:AG3268" si="3349">IF(J3268&lt;&gt;"", IF(AND($P3268=FALSE, $A3268=FALSE), -J3268, IF(AND($P3268=FALSE, $A3268=TRUE), 0, IF($P3268=TRUE, (J3268 / $R3268) * 100 * ($S3268 / 100)-J3268, ))), )</f>
        <v/>
      </c>
      <c r="AD3268" s="32" t="str">
        <f t="shared" si="3349"/>
        <v/>
      </c>
      <c r="AE3268" s="32" t="str">
        <f t="shared" si="3349"/>
        <v/>
      </c>
      <c r="AF3268" s="32" t="str">
        <f t="shared" si="3349"/>
        <v/>
      </c>
      <c r="AG3268" s="32" t="str">
        <f t="shared" si="3349"/>
        <v/>
      </c>
      <c r="AH3268" s="33"/>
    </row>
    <row r="3269" hidden="1" outlineLevel="2">
      <c r="A3269" s="95" t="b">
        <v>0</v>
      </c>
      <c r="B3269" s="96"/>
      <c r="C3269" s="18"/>
      <c r="D3269" s="107"/>
      <c r="E3269" s="108"/>
      <c r="F3269" s="109"/>
      <c r="G3269" s="97"/>
      <c r="H3269" s="97"/>
      <c r="I3269" s="97"/>
      <c r="J3269" s="98"/>
      <c r="K3269" s="99"/>
      <c r="L3269" s="98"/>
      <c r="M3269" s="99"/>
      <c r="N3269" s="99"/>
      <c r="O3269" s="18"/>
      <c r="P3269" s="100" t="b">
        <v>0</v>
      </c>
      <c r="Q3269" s="18"/>
      <c r="R3269" s="101" t="str">
        <f t="shared" si="3300"/>
        <v/>
      </c>
      <c r="S3269" s="32"/>
      <c r="T3269" s="102" t="str">
        <f t="shared" si="2793"/>
        <v/>
      </c>
      <c r="U3269" s="18"/>
      <c r="V3269" s="113">
        <v>0.0</v>
      </c>
      <c r="W3269" s="104" t="str">
        <f t="shared" si="2828"/>
        <v>/</v>
      </c>
      <c r="X3269" s="111" t="s">
        <v>1929</v>
      </c>
      <c r="Y3269" s="106"/>
      <c r="Z3269" s="26" t="str">
        <f t="shared" si="5"/>
        <v/>
      </c>
      <c r="AA3269" s="26" t="str">
        <f t="shared" si="6"/>
        <v/>
      </c>
      <c r="AB3269" s="32" t="str">
        <f t="shared" si="7"/>
        <v/>
      </c>
      <c r="AC3269" s="32" t="str">
        <f t="shared" ref="AC3269:AG3269" si="3350">IF(J3269&lt;&gt;"", IF(AND($P3269=FALSE, $A3269=FALSE), -J3269, IF(AND($P3269=FALSE, $A3269=TRUE), 0, IF($P3269=TRUE, (J3269 / $R3269) * 100 * ($S3269 / 100)-J3269, ))), )</f>
        <v/>
      </c>
      <c r="AD3269" s="32" t="str">
        <f t="shared" si="3350"/>
        <v/>
      </c>
      <c r="AE3269" s="32" t="str">
        <f t="shared" si="3350"/>
        <v/>
      </c>
      <c r="AF3269" s="32" t="str">
        <f t="shared" si="3350"/>
        <v/>
      </c>
      <c r="AG3269" s="32" t="str">
        <f t="shared" si="3350"/>
        <v/>
      </c>
      <c r="AH3269" s="33"/>
    </row>
    <row r="3270" collapsed="1">
      <c r="A3270" s="95" t="b">
        <v>0</v>
      </c>
      <c r="B3270" s="96"/>
      <c r="C3270" s="18"/>
      <c r="D3270" s="42">
        <v>45668.0</v>
      </c>
      <c r="E3270" s="20" t="s">
        <v>24</v>
      </c>
      <c r="F3270" s="53" t="s">
        <v>1930</v>
      </c>
      <c r="G3270" s="97">
        <v>2.0</v>
      </c>
      <c r="H3270" s="97"/>
      <c r="I3270" s="97">
        <v>3.0</v>
      </c>
      <c r="J3270" s="98"/>
      <c r="K3270" s="99"/>
      <c r="L3270" s="98"/>
      <c r="M3270" s="99"/>
      <c r="N3270" s="99"/>
      <c r="O3270" s="18"/>
      <c r="P3270" s="100" t="b">
        <v>0</v>
      </c>
      <c r="Q3270" s="18"/>
      <c r="R3270" s="101">
        <f t="shared" si="3300"/>
        <v>5</v>
      </c>
      <c r="S3270" s="32">
        <v>11.84</v>
      </c>
      <c r="T3270" s="102" t="str">
        <f t="shared" si="2793"/>
        <v>+137</v>
      </c>
      <c r="U3270" s="18"/>
      <c r="V3270" s="103" t="str">
        <f>IF(ISBLANK($D3270), "0",)</f>
        <v/>
      </c>
      <c r="W3270" s="104" t="str">
        <f t="shared" si="2828"/>
        <v/>
      </c>
      <c r="X3270" s="105"/>
      <c r="Y3270" s="106"/>
      <c r="Z3270" s="26">
        <f t="shared" si="5"/>
        <v>-2</v>
      </c>
      <c r="AA3270" s="26">
        <f t="shared" si="6"/>
        <v>-3</v>
      </c>
      <c r="AB3270" s="32" t="str">
        <f t="shared" si="7"/>
        <v/>
      </c>
      <c r="AC3270" s="32" t="str">
        <f t="shared" ref="AC3270:AG3270" si="3351">IF(J3270&lt;&gt;"", IF(AND($P3270=FALSE, $A3270=FALSE), -J3270, IF(AND($P3270=FALSE, $A3270=TRUE), 0, IF($P3270=TRUE, (J3270 / $R3270) * 100 * ($S3270 / 100)-J3270, ))), )</f>
        <v/>
      </c>
      <c r="AD3270" s="32" t="str">
        <f t="shared" si="3351"/>
        <v/>
      </c>
      <c r="AE3270" s="32" t="str">
        <f t="shared" si="3351"/>
        <v/>
      </c>
      <c r="AF3270" s="32" t="str">
        <f t="shared" si="3351"/>
        <v/>
      </c>
      <c r="AG3270" s="32" t="str">
        <f t="shared" si="3351"/>
        <v/>
      </c>
      <c r="AH3270" s="33"/>
    </row>
    <row r="3271" hidden="1" outlineLevel="2">
      <c r="A3271" s="95" t="b">
        <v>0</v>
      </c>
      <c r="B3271" s="96"/>
      <c r="C3271" s="18"/>
      <c r="D3271" s="107"/>
      <c r="E3271" s="108"/>
      <c r="F3271" s="109"/>
      <c r="G3271" s="97"/>
      <c r="H3271" s="97"/>
      <c r="I3271" s="97"/>
      <c r="J3271" s="98"/>
      <c r="K3271" s="99"/>
      <c r="L3271" s="98"/>
      <c r="M3271" s="99"/>
      <c r="N3271" s="99"/>
      <c r="O3271" s="18"/>
      <c r="P3271" s="100" t="b">
        <v>0</v>
      </c>
      <c r="Q3271" s="18"/>
      <c r="R3271" s="101" t="str">
        <f t="shared" si="3300"/>
        <v/>
      </c>
      <c r="S3271" s="32"/>
      <c r="T3271" s="102" t="str">
        <f t="shared" si="2793"/>
        <v/>
      </c>
      <c r="U3271" s="18"/>
      <c r="V3271" s="75" t="s">
        <v>29</v>
      </c>
      <c r="W3271" s="104" t="str">
        <f t="shared" si="2828"/>
        <v>/</v>
      </c>
      <c r="X3271" s="111" t="s">
        <v>1931</v>
      </c>
      <c r="Y3271" s="106"/>
      <c r="Z3271" s="26" t="str">
        <f t="shared" si="5"/>
        <v/>
      </c>
      <c r="AA3271" s="26" t="str">
        <f t="shared" si="6"/>
        <v/>
      </c>
      <c r="AB3271" s="32" t="str">
        <f t="shared" si="7"/>
        <v/>
      </c>
      <c r="AC3271" s="32" t="str">
        <f t="shared" ref="AC3271:AG3271" si="3352">IF(J3271&lt;&gt;"", IF(AND($P3271=FALSE, $A3271=FALSE), -J3271, IF(AND($P3271=FALSE, $A3271=TRUE), 0, IF($P3271=TRUE, (J3271 / $R3271) * 100 * ($S3271 / 100)-J3271, ))), )</f>
        <v/>
      </c>
      <c r="AD3271" s="32" t="str">
        <f t="shared" si="3352"/>
        <v/>
      </c>
      <c r="AE3271" s="32" t="str">
        <f t="shared" si="3352"/>
        <v/>
      </c>
      <c r="AF3271" s="32" t="str">
        <f t="shared" si="3352"/>
        <v/>
      </c>
      <c r="AG3271" s="32" t="str">
        <f t="shared" si="3352"/>
        <v/>
      </c>
      <c r="AH3271" s="33"/>
    </row>
    <row r="3272" hidden="1" outlineLevel="2">
      <c r="A3272" s="95" t="b">
        <v>0</v>
      </c>
      <c r="B3272" s="96"/>
      <c r="C3272" s="18"/>
      <c r="D3272" s="107"/>
      <c r="E3272" s="108"/>
      <c r="F3272" s="109"/>
      <c r="G3272" s="97"/>
      <c r="H3272" s="97"/>
      <c r="I3272" s="97"/>
      <c r="J3272" s="98"/>
      <c r="K3272" s="99"/>
      <c r="L3272" s="98"/>
      <c r="M3272" s="99"/>
      <c r="N3272" s="99"/>
      <c r="O3272" s="18"/>
      <c r="P3272" s="100" t="b">
        <v>0</v>
      </c>
      <c r="Q3272" s="18"/>
      <c r="R3272" s="101" t="str">
        <f t="shared" si="3300"/>
        <v/>
      </c>
      <c r="S3272" s="32"/>
      <c r="T3272" s="102" t="str">
        <f t="shared" si="2793"/>
        <v/>
      </c>
      <c r="U3272" s="18"/>
      <c r="V3272" s="75" t="s">
        <v>29</v>
      </c>
      <c r="W3272" s="104" t="str">
        <f t="shared" si="2828"/>
        <v>/</v>
      </c>
      <c r="X3272" s="111" t="s">
        <v>1932</v>
      </c>
      <c r="Y3272" s="106"/>
      <c r="Z3272" s="26" t="str">
        <f t="shared" si="5"/>
        <v/>
      </c>
      <c r="AA3272" s="26" t="str">
        <f t="shared" si="6"/>
        <v/>
      </c>
      <c r="AB3272" s="32" t="str">
        <f t="shared" si="7"/>
        <v/>
      </c>
      <c r="AC3272" s="32" t="str">
        <f t="shared" ref="AC3272:AG3272" si="3353">IF(J3272&lt;&gt;"", IF(AND($P3272=FALSE, $A3272=FALSE), -J3272, IF(AND($P3272=FALSE, $A3272=TRUE), 0, IF($P3272=TRUE, (J3272 / $R3272) * 100 * ($S3272 / 100)-J3272, ))), )</f>
        <v/>
      </c>
      <c r="AD3272" s="32" t="str">
        <f t="shared" si="3353"/>
        <v/>
      </c>
      <c r="AE3272" s="32" t="str">
        <f t="shared" si="3353"/>
        <v/>
      </c>
      <c r="AF3272" s="32" t="str">
        <f t="shared" si="3353"/>
        <v/>
      </c>
      <c r="AG3272" s="32" t="str">
        <f t="shared" si="3353"/>
        <v/>
      </c>
      <c r="AH3272" s="33"/>
    </row>
    <row r="3273" hidden="1" outlineLevel="2">
      <c r="A3273" s="95" t="b">
        <v>0</v>
      </c>
      <c r="B3273" s="96"/>
      <c r="C3273" s="18"/>
      <c r="D3273" s="107"/>
      <c r="E3273" s="108"/>
      <c r="F3273" s="109"/>
      <c r="G3273" s="97"/>
      <c r="H3273" s="97"/>
      <c r="I3273" s="97"/>
      <c r="J3273" s="98"/>
      <c r="K3273" s="99"/>
      <c r="L3273" s="98"/>
      <c r="M3273" s="99"/>
      <c r="N3273" s="99"/>
      <c r="O3273" s="18"/>
      <c r="P3273" s="100" t="b">
        <v>0</v>
      </c>
      <c r="Q3273" s="18"/>
      <c r="R3273" s="101" t="str">
        <f t="shared" si="3300"/>
        <v/>
      </c>
      <c r="S3273" s="32"/>
      <c r="T3273" s="102" t="str">
        <f t="shared" si="2793"/>
        <v/>
      </c>
      <c r="U3273" s="18"/>
      <c r="V3273" s="75" t="s">
        <v>29</v>
      </c>
      <c r="W3273" s="104" t="str">
        <f t="shared" si="2828"/>
        <v>/</v>
      </c>
      <c r="X3273" s="111" t="s">
        <v>1036</v>
      </c>
      <c r="Y3273" s="106"/>
      <c r="Z3273" s="26" t="str">
        <f t="shared" si="5"/>
        <v/>
      </c>
      <c r="AA3273" s="26" t="str">
        <f t="shared" si="6"/>
        <v/>
      </c>
      <c r="AB3273" s="32" t="str">
        <f t="shared" si="7"/>
        <v/>
      </c>
      <c r="AC3273" s="32" t="str">
        <f t="shared" ref="AC3273:AG3273" si="3354">IF(J3273&lt;&gt;"", IF(AND($P3273=FALSE, $A3273=FALSE), -J3273, IF(AND($P3273=FALSE, $A3273=TRUE), 0, IF($P3273=TRUE, (J3273 / $R3273) * 100 * ($S3273 / 100)-J3273, ))), )</f>
        <v/>
      </c>
      <c r="AD3273" s="32" t="str">
        <f t="shared" si="3354"/>
        <v/>
      </c>
      <c r="AE3273" s="32" t="str">
        <f t="shared" si="3354"/>
        <v/>
      </c>
      <c r="AF3273" s="32" t="str">
        <f t="shared" si="3354"/>
        <v/>
      </c>
      <c r="AG3273" s="32" t="str">
        <f t="shared" si="3354"/>
        <v/>
      </c>
      <c r="AH3273" s="33"/>
    </row>
    <row r="3274" hidden="1" outlineLevel="2">
      <c r="A3274" s="95" t="b">
        <v>0</v>
      </c>
      <c r="B3274" s="96"/>
      <c r="C3274" s="18"/>
      <c r="D3274" s="107"/>
      <c r="E3274" s="108"/>
      <c r="F3274" s="109"/>
      <c r="G3274" s="97"/>
      <c r="H3274" s="97"/>
      <c r="I3274" s="97"/>
      <c r="J3274" s="98"/>
      <c r="K3274" s="99"/>
      <c r="L3274" s="98"/>
      <c r="M3274" s="99"/>
      <c r="N3274" s="99"/>
      <c r="O3274" s="18"/>
      <c r="P3274" s="100" t="b">
        <v>0</v>
      </c>
      <c r="Q3274" s="18"/>
      <c r="R3274" s="101" t="str">
        <f t="shared" si="3300"/>
        <v/>
      </c>
      <c r="S3274" s="32"/>
      <c r="T3274" s="102" t="str">
        <f t="shared" si="2793"/>
        <v/>
      </c>
      <c r="U3274" s="18"/>
      <c r="V3274" s="113">
        <v>2.0</v>
      </c>
      <c r="W3274" s="104" t="str">
        <f t="shared" si="2828"/>
        <v>/</v>
      </c>
      <c r="X3274" s="111" t="s">
        <v>1905</v>
      </c>
      <c r="Y3274" s="106"/>
      <c r="Z3274" s="26" t="str">
        <f t="shared" si="5"/>
        <v/>
      </c>
      <c r="AA3274" s="26" t="str">
        <f t="shared" si="6"/>
        <v/>
      </c>
      <c r="AB3274" s="32" t="str">
        <f t="shared" si="7"/>
        <v/>
      </c>
      <c r="AC3274" s="32" t="str">
        <f t="shared" ref="AC3274:AG3274" si="3355">IF(J3274&lt;&gt;"", IF(AND($P3274=FALSE, $A3274=FALSE), -J3274, IF(AND($P3274=FALSE, $A3274=TRUE), 0, IF($P3274=TRUE, (J3274 / $R3274) * 100 * ($S3274 / 100)-J3274, ))), )</f>
        <v/>
      </c>
      <c r="AD3274" s="32" t="str">
        <f t="shared" si="3355"/>
        <v/>
      </c>
      <c r="AE3274" s="32" t="str">
        <f t="shared" si="3355"/>
        <v/>
      </c>
      <c r="AF3274" s="32" t="str">
        <f t="shared" si="3355"/>
        <v/>
      </c>
      <c r="AG3274" s="32" t="str">
        <f t="shared" si="3355"/>
        <v/>
      </c>
      <c r="AH3274" s="33"/>
    </row>
    <row r="3275" hidden="1" outlineLevel="1" collapsed="1">
      <c r="A3275" s="95" t="b">
        <v>0</v>
      </c>
      <c r="B3275" s="96"/>
      <c r="C3275" s="18"/>
      <c r="D3275" s="42">
        <v>45668.0</v>
      </c>
      <c r="E3275" s="20" t="s">
        <v>24</v>
      </c>
      <c r="F3275" s="53" t="s">
        <v>1930</v>
      </c>
      <c r="G3275" s="97">
        <v>1.5</v>
      </c>
      <c r="H3275" s="97"/>
      <c r="I3275" s="97">
        <v>2.5</v>
      </c>
      <c r="J3275" s="98"/>
      <c r="K3275" s="99"/>
      <c r="L3275" s="98"/>
      <c r="M3275" s="99"/>
      <c r="N3275" s="99"/>
      <c r="O3275" s="18"/>
      <c r="P3275" s="100" t="b">
        <v>1</v>
      </c>
      <c r="Q3275" s="18"/>
      <c r="R3275" s="101">
        <f t="shared" si="3300"/>
        <v>4</v>
      </c>
      <c r="S3275" s="32">
        <v>8.57</v>
      </c>
      <c r="T3275" s="102" t="str">
        <f t="shared" si="2793"/>
        <v>+114</v>
      </c>
      <c r="U3275" s="18"/>
      <c r="V3275" s="103" t="str">
        <f>IF(ISBLANK($D3275), "0",)</f>
        <v/>
      </c>
      <c r="W3275" s="104" t="str">
        <f t="shared" si="2828"/>
        <v/>
      </c>
      <c r="X3275" s="105"/>
      <c r="Y3275" s="106"/>
      <c r="Z3275" s="26">
        <f t="shared" si="5"/>
        <v>1.71375</v>
      </c>
      <c r="AA3275" s="26">
        <f t="shared" si="6"/>
        <v>2.85625</v>
      </c>
      <c r="AB3275" s="32" t="str">
        <f t="shared" si="7"/>
        <v/>
      </c>
      <c r="AC3275" s="32" t="str">
        <f t="shared" ref="AC3275:AG3275" si="3356">IF(J3275&lt;&gt;"", IF(AND($P3275=FALSE, $A3275=FALSE), -J3275, IF(AND($P3275=FALSE, $A3275=TRUE), 0, IF($P3275=TRUE, (J3275 / $R3275) * 100 * ($S3275 / 100)-J3275, ))), )</f>
        <v/>
      </c>
      <c r="AD3275" s="32" t="str">
        <f t="shared" si="3356"/>
        <v/>
      </c>
      <c r="AE3275" s="32" t="str">
        <f t="shared" si="3356"/>
        <v/>
      </c>
      <c r="AF3275" s="32" t="str">
        <f t="shared" si="3356"/>
        <v/>
      </c>
      <c r="AG3275" s="32" t="str">
        <f t="shared" si="3356"/>
        <v/>
      </c>
      <c r="AH3275" s="33"/>
    </row>
    <row r="3276" hidden="1" outlineLevel="2">
      <c r="A3276" s="95" t="b">
        <v>0</v>
      </c>
      <c r="B3276" s="96"/>
      <c r="C3276" s="18"/>
      <c r="D3276" s="107"/>
      <c r="E3276" s="108"/>
      <c r="F3276" s="109"/>
      <c r="G3276" s="97"/>
      <c r="H3276" s="97"/>
      <c r="I3276" s="97"/>
      <c r="J3276" s="98"/>
      <c r="K3276" s="99"/>
      <c r="L3276" s="98"/>
      <c r="M3276" s="99"/>
      <c r="N3276" s="99"/>
      <c r="O3276" s="18"/>
      <c r="P3276" s="100" t="b">
        <v>0</v>
      </c>
      <c r="Q3276" s="18"/>
      <c r="R3276" s="101" t="str">
        <f t="shared" si="3300"/>
        <v/>
      </c>
      <c r="S3276" s="32"/>
      <c r="T3276" s="102" t="str">
        <f t="shared" si="2793"/>
        <v/>
      </c>
      <c r="U3276" s="18"/>
      <c r="V3276" s="75" t="s">
        <v>29</v>
      </c>
      <c r="W3276" s="104" t="str">
        <f t="shared" si="2828"/>
        <v>/</v>
      </c>
      <c r="X3276" s="111" t="s">
        <v>647</v>
      </c>
      <c r="Y3276" s="106"/>
      <c r="Z3276" s="26" t="str">
        <f t="shared" si="5"/>
        <v/>
      </c>
      <c r="AA3276" s="26" t="str">
        <f t="shared" si="6"/>
        <v/>
      </c>
      <c r="AB3276" s="32" t="str">
        <f t="shared" si="7"/>
        <v/>
      </c>
      <c r="AC3276" s="32" t="str">
        <f t="shared" ref="AC3276:AG3276" si="3357">IF(J3276&lt;&gt;"", IF(AND($P3276=FALSE, $A3276=FALSE), -J3276, IF(AND($P3276=FALSE, $A3276=TRUE), 0, IF($P3276=TRUE, (J3276 / $R3276) * 100 * ($S3276 / 100)-J3276, ))), )</f>
        <v/>
      </c>
      <c r="AD3276" s="32" t="str">
        <f t="shared" si="3357"/>
        <v/>
      </c>
      <c r="AE3276" s="32" t="str">
        <f t="shared" si="3357"/>
        <v/>
      </c>
      <c r="AF3276" s="32" t="str">
        <f t="shared" si="3357"/>
        <v/>
      </c>
      <c r="AG3276" s="32" t="str">
        <f t="shared" si="3357"/>
        <v/>
      </c>
      <c r="AH3276" s="33"/>
    </row>
    <row r="3277" hidden="1" outlineLevel="2">
      <c r="A3277" s="95" t="b">
        <v>0</v>
      </c>
      <c r="B3277" s="96"/>
      <c r="C3277" s="18"/>
      <c r="D3277" s="107"/>
      <c r="E3277" s="108"/>
      <c r="F3277" s="109"/>
      <c r="G3277" s="97"/>
      <c r="H3277" s="97"/>
      <c r="I3277" s="97"/>
      <c r="J3277" s="98"/>
      <c r="K3277" s="99"/>
      <c r="L3277" s="98"/>
      <c r="M3277" s="99"/>
      <c r="N3277" s="99"/>
      <c r="O3277" s="18"/>
      <c r="P3277" s="100" t="b">
        <v>0</v>
      </c>
      <c r="Q3277" s="18"/>
      <c r="R3277" s="101" t="str">
        <f t="shared" si="3300"/>
        <v/>
      </c>
      <c r="S3277" s="32"/>
      <c r="T3277" s="102" t="str">
        <f t="shared" si="2793"/>
        <v/>
      </c>
      <c r="U3277" s="18"/>
      <c r="V3277" s="75" t="s">
        <v>29</v>
      </c>
      <c r="W3277" s="104" t="str">
        <f t="shared" si="2828"/>
        <v>/</v>
      </c>
      <c r="X3277" s="111" t="s">
        <v>1903</v>
      </c>
      <c r="Y3277" s="106"/>
      <c r="Z3277" s="26" t="str">
        <f t="shared" si="5"/>
        <v/>
      </c>
      <c r="AA3277" s="26" t="str">
        <f t="shared" si="6"/>
        <v/>
      </c>
      <c r="AB3277" s="32" t="str">
        <f t="shared" si="7"/>
        <v/>
      </c>
      <c r="AC3277" s="32" t="str">
        <f t="shared" ref="AC3277:AG3277" si="3358">IF(J3277&lt;&gt;"", IF(AND($P3277=FALSE, $A3277=FALSE), -J3277, IF(AND($P3277=FALSE, $A3277=TRUE), 0, IF($P3277=TRUE, (J3277 / $R3277) * 100 * ($S3277 / 100)-J3277, ))), )</f>
        <v/>
      </c>
      <c r="AD3277" s="32" t="str">
        <f t="shared" si="3358"/>
        <v/>
      </c>
      <c r="AE3277" s="32" t="str">
        <f t="shared" si="3358"/>
        <v/>
      </c>
      <c r="AF3277" s="32" t="str">
        <f t="shared" si="3358"/>
        <v/>
      </c>
      <c r="AG3277" s="32" t="str">
        <f t="shared" si="3358"/>
        <v/>
      </c>
      <c r="AH3277" s="33"/>
    </row>
    <row r="3278" hidden="1" outlineLevel="2">
      <c r="A3278" s="95" t="b">
        <v>0</v>
      </c>
      <c r="B3278" s="96"/>
      <c r="C3278" s="18"/>
      <c r="D3278" s="107"/>
      <c r="E3278" s="108"/>
      <c r="F3278" s="109"/>
      <c r="G3278" s="97"/>
      <c r="H3278" s="97"/>
      <c r="I3278" s="97"/>
      <c r="J3278" s="98"/>
      <c r="K3278" s="99"/>
      <c r="L3278" s="98"/>
      <c r="M3278" s="99"/>
      <c r="N3278" s="99"/>
      <c r="O3278" s="18"/>
      <c r="P3278" s="100" t="b">
        <v>0</v>
      </c>
      <c r="Q3278" s="18"/>
      <c r="R3278" s="101" t="str">
        <f t="shared" si="3300"/>
        <v/>
      </c>
      <c r="S3278" s="32"/>
      <c r="T3278" s="102" t="str">
        <f t="shared" si="2793"/>
        <v/>
      </c>
      <c r="U3278" s="18"/>
      <c r="V3278" s="75" t="s">
        <v>29</v>
      </c>
      <c r="W3278" s="104" t="str">
        <f t="shared" si="2828"/>
        <v>/</v>
      </c>
      <c r="X3278" s="111" t="s">
        <v>1904</v>
      </c>
      <c r="Y3278" s="106"/>
      <c r="Z3278" s="26" t="str">
        <f t="shared" si="5"/>
        <v/>
      </c>
      <c r="AA3278" s="26" t="str">
        <f t="shared" si="6"/>
        <v/>
      </c>
      <c r="AB3278" s="32" t="str">
        <f t="shared" si="7"/>
        <v/>
      </c>
      <c r="AC3278" s="32" t="str">
        <f t="shared" ref="AC3278:AG3278" si="3359">IF(J3278&lt;&gt;"", IF(AND($P3278=FALSE, $A3278=FALSE), -J3278, IF(AND($P3278=FALSE, $A3278=TRUE), 0, IF($P3278=TRUE, (J3278 / $R3278) * 100 * ($S3278 / 100)-J3278, ))), )</f>
        <v/>
      </c>
      <c r="AD3278" s="32" t="str">
        <f t="shared" si="3359"/>
        <v/>
      </c>
      <c r="AE3278" s="32" t="str">
        <f t="shared" si="3359"/>
        <v/>
      </c>
      <c r="AF3278" s="32" t="str">
        <f t="shared" si="3359"/>
        <v/>
      </c>
      <c r="AG3278" s="32" t="str">
        <f t="shared" si="3359"/>
        <v/>
      </c>
      <c r="AH3278" s="33"/>
    </row>
    <row r="3279" hidden="1" outlineLevel="1" collapsed="1">
      <c r="A3279" s="95" t="b">
        <v>0</v>
      </c>
      <c r="B3279" s="96"/>
      <c r="C3279" s="18"/>
      <c r="D3279" s="42">
        <v>45668.0</v>
      </c>
      <c r="E3279" s="20" t="s">
        <v>24</v>
      </c>
      <c r="F3279" s="53" t="s">
        <v>1930</v>
      </c>
      <c r="G3279" s="97">
        <v>4.0</v>
      </c>
      <c r="H3279" s="97"/>
      <c r="I3279" s="97"/>
      <c r="J3279" s="98"/>
      <c r="K3279" s="99"/>
      <c r="L3279" s="98"/>
      <c r="M3279" s="99"/>
      <c r="N3279" s="99"/>
      <c r="O3279" s="18"/>
      <c r="P3279" s="100" t="b">
        <v>0</v>
      </c>
      <c r="Q3279" s="18"/>
      <c r="R3279" s="101">
        <f t="shared" si="3300"/>
        <v>4</v>
      </c>
      <c r="S3279" s="32">
        <v>7.92</v>
      </c>
      <c r="T3279" s="102">
        <f t="shared" si="2793"/>
        <v>-102</v>
      </c>
      <c r="U3279" s="18"/>
      <c r="V3279" s="103" t="str">
        <f>IF(ISBLANK($D3279), "0",)</f>
        <v/>
      </c>
      <c r="W3279" s="104" t="str">
        <f t="shared" si="2828"/>
        <v/>
      </c>
      <c r="X3279" s="105"/>
      <c r="Y3279" s="106"/>
      <c r="Z3279" s="26">
        <f t="shared" si="5"/>
        <v>-4</v>
      </c>
      <c r="AA3279" s="26" t="str">
        <f t="shared" si="6"/>
        <v/>
      </c>
      <c r="AB3279" s="32" t="str">
        <f t="shared" si="7"/>
        <v/>
      </c>
      <c r="AC3279" s="32" t="str">
        <f t="shared" ref="AC3279:AG3279" si="3360">IF(J3279&lt;&gt;"", IF(AND($P3279=FALSE, $A3279=FALSE), -J3279, IF(AND($P3279=FALSE, $A3279=TRUE), 0, IF($P3279=TRUE, (J3279 / $R3279) * 100 * ($S3279 / 100)-J3279, ))), )</f>
        <v/>
      </c>
      <c r="AD3279" s="32" t="str">
        <f t="shared" si="3360"/>
        <v/>
      </c>
      <c r="AE3279" s="32" t="str">
        <f t="shared" si="3360"/>
        <v/>
      </c>
      <c r="AF3279" s="32" t="str">
        <f t="shared" si="3360"/>
        <v/>
      </c>
      <c r="AG3279" s="32" t="str">
        <f t="shared" si="3360"/>
        <v/>
      </c>
      <c r="AH3279" s="33"/>
    </row>
    <row r="3280" hidden="1" outlineLevel="2">
      <c r="A3280" s="95" t="b">
        <v>0</v>
      </c>
      <c r="B3280" s="96"/>
      <c r="C3280" s="18"/>
      <c r="D3280" s="107"/>
      <c r="E3280" s="108"/>
      <c r="F3280" s="109"/>
      <c r="G3280" s="97"/>
      <c r="H3280" s="97"/>
      <c r="I3280" s="97"/>
      <c r="J3280" s="98"/>
      <c r="K3280" s="99"/>
      <c r="L3280" s="98"/>
      <c r="M3280" s="99"/>
      <c r="N3280" s="99"/>
      <c r="O3280" s="18"/>
      <c r="P3280" s="100" t="b">
        <v>0</v>
      </c>
      <c r="Q3280" s="18"/>
      <c r="R3280" s="101" t="str">
        <f t="shared" si="3300"/>
        <v/>
      </c>
      <c r="S3280" s="32"/>
      <c r="T3280" s="102" t="str">
        <f t="shared" si="2793"/>
        <v/>
      </c>
      <c r="U3280" s="18"/>
      <c r="V3280" s="112" t="s">
        <v>1933</v>
      </c>
      <c r="W3280" s="104" t="str">
        <f t="shared" si="2828"/>
        <v>/</v>
      </c>
      <c r="X3280" s="111" t="s">
        <v>1934</v>
      </c>
      <c r="Y3280" s="106"/>
      <c r="Z3280" s="26" t="str">
        <f t="shared" si="5"/>
        <v/>
      </c>
      <c r="AA3280" s="26" t="str">
        <f t="shared" si="6"/>
        <v/>
      </c>
      <c r="AB3280" s="32" t="str">
        <f t="shared" si="7"/>
        <v/>
      </c>
      <c r="AC3280" s="32" t="str">
        <f t="shared" ref="AC3280:AG3280" si="3361">IF(J3280&lt;&gt;"", IF(AND($P3280=FALSE, $A3280=FALSE), -J3280, IF(AND($P3280=FALSE, $A3280=TRUE), 0, IF($P3280=TRUE, (J3280 / $R3280) * 100 * ($S3280 / 100)-J3280, ))), )</f>
        <v/>
      </c>
      <c r="AD3280" s="32" t="str">
        <f t="shared" si="3361"/>
        <v/>
      </c>
      <c r="AE3280" s="32" t="str">
        <f t="shared" si="3361"/>
        <v/>
      </c>
      <c r="AF3280" s="32" t="str">
        <f t="shared" si="3361"/>
        <v/>
      </c>
      <c r="AG3280" s="32" t="str">
        <f t="shared" si="3361"/>
        <v/>
      </c>
      <c r="AH3280" s="33"/>
    </row>
    <row r="3281" hidden="1" outlineLevel="1" collapsed="1">
      <c r="A3281" s="95" t="b">
        <v>0</v>
      </c>
      <c r="B3281" s="96"/>
      <c r="C3281" s="18"/>
      <c r="D3281" s="42">
        <v>45668.0</v>
      </c>
      <c r="E3281" s="20" t="s">
        <v>24</v>
      </c>
      <c r="F3281" s="53" t="s">
        <v>1930</v>
      </c>
      <c r="G3281" s="97">
        <v>0.5</v>
      </c>
      <c r="H3281" s="97"/>
      <c r="I3281" s="97">
        <v>0.5</v>
      </c>
      <c r="J3281" s="98"/>
      <c r="K3281" s="99"/>
      <c r="L3281" s="98"/>
      <c r="M3281" s="99"/>
      <c r="N3281" s="99"/>
      <c r="O3281" s="18"/>
      <c r="P3281" s="100" t="b">
        <v>0</v>
      </c>
      <c r="Q3281" s="18"/>
      <c r="R3281" s="101">
        <f t="shared" si="3300"/>
        <v>1</v>
      </c>
      <c r="S3281" s="32">
        <v>501.0</v>
      </c>
      <c r="T3281" s="102" t="str">
        <f t="shared" si="2793"/>
        <v>+50000</v>
      </c>
      <c r="U3281" s="18"/>
      <c r="V3281" s="103" t="str">
        <f>IF(ISBLANK($D3281), "0",)</f>
        <v/>
      </c>
      <c r="W3281" s="104" t="str">
        <f t="shared" si="2828"/>
        <v/>
      </c>
      <c r="X3281" s="105"/>
      <c r="Y3281" s="106"/>
      <c r="Z3281" s="26">
        <f t="shared" si="5"/>
        <v>-0.5</v>
      </c>
      <c r="AA3281" s="26">
        <f t="shared" si="6"/>
        <v>-0.5</v>
      </c>
      <c r="AB3281" s="32" t="str">
        <f t="shared" si="7"/>
        <v/>
      </c>
      <c r="AC3281" s="32" t="str">
        <f t="shared" ref="AC3281:AG3281" si="3362">IF(J3281&lt;&gt;"", IF(AND($P3281=FALSE, $A3281=FALSE), -J3281, IF(AND($P3281=FALSE, $A3281=TRUE), 0, IF($P3281=TRUE, (J3281 / $R3281) * 100 * ($S3281 / 100)-J3281, ))), )</f>
        <v/>
      </c>
      <c r="AD3281" s="32" t="str">
        <f t="shared" si="3362"/>
        <v/>
      </c>
      <c r="AE3281" s="32" t="str">
        <f t="shared" si="3362"/>
        <v/>
      </c>
      <c r="AF3281" s="32" t="str">
        <f t="shared" si="3362"/>
        <v/>
      </c>
      <c r="AG3281" s="32" t="str">
        <f t="shared" si="3362"/>
        <v/>
      </c>
      <c r="AH3281" s="33"/>
    </row>
    <row r="3282" hidden="1" outlineLevel="2">
      <c r="A3282" s="95" t="b">
        <v>0</v>
      </c>
      <c r="B3282" s="96"/>
      <c r="C3282" s="18"/>
      <c r="D3282" s="107"/>
      <c r="E3282" s="108"/>
      <c r="F3282" s="109"/>
      <c r="G3282" s="97"/>
      <c r="H3282" s="97"/>
      <c r="I3282" s="97"/>
      <c r="J3282" s="98"/>
      <c r="K3282" s="99"/>
      <c r="L3282" s="98"/>
      <c r="M3282" s="99"/>
      <c r="N3282" s="99"/>
      <c r="O3282" s="18"/>
      <c r="P3282" s="100" t="b">
        <v>0</v>
      </c>
      <c r="Q3282" s="18"/>
      <c r="R3282" s="101" t="str">
        <f t="shared" si="3300"/>
        <v/>
      </c>
      <c r="S3282" s="32"/>
      <c r="T3282" s="102" t="str">
        <f t="shared" si="2793"/>
        <v/>
      </c>
      <c r="U3282" s="18"/>
      <c r="V3282" s="75" t="s">
        <v>29</v>
      </c>
      <c r="W3282" s="104" t="str">
        <f t="shared" si="2828"/>
        <v>/</v>
      </c>
      <c r="X3282" s="111" t="s">
        <v>1935</v>
      </c>
      <c r="Y3282" s="106"/>
      <c r="Z3282" s="26" t="str">
        <f t="shared" si="5"/>
        <v/>
      </c>
      <c r="AA3282" s="26" t="str">
        <f t="shared" si="6"/>
        <v/>
      </c>
      <c r="AB3282" s="32" t="str">
        <f t="shared" si="7"/>
        <v/>
      </c>
      <c r="AC3282" s="32" t="str">
        <f t="shared" ref="AC3282:AG3282" si="3363">IF(J3282&lt;&gt;"", IF(AND($P3282=FALSE, $A3282=FALSE), -J3282, IF(AND($P3282=FALSE, $A3282=TRUE), 0, IF($P3282=TRUE, (J3282 / $R3282) * 100 * ($S3282 / 100)-J3282, ))), )</f>
        <v/>
      </c>
      <c r="AD3282" s="32" t="str">
        <f t="shared" si="3363"/>
        <v/>
      </c>
      <c r="AE3282" s="32" t="str">
        <f t="shared" si="3363"/>
        <v/>
      </c>
      <c r="AF3282" s="32" t="str">
        <f t="shared" si="3363"/>
        <v/>
      </c>
      <c r="AG3282" s="32" t="str">
        <f t="shared" si="3363"/>
        <v/>
      </c>
      <c r="AH3282" s="33"/>
    </row>
    <row r="3283" hidden="1" outlineLevel="2">
      <c r="A3283" s="95" t="b">
        <v>0</v>
      </c>
      <c r="B3283" s="96"/>
      <c r="C3283" s="18"/>
      <c r="D3283" s="107"/>
      <c r="E3283" s="108"/>
      <c r="F3283" s="109"/>
      <c r="G3283" s="97"/>
      <c r="H3283" s="97"/>
      <c r="I3283" s="97"/>
      <c r="J3283" s="98"/>
      <c r="K3283" s="99"/>
      <c r="L3283" s="98"/>
      <c r="M3283" s="99"/>
      <c r="N3283" s="99"/>
      <c r="O3283" s="18"/>
      <c r="P3283" s="100" t="b">
        <v>0</v>
      </c>
      <c r="Q3283" s="18"/>
      <c r="R3283" s="101" t="str">
        <f t="shared" si="3300"/>
        <v/>
      </c>
      <c r="S3283" s="32"/>
      <c r="T3283" s="102" t="str">
        <f t="shared" si="2793"/>
        <v/>
      </c>
      <c r="U3283" s="18"/>
      <c r="V3283" s="75" t="s">
        <v>29</v>
      </c>
      <c r="W3283" s="104" t="str">
        <f t="shared" si="2828"/>
        <v>/</v>
      </c>
      <c r="X3283" s="111" t="s">
        <v>1936</v>
      </c>
      <c r="Y3283" s="106"/>
      <c r="Z3283" s="26" t="str">
        <f t="shared" si="5"/>
        <v/>
      </c>
      <c r="AA3283" s="26" t="str">
        <f t="shared" si="6"/>
        <v/>
      </c>
      <c r="AB3283" s="32" t="str">
        <f t="shared" si="7"/>
        <v/>
      </c>
      <c r="AC3283" s="32" t="str">
        <f t="shared" ref="AC3283:AG3283" si="3364">IF(J3283&lt;&gt;"", IF(AND($P3283=FALSE, $A3283=FALSE), -J3283, IF(AND($P3283=FALSE, $A3283=TRUE), 0, IF($P3283=TRUE, (J3283 / $R3283) * 100 * ($S3283 / 100)-J3283, ))), )</f>
        <v/>
      </c>
      <c r="AD3283" s="32" t="str">
        <f t="shared" si="3364"/>
        <v/>
      </c>
      <c r="AE3283" s="32" t="str">
        <f t="shared" si="3364"/>
        <v/>
      </c>
      <c r="AF3283" s="32" t="str">
        <f t="shared" si="3364"/>
        <v/>
      </c>
      <c r="AG3283" s="32" t="str">
        <f t="shared" si="3364"/>
        <v/>
      </c>
      <c r="AH3283" s="33"/>
    </row>
    <row r="3284" hidden="1" outlineLevel="2">
      <c r="A3284" s="95" t="b">
        <v>0</v>
      </c>
      <c r="B3284" s="96"/>
      <c r="C3284" s="18"/>
      <c r="D3284" s="107"/>
      <c r="E3284" s="108"/>
      <c r="F3284" s="109"/>
      <c r="G3284" s="97"/>
      <c r="H3284" s="97"/>
      <c r="I3284" s="97"/>
      <c r="J3284" s="98"/>
      <c r="K3284" s="99"/>
      <c r="L3284" s="98"/>
      <c r="M3284" s="99"/>
      <c r="N3284" s="99"/>
      <c r="O3284" s="18"/>
      <c r="P3284" s="100" t="b">
        <v>0</v>
      </c>
      <c r="Q3284" s="18"/>
      <c r="R3284" s="101" t="str">
        <f t="shared" si="3300"/>
        <v/>
      </c>
      <c r="S3284" s="32"/>
      <c r="T3284" s="102" t="str">
        <f t="shared" si="2793"/>
        <v/>
      </c>
      <c r="U3284" s="18"/>
      <c r="V3284" s="103" t="str">
        <f t="shared" ref="V3284:V3298" si="3366">IF(ISBLANK($D3284), "0",)</f>
        <v>0</v>
      </c>
      <c r="W3284" s="104" t="str">
        <f t="shared" si="2828"/>
        <v>/</v>
      </c>
      <c r="X3284" s="111" t="s">
        <v>1937</v>
      </c>
      <c r="Y3284" s="106"/>
      <c r="Z3284" s="26" t="str">
        <f t="shared" si="5"/>
        <v/>
      </c>
      <c r="AA3284" s="26" t="str">
        <f t="shared" si="6"/>
        <v/>
      </c>
      <c r="AB3284" s="32" t="str">
        <f t="shared" si="7"/>
        <v/>
      </c>
      <c r="AC3284" s="32" t="str">
        <f t="shared" ref="AC3284:AG3284" si="3365">IF(J3284&lt;&gt;"", IF(AND($P3284=FALSE, $A3284=FALSE), -J3284, IF(AND($P3284=FALSE, $A3284=TRUE), 0, IF($P3284=TRUE, (J3284 / $R3284) * 100 * ($S3284 / 100)-J3284, ))), )</f>
        <v/>
      </c>
      <c r="AD3284" s="32" t="str">
        <f t="shared" si="3365"/>
        <v/>
      </c>
      <c r="AE3284" s="32" t="str">
        <f t="shared" si="3365"/>
        <v/>
      </c>
      <c r="AF3284" s="32" t="str">
        <f t="shared" si="3365"/>
        <v/>
      </c>
      <c r="AG3284" s="32" t="str">
        <f t="shared" si="3365"/>
        <v/>
      </c>
      <c r="AH3284" s="33"/>
    </row>
    <row r="3285" hidden="1" outlineLevel="2">
      <c r="A3285" s="95" t="b">
        <v>0</v>
      </c>
      <c r="B3285" s="96"/>
      <c r="C3285" s="18"/>
      <c r="D3285" s="107"/>
      <c r="E3285" s="108"/>
      <c r="F3285" s="109"/>
      <c r="G3285" s="97"/>
      <c r="H3285" s="97"/>
      <c r="I3285" s="97"/>
      <c r="J3285" s="98"/>
      <c r="K3285" s="99"/>
      <c r="L3285" s="98"/>
      <c r="M3285" s="99"/>
      <c r="N3285" s="99"/>
      <c r="O3285" s="18"/>
      <c r="P3285" s="100" t="b">
        <v>0</v>
      </c>
      <c r="Q3285" s="18"/>
      <c r="R3285" s="101" t="str">
        <f t="shared" si="3300"/>
        <v/>
      </c>
      <c r="S3285" s="32"/>
      <c r="T3285" s="102" t="str">
        <f t="shared" si="2793"/>
        <v/>
      </c>
      <c r="U3285" s="18"/>
      <c r="V3285" s="103" t="str">
        <f t="shared" si="3366"/>
        <v>0</v>
      </c>
      <c r="W3285" s="104" t="str">
        <f t="shared" si="2828"/>
        <v>/</v>
      </c>
      <c r="X3285" s="111" t="s">
        <v>1938</v>
      </c>
      <c r="Y3285" s="106"/>
      <c r="Z3285" s="26" t="str">
        <f t="shared" si="5"/>
        <v/>
      </c>
      <c r="AA3285" s="26" t="str">
        <f t="shared" si="6"/>
        <v/>
      </c>
      <c r="AB3285" s="32" t="str">
        <f t="shared" si="7"/>
        <v/>
      </c>
      <c r="AC3285" s="32" t="str">
        <f t="shared" ref="AC3285:AG3285" si="3367">IF(J3285&lt;&gt;"", IF(AND($P3285=FALSE, $A3285=FALSE), -J3285, IF(AND($P3285=FALSE, $A3285=TRUE), 0, IF($P3285=TRUE, (J3285 / $R3285) * 100 * ($S3285 / 100)-J3285, ))), )</f>
        <v/>
      </c>
      <c r="AD3285" s="32" t="str">
        <f t="shared" si="3367"/>
        <v/>
      </c>
      <c r="AE3285" s="32" t="str">
        <f t="shared" si="3367"/>
        <v/>
      </c>
      <c r="AF3285" s="32" t="str">
        <f t="shared" si="3367"/>
        <v/>
      </c>
      <c r="AG3285" s="32" t="str">
        <f t="shared" si="3367"/>
        <v/>
      </c>
      <c r="AH3285" s="33"/>
    </row>
    <row r="3286" hidden="1" outlineLevel="2">
      <c r="A3286" s="95" t="b">
        <v>0</v>
      </c>
      <c r="B3286" s="96"/>
      <c r="C3286" s="18"/>
      <c r="D3286" s="107"/>
      <c r="E3286" s="108"/>
      <c r="F3286" s="109"/>
      <c r="G3286" s="97"/>
      <c r="H3286" s="97"/>
      <c r="I3286" s="97"/>
      <c r="J3286" s="98"/>
      <c r="K3286" s="99"/>
      <c r="L3286" s="98"/>
      <c r="M3286" s="99"/>
      <c r="N3286" s="99"/>
      <c r="O3286" s="18"/>
      <c r="P3286" s="100" t="b">
        <v>0</v>
      </c>
      <c r="Q3286" s="18"/>
      <c r="R3286" s="101"/>
      <c r="S3286" s="32"/>
      <c r="T3286" s="102"/>
      <c r="U3286" s="18"/>
      <c r="V3286" s="103" t="str">
        <f t="shared" si="3366"/>
        <v>0</v>
      </c>
      <c r="W3286" s="104" t="str">
        <f t="shared" si="2828"/>
        <v>/</v>
      </c>
      <c r="X3286" s="111" t="s">
        <v>1939</v>
      </c>
      <c r="Y3286" s="106"/>
      <c r="Z3286" s="26" t="str">
        <f t="shared" si="5"/>
        <v/>
      </c>
      <c r="AA3286" s="26" t="str">
        <f t="shared" si="6"/>
        <v/>
      </c>
      <c r="AB3286" s="32" t="str">
        <f t="shared" si="7"/>
        <v/>
      </c>
      <c r="AC3286" s="32" t="str">
        <f t="shared" ref="AC3286:AG3286" si="3368">IF(J3286&lt;&gt;"", IF(AND($P3286=FALSE, $A3286=FALSE), -J3286, IF(AND($P3286=FALSE, $A3286=TRUE), 0, IF($P3286=TRUE, (J3286 / $R3286) * 100 * ($S3286 / 100)-J3286, ))), )</f>
        <v/>
      </c>
      <c r="AD3286" s="32" t="str">
        <f t="shared" si="3368"/>
        <v/>
      </c>
      <c r="AE3286" s="32" t="str">
        <f t="shared" si="3368"/>
        <v/>
      </c>
      <c r="AF3286" s="32" t="str">
        <f t="shared" si="3368"/>
        <v/>
      </c>
      <c r="AG3286" s="32" t="str">
        <f t="shared" si="3368"/>
        <v/>
      </c>
      <c r="AH3286" s="33"/>
    </row>
    <row r="3287" hidden="1" outlineLevel="2">
      <c r="A3287" s="95" t="b">
        <v>0</v>
      </c>
      <c r="B3287" s="96"/>
      <c r="C3287" s="18"/>
      <c r="D3287" s="107"/>
      <c r="E3287" s="108"/>
      <c r="F3287" s="109"/>
      <c r="G3287" s="97"/>
      <c r="H3287" s="97"/>
      <c r="I3287" s="97"/>
      <c r="J3287" s="98"/>
      <c r="K3287" s="99"/>
      <c r="L3287" s="98"/>
      <c r="M3287" s="99"/>
      <c r="N3287" s="99"/>
      <c r="O3287" s="18"/>
      <c r="P3287" s="100" t="b">
        <v>0</v>
      </c>
      <c r="Q3287" s="18"/>
      <c r="R3287" s="101"/>
      <c r="S3287" s="32"/>
      <c r="T3287" s="102"/>
      <c r="U3287" s="18"/>
      <c r="V3287" s="103" t="str">
        <f t="shared" si="3366"/>
        <v>0</v>
      </c>
      <c r="W3287" s="104" t="str">
        <f t="shared" si="2828"/>
        <v>/</v>
      </c>
      <c r="X3287" s="111" t="s">
        <v>1940</v>
      </c>
      <c r="Y3287" s="106"/>
      <c r="Z3287" s="26" t="str">
        <f t="shared" si="5"/>
        <v/>
      </c>
      <c r="AA3287" s="26" t="str">
        <f t="shared" si="6"/>
        <v/>
      </c>
      <c r="AB3287" s="32" t="str">
        <f t="shared" si="7"/>
        <v/>
      </c>
      <c r="AC3287" s="32" t="str">
        <f t="shared" ref="AC3287:AG3287" si="3369">IF(J3287&lt;&gt;"", IF(AND($P3287=FALSE, $A3287=FALSE), -J3287, IF(AND($P3287=FALSE, $A3287=TRUE), 0, IF($P3287=TRUE, (J3287 / $R3287) * 100 * ($S3287 / 100)-J3287, ))), )</f>
        <v/>
      </c>
      <c r="AD3287" s="32" t="str">
        <f t="shared" si="3369"/>
        <v/>
      </c>
      <c r="AE3287" s="32" t="str">
        <f t="shared" si="3369"/>
        <v/>
      </c>
      <c r="AF3287" s="32" t="str">
        <f t="shared" si="3369"/>
        <v/>
      </c>
      <c r="AG3287" s="32" t="str">
        <f t="shared" si="3369"/>
        <v/>
      </c>
      <c r="AH3287" s="33"/>
    </row>
    <row r="3288" hidden="1" outlineLevel="2">
      <c r="A3288" s="95" t="b">
        <v>0</v>
      </c>
      <c r="B3288" s="96"/>
      <c r="C3288" s="18"/>
      <c r="D3288" s="107"/>
      <c r="E3288" s="108"/>
      <c r="F3288" s="109"/>
      <c r="G3288" s="97"/>
      <c r="H3288" s="97"/>
      <c r="I3288" s="97"/>
      <c r="J3288" s="98"/>
      <c r="K3288" s="99"/>
      <c r="L3288" s="98"/>
      <c r="M3288" s="99"/>
      <c r="N3288" s="99"/>
      <c r="O3288" s="18"/>
      <c r="P3288" s="100" t="b">
        <v>0</v>
      </c>
      <c r="Q3288" s="18"/>
      <c r="R3288" s="101" t="str">
        <f t="shared" ref="R3288:R3289" si="3371">IF(G3288 &lt;&gt; "",SUM(G3288:O3288),)</f>
        <v/>
      </c>
      <c r="S3288" s="32"/>
      <c r="T3288" s="102" t="str">
        <f t="shared" ref="T3288:T3289" si="3372">IFERROR(IF((S3288-R3288)&gt;R3288,"+"&amp;ROUND(((S3288-R3288)/R3288)*100,0),ROUND((S3288/(R3288-S3288))*100+100, 0)),)</f>
        <v/>
      </c>
      <c r="U3288" s="18"/>
      <c r="V3288" s="103" t="str">
        <f t="shared" si="3366"/>
        <v>0</v>
      </c>
      <c r="W3288" s="104" t="str">
        <f t="shared" si="2828"/>
        <v>/</v>
      </c>
      <c r="X3288" s="111" t="s">
        <v>1941</v>
      </c>
      <c r="Y3288" s="106"/>
      <c r="Z3288" s="26" t="str">
        <f t="shared" si="5"/>
        <v/>
      </c>
      <c r="AA3288" s="26" t="str">
        <f t="shared" si="6"/>
        <v/>
      </c>
      <c r="AB3288" s="32" t="str">
        <f t="shared" si="7"/>
        <v/>
      </c>
      <c r="AC3288" s="32" t="str">
        <f t="shared" ref="AC3288:AG3288" si="3370">IF(J3288&lt;&gt;"", IF(AND($P3288=FALSE, $A3288=FALSE), -J3288, IF(AND($P3288=FALSE, $A3288=TRUE), 0, IF($P3288=TRUE, (J3288 / $R3288) * 100 * ($S3288 / 100)-J3288, ))), )</f>
        <v/>
      </c>
      <c r="AD3288" s="32" t="str">
        <f t="shared" si="3370"/>
        <v/>
      </c>
      <c r="AE3288" s="32" t="str">
        <f t="shared" si="3370"/>
        <v/>
      </c>
      <c r="AF3288" s="32" t="str">
        <f t="shared" si="3370"/>
        <v/>
      </c>
      <c r="AG3288" s="32" t="str">
        <f t="shared" si="3370"/>
        <v/>
      </c>
      <c r="AH3288" s="33"/>
    </row>
    <row r="3289" hidden="1" outlineLevel="2">
      <c r="A3289" s="95" t="b">
        <v>0</v>
      </c>
      <c r="B3289" s="96"/>
      <c r="C3289" s="18"/>
      <c r="D3289" s="107"/>
      <c r="E3289" s="108"/>
      <c r="F3289" s="109"/>
      <c r="G3289" s="97"/>
      <c r="H3289" s="97"/>
      <c r="I3289" s="97"/>
      <c r="J3289" s="98"/>
      <c r="K3289" s="99"/>
      <c r="L3289" s="98"/>
      <c r="M3289" s="99"/>
      <c r="N3289" s="99"/>
      <c r="O3289" s="18"/>
      <c r="P3289" s="100" t="b">
        <v>0</v>
      </c>
      <c r="Q3289" s="18"/>
      <c r="R3289" s="101" t="str">
        <f t="shared" si="3371"/>
        <v/>
      </c>
      <c r="S3289" s="32"/>
      <c r="T3289" s="102" t="str">
        <f t="shared" si="3372"/>
        <v/>
      </c>
      <c r="U3289" s="18"/>
      <c r="V3289" s="103" t="str">
        <f t="shared" si="3366"/>
        <v>0</v>
      </c>
      <c r="W3289" s="104" t="str">
        <f t="shared" si="2828"/>
        <v>/</v>
      </c>
      <c r="X3289" s="111" t="s">
        <v>1942</v>
      </c>
      <c r="Y3289" s="106"/>
      <c r="Z3289" s="26" t="str">
        <f t="shared" si="5"/>
        <v/>
      </c>
      <c r="AA3289" s="26" t="str">
        <f t="shared" si="6"/>
        <v/>
      </c>
      <c r="AB3289" s="32" t="str">
        <f t="shared" si="7"/>
        <v/>
      </c>
      <c r="AC3289" s="32" t="str">
        <f t="shared" ref="AC3289:AG3289" si="3373">IF(J3289&lt;&gt;"", IF(AND($P3289=FALSE, $A3289=FALSE), -J3289, IF(AND($P3289=FALSE, $A3289=TRUE), 0, IF($P3289=TRUE, (J3289 / $R3289) * 100 * ($S3289 / 100)-J3289, ))), )</f>
        <v/>
      </c>
      <c r="AD3289" s="32" t="str">
        <f t="shared" si="3373"/>
        <v/>
      </c>
      <c r="AE3289" s="32" t="str">
        <f t="shared" si="3373"/>
        <v/>
      </c>
      <c r="AF3289" s="32" t="str">
        <f t="shared" si="3373"/>
        <v/>
      </c>
      <c r="AG3289" s="32" t="str">
        <f t="shared" si="3373"/>
        <v/>
      </c>
      <c r="AH3289" s="33"/>
    </row>
    <row r="3290" hidden="1" outlineLevel="2">
      <c r="A3290" s="95" t="b">
        <v>0</v>
      </c>
      <c r="B3290" s="96"/>
      <c r="C3290" s="18"/>
      <c r="D3290" s="107"/>
      <c r="E3290" s="108"/>
      <c r="F3290" s="109"/>
      <c r="G3290" s="97"/>
      <c r="H3290" s="97"/>
      <c r="I3290" s="97"/>
      <c r="J3290" s="98"/>
      <c r="K3290" s="99"/>
      <c r="L3290" s="98"/>
      <c r="M3290" s="99"/>
      <c r="N3290" s="99"/>
      <c r="O3290" s="18"/>
      <c r="P3290" s="100" t="b">
        <v>0</v>
      </c>
      <c r="Q3290" s="18"/>
      <c r="R3290" s="101"/>
      <c r="S3290" s="32"/>
      <c r="T3290" s="102"/>
      <c r="U3290" s="18"/>
      <c r="V3290" s="103" t="str">
        <f t="shared" si="3366"/>
        <v>0</v>
      </c>
      <c r="W3290" s="104" t="str">
        <f t="shared" si="2828"/>
        <v>/</v>
      </c>
      <c r="X3290" s="111" t="s">
        <v>1943</v>
      </c>
      <c r="Y3290" s="106"/>
      <c r="Z3290" s="26" t="str">
        <f t="shared" si="5"/>
        <v/>
      </c>
      <c r="AA3290" s="26" t="str">
        <f t="shared" si="6"/>
        <v/>
      </c>
      <c r="AB3290" s="32" t="str">
        <f t="shared" si="7"/>
        <v/>
      </c>
      <c r="AC3290" s="32" t="str">
        <f t="shared" ref="AC3290:AG3290" si="3374">IF(J3290&lt;&gt;"", IF(AND($P3290=FALSE, $A3290=FALSE), -J3290, IF(AND($P3290=FALSE, $A3290=TRUE), 0, IF($P3290=TRUE, (J3290 / $R3290) * 100 * ($S3290 / 100)-J3290, ))), )</f>
        <v/>
      </c>
      <c r="AD3290" s="32" t="str">
        <f t="shared" si="3374"/>
        <v/>
      </c>
      <c r="AE3290" s="32" t="str">
        <f t="shared" si="3374"/>
        <v/>
      </c>
      <c r="AF3290" s="32" t="str">
        <f t="shared" si="3374"/>
        <v/>
      </c>
      <c r="AG3290" s="32" t="str">
        <f t="shared" si="3374"/>
        <v/>
      </c>
      <c r="AH3290" s="33"/>
    </row>
    <row r="3291" hidden="1" outlineLevel="2">
      <c r="A3291" s="95" t="b">
        <v>0</v>
      </c>
      <c r="B3291" s="96"/>
      <c r="C3291" s="18"/>
      <c r="D3291" s="107"/>
      <c r="E3291" s="108"/>
      <c r="F3291" s="109"/>
      <c r="G3291" s="97"/>
      <c r="H3291" s="97"/>
      <c r="I3291" s="97"/>
      <c r="J3291" s="98"/>
      <c r="K3291" s="99"/>
      <c r="L3291" s="98"/>
      <c r="M3291" s="99"/>
      <c r="N3291" s="99"/>
      <c r="O3291" s="18"/>
      <c r="P3291" s="100" t="b">
        <v>0</v>
      </c>
      <c r="Q3291" s="18"/>
      <c r="R3291" s="101"/>
      <c r="S3291" s="32"/>
      <c r="T3291" s="102"/>
      <c r="U3291" s="18"/>
      <c r="V3291" s="103" t="str">
        <f t="shared" si="3366"/>
        <v>0</v>
      </c>
      <c r="W3291" s="104" t="str">
        <f t="shared" si="2828"/>
        <v>/</v>
      </c>
      <c r="X3291" s="111" t="s">
        <v>1944</v>
      </c>
      <c r="Y3291" s="106"/>
      <c r="Z3291" s="26" t="str">
        <f t="shared" si="5"/>
        <v/>
      </c>
      <c r="AA3291" s="26" t="str">
        <f t="shared" si="6"/>
        <v/>
      </c>
      <c r="AB3291" s="32" t="str">
        <f t="shared" si="7"/>
        <v/>
      </c>
      <c r="AC3291" s="32" t="str">
        <f t="shared" ref="AC3291:AG3291" si="3375">IF(J3291&lt;&gt;"", IF(AND($P3291=FALSE, $A3291=FALSE), -J3291, IF(AND($P3291=FALSE, $A3291=TRUE), 0, IF($P3291=TRUE, (J3291 / $R3291) * 100 * ($S3291 / 100)-J3291, ))), )</f>
        <v/>
      </c>
      <c r="AD3291" s="32" t="str">
        <f t="shared" si="3375"/>
        <v/>
      </c>
      <c r="AE3291" s="32" t="str">
        <f t="shared" si="3375"/>
        <v/>
      </c>
      <c r="AF3291" s="32" t="str">
        <f t="shared" si="3375"/>
        <v/>
      </c>
      <c r="AG3291" s="32" t="str">
        <f t="shared" si="3375"/>
        <v/>
      </c>
      <c r="AH3291" s="33"/>
    </row>
    <row r="3292" hidden="1" outlineLevel="2">
      <c r="A3292" s="95" t="b">
        <v>0</v>
      </c>
      <c r="B3292" s="96"/>
      <c r="C3292" s="18"/>
      <c r="D3292" s="107"/>
      <c r="E3292" s="108"/>
      <c r="F3292" s="109"/>
      <c r="G3292" s="97"/>
      <c r="H3292" s="97"/>
      <c r="I3292" s="97"/>
      <c r="J3292" s="98"/>
      <c r="K3292" s="99"/>
      <c r="L3292" s="98"/>
      <c r="M3292" s="99"/>
      <c r="N3292" s="99"/>
      <c r="O3292" s="18"/>
      <c r="P3292" s="100" t="b">
        <v>0</v>
      </c>
      <c r="Q3292" s="18"/>
      <c r="R3292" s="101" t="str">
        <f t="shared" ref="R3292:R3976" si="3377">IF(G3292 &lt;&gt; "",SUM(G3292:O3292),)</f>
        <v/>
      </c>
      <c r="S3292" s="32"/>
      <c r="T3292" s="102" t="str">
        <f t="shared" ref="T3292:T3976" si="3378">IFERROR(IF((S3292-R3292)&gt;R3292,"+"&amp;ROUND(((S3292-R3292)/R3292)*100,0),ROUND((S3292/(R3292-S3292))*100+100, 0)),)</f>
        <v/>
      </c>
      <c r="U3292" s="18"/>
      <c r="V3292" s="103" t="str">
        <f t="shared" si="3366"/>
        <v>0</v>
      </c>
      <c r="W3292" s="104" t="str">
        <f t="shared" si="2828"/>
        <v>/</v>
      </c>
      <c r="X3292" s="111" t="s">
        <v>1945</v>
      </c>
      <c r="Y3292" s="106"/>
      <c r="Z3292" s="26" t="str">
        <f t="shared" si="5"/>
        <v/>
      </c>
      <c r="AA3292" s="26" t="str">
        <f t="shared" si="6"/>
        <v/>
      </c>
      <c r="AB3292" s="32" t="str">
        <f t="shared" si="7"/>
        <v/>
      </c>
      <c r="AC3292" s="32" t="str">
        <f t="shared" ref="AC3292:AG3292" si="3376">IF(J3292&lt;&gt;"", IF(AND($P3292=FALSE, $A3292=FALSE), -J3292, IF(AND($P3292=FALSE, $A3292=TRUE), 0, IF($P3292=TRUE, (J3292 / $R3292) * 100 * ($S3292 / 100)-J3292, ))), )</f>
        <v/>
      </c>
      <c r="AD3292" s="32" t="str">
        <f t="shared" si="3376"/>
        <v/>
      </c>
      <c r="AE3292" s="32" t="str">
        <f t="shared" si="3376"/>
        <v/>
      </c>
      <c r="AF3292" s="32" t="str">
        <f t="shared" si="3376"/>
        <v/>
      </c>
      <c r="AG3292" s="32" t="str">
        <f t="shared" si="3376"/>
        <v/>
      </c>
      <c r="AH3292" s="33"/>
    </row>
    <row r="3293" hidden="1" outlineLevel="2">
      <c r="A3293" s="95" t="b">
        <v>0</v>
      </c>
      <c r="B3293" s="96"/>
      <c r="C3293" s="18"/>
      <c r="D3293" s="107"/>
      <c r="E3293" s="108"/>
      <c r="F3293" s="109"/>
      <c r="G3293" s="97"/>
      <c r="H3293" s="97"/>
      <c r="I3293" s="97"/>
      <c r="J3293" s="98"/>
      <c r="K3293" s="99"/>
      <c r="L3293" s="98"/>
      <c r="M3293" s="99"/>
      <c r="N3293" s="99"/>
      <c r="O3293" s="18"/>
      <c r="P3293" s="100" t="b">
        <v>0</v>
      </c>
      <c r="Q3293" s="18"/>
      <c r="R3293" s="101" t="str">
        <f t="shared" si="3377"/>
        <v/>
      </c>
      <c r="S3293" s="32"/>
      <c r="T3293" s="102" t="str">
        <f t="shared" si="3378"/>
        <v/>
      </c>
      <c r="U3293" s="18"/>
      <c r="V3293" s="103" t="str">
        <f t="shared" si="3366"/>
        <v>0</v>
      </c>
      <c r="W3293" s="104" t="str">
        <f t="shared" si="2828"/>
        <v>/</v>
      </c>
      <c r="X3293" s="111" t="s">
        <v>1946</v>
      </c>
      <c r="Y3293" s="106"/>
      <c r="Z3293" s="26" t="str">
        <f t="shared" si="5"/>
        <v/>
      </c>
      <c r="AA3293" s="26" t="str">
        <f t="shared" si="6"/>
        <v/>
      </c>
      <c r="AB3293" s="32" t="str">
        <f t="shared" si="7"/>
        <v/>
      </c>
      <c r="AC3293" s="32" t="str">
        <f t="shared" ref="AC3293:AG3293" si="3379">IF(J3293&lt;&gt;"", IF(AND($P3293=FALSE, $A3293=FALSE), -J3293, IF(AND($P3293=FALSE, $A3293=TRUE), 0, IF($P3293=TRUE, (J3293 / $R3293) * 100 * ($S3293 / 100)-J3293, ))), )</f>
        <v/>
      </c>
      <c r="AD3293" s="32" t="str">
        <f t="shared" si="3379"/>
        <v/>
      </c>
      <c r="AE3293" s="32" t="str">
        <f t="shared" si="3379"/>
        <v/>
      </c>
      <c r="AF3293" s="32" t="str">
        <f t="shared" si="3379"/>
        <v/>
      </c>
      <c r="AG3293" s="32" t="str">
        <f t="shared" si="3379"/>
        <v/>
      </c>
      <c r="AH3293" s="33"/>
    </row>
    <row r="3294" hidden="1" outlineLevel="1" collapsed="1">
      <c r="A3294" s="95" t="b">
        <v>0</v>
      </c>
      <c r="B3294" s="96"/>
      <c r="C3294" s="18"/>
      <c r="D3294" s="42">
        <v>45668.0</v>
      </c>
      <c r="E3294" s="20" t="s">
        <v>24</v>
      </c>
      <c r="F3294" s="53" t="s">
        <v>1930</v>
      </c>
      <c r="G3294" s="97">
        <v>2.0</v>
      </c>
      <c r="H3294" s="97"/>
      <c r="I3294" s="97">
        <v>5.0</v>
      </c>
      <c r="J3294" s="98"/>
      <c r="K3294" s="99"/>
      <c r="L3294" s="98"/>
      <c r="M3294" s="99"/>
      <c r="N3294" s="99"/>
      <c r="O3294" s="18"/>
      <c r="P3294" s="100" t="b">
        <v>0</v>
      </c>
      <c r="Q3294" s="18"/>
      <c r="R3294" s="101">
        <f t="shared" si="3377"/>
        <v>7</v>
      </c>
      <c r="S3294" s="32">
        <v>7560.0</v>
      </c>
      <c r="T3294" s="102" t="str">
        <f t="shared" si="3378"/>
        <v>+107900</v>
      </c>
      <c r="U3294" s="18"/>
      <c r="V3294" s="103" t="str">
        <f t="shared" si="3366"/>
        <v/>
      </c>
      <c r="W3294" s="104" t="str">
        <f t="shared" si="2828"/>
        <v/>
      </c>
      <c r="X3294" s="105"/>
      <c r="Y3294" s="106"/>
      <c r="Z3294" s="26">
        <f t="shared" si="5"/>
        <v>-2</v>
      </c>
      <c r="AA3294" s="26">
        <f t="shared" si="6"/>
        <v>-5</v>
      </c>
      <c r="AB3294" s="32" t="str">
        <f t="shared" si="7"/>
        <v/>
      </c>
      <c r="AC3294" s="32" t="str">
        <f t="shared" ref="AC3294:AG3294" si="3380">IF(J3294&lt;&gt;"", IF(AND($P3294=FALSE, $A3294=FALSE), -J3294, IF(AND($P3294=FALSE, $A3294=TRUE), 0, IF($P3294=TRUE, (J3294 / $R3294) * 100 * ($S3294 / 100)-J3294, ))), )</f>
        <v/>
      </c>
      <c r="AD3294" s="32" t="str">
        <f t="shared" si="3380"/>
        <v/>
      </c>
      <c r="AE3294" s="32" t="str">
        <f t="shared" si="3380"/>
        <v/>
      </c>
      <c r="AF3294" s="32" t="str">
        <f t="shared" si="3380"/>
        <v/>
      </c>
      <c r="AG3294" s="32" t="str">
        <f t="shared" si="3380"/>
        <v/>
      </c>
      <c r="AH3294" s="33"/>
    </row>
    <row r="3295" hidden="1" outlineLevel="2">
      <c r="A3295" s="95" t="b">
        <v>0</v>
      </c>
      <c r="B3295" s="96"/>
      <c r="C3295" s="18"/>
      <c r="D3295" s="107"/>
      <c r="E3295" s="108"/>
      <c r="F3295" s="109"/>
      <c r="G3295" s="97"/>
      <c r="H3295" s="97"/>
      <c r="I3295" s="97"/>
      <c r="J3295" s="98"/>
      <c r="K3295" s="99"/>
      <c r="L3295" s="98"/>
      <c r="M3295" s="99"/>
      <c r="N3295" s="99"/>
      <c r="O3295" s="18"/>
      <c r="P3295" s="100" t="b">
        <v>0</v>
      </c>
      <c r="Q3295" s="18"/>
      <c r="R3295" s="101" t="str">
        <f t="shared" si="3377"/>
        <v/>
      </c>
      <c r="S3295" s="32"/>
      <c r="T3295" s="102" t="str">
        <f t="shared" si="3378"/>
        <v/>
      </c>
      <c r="U3295" s="18"/>
      <c r="V3295" s="103" t="str">
        <f t="shared" si="3366"/>
        <v>0</v>
      </c>
      <c r="W3295" s="104" t="str">
        <f t="shared" si="2828"/>
        <v>/</v>
      </c>
      <c r="X3295" s="111" t="s">
        <v>1947</v>
      </c>
      <c r="Y3295" s="106"/>
      <c r="Z3295" s="26" t="str">
        <f t="shared" si="5"/>
        <v/>
      </c>
      <c r="AA3295" s="26" t="str">
        <f t="shared" si="6"/>
        <v/>
      </c>
      <c r="AB3295" s="32" t="str">
        <f t="shared" si="7"/>
        <v/>
      </c>
      <c r="AC3295" s="32" t="str">
        <f t="shared" ref="AC3295:AG3295" si="3381">IF(J3295&lt;&gt;"", IF(AND($P3295=FALSE, $A3295=FALSE), -J3295, IF(AND($P3295=FALSE, $A3295=TRUE), 0, IF($P3295=TRUE, (J3295 / $R3295) * 100 * ($S3295 / 100)-J3295, ))), )</f>
        <v/>
      </c>
      <c r="AD3295" s="32" t="str">
        <f t="shared" si="3381"/>
        <v/>
      </c>
      <c r="AE3295" s="32" t="str">
        <f t="shared" si="3381"/>
        <v/>
      </c>
      <c r="AF3295" s="32" t="str">
        <f t="shared" si="3381"/>
        <v/>
      </c>
      <c r="AG3295" s="32" t="str">
        <f t="shared" si="3381"/>
        <v/>
      </c>
      <c r="AH3295" s="33"/>
    </row>
    <row r="3296" hidden="1" outlineLevel="2">
      <c r="A3296" s="95" t="b">
        <v>0</v>
      </c>
      <c r="B3296" s="96"/>
      <c r="C3296" s="18"/>
      <c r="D3296" s="107"/>
      <c r="E3296" s="108"/>
      <c r="F3296" s="109"/>
      <c r="G3296" s="97"/>
      <c r="H3296" s="97"/>
      <c r="I3296" s="97"/>
      <c r="J3296" s="98"/>
      <c r="K3296" s="99"/>
      <c r="L3296" s="98"/>
      <c r="M3296" s="99"/>
      <c r="N3296" s="99"/>
      <c r="O3296" s="18"/>
      <c r="P3296" s="100" t="b">
        <v>0</v>
      </c>
      <c r="Q3296" s="18"/>
      <c r="R3296" s="101" t="str">
        <f t="shared" si="3377"/>
        <v/>
      </c>
      <c r="S3296" s="32"/>
      <c r="T3296" s="102" t="str">
        <f t="shared" si="3378"/>
        <v/>
      </c>
      <c r="U3296" s="18"/>
      <c r="V3296" s="103" t="str">
        <f t="shared" si="3366"/>
        <v>0</v>
      </c>
      <c r="W3296" s="104" t="str">
        <f t="shared" si="2828"/>
        <v>/</v>
      </c>
      <c r="X3296" s="111" t="s">
        <v>1948</v>
      </c>
      <c r="Y3296" s="106"/>
      <c r="Z3296" s="26" t="str">
        <f t="shared" si="5"/>
        <v/>
      </c>
      <c r="AA3296" s="26" t="str">
        <f t="shared" si="6"/>
        <v/>
      </c>
      <c r="AB3296" s="32" t="str">
        <f t="shared" si="7"/>
        <v/>
      </c>
      <c r="AC3296" s="32" t="str">
        <f t="shared" ref="AC3296:AG3296" si="3382">IF(J3296&lt;&gt;"", IF(AND($P3296=FALSE, $A3296=FALSE), -J3296, IF(AND($P3296=FALSE, $A3296=TRUE), 0, IF($P3296=TRUE, (J3296 / $R3296) * 100 * ($S3296 / 100)-J3296, ))), )</f>
        <v/>
      </c>
      <c r="AD3296" s="32" t="str">
        <f t="shared" si="3382"/>
        <v/>
      </c>
      <c r="AE3296" s="32" t="str">
        <f t="shared" si="3382"/>
        <v/>
      </c>
      <c r="AF3296" s="32" t="str">
        <f t="shared" si="3382"/>
        <v/>
      </c>
      <c r="AG3296" s="32" t="str">
        <f t="shared" si="3382"/>
        <v/>
      </c>
      <c r="AH3296" s="33"/>
    </row>
    <row r="3297" hidden="1" outlineLevel="2">
      <c r="A3297" s="95" t="b">
        <v>0</v>
      </c>
      <c r="B3297" s="96"/>
      <c r="C3297" s="18"/>
      <c r="D3297" s="107"/>
      <c r="E3297" s="108"/>
      <c r="F3297" s="109"/>
      <c r="G3297" s="97"/>
      <c r="H3297" s="97"/>
      <c r="I3297" s="97"/>
      <c r="J3297" s="98"/>
      <c r="K3297" s="99"/>
      <c r="L3297" s="98"/>
      <c r="M3297" s="99"/>
      <c r="N3297" s="99"/>
      <c r="O3297" s="18"/>
      <c r="P3297" s="100" t="b">
        <v>0</v>
      </c>
      <c r="Q3297" s="18"/>
      <c r="R3297" s="101" t="str">
        <f t="shared" si="3377"/>
        <v/>
      </c>
      <c r="S3297" s="32"/>
      <c r="T3297" s="102" t="str">
        <f t="shared" si="3378"/>
        <v/>
      </c>
      <c r="U3297" s="18"/>
      <c r="V3297" s="103" t="str">
        <f t="shared" si="3366"/>
        <v>0</v>
      </c>
      <c r="W3297" s="104" t="str">
        <f t="shared" si="2828"/>
        <v>/</v>
      </c>
      <c r="X3297" s="111" t="s">
        <v>1949</v>
      </c>
      <c r="Y3297" s="106"/>
      <c r="Z3297" s="26" t="str">
        <f t="shared" si="5"/>
        <v/>
      </c>
      <c r="AA3297" s="26" t="str">
        <f t="shared" si="6"/>
        <v/>
      </c>
      <c r="AB3297" s="32" t="str">
        <f t="shared" si="7"/>
        <v/>
      </c>
      <c r="AC3297" s="32" t="str">
        <f t="shared" ref="AC3297:AG3297" si="3383">IF(J3297&lt;&gt;"", IF(AND($P3297=FALSE, $A3297=FALSE), -J3297, IF(AND($P3297=FALSE, $A3297=TRUE), 0, IF($P3297=TRUE, (J3297 / $R3297) * 100 * ($S3297 / 100)-J3297, ))), )</f>
        <v/>
      </c>
      <c r="AD3297" s="32" t="str">
        <f t="shared" si="3383"/>
        <v/>
      </c>
      <c r="AE3297" s="32" t="str">
        <f t="shared" si="3383"/>
        <v/>
      </c>
      <c r="AF3297" s="32" t="str">
        <f t="shared" si="3383"/>
        <v/>
      </c>
      <c r="AG3297" s="32" t="str">
        <f t="shared" si="3383"/>
        <v/>
      </c>
      <c r="AH3297" s="33"/>
    </row>
    <row r="3298" hidden="1" outlineLevel="1" collapsed="1">
      <c r="A3298" s="95" t="b">
        <v>0</v>
      </c>
      <c r="B3298" s="96"/>
      <c r="C3298" s="18"/>
      <c r="D3298" s="42">
        <v>45668.0</v>
      </c>
      <c r="E3298" s="20" t="s">
        <v>24</v>
      </c>
      <c r="F3298" s="53" t="s">
        <v>1930</v>
      </c>
      <c r="G3298" s="97">
        <v>2.0</v>
      </c>
      <c r="H3298" s="97"/>
      <c r="I3298" s="97">
        <v>3.0</v>
      </c>
      <c r="J3298" s="98"/>
      <c r="K3298" s="99"/>
      <c r="L3298" s="98"/>
      <c r="M3298" s="99"/>
      <c r="N3298" s="99"/>
      <c r="O3298" s="18"/>
      <c r="P3298" s="100" t="b">
        <v>0</v>
      </c>
      <c r="Q3298" s="18"/>
      <c r="R3298" s="101">
        <f t="shared" si="3377"/>
        <v>5</v>
      </c>
      <c r="S3298" s="32">
        <v>15.22</v>
      </c>
      <c r="T3298" s="102" t="str">
        <f t="shared" si="3378"/>
        <v>+204</v>
      </c>
      <c r="U3298" s="18"/>
      <c r="V3298" s="103" t="str">
        <f t="shared" si="3366"/>
        <v/>
      </c>
      <c r="W3298" s="104" t="str">
        <f t="shared" si="2828"/>
        <v/>
      </c>
      <c r="X3298" s="105"/>
      <c r="Y3298" s="106"/>
      <c r="Z3298" s="26">
        <f t="shared" si="5"/>
        <v>-2</v>
      </c>
      <c r="AA3298" s="26">
        <f t="shared" si="6"/>
        <v>-3</v>
      </c>
      <c r="AB3298" s="32" t="str">
        <f t="shared" si="7"/>
        <v/>
      </c>
      <c r="AC3298" s="32" t="str">
        <f t="shared" ref="AC3298:AG3298" si="3384">IF(J3298&lt;&gt;"", IF(AND($P3298=FALSE, $A3298=FALSE), -J3298, IF(AND($P3298=FALSE, $A3298=TRUE), 0, IF($P3298=TRUE, (J3298 / $R3298) * 100 * ($S3298 / 100)-J3298, ))), )</f>
        <v/>
      </c>
      <c r="AD3298" s="32" t="str">
        <f t="shared" si="3384"/>
        <v/>
      </c>
      <c r="AE3298" s="32" t="str">
        <f t="shared" si="3384"/>
        <v/>
      </c>
      <c r="AF3298" s="32" t="str">
        <f t="shared" si="3384"/>
        <v/>
      </c>
      <c r="AG3298" s="32" t="str">
        <f t="shared" si="3384"/>
        <v/>
      </c>
      <c r="AH3298" s="33"/>
    </row>
    <row r="3299" hidden="1" outlineLevel="2">
      <c r="A3299" s="95" t="b">
        <v>0</v>
      </c>
      <c r="B3299" s="96"/>
      <c r="C3299" s="18"/>
      <c r="D3299" s="107"/>
      <c r="E3299" s="108"/>
      <c r="F3299" s="109"/>
      <c r="G3299" s="97"/>
      <c r="H3299" s="97"/>
      <c r="I3299" s="97"/>
      <c r="J3299" s="98"/>
      <c r="K3299" s="99"/>
      <c r="L3299" s="98"/>
      <c r="M3299" s="99"/>
      <c r="N3299" s="99"/>
      <c r="O3299" s="18"/>
      <c r="P3299" s="100" t="b">
        <v>0</v>
      </c>
      <c r="Q3299" s="18"/>
      <c r="R3299" s="101" t="str">
        <f t="shared" si="3377"/>
        <v/>
      </c>
      <c r="S3299" s="32"/>
      <c r="T3299" s="102" t="str">
        <f t="shared" si="3378"/>
        <v/>
      </c>
      <c r="U3299" s="18"/>
      <c r="V3299" s="75" t="s">
        <v>29</v>
      </c>
      <c r="W3299" s="104" t="str">
        <f t="shared" si="2828"/>
        <v>/</v>
      </c>
      <c r="X3299" s="111" t="s">
        <v>1950</v>
      </c>
      <c r="Y3299" s="106"/>
      <c r="Z3299" s="26" t="str">
        <f t="shared" si="5"/>
        <v/>
      </c>
      <c r="AA3299" s="26" t="str">
        <f t="shared" si="6"/>
        <v/>
      </c>
      <c r="AB3299" s="32" t="str">
        <f t="shared" si="7"/>
        <v/>
      </c>
      <c r="AC3299" s="32" t="str">
        <f t="shared" ref="AC3299:AG3299" si="3385">IF(J3299&lt;&gt;"", IF(AND($P3299=FALSE, $A3299=FALSE), -J3299, IF(AND($P3299=FALSE, $A3299=TRUE), 0, IF($P3299=TRUE, (J3299 / $R3299) * 100 * ($S3299 / 100)-J3299, ))), )</f>
        <v/>
      </c>
      <c r="AD3299" s="32" t="str">
        <f t="shared" si="3385"/>
        <v/>
      </c>
      <c r="AE3299" s="32" t="str">
        <f t="shared" si="3385"/>
        <v/>
      </c>
      <c r="AF3299" s="32" t="str">
        <f t="shared" si="3385"/>
        <v/>
      </c>
      <c r="AG3299" s="32" t="str">
        <f t="shared" si="3385"/>
        <v/>
      </c>
      <c r="AH3299" s="33"/>
    </row>
    <row r="3300" hidden="1" outlineLevel="2">
      <c r="A3300" s="95" t="b">
        <v>0</v>
      </c>
      <c r="B3300" s="96"/>
      <c r="C3300" s="18"/>
      <c r="D3300" s="107"/>
      <c r="E3300" s="108"/>
      <c r="F3300" s="109"/>
      <c r="G3300" s="97"/>
      <c r="H3300" s="97"/>
      <c r="I3300" s="97"/>
      <c r="J3300" s="98"/>
      <c r="K3300" s="99"/>
      <c r="L3300" s="98"/>
      <c r="M3300" s="99"/>
      <c r="N3300" s="99"/>
      <c r="O3300" s="18"/>
      <c r="P3300" s="100" t="b">
        <v>0</v>
      </c>
      <c r="Q3300" s="18"/>
      <c r="R3300" s="101" t="str">
        <f t="shared" si="3377"/>
        <v/>
      </c>
      <c r="S3300" s="32"/>
      <c r="T3300" s="102" t="str">
        <f t="shared" si="3378"/>
        <v/>
      </c>
      <c r="U3300" s="18"/>
      <c r="V3300" s="75" t="s">
        <v>29</v>
      </c>
      <c r="W3300" s="104" t="str">
        <f t="shared" si="2828"/>
        <v>/</v>
      </c>
      <c r="X3300" s="111" t="s">
        <v>1951</v>
      </c>
      <c r="Y3300" s="106"/>
      <c r="Z3300" s="26" t="str">
        <f t="shared" si="5"/>
        <v/>
      </c>
      <c r="AA3300" s="26" t="str">
        <f t="shared" si="6"/>
        <v/>
      </c>
      <c r="AB3300" s="32" t="str">
        <f t="shared" si="7"/>
        <v/>
      </c>
      <c r="AC3300" s="32" t="str">
        <f t="shared" ref="AC3300:AG3300" si="3386">IF(J3300&lt;&gt;"", IF(AND($P3300=FALSE, $A3300=FALSE), -J3300, IF(AND($P3300=FALSE, $A3300=TRUE), 0, IF($P3300=TRUE, (J3300 / $R3300) * 100 * ($S3300 / 100)-J3300, ))), )</f>
        <v/>
      </c>
      <c r="AD3300" s="32" t="str">
        <f t="shared" si="3386"/>
        <v/>
      </c>
      <c r="AE3300" s="32" t="str">
        <f t="shared" si="3386"/>
        <v/>
      </c>
      <c r="AF3300" s="32" t="str">
        <f t="shared" si="3386"/>
        <v/>
      </c>
      <c r="AG3300" s="32" t="str">
        <f t="shared" si="3386"/>
        <v/>
      </c>
      <c r="AH3300" s="33"/>
    </row>
    <row r="3301" hidden="1" outlineLevel="2">
      <c r="A3301" s="95" t="b">
        <v>0</v>
      </c>
      <c r="B3301" s="96"/>
      <c r="C3301" s="18"/>
      <c r="D3301" s="107"/>
      <c r="E3301" s="108"/>
      <c r="F3301" s="109"/>
      <c r="G3301" s="97"/>
      <c r="H3301" s="97"/>
      <c r="I3301" s="97"/>
      <c r="J3301" s="98"/>
      <c r="K3301" s="99"/>
      <c r="L3301" s="98"/>
      <c r="M3301" s="99"/>
      <c r="N3301" s="99"/>
      <c r="O3301" s="18"/>
      <c r="P3301" s="100" t="b">
        <v>0</v>
      </c>
      <c r="Q3301" s="18"/>
      <c r="R3301" s="101" t="str">
        <f t="shared" si="3377"/>
        <v/>
      </c>
      <c r="S3301" s="32"/>
      <c r="T3301" s="102" t="str">
        <f t="shared" si="3378"/>
        <v/>
      </c>
      <c r="U3301" s="18"/>
      <c r="V3301" s="75" t="s">
        <v>29</v>
      </c>
      <c r="W3301" s="104" t="str">
        <f t="shared" si="2828"/>
        <v>/</v>
      </c>
      <c r="X3301" s="111" t="s">
        <v>1781</v>
      </c>
      <c r="Y3301" s="106"/>
      <c r="Z3301" s="26" t="str">
        <f t="shared" si="5"/>
        <v/>
      </c>
      <c r="AA3301" s="26" t="str">
        <f t="shared" si="6"/>
        <v/>
      </c>
      <c r="AB3301" s="32" t="str">
        <f t="shared" si="7"/>
        <v/>
      </c>
      <c r="AC3301" s="32" t="str">
        <f t="shared" ref="AC3301:AG3301" si="3387">IF(J3301&lt;&gt;"", IF(AND($P3301=FALSE, $A3301=FALSE), -J3301, IF(AND($P3301=FALSE, $A3301=TRUE), 0, IF($P3301=TRUE, (J3301 / $R3301) * 100 * ($S3301 / 100)-J3301, ))), )</f>
        <v/>
      </c>
      <c r="AD3301" s="32" t="str">
        <f t="shared" si="3387"/>
        <v/>
      </c>
      <c r="AE3301" s="32" t="str">
        <f t="shared" si="3387"/>
        <v/>
      </c>
      <c r="AF3301" s="32" t="str">
        <f t="shared" si="3387"/>
        <v/>
      </c>
      <c r="AG3301" s="32" t="str">
        <f t="shared" si="3387"/>
        <v/>
      </c>
      <c r="AH3301" s="33"/>
    </row>
    <row r="3302" hidden="1" outlineLevel="2">
      <c r="A3302" s="95" t="b">
        <v>0</v>
      </c>
      <c r="B3302" s="96"/>
      <c r="C3302" s="18"/>
      <c r="D3302" s="107"/>
      <c r="E3302" s="108"/>
      <c r="F3302" s="109"/>
      <c r="G3302" s="97"/>
      <c r="H3302" s="97"/>
      <c r="I3302" s="97"/>
      <c r="J3302" s="98"/>
      <c r="K3302" s="99"/>
      <c r="L3302" s="98"/>
      <c r="M3302" s="99"/>
      <c r="N3302" s="99"/>
      <c r="O3302" s="18"/>
      <c r="P3302" s="100" t="b">
        <v>0</v>
      </c>
      <c r="Q3302" s="18"/>
      <c r="R3302" s="101" t="str">
        <f t="shared" si="3377"/>
        <v/>
      </c>
      <c r="S3302" s="32"/>
      <c r="T3302" s="102" t="str">
        <f t="shared" si="3378"/>
        <v/>
      </c>
      <c r="U3302" s="18"/>
      <c r="V3302" s="75" t="s">
        <v>29</v>
      </c>
      <c r="W3302" s="104" t="str">
        <f t="shared" si="2828"/>
        <v>/</v>
      </c>
      <c r="X3302" s="111" t="s">
        <v>1952</v>
      </c>
      <c r="Y3302" s="106"/>
      <c r="Z3302" s="26" t="str">
        <f t="shared" si="5"/>
        <v/>
      </c>
      <c r="AA3302" s="26" t="str">
        <f t="shared" si="6"/>
        <v/>
      </c>
      <c r="AB3302" s="32" t="str">
        <f t="shared" si="7"/>
        <v/>
      </c>
      <c r="AC3302" s="32" t="str">
        <f t="shared" ref="AC3302:AG3302" si="3388">IF(J3302&lt;&gt;"", IF(AND($P3302=FALSE, $A3302=FALSE), -J3302, IF(AND($P3302=FALSE, $A3302=TRUE), 0, IF($P3302=TRUE, (J3302 / $R3302) * 100 * ($S3302 / 100)-J3302, ))), )</f>
        <v/>
      </c>
      <c r="AD3302" s="32" t="str">
        <f t="shared" si="3388"/>
        <v/>
      </c>
      <c r="AE3302" s="32" t="str">
        <f t="shared" si="3388"/>
        <v/>
      </c>
      <c r="AF3302" s="32" t="str">
        <f t="shared" si="3388"/>
        <v/>
      </c>
      <c r="AG3302" s="32" t="str">
        <f t="shared" si="3388"/>
        <v/>
      </c>
      <c r="AH3302" s="33"/>
    </row>
    <row r="3303" hidden="1" outlineLevel="2">
      <c r="A3303" s="95" t="b">
        <v>0</v>
      </c>
      <c r="B3303" s="96"/>
      <c r="C3303" s="18"/>
      <c r="D3303" s="107"/>
      <c r="E3303" s="108"/>
      <c r="F3303" s="109"/>
      <c r="G3303" s="97"/>
      <c r="H3303" s="97"/>
      <c r="I3303" s="97"/>
      <c r="J3303" s="98"/>
      <c r="K3303" s="99"/>
      <c r="L3303" s="98"/>
      <c r="M3303" s="99"/>
      <c r="N3303" s="99"/>
      <c r="O3303" s="18"/>
      <c r="P3303" s="100" t="b">
        <v>0</v>
      </c>
      <c r="Q3303" s="18"/>
      <c r="R3303" s="101" t="str">
        <f t="shared" si="3377"/>
        <v/>
      </c>
      <c r="S3303" s="32"/>
      <c r="T3303" s="102" t="str">
        <f t="shared" si="3378"/>
        <v/>
      </c>
      <c r="U3303" s="18"/>
      <c r="V3303" s="75" t="s">
        <v>29</v>
      </c>
      <c r="W3303" s="104" t="str">
        <f t="shared" si="2828"/>
        <v>/</v>
      </c>
      <c r="X3303" s="111" t="s">
        <v>1953</v>
      </c>
      <c r="Y3303" s="106"/>
      <c r="Z3303" s="26" t="str">
        <f t="shared" si="5"/>
        <v/>
      </c>
      <c r="AA3303" s="26" t="str">
        <f t="shared" si="6"/>
        <v/>
      </c>
      <c r="AB3303" s="32" t="str">
        <f t="shared" si="7"/>
        <v/>
      </c>
      <c r="AC3303" s="32" t="str">
        <f t="shared" ref="AC3303:AG3303" si="3389">IF(J3303&lt;&gt;"", IF(AND($P3303=FALSE, $A3303=FALSE), -J3303, IF(AND($P3303=FALSE, $A3303=TRUE), 0, IF($P3303=TRUE, (J3303 / $R3303) * 100 * ($S3303 / 100)-J3303, ))), )</f>
        <v/>
      </c>
      <c r="AD3303" s="32" t="str">
        <f t="shared" si="3389"/>
        <v/>
      </c>
      <c r="AE3303" s="32" t="str">
        <f t="shared" si="3389"/>
        <v/>
      </c>
      <c r="AF3303" s="32" t="str">
        <f t="shared" si="3389"/>
        <v/>
      </c>
      <c r="AG3303" s="32" t="str">
        <f t="shared" si="3389"/>
        <v/>
      </c>
      <c r="AH3303" s="33"/>
    </row>
    <row r="3304" hidden="1" outlineLevel="2">
      <c r="A3304" s="95" t="b">
        <v>0</v>
      </c>
      <c r="B3304" s="96"/>
      <c r="C3304" s="18"/>
      <c r="D3304" s="107"/>
      <c r="E3304" s="108"/>
      <c r="F3304" s="109"/>
      <c r="G3304" s="97"/>
      <c r="H3304" s="97"/>
      <c r="I3304" s="97"/>
      <c r="J3304" s="98"/>
      <c r="K3304" s="99"/>
      <c r="L3304" s="98"/>
      <c r="M3304" s="99"/>
      <c r="N3304" s="99"/>
      <c r="O3304" s="18"/>
      <c r="P3304" s="100" t="b">
        <v>0</v>
      </c>
      <c r="Q3304" s="18"/>
      <c r="R3304" s="101" t="str">
        <f t="shared" si="3377"/>
        <v/>
      </c>
      <c r="S3304" s="32"/>
      <c r="T3304" s="102" t="str">
        <f t="shared" si="3378"/>
        <v/>
      </c>
      <c r="U3304" s="18"/>
      <c r="V3304" s="113">
        <v>2.0</v>
      </c>
      <c r="W3304" s="104" t="str">
        <f t="shared" si="2828"/>
        <v>/</v>
      </c>
      <c r="X3304" s="111" t="s">
        <v>1954</v>
      </c>
      <c r="Y3304" s="106"/>
      <c r="Z3304" s="26" t="str">
        <f t="shared" si="5"/>
        <v/>
      </c>
      <c r="AA3304" s="26" t="str">
        <f t="shared" si="6"/>
        <v/>
      </c>
      <c r="AB3304" s="32" t="str">
        <f t="shared" si="7"/>
        <v/>
      </c>
      <c r="AC3304" s="32" t="str">
        <f t="shared" ref="AC3304:AG3304" si="3390">IF(J3304&lt;&gt;"", IF(AND($P3304=FALSE, $A3304=FALSE), -J3304, IF(AND($P3304=FALSE, $A3304=TRUE), 0, IF($P3304=TRUE, (J3304 / $R3304) * 100 * ($S3304 / 100)-J3304, ))), )</f>
        <v/>
      </c>
      <c r="AD3304" s="32" t="str">
        <f t="shared" si="3390"/>
        <v/>
      </c>
      <c r="AE3304" s="32" t="str">
        <f t="shared" si="3390"/>
        <v/>
      </c>
      <c r="AF3304" s="32" t="str">
        <f t="shared" si="3390"/>
        <v/>
      </c>
      <c r="AG3304" s="32" t="str">
        <f t="shared" si="3390"/>
        <v/>
      </c>
      <c r="AH3304" s="33"/>
    </row>
    <row r="3305" hidden="1" outlineLevel="1">
      <c r="A3305" s="95" t="b">
        <v>0</v>
      </c>
      <c r="B3305" s="96"/>
      <c r="C3305" s="18"/>
      <c r="D3305" s="42">
        <v>45668.0</v>
      </c>
      <c r="E3305" s="20" t="s">
        <v>24</v>
      </c>
      <c r="F3305" s="53" t="s">
        <v>1930</v>
      </c>
      <c r="G3305" s="97">
        <v>1.0</v>
      </c>
      <c r="H3305" s="97"/>
      <c r="I3305" s="97">
        <v>2.0</v>
      </c>
      <c r="J3305" s="98"/>
      <c r="K3305" s="99"/>
      <c r="L3305" s="98"/>
      <c r="M3305" s="99"/>
      <c r="N3305" s="99"/>
      <c r="O3305" s="18"/>
      <c r="P3305" s="100" t="b">
        <v>1</v>
      </c>
      <c r="Q3305" s="18"/>
      <c r="R3305" s="101">
        <f t="shared" si="3377"/>
        <v>3</v>
      </c>
      <c r="S3305" s="32">
        <v>10.14</v>
      </c>
      <c r="T3305" s="102" t="str">
        <f t="shared" si="3378"/>
        <v>+238</v>
      </c>
      <c r="U3305" s="18"/>
      <c r="V3305" s="103" t="str">
        <f>IF(ISBLANK($D3305), "0",)</f>
        <v/>
      </c>
      <c r="W3305" s="104" t="str">
        <f t="shared" si="2828"/>
        <v/>
      </c>
      <c r="X3305" s="105"/>
      <c r="Y3305" s="106"/>
      <c r="Z3305" s="26">
        <f t="shared" si="5"/>
        <v>2.38</v>
      </c>
      <c r="AA3305" s="26">
        <f t="shared" si="6"/>
        <v>4.76</v>
      </c>
      <c r="AB3305" s="32" t="str">
        <f t="shared" si="7"/>
        <v/>
      </c>
      <c r="AC3305" s="32" t="str">
        <f t="shared" ref="AC3305:AG3305" si="3391">IF(J3305&lt;&gt;"", IF(AND($P3305=FALSE, $A3305=FALSE), -J3305, IF(AND($P3305=FALSE, $A3305=TRUE), 0, IF($P3305=TRUE, (J3305 / $R3305) * 100 * ($S3305 / 100)-J3305, ))), )</f>
        <v/>
      </c>
      <c r="AD3305" s="32" t="str">
        <f t="shared" si="3391"/>
        <v/>
      </c>
      <c r="AE3305" s="32" t="str">
        <f t="shared" si="3391"/>
        <v/>
      </c>
      <c r="AF3305" s="32" t="str">
        <f t="shared" si="3391"/>
        <v/>
      </c>
      <c r="AG3305" s="32" t="str">
        <f t="shared" si="3391"/>
        <v/>
      </c>
      <c r="AH3305" s="33"/>
    </row>
    <row r="3306" hidden="1" outlineLevel="2">
      <c r="A3306" s="95" t="b">
        <v>0</v>
      </c>
      <c r="B3306" s="96"/>
      <c r="C3306" s="18"/>
      <c r="D3306" s="107"/>
      <c r="E3306" s="108"/>
      <c r="F3306" s="109"/>
      <c r="G3306" s="97"/>
      <c r="H3306" s="97"/>
      <c r="I3306" s="97"/>
      <c r="J3306" s="98"/>
      <c r="K3306" s="99"/>
      <c r="L3306" s="98"/>
      <c r="M3306" s="99"/>
      <c r="N3306" s="99"/>
      <c r="O3306" s="18"/>
      <c r="P3306" s="100" t="b">
        <v>0</v>
      </c>
      <c r="Q3306" s="18"/>
      <c r="R3306" s="101" t="str">
        <f t="shared" si="3377"/>
        <v/>
      </c>
      <c r="S3306" s="32"/>
      <c r="T3306" s="102" t="str">
        <f t="shared" si="3378"/>
        <v/>
      </c>
      <c r="U3306" s="18"/>
      <c r="V3306" s="75" t="s">
        <v>29</v>
      </c>
      <c r="W3306" s="104" t="str">
        <f t="shared" si="2828"/>
        <v>/</v>
      </c>
      <c r="X3306" s="111" t="s">
        <v>1955</v>
      </c>
      <c r="Y3306" s="106"/>
      <c r="Z3306" s="26" t="str">
        <f t="shared" si="5"/>
        <v/>
      </c>
      <c r="AA3306" s="26" t="str">
        <f t="shared" si="6"/>
        <v/>
      </c>
      <c r="AB3306" s="32" t="str">
        <f t="shared" si="7"/>
        <v/>
      </c>
      <c r="AC3306" s="32" t="str">
        <f t="shared" ref="AC3306:AG3306" si="3392">IF(J3306&lt;&gt;"", IF(AND($P3306=FALSE, $A3306=FALSE), -J3306, IF(AND($P3306=FALSE, $A3306=TRUE), 0, IF($P3306=TRUE, (J3306 / $R3306) * 100 * ($S3306 / 100)-J3306, ))), )</f>
        <v/>
      </c>
      <c r="AD3306" s="32" t="str">
        <f t="shared" si="3392"/>
        <v/>
      </c>
      <c r="AE3306" s="32" t="str">
        <f t="shared" si="3392"/>
        <v/>
      </c>
      <c r="AF3306" s="32" t="str">
        <f t="shared" si="3392"/>
        <v/>
      </c>
      <c r="AG3306" s="32" t="str">
        <f t="shared" si="3392"/>
        <v/>
      </c>
      <c r="AH3306" s="33"/>
    </row>
    <row r="3307" hidden="1" outlineLevel="2">
      <c r="A3307" s="95" t="b">
        <v>0</v>
      </c>
      <c r="B3307" s="96"/>
      <c r="C3307" s="18"/>
      <c r="D3307" s="107"/>
      <c r="E3307" s="108"/>
      <c r="F3307" s="109"/>
      <c r="G3307" s="97"/>
      <c r="H3307" s="97"/>
      <c r="I3307" s="97"/>
      <c r="J3307" s="98"/>
      <c r="K3307" s="99"/>
      <c r="L3307" s="98"/>
      <c r="M3307" s="99"/>
      <c r="N3307" s="99"/>
      <c r="O3307" s="18"/>
      <c r="P3307" s="100" t="b">
        <v>0</v>
      </c>
      <c r="Q3307" s="18"/>
      <c r="R3307" s="101" t="str">
        <f t="shared" si="3377"/>
        <v/>
      </c>
      <c r="S3307" s="32"/>
      <c r="T3307" s="102" t="str">
        <f t="shared" si="3378"/>
        <v/>
      </c>
      <c r="U3307" s="18"/>
      <c r="V3307" s="75" t="s">
        <v>29</v>
      </c>
      <c r="W3307" s="104" t="str">
        <f t="shared" si="2828"/>
        <v>/</v>
      </c>
      <c r="X3307" s="111" t="s">
        <v>1956</v>
      </c>
      <c r="Y3307" s="106"/>
      <c r="Z3307" s="26" t="str">
        <f t="shared" si="5"/>
        <v/>
      </c>
      <c r="AA3307" s="26" t="str">
        <f t="shared" si="6"/>
        <v/>
      </c>
      <c r="AB3307" s="32" t="str">
        <f t="shared" si="7"/>
        <v/>
      </c>
      <c r="AC3307" s="32" t="str">
        <f t="shared" ref="AC3307:AG3307" si="3393">IF(J3307&lt;&gt;"", IF(AND($P3307=FALSE, $A3307=FALSE), -J3307, IF(AND($P3307=FALSE, $A3307=TRUE), 0, IF($P3307=TRUE, (J3307 / $R3307) * 100 * ($S3307 / 100)-J3307, ))), )</f>
        <v/>
      </c>
      <c r="AD3307" s="32" t="str">
        <f t="shared" si="3393"/>
        <v/>
      </c>
      <c r="AE3307" s="32" t="str">
        <f t="shared" si="3393"/>
        <v/>
      </c>
      <c r="AF3307" s="32" t="str">
        <f t="shared" si="3393"/>
        <v/>
      </c>
      <c r="AG3307" s="32" t="str">
        <f t="shared" si="3393"/>
        <v/>
      </c>
      <c r="AH3307" s="33"/>
    </row>
    <row r="3308" collapsed="1">
      <c r="A3308" s="95" t="b">
        <v>0</v>
      </c>
      <c r="B3308" s="96"/>
      <c r="C3308" s="18"/>
      <c r="D3308" s="42">
        <v>45669.0</v>
      </c>
      <c r="E3308" s="20" t="s">
        <v>24</v>
      </c>
      <c r="F3308" s="53" t="s">
        <v>1930</v>
      </c>
      <c r="G3308" s="97">
        <v>2.0</v>
      </c>
      <c r="H3308" s="97"/>
      <c r="I3308" s="97">
        <v>2.0</v>
      </c>
      <c r="J3308" s="98"/>
      <c r="K3308" s="99"/>
      <c r="L3308" s="98"/>
      <c r="M3308" s="99"/>
      <c r="N3308" s="99"/>
      <c r="O3308" s="18"/>
      <c r="P3308" s="100" t="b">
        <v>0</v>
      </c>
      <c r="Q3308" s="18"/>
      <c r="R3308" s="101">
        <f t="shared" si="3377"/>
        <v>4</v>
      </c>
      <c r="S3308" s="32">
        <v>8.55</v>
      </c>
      <c r="T3308" s="102" t="str">
        <f t="shared" si="3378"/>
        <v>+114</v>
      </c>
      <c r="U3308" s="18"/>
      <c r="V3308" s="103" t="str">
        <f>IF(ISBLANK($D3308), "0",)</f>
        <v/>
      </c>
      <c r="W3308" s="104" t="str">
        <f t="shared" si="2828"/>
        <v/>
      </c>
      <c r="X3308" s="105"/>
      <c r="Y3308" s="106"/>
      <c r="Z3308" s="26">
        <f t="shared" si="5"/>
        <v>-2</v>
      </c>
      <c r="AA3308" s="26">
        <f t="shared" si="6"/>
        <v>-2</v>
      </c>
      <c r="AB3308" s="32" t="str">
        <f t="shared" si="7"/>
        <v/>
      </c>
      <c r="AC3308" s="32" t="str">
        <f t="shared" ref="AC3308:AG3308" si="3394">IF(J3308&lt;&gt;"", IF(AND($P3308=FALSE, $A3308=FALSE), -J3308, IF(AND($P3308=FALSE, $A3308=TRUE), 0, IF($P3308=TRUE, (J3308 / $R3308) * 100 * ($S3308 / 100)-J3308, ))), )</f>
        <v/>
      </c>
      <c r="AD3308" s="32" t="str">
        <f t="shared" si="3394"/>
        <v/>
      </c>
      <c r="AE3308" s="32" t="str">
        <f t="shared" si="3394"/>
        <v/>
      </c>
      <c r="AF3308" s="32" t="str">
        <f t="shared" si="3394"/>
        <v/>
      </c>
      <c r="AG3308" s="32" t="str">
        <f t="shared" si="3394"/>
        <v/>
      </c>
      <c r="AH3308" s="33"/>
    </row>
    <row r="3309" hidden="1" outlineLevel="2">
      <c r="A3309" s="95" t="b">
        <v>0</v>
      </c>
      <c r="B3309" s="96"/>
      <c r="C3309" s="18"/>
      <c r="D3309" s="107"/>
      <c r="E3309" s="108"/>
      <c r="F3309" s="109"/>
      <c r="G3309" s="97"/>
      <c r="H3309" s="97"/>
      <c r="I3309" s="97"/>
      <c r="J3309" s="98"/>
      <c r="K3309" s="99"/>
      <c r="L3309" s="98"/>
      <c r="M3309" s="99"/>
      <c r="N3309" s="99"/>
      <c r="O3309" s="18"/>
      <c r="P3309" s="100" t="b">
        <v>0</v>
      </c>
      <c r="Q3309" s="18"/>
      <c r="R3309" s="101" t="str">
        <f t="shared" si="3377"/>
        <v/>
      </c>
      <c r="S3309" s="32"/>
      <c r="T3309" s="102" t="str">
        <f t="shared" si="3378"/>
        <v/>
      </c>
      <c r="U3309" s="18"/>
      <c r="V3309" s="75" t="s">
        <v>29</v>
      </c>
      <c r="W3309" s="104" t="str">
        <f t="shared" si="2828"/>
        <v>/</v>
      </c>
      <c r="X3309" s="111" t="s">
        <v>1957</v>
      </c>
      <c r="Y3309" s="106"/>
      <c r="Z3309" s="26" t="str">
        <f t="shared" si="5"/>
        <v/>
      </c>
      <c r="AA3309" s="26" t="str">
        <f t="shared" si="6"/>
        <v/>
      </c>
      <c r="AB3309" s="32" t="str">
        <f t="shared" si="7"/>
        <v/>
      </c>
      <c r="AC3309" s="32" t="str">
        <f t="shared" ref="AC3309:AG3309" si="3395">IF(J3309&lt;&gt;"", IF(AND($P3309=FALSE, $A3309=FALSE), -J3309, IF(AND($P3309=FALSE, $A3309=TRUE), 0, IF($P3309=TRUE, (J3309 / $R3309) * 100 * ($S3309 / 100)-J3309, ))), )</f>
        <v/>
      </c>
      <c r="AD3309" s="32" t="str">
        <f t="shared" si="3395"/>
        <v/>
      </c>
      <c r="AE3309" s="32" t="str">
        <f t="shared" si="3395"/>
        <v/>
      </c>
      <c r="AF3309" s="32" t="str">
        <f t="shared" si="3395"/>
        <v/>
      </c>
      <c r="AG3309" s="32" t="str">
        <f t="shared" si="3395"/>
        <v/>
      </c>
      <c r="AH3309" s="33"/>
    </row>
    <row r="3310" hidden="1" outlineLevel="2">
      <c r="A3310" s="95" t="b">
        <v>0</v>
      </c>
      <c r="B3310" s="96"/>
      <c r="C3310" s="18"/>
      <c r="D3310" s="107"/>
      <c r="E3310" s="108"/>
      <c r="F3310" s="109"/>
      <c r="G3310" s="97"/>
      <c r="H3310" s="97"/>
      <c r="I3310" s="97"/>
      <c r="J3310" s="98"/>
      <c r="K3310" s="99"/>
      <c r="L3310" s="98"/>
      <c r="M3310" s="99"/>
      <c r="N3310" s="99"/>
      <c r="O3310" s="18"/>
      <c r="P3310" s="100" t="b">
        <v>0</v>
      </c>
      <c r="Q3310" s="18"/>
      <c r="R3310" s="101" t="str">
        <f t="shared" si="3377"/>
        <v/>
      </c>
      <c r="S3310" s="32"/>
      <c r="T3310" s="102" t="str">
        <f t="shared" si="3378"/>
        <v/>
      </c>
      <c r="U3310" s="18"/>
      <c r="V3310" s="113">
        <v>131.0</v>
      </c>
      <c r="W3310" s="104" t="str">
        <f t="shared" si="2828"/>
        <v>/</v>
      </c>
      <c r="X3310" s="111" t="s">
        <v>1811</v>
      </c>
      <c r="Y3310" s="106"/>
      <c r="Z3310" s="26" t="str">
        <f t="shared" si="5"/>
        <v/>
      </c>
      <c r="AA3310" s="26" t="str">
        <f t="shared" si="6"/>
        <v/>
      </c>
      <c r="AB3310" s="32" t="str">
        <f t="shared" si="7"/>
        <v/>
      </c>
      <c r="AC3310" s="32" t="str">
        <f t="shared" ref="AC3310:AG3310" si="3396">IF(J3310&lt;&gt;"", IF(AND($P3310=FALSE, $A3310=FALSE), -J3310, IF(AND($P3310=FALSE, $A3310=TRUE), 0, IF($P3310=TRUE, (J3310 / $R3310) * 100 * ($S3310 / 100)-J3310, ))), )</f>
        <v/>
      </c>
      <c r="AD3310" s="32" t="str">
        <f t="shared" si="3396"/>
        <v/>
      </c>
      <c r="AE3310" s="32" t="str">
        <f t="shared" si="3396"/>
        <v/>
      </c>
      <c r="AF3310" s="32" t="str">
        <f t="shared" si="3396"/>
        <v/>
      </c>
      <c r="AG3310" s="32" t="str">
        <f t="shared" si="3396"/>
        <v/>
      </c>
      <c r="AH3310" s="33"/>
    </row>
    <row r="3311" hidden="1" outlineLevel="2">
      <c r="A3311" s="95" t="b">
        <v>0</v>
      </c>
      <c r="B3311" s="96"/>
      <c r="C3311" s="18"/>
      <c r="D3311" s="107"/>
      <c r="E3311" s="108"/>
      <c r="F3311" s="109"/>
      <c r="G3311" s="97"/>
      <c r="H3311" s="97"/>
      <c r="I3311" s="97"/>
      <c r="J3311" s="98"/>
      <c r="K3311" s="99"/>
      <c r="L3311" s="98"/>
      <c r="M3311" s="99"/>
      <c r="N3311" s="99"/>
      <c r="O3311" s="18"/>
      <c r="P3311" s="100" t="b">
        <v>0</v>
      </c>
      <c r="Q3311" s="18"/>
      <c r="R3311" s="101" t="str">
        <f t="shared" si="3377"/>
        <v/>
      </c>
      <c r="S3311" s="32"/>
      <c r="T3311" s="102" t="str">
        <f t="shared" si="3378"/>
        <v/>
      </c>
      <c r="U3311" s="18"/>
      <c r="V3311" s="113">
        <v>169.0</v>
      </c>
      <c r="W3311" s="104" t="str">
        <f t="shared" si="2828"/>
        <v>/</v>
      </c>
      <c r="X3311" s="111" t="s">
        <v>1082</v>
      </c>
      <c r="Y3311" s="106"/>
      <c r="Z3311" s="26" t="str">
        <f t="shared" si="5"/>
        <v/>
      </c>
      <c r="AA3311" s="26" t="str">
        <f t="shared" si="6"/>
        <v/>
      </c>
      <c r="AB3311" s="32" t="str">
        <f t="shared" si="7"/>
        <v/>
      </c>
      <c r="AC3311" s="32" t="str">
        <f t="shared" ref="AC3311:AG3311" si="3397">IF(J3311&lt;&gt;"", IF(AND($P3311=FALSE, $A3311=FALSE), -J3311, IF(AND($P3311=FALSE, $A3311=TRUE), 0, IF($P3311=TRUE, (J3311 / $R3311) * 100 * ($S3311 / 100)-J3311, ))), )</f>
        <v/>
      </c>
      <c r="AD3311" s="32" t="str">
        <f t="shared" si="3397"/>
        <v/>
      </c>
      <c r="AE3311" s="32" t="str">
        <f t="shared" si="3397"/>
        <v/>
      </c>
      <c r="AF3311" s="32" t="str">
        <f t="shared" si="3397"/>
        <v/>
      </c>
      <c r="AG3311" s="32" t="str">
        <f t="shared" si="3397"/>
        <v/>
      </c>
      <c r="AH3311" s="33"/>
    </row>
    <row r="3312" hidden="1" outlineLevel="2">
      <c r="A3312" s="95" t="b">
        <v>0</v>
      </c>
      <c r="B3312" s="96"/>
      <c r="C3312" s="18"/>
      <c r="D3312" s="107"/>
      <c r="E3312" s="108"/>
      <c r="F3312" s="109"/>
      <c r="G3312" s="97"/>
      <c r="H3312" s="97"/>
      <c r="I3312" s="97"/>
      <c r="J3312" s="98"/>
      <c r="K3312" s="99"/>
      <c r="L3312" s="98"/>
      <c r="M3312" s="99"/>
      <c r="N3312" s="99"/>
      <c r="O3312" s="18"/>
      <c r="P3312" s="100" t="b">
        <v>0</v>
      </c>
      <c r="Q3312" s="18"/>
      <c r="R3312" s="101" t="str">
        <f t="shared" si="3377"/>
        <v/>
      </c>
      <c r="S3312" s="32"/>
      <c r="T3312" s="102" t="str">
        <f t="shared" si="3378"/>
        <v/>
      </c>
      <c r="U3312" s="18"/>
      <c r="V3312" s="113">
        <v>29.0</v>
      </c>
      <c r="W3312" s="104" t="str">
        <f t="shared" si="2828"/>
        <v>/</v>
      </c>
      <c r="X3312" s="111" t="s">
        <v>1958</v>
      </c>
      <c r="Y3312" s="106"/>
      <c r="Z3312" s="26" t="str">
        <f t="shared" si="5"/>
        <v/>
      </c>
      <c r="AA3312" s="26" t="str">
        <f t="shared" si="6"/>
        <v/>
      </c>
      <c r="AB3312" s="32" t="str">
        <f t="shared" si="7"/>
        <v/>
      </c>
      <c r="AC3312" s="32" t="str">
        <f t="shared" ref="AC3312:AG3312" si="3398">IF(J3312&lt;&gt;"", IF(AND($P3312=FALSE, $A3312=FALSE), -J3312, IF(AND($P3312=FALSE, $A3312=TRUE), 0, IF($P3312=TRUE, (J3312 / $R3312) * 100 * ($S3312 / 100)-J3312, ))), )</f>
        <v/>
      </c>
      <c r="AD3312" s="32" t="str">
        <f t="shared" si="3398"/>
        <v/>
      </c>
      <c r="AE3312" s="32" t="str">
        <f t="shared" si="3398"/>
        <v/>
      </c>
      <c r="AF3312" s="32" t="str">
        <f t="shared" si="3398"/>
        <v/>
      </c>
      <c r="AG3312" s="32" t="str">
        <f t="shared" si="3398"/>
        <v/>
      </c>
      <c r="AH3312" s="33"/>
    </row>
    <row r="3313" hidden="1" outlineLevel="1" collapsed="1">
      <c r="A3313" s="95" t="b">
        <v>0</v>
      </c>
      <c r="B3313" s="96"/>
      <c r="C3313" s="18"/>
      <c r="D3313" s="42">
        <v>45669.0</v>
      </c>
      <c r="E3313" s="20" t="s">
        <v>24</v>
      </c>
      <c r="F3313" s="53" t="s">
        <v>1930</v>
      </c>
      <c r="G3313" s="97">
        <v>2.0</v>
      </c>
      <c r="H3313" s="97"/>
      <c r="I3313" s="97">
        <v>2.0</v>
      </c>
      <c r="J3313" s="98"/>
      <c r="K3313" s="99"/>
      <c r="L3313" s="98"/>
      <c r="M3313" s="99"/>
      <c r="N3313" s="99"/>
      <c r="O3313" s="18"/>
      <c r="P3313" s="100" t="b">
        <v>0</v>
      </c>
      <c r="Q3313" s="18"/>
      <c r="R3313" s="101">
        <f t="shared" si="3377"/>
        <v>4</v>
      </c>
      <c r="S3313" s="32">
        <v>27.46</v>
      </c>
      <c r="T3313" s="102" t="str">
        <f t="shared" si="3378"/>
        <v>+587</v>
      </c>
      <c r="U3313" s="18"/>
      <c r="V3313" s="103" t="str">
        <f t="shared" ref="V3313:V3314" si="3400">IF(ISBLANK($D3313), "0",)</f>
        <v/>
      </c>
      <c r="W3313" s="104" t="str">
        <f t="shared" si="2828"/>
        <v/>
      </c>
      <c r="X3313" s="105"/>
      <c r="Y3313" s="106"/>
      <c r="Z3313" s="26">
        <f t="shared" si="5"/>
        <v>-2</v>
      </c>
      <c r="AA3313" s="26">
        <f t="shared" si="6"/>
        <v>-2</v>
      </c>
      <c r="AB3313" s="32" t="str">
        <f t="shared" si="7"/>
        <v/>
      </c>
      <c r="AC3313" s="32" t="str">
        <f t="shared" ref="AC3313:AG3313" si="3399">IF(J3313&lt;&gt;"", IF(AND($P3313=FALSE, $A3313=FALSE), -J3313, IF(AND($P3313=FALSE, $A3313=TRUE), 0, IF($P3313=TRUE, (J3313 / $R3313) * 100 * ($S3313 / 100)-J3313, ))), )</f>
        <v/>
      </c>
      <c r="AD3313" s="32" t="str">
        <f t="shared" si="3399"/>
        <v/>
      </c>
      <c r="AE3313" s="32" t="str">
        <f t="shared" si="3399"/>
        <v/>
      </c>
      <c r="AF3313" s="32" t="str">
        <f t="shared" si="3399"/>
        <v/>
      </c>
      <c r="AG3313" s="32" t="str">
        <f t="shared" si="3399"/>
        <v/>
      </c>
      <c r="AH3313" s="33"/>
    </row>
    <row r="3314" hidden="1" outlineLevel="2">
      <c r="A3314" s="95" t="b">
        <v>0</v>
      </c>
      <c r="B3314" s="96"/>
      <c r="C3314" s="18"/>
      <c r="D3314" s="107"/>
      <c r="E3314" s="108"/>
      <c r="F3314" s="109"/>
      <c r="G3314" s="97"/>
      <c r="H3314" s="97"/>
      <c r="I3314" s="97"/>
      <c r="J3314" s="98"/>
      <c r="K3314" s="99"/>
      <c r="L3314" s="98"/>
      <c r="M3314" s="99"/>
      <c r="N3314" s="99"/>
      <c r="O3314" s="18"/>
      <c r="P3314" s="100" t="b">
        <v>0</v>
      </c>
      <c r="Q3314" s="18"/>
      <c r="R3314" s="101" t="str">
        <f t="shared" si="3377"/>
        <v/>
      </c>
      <c r="S3314" s="32"/>
      <c r="T3314" s="102" t="str">
        <f t="shared" si="3378"/>
        <v/>
      </c>
      <c r="U3314" s="18"/>
      <c r="V3314" s="103" t="str">
        <f t="shared" si="3400"/>
        <v>0</v>
      </c>
      <c r="W3314" s="104" t="str">
        <f t="shared" si="2828"/>
        <v>/</v>
      </c>
      <c r="X3314" s="111" t="s">
        <v>1494</v>
      </c>
      <c r="Y3314" s="106"/>
      <c r="Z3314" s="26" t="str">
        <f t="shared" si="5"/>
        <v/>
      </c>
      <c r="AA3314" s="26" t="str">
        <f t="shared" si="6"/>
        <v/>
      </c>
      <c r="AB3314" s="32" t="str">
        <f t="shared" si="7"/>
        <v/>
      </c>
      <c r="AC3314" s="32" t="str">
        <f t="shared" ref="AC3314:AG3314" si="3401">IF(J3314&lt;&gt;"", IF(AND($P3314=FALSE, $A3314=FALSE), -J3314, IF(AND($P3314=FALSE, $A3314=TRUE), 0, IF($P3314=TRUE, (J3314 / $R3314) * 100 * ($S3314 / 100)-J3314, ))), )</f>
        <v/>
      </c>
      <c r="AD3314" s="32" t="str">
        <f t="shared" si="3401"/>
        <v/>
      </c>
      <c r="AE3314" s="32" t="str">
        <f t="shared" si="3401"/>
        <v/>
      </c>
      <c r="AF3314" s="32" t="str">
        <f t="shared" si="3401"/>
        <v/>
      </c>
      <c r="AG3314" s="32" t="str">
        <f t="shared" si="3401"/>
        <v/>
      </c>
      <c r="AH3314" s="33"/>
    </row>
    <row r="3315" hidden="1" outlineLevel="2">
      <c r="A3315" s="95" t="b">
        <v>0</v>
      </c>
      <c r="B3315" s="96"/>
      <c r="C3315" s="18"/>
      <c r="D3315" s="107"/>
      <c r="E3315" s="108"/>
      <c r="F3315" s="109"/>
      <c r="G3315" s="97"/>
      <c r="H3315" s="97"/>
      <c r="I3315" s="97"/>
      <c r="J3315" s="98"/>
      <c r="K3315" s="99"/>
      <c r="L3315" s="98"/>
      <c r="M3315" s="99"/>
      <c r="N3315" s="99"/>
      <c r="O3315" s="18"/>
      <c r="P3315" s="100" t="b">
        <v>0</v>
      </c>
      <c r="Q3315" s="18"/>
      <c r="R3315" s="101" t="str">
        <f t="shared" si="3377"/>
        <v/>
      </c>
      <c r="S3315" s="32"/>
      <c r="T3315" s="102" t="str">
        <f t="shared" si="3378"/>
        <v/>
      </c>
      <c r="U3315" s="18"/>
      <c r="V3315" s="75" t="s">
        <v>29</v>
      </c>
      <c r="W3315" s="104" t="str">
        <f t="shared" si="2828"/>
        <v>/</v>
      </c>
      <c r="X3315" s="111" t="s">
        <v>1593</v>
      </c>
      <c r="Y3315" s="106"/>
      <c r="Z3315" s="26" t="str">
        <f t="shared" si="5"/>
        <v/>
      </c>
      <c r="AA3315" s="26" t="str">
        <f t="shared" si="6"/>
        <v/>
      </c>
      <c r="AB3315" s="32" t="str">
        <f t="shared" si="7"/>
        <v/>
      </c>
      <c r="AC3315" s="32" t="str">
        <f t="shared" ref="AC3315:AG3315" si="3402">IF(J3315&lt;&gt;"", IF(AND($P3315=FALSE, $A3315=FALSE), -J3315, IF(AND($P3315=FALSE, $A3315=TRUE), 0, IF($P3315=TRUE, (J3315 / $R3315) * 100 * ($S3315 / 100)-J3315, ))), )</f>
        <v/>
      </c>
      <c r="AD3315" s="32" t="str">
        <f t="shared" si="3402"/>
        <v/>
      </c>
      <c r="AE3315" s="32" t="str">
        <f t="shared" si="3402"/>
        <v/>
      </c>
      <c r="AF3315" s="32" t="str">
        <f t="shared" si="3402"/>
        <v/>
      </c>
      <c r="AG3315" s="32" t="str">
        <f t="shared" si="3402"/>
        <v/>
      </c>
      <c r="AH3315" s="33"/>
    </row>
    <row r="3316" hidden="1" outlineLevel="2">
      <c r="A3316" s="95" t="b">
        <v>0</v>
      </c>
      <c r="B3316" s="96"/>
      <c r="C3316" s="18"/>
      <c r="D3316" s="107"/>
      <c r="E3316" s="108"/>
      <c r="F3316" s="109"/>
      <c r="G3316" s="97"/>
      <c r="H3316" s="97"/>
      <c r="I3316" s="97"/>
      <c r="J3316" s="98"/>
      <c r="K3316" s="99"/>
      <c r="L3316" s="98"/>
      <c r="M3316" s="99"/>
      <c r="N3316" s="99"/>
      <c r="O3316" s="18"/>
      <c r="P3316" s="100" t="b">
        <v>0</v>
      </c>
      <c r="Q3316" s="18"/>
      <c r="R3316" s="101" t="str">
        <f t="shared" si="3377"/>
        <v/>
      </c>
      <c r="S3316" s="32"/>
      <c r="T3316" s="102" t="str">
        <f t="shared" si="3378"/>
        <v/>
      </c>
      <c r="U3316" s="18"/>
      <c r="V3316" s="75" t="s">
        <v>29</v>
      </c>
      <c r="W3316" s="104" t="str">
        <f t="shared" si="2828"/>
        <v>/</v>
      </c>
      <c r="X3316" s="111" t="s">
        <v>1959</v>
      </c>
      <c r="Y3316" s="106"/>
      <c r="Z3316" s="26" t="str">
        <f t="shared" si="5"/>
        <v/>
      </c>
      <c r="AA3316" s="26" t="str">
        <f t="shared" si="6"/>
        <v/>
      </c>
      <c r="AB3316" s="32" t="str">
        <f t="shared" si="7"/>
        <v/>
      </c>
      <c r="AC3316" s="32" t="str">
        <f t="shared" ref="AC3316:AG3316" si="3403">IF(J3316&lt;&gt;"", IF(AND($P3316=FALSE, $A3316=FALSE), -J3316, IF(AND($P3316=FALSE, $A3316=TRUE), 0, IF($P3316=TRUE, (J3316 / $R3316) * 100 * ($S3316 / 100)-J3316, ))), )</f>
        <v/>
      </c>
      <c r="AD3316" s="32" t="str">
        <f t="shared" si="3403"/>
        <v/>
      </c>
      <c r="AE3316" s="32" t="str">
        <f t="shared" si="3403"/>
        <v/>
      </c>
      <c r="AF3316" s="32" t="str">
        <f t="shared" si="3403"/>
        <v/>
      </c>
      <c r="AG3316" s="32" t="str">
        <f t="shared" si="3403"/>
        <v/>
      </c>
      <c r="AH3316" s="33"/>
    </row>
    <row r="3317" hidden="1" outlineLevel="2">
      <c r="A3317" s="95" t="b">
        <v>0</v>
      </c>
      <c r="B3317" s="96"/>
      <c r="C3317" s="18"/>
      <c r="D3317" s="107"/>
      <c r="E3317" s="108"/>
      <c r="F3317" s="109"/>
      <c r="G3317" s="97"/>
      <c r="H3317" s="97"/>
      <c r="I3317" s="97"/>
      <c r="J3317" s="98"/>
      <c r="K3317" s="99"/>
      <c r="L3317" s="98"/>
      <c r="M3317" s="99"/>
      <c r="N3317" s="99"/>
      <c r="O3317" s="18"/>
      <c r="P3317" s="100" t="b">
        <v>0</v>
      </c>
      <c r="Q3317" s="18"/>
      <c r="R3317" s="101" t="str">
        <f t="shared" si="3377"/>
        <v/>
      </c>
      <c r="S3317" s="32"/>
      <c r="T3317" s="102" t="str">
        <f t="shared" si="3378"/>
        <v/>
      </c>
      <c r="U3317" s="18"/>
      <c r="V3317" s="75" t="s">
        <v>29</v>
      </c>
      <c r="W3317" s="104" t="str">
        <f t="shared" si="2828"/>
        <v>/</v>
      </c>
      <c r="X3317" s="111" t="s">
        <v>1960</v>
      </c>
      <c r="Y3317" s="106"/>
      <c r="Z3317" s="26" t="str">
        <f t="shared" si="5"/>
        <v/>
      </c>
      <c r="AA3317" s="26" t="str">
        <f t="shared" si="6"/>
        <v/>
      </c>
      <c r="AB3317" s="32" t="str">
        <f t="shared" si="7"/>
        <v/>
      </c>
      <c r="AC3317" s="32" t="str">
        <f t="shared" ref="AC3317:AG3317" si="3404">IF(J3317&lt;&gt;"", IF(AND($P3317=FALSE, $A3317=FALSE), -J3317, IF(AND($P3317=FALSE, $A3317=TRUE), 0, IF($P3317=TRUE, (J3317 / $R3317) * 100 * ($S3317 / 100)-J3317, ))), )</f>
        <v/>
      </c>
      <c r="AD3317" s="32" t="str">
        <f t="shared" si="3404"/>
        <v/>
      </c>
      <c r="AE3317" s="32" t="str">
        <f t="shared" si="3404"/>
        <v/>
      </c>
      <c r="AF3317" s="32" t="str">
        <f t="shared" si="3404"/>
        <v/>
      </c>
      <c r="AG3317" s="32" t="str">
        <f t="shared" si="3404"/>
        <v/>
      </c>
      <c r="AH3317" s="33"/>
    </row>
    <row r="3318" hidden="1" outlineLevel="1" collapsed="1">
      <c r="A3318" s="95" t="b">
        <v>0</v>
      </c>
      <c r="B3318" s="96"/>
      <c r="C3318" s="18"/>
      <c r="D3318" s="42">
        <v>45669.0</v>
      </c>
      <c r="E3318" s="20" t="s">
        <v>24</v>
      </c>
      <c r="F3318" s="53" t="s">
        <v>1930</v>
      </c>
      <c r="G3318" s="97">
        <v>2.0</v>
      </c>
      <c r="H3318" s="97"/>
      <c r="I3318" s="97">
        <v>2.0</v>
      </c>
      <c r="J3318" s="98"/>
      <c r="K3318" s="99"/>
      <c r="L3318" s="98"/>
      <c r="M3318" s="99"/>
      <c r="N3318" s="99"/>
      <c r="O3318" s="18"/>
      <c r="P3318" s="100" t="b">
        <v>0</v>
      </c>
      <c r="Q3318" s="18"/>
      <c r="R3318" s="101">
        <f t="shared" si="3377"/>
        <v>4</v>
      </c>
      <c r="S3318" s="32">
        <v>8.08</v>
      </c>
      <c r="T3318" s="102" t="str">
        <f t="shared" si="3378"/>
        <v>+102</v>
      </c>
      <c r="U3318" s="18"/>
      <c r="V3318" s="103" t="str">
        <f>IF(ISBLANK($D3318), "0",)</f>
        <v/>
      </c>
      <c r="W3318" s="104" t="str">
        <f t="shared" si="2828"/>
        <v/>
      </c>
      <c r="X3318" s="105"/>
      <c r="Y3318" s="106"/>
      <c r="Z3318" s="26">
        <f t="shared" si="5"/>
        <v>-2</v>
      </c>
      <c r="AA3318" s="26">
        <f t="shared" si="6"/>
        <v>-2</v>
      </c>
      <c r="AB3318" s="32" t="str">
        <f t="shared" si="7"/>
        <v/>
      </c>
      <c r="AC3318" s="32" t="str">
        <f t="shared" ref="AC3318:AG3318" si="3405">IF(J3318&lt;&gt;"", IF(AND($P3318=FALSE, $A3318=FALSE), -J3318, IF(AND($P3318=FALSE, $A3318=TRUE), 0, IF($P3318=TRUE, (J3318 / $R3318) * 100 * ($S3318 / 100)-J3318, ))), )</f>
        <v/>
      </c>
      <c r="AD3318" s="32" t="str">
        <f t="shared" si="3405"/>
        <v/>
      </c>
      <c r="AE3318" s="32" t="str">
        <f t="shared" si="3405"/>
        <v/>
      </c>
      <c r="AF3318" s="32" t="str">
        <f t="shared" si="3405"/>
        <v/>
      </c>
      <c r="AG3318" s="32" t="str">
        <f t="shared" si="3405"/>
        <v/>
      </c>
      <c r="AH3318" s="33"/>
    </row>
    <row r="3319" hidden="1" outlineLevel="2">
      <c r="A3319" s="95" t="b">
        <v>0</v>
      </c>
      <c r="B3319" s="96"/>
      <c r="C3319" s="18"/>
      <c r="D3319" s="107"/>
      <c r="E3319" s="108"/>
      <c r="F3319" s="109"/>
      <c r="G3319" s="97"/>
      <c r="H3319" s="97"/>
      <c r="I3319" s="97"/>
      <c r="J3319" s="98"/>
      <c r="K3319" s="99"/>
      <c r="L3319" s="98"/>
      <c r="M3319" s="99"/>
      <c r="N3319" s="99"/>
      <c r="O3319" s="18"/>
      <c r="P3319" s="100" t="b">
        <v>0</v>
      </c>
      <c r="Q3319" s="18"/>
      <c r="R3319" s="101" t="str">
        <f t="shared" si="3377"/>
        <v/>
      </c>
      <c r="S3319" s="32"/>
      <c r="T3319" s="102" t="str">
        <f t="shared" si="3378"/>
        <v/>
      </c>
      <c r="U3319" s="18"/>
      <c r="V3319" s="113">
        <v>1.0</v>
      </c>
      <c r="W3319" s="104" t="str">
        <f t="shared" si="2828"/>
        <v>/</v>
      </c>
      <c r="X3319" s="111" t="s">
        <v>1961</v>
      </c>
      <c r="Y3319" s="106"/>
      <c r="Z3319" s="26" t="str">
        <f t="shared" si="5"/>
        <v/>
      </c>
      <c r="AA3319" s="26" t="str">
        <f t="shared" si="6"/>
        <v/>
      </c>
      <c r="AB3319" s="32" t="str">
        <f t="shared" si="7"/>
        <v/>
      </c>
      <c r="AC3319" s="32" t="str">
        <f t="shared" ref="AC3319:AG3319" si="3406">IF(J3319&lt;&gt;"", IF(AND($P3319=FALSE, $A3319=FALSE), -J3319, IF(AND($P3319=FALSE, $A3319=TRUE), 0, IF($P3319=TRUE, (J3319 / $R3319) * 100 * ($S3319 / 100)-J3319, ))), )</f>
        <v/>
      </c>
      <c r="AD3319" s="32" t="str">
        <f t="shared" si="3406"/>
        <v/>
      </c>
      <c r="AE3319" s="32" t="str">
        <f t="shared" si="3406"/>
        <v/>
      </c>
      <c r="AF3319" s="32" t="str">
        <f t="shared" si="3406"/>
        <v/>
      </c>
      <c r="AG3319" s="32" t="str">
        <f t="shared" si="3406"/>
        <v/>
      </c>
      <c r="AH3319" s="33"/>
    </row>
    <row r="3320" hidden="1" outlineLevel="2">
      <c r="A3320" s="95" t="b">
        <v>0</v>
      </c>
      <c r="B3320" s="96"/>
      <c r="C3320" s="18"/>
      <c r="D3320" s="107"/>
      <c r="E3320" s="108"/>
      <c r="F3320" s="109"/>
      <c r="G3320" s="97"/>
      <c r="H3320" s="97"/>
      <c r="I3320" s="97"/>
      <c r="J3320" s="98"/>
      <c r="K3320" s="99"/>
      <c r="L3320" s="98"/>
      <c r="M3320" s="99"/>
      <c r="N3320" s="99"/>
      <c r="O3320" s="18"/>
      <c r="P3320" s="100" t="b">
        <v>0</v>
      </c>
      <c r="Q3320" s="18"/>
      <c r="R3320" s="101" t="str">
        <f t="shared" si="3377"/>
        <v/>
      </c>
      <c r="S3320" s="32"/>
      <c r="T3320" s="102" t="str">
        <f t="shared" si="3378"/>
        <v/>
      </c>
      <c r="U3320" s="18"/>
      <c r="V3320" s="103" t="str">
        <f>IF(ISBLANK($D3320), "0",)</f>
        <v>0</v>
      </c>
      <c r="W3320" s="104" t="str">
        <f t="shared" si="2828"/>
        <v>/</v>
      </c>
      <c r="X3320" s="111" t="s">
        <v>1962</v>
      </c>
      <c r="Y3320" s="106"/>
      <c r="Z3320" s="26" t="str">
        <f t="shared" si="5"/>
        <v/>
      </c>
      <c r="AA3320" s="26" t="str">
        <f t="shared" si="6"/>
        <v/>
      </c>
      <c r="AB3320" s="32" t="str">
        <f t="shared" si="7"/>
        <v/>
      </c>
      <c r="AC3320" s="32" t="str">
        <f t="shared" ref="AC3320:AG3320" si="3407">IF(J3320&lt;&gt;"", IF(AND($P3320=FALSE, $A3320=FALSE), -J3320, IF(AND($P3320=FALSE, $A3320=TRUE), 0, IF($P3320=TRUE, (J3320 / $R3320) * 100 * ($S3320 / 100)-J3320, ))), )</f>
        <v/>
      </c>
      <c r="AD3320" s="32" t="str">
        <f t="shared" si="3407"/>
        <v/>
      </c>
      <c r="AE3320" s="32" t="str">
        <f t="shared" si="3407"/>
        <v/>
      </c>
      <c r="AF3320" s="32" t="str">
        <f t="shared" si="3407"/>
        <v/>
      </c>
      <c r="AG3320" s="32" t="str">
        <f t="shared" si="3407"/>
        <v/>
      </c>
      <c r="AH3320" s="33"/>
    </row>
    <row r="3321" hidden="1" outlineLevel="2">
      <c r="A3321" s="95" t="b">
        <v>0</v>
      </c>
      <c r="B3321" s="96"/>
      <c r="C3321" s="18"/>
      <c r="D3321" s="107"/>
      <c r="E3321" s="108"/>
      <c r="F3321" s="109"/>
      <c r="G3321" s="97"/>
      <c r="H3321" s="97"/>
      <c r="I3321" s="97"/>
      <c r="J3321" s="98"/>
      <c r="K3321" s="99"/>
      <c r="L3321" s="98"/>
      <c r="M3321" s="99"/>
      <c r="N3321" s="99"/>
      <c r="O3321" s="18"/>
      <c r="P3321" s="100" t="b">
        <v>0</v>
      </c>
      <c r="Q3321" s="18"/>
      <c r="R3321" s="101" t="str">
        <f t="shared" si="3377"/>
        <v/>
      </c>
      <c r="S3321" s="32"/>
      <c r="T3321" s="102" t="str">
        <f t="shared" si="3378"/>
        <v/>
      </c>
      <c r="U3321" s="18"/>
      <c r="V3321" s="75" t="s">
        <v>29</v>
      </c>
      <c r="W3321" s="104" t="str">
        <f t="shared" si="2828"/>
        <v>/</v>
      </c>
      <c r="X3321" s="111" t="s">
        <v>1963</v>
      </c>
      <c r="Y3321" s="106"/>
      <c r="Z3321" s="26" t="str">
        <f t="shared" si="5"/>
        <v/>
      </c>
      <c r="AA3321" s="26" t="str">
        <f t="shared" si="6"/>
        <v/>
      </c>
      <c r="AB3321" s="32" t="str">
        <f t="shared" si="7"/>
        <v/>
      </c>
      <c r="AC3321" s="32" t="str">
        <f t="shared" ref="AC3321:AG3321" si="3408">IF(J3321&lt;&gt;"", IF(AND($P3321=FALSE, $A3321=FALSE), -J3321, IF(AND($P3321=FALSE, $A3321=TRUE), 0, IF($P3321=TRUE, (J3321 / $R3321) * 100 * ($S3321 / 100)-J3321, ))), )</f>
        <v/>
      </c>
      <c r="AD3321" s="32" t="str">
        <f t="shared" si="3408"/>
        <v/>
      </c>
      <c r="AE3321" s="32" t="str">
        <f t="shared" si="3408"/>
        <v/>
      </c>
      <c r="AF3321" s="32" t="str">
        <f t="shared" si="3408"/>
        <v/>
      </c>
      <c r="AG3321" s="32" t="str">
        <f t="shared" si="3408"/>
        <v/>
      </c>
      <c r="AH3321" s="33"/>
    </row>
    <row r="3322" hidden="1" outlineLevel="1" collapsed="1">
      <c r="A3322" s="95" t="b">
        <v>0</v>
      </c>
      <c r="B3322" s="96"/>
      <c r="C3322" s="18"/>
      <c r="D3322" s="42">
        <v>45669.0</v>
      </c>
      <c r="E3322" s="20" t="s">
        <v>24</v>
      </c>
      <c r="F3322" s="53" t="s">
        <v>1930</v>
      </c>
      <c r="G3322" s="97">
        <v>2.0</v>
      </c>
      <c r="H3322" s="97"/>
      <c r="I3322" s="97">
        <v>2.0</v>
      </c>
      <c r="J3322" s="98"/>
      <c r="K3322" s="99"/>
      <c r="L3322" s="98"/>
      <c r="M3322" s="99"/>
      <c r="N3322" s="99"/>
      <c r="O3322" s="18"/>
      <c r="P3322" s="100" t="b">
        <v>1</v>
      </c>
      <c r="Q3322" s="18"/>
      <c r="R3322" s="101">
        <f t="shared" si="3377"/>
        <v>4</v>
      </c>
      <c r="S3322" s="32">
        <v>9.8</v>
      </c>
      <c r="T3322" s="102" t="str">
        <f t="shared" si="3378"/>
        <v>+145</v>
      </c>
      <c r="U3322" s="18"/>
      <c r="V3322" s="103" t="str">
        <f>IF(ISBLANK($D3322), "0",)</f>
        <v/>
      </c>
      <c r="W3322" s="104" t="str">
        <f t="shared" si="2828"/>
        <v/>
      </c>
      <c r="X3322" s="105"/>
      <c r="Y3322" s="106"/>
      <c r="Z3322" s="26">
        <f t="shared" si="5"/>
        <v>2.9</v>
      </c>
      <c r="AA3322" s="26">
        <f t="shared" si="6"/>
        <v>2.9</v>
      </c>
      <c r="AB3322" s="32" t="str">
        <f t="shared" si="7"/>
        <v/>
      </c>
      <c r="AC3322" s="32" t="str">
        <f t="shared" ref="AC3322:AG3322" si="3409">IF(J3322&lt;&gt;"", IF(AND($P3322=FALSE, $A3322=FALSE), -J3322, IF(AND($P3322=FALSE, $A3322=TRUE), 0, IF($P3322=TRUE, (J3322 / $R3322) * 100 * ($S3322 / 100)-J3322, ))), )</f>
        <v/>
      </c>
      <c r="AD3322" s="32" t="str">
        <f t="shared" si="3409"/>
        <v/>
      </c>
      <c r="AE3322" s="32" t="str">
        <f t="shared" si="3409"/>
        <v/>
      </c>
      <c r="AF3322" s="32" t="str">
        <f t="shared" si="3409"/>
        <v/>
      </c>
      <c r="AG3322" s="32" t="str">
        <f t="shared" si="3409"/>
        <v/>
      </c>
      <c r="AH3322" s="33"/>
    </row>
    <row r="3323" hidden="1" outlineLevel="2">
      <c r="A3323" s="95" t="b">
        <v>0</v>
      </c>
      <c r="B3323" s="96"/>
      <c r="C3323" s="18"/>
      <c r="D3323" s="107"/>
      <c r="E3323" s="108"/>
      <c r="F3323" s="109"/>
      <c r="G3323" s="97"/>
      <c r="H3323" s="97"/>
      <c r="I3323" s="97"/>
      <c r="J3323" s="98"/>
      <c r="K3323" s="99"/>
      <c r="L3323" s="98"/>
      <c r="M3323" s="99"/>
      <c r="N3323" s="99"/>
      <c r="O3323" s="18"/>
      <c r="P3323" s="100" t="b">
        <v>0</v>
      </c>
      <c r="Q3323" s="18"/>
      <c r="R3323" s="101" t="str">
        <f t="shared" si="3377"/>
        <v/>
      </c>
      <c r="S3323" s="32"/>
      <c r="T3323" s="102" t="str">
        <f t="shared" si="3378"/>
        <v/>
      </c>
      <c r="U3323" s="18"/>
      <c r="V3323" s="75" t="s">
        <v>29</v>
      </c>
      <c r="W3323" s="104" t="str">
        <f t="shared" si="2828"/>
        <v>/</v>
      </c>
      <c r="X3323" s="111" t="s">
        <v>1964</v>
      </c>
      <c r="Y3323" s="106"/>
      <c r="Z3323" s="26" t="str">
        <f t="shared" si="5"/>
        <v/>
      </c>
      <c r="AA3323" s="26" t="str">
        <f t="shared" si="6"/>
        <v/>
      </c>
      <c r="AB3323" s="32" t="str">
        <f t="shared" si="7"/>
        <v/>
      </c>
      <c r="AC3323" s="32" t="str">
        <f t="shared" ref="AC3323:AG3323" si="3410">IF(J3323&lt;&gt;"", IF(AND($P3323=FALSE, $A3323=FALSE), -J3323, IF(AND($P3323=FALSE, $A3323=TRUE), 0, IF($P3323=TRUE, (J3323 / $R3323) * 100 * ($S3323 / 100)-J3323, ))), )</f>
        <v/>
      </c>
      <c r="AD3323" s="32" t="str">
        <f t="shared" si="3410"/>
        <v/>
      </c>
      <c r="AE3323" s="32" t="str">
        <f t="shared" si="3410"/>
        <v/>
      </c>
      <c r="AF3323" s="32" t="str">
        <f t="shared" si="3410"/>
        <v/>
      </c>
      <c r="AG3323" s="32" t="str">
        <f t="shared" si="3410"/>
        <v/>
      </c>
      <c r="AH3323" s="33"/>
    </row>
    <row r="3324" hidden="1" outlineLevel="1" collapsed="1">
      <c r="A3324" s="95" t="b">
        <v>0</v>
      </c>
      <c r="B3324" s="96"/>
      <c r="C3324" s="18"/>
      <c r="D3324" s="42">
        <v>45669.0</v>
      </c>
      <c r="E3324" s="20" t="s">
        <v>24</v>
      </c>
      <c r="F3324" s="53" t="s">
        <v>1930</v>
      </c>
      <c r="G3324" s="97">
        <v>2.0</v>
      </c>
      <c r="H3324" s="97"/>
      <c r="I3324" s="97">
        <v>3.0</v>
      </c>
      <c r="J3324" s="98"/>
      <c r="K3324" s="99"/>
      <c r="L3324" s="98"/>
      <c r="M3324" s="99"/>
      <c r="N3324" s="99"/>
      <c r="O3324" s="18"/>
      <c r="P3324" s="100" t="b">
        <v>1</v>
      </c>
      <c r="Q3324" s="18"/>
      <c r="R3324" s="101">
        <f t="shared" si="3377"/>
        <v>5</v>
      </c>
      <c r="S3324" s="32">
        <v>12.74</v>
      </c>
      <c r="T3324" s="102" t="str">
        <f t="shared" si="3378"/>
        <v>+155</v>
      </c>
      <c r="U3324" s="18"/>
      <c r="V3324" s="103" t="str">
        <f>IF(ISBLANK($D3324), "0",)</f>
        <v/>
      </c>
      <c r="W3324" s="104" t="str">
        <f t="shared" si="2828"/>
        <v/>
      </c>
      <c r="X3324" s="105"/>
      <c r="Y3324" s="106"/>
      <c r="Z3324" s="26">
        <f t="shared" si="5"/>
        <v>3.096</v>
      </c>
      <c r="AA3324" s="26">
        <f t="shared" si="6"/>
        <v>4.644</v>
      </c>
      <c r="AB3324" s="32" t="str">
        <f t="shared" si="7"/>
        <v/>
      </c>
      <c r="AC3324" s="32" t="str">
        <f t="shared" ref="AC3324:AG3324" si="3411">IF(J3324&lt;&gt;"", IF(AND($P3324=FALSE, $A3324=FALSE), -J3324, IF(AND($P3324=FALSE, $A3324=TRUE), 0, IF($P3324=TRUE, (J3324 / $R3324) * 100 * ($S3324 / 100)-J3324, ))), )</f>
        <v/>
      </c>
      <c r="AD3324" s="32" t="str">
        <f t="shared" si="3411"/>
        <v/>
      </c>
      <c r="AE3324" s="32" t="str">
        <f t="shared" si="3411"/>
        <v/>
      </c>
      <c r="AF3324" s="32" t="str">
        <f t="shared" si="3411"/>
        <v/>
      </c>
      <c r="AG3324" s="32" t="str">
        <f t="shared" si="3411"/>
        <v/>
      </c>
      <c r="AH3324" s="33"/>
    </row>
    <row r="3325" hidden="1" outlineLevel="2">
      <c r="A3325" s="95" t="b">
        <v>0</v>
      </c>
      <c r="B3325" s="96"/>
      <c r="C3325" s="18"/>
      <c r="D3325" s="107"/>
      <c r="E3325" s="108"/>
      <c r="F3325" s="109"/>
      <c r="G3325" s="97"/>
      <c r="H3325" s="97"/>
      <c r="I3325" s="97"/>
      <c r="J3325" s="98"/>
      <c r="K3325" s="99"/>
      <c r="L3325" s="98"/>
      <c r="M3325" s="99"/>
      <c r="N3325" s="99"/>
      <c r="O3325" s="18"/>
      <c r="P3325" s="100" t="b">
        <v>0</v>
      </c>
      <c r="Q3325" s="18"/>
      <c r="R3325" s="101" t="str">
        <f t="shared" si="3377"/>
        <v/>
      </c>
      <c r="S3325" s="32"/>
      <c r="T3325" s="102" t="str">
        <f t="shared" si="3378"/>
        <v/>
      </c>
      <c r="U3325" s="18"/>
      <c r="V3325" s="75" t="s">
        <v>29</v>
      </c>
      <c r="W3325" s="104" t="str">
        <f t="shared" si="2828"/>
        <v>/</v>
      </c>
      <c r="X3325" s="111" t="s">
        <v>761</v>
      </c>
      <c r="Y3325" s="106"/>
      <c r="Z3325" s="26" t="str">
        <f t="shared" si="5"/>
        <v/>
      </c>
      <c r="AA3325" s="26" t="str">
        <f t="shared" si="6"/>
        <v/>
      </c>
      <c r="AB3325" s="32" t="str">
        <f t="shared" si="7"/>
        <v/>
      </c>
      <c r="AC3325" s="32" t="str">
        <f t="shared" ref="AC3325:AG3325" si="3412">IF(J3325&lt;&gt;"", IF(AND($P3325=FALSE, $A3325=FALSE), -J3325, IF(AND($P3325=FALSE, $A3325=TRUE), 0, IF($P3325=TRUE, (J3325 / $R3325) * 100 * ($S3325 / 100)-J3325, ))), )</f>
        <v/>
      </c>
      <c r="AD3325" s="32" t="str">
        <f t="shared" si="3412"/>
        <v/>
      </c>
      <c r="AE3325" s="32" t="str">
        <f t="shared" si="3412"/>
        <v/>
      </c>
      <c r="AF3325" s="32" t="str">
        <f t="shared" si="3412"/>
        <v/>
      </c>
      <c r="AG3325" s="32" t="str">
        <f t="shared" si="3412"/>
        <v/>
      </c>
      <c r="AH3325" s="33"/>
    </row>
    <row r="3326" hidden="1" outlineLevel="2">
      <c r="A3326" s="95" t="b">
        <v>0</v>
      </c>
      <c r="B3326" s="96"/>
      <c r="C3326" s="18"/>
      <c r="D3326" s="107"/>
      <c r="E3326" s="108"/>
      <c r="F3326" s="109"/>
      <c r="G3326" s="97"/>
      <c r="H3326" s="97"/>
      <c r="I3326" s="97"/>
      <c r="J3326" s="98"/>
      <c r="K3326" s="99"/>
      <c r="L3326" s="98"/>
      <c r="M3326" s="99"/>
      <c r="N3326" s="99"/>
      <c r="O3326" s="18"/>
      <c r="P3326" s="100" t="b">
        <v>0</v>
      </c>
      <c r="Q3326" s="18"/>
      <c r="R3326" s="101" t="str">
        <f t="shared" si="3377"/>
        <v/>
      </c>
      <c r="S3326" s="32"/>
      <c r="T3326" s="102" t="str">
        <f t="shared" si="3378"/>
        <v/>
      </c>
      <c r="U3326" s="18"/>
      <c r="V3326" s="75" t="s">
        <v>29</v>
      </c>
      <c r="W3326" s="104" t="str">
        <f t="shared" si="2828"/>
        <v>/</v>
      </c>
      <c r="X3326" s="111" t="s">
        <v>1965</v>
      </c>
      <c r="Y3326" s="106"/>
      <c r="Z3326" s="26" t="str">
        <f t="shared" si="5"/>
        <v/>
      </c>
      <c r="AA3326" s="26" t="str">
        <f t="shared" si="6"/>
        <v/>
      </c>
      <c r="AB3326" s="32" t="str">
        <f t="shared" si="7"/>
        <v/>
      </c>
      <c r="AC3326" s="32" t="str">
        <f t="shared" ref="AC3326:AG3326" si="3413">IF(J3326&lt;&gt;"", IF(AND($P3326=FALSE, $A3326=FALSE), -J3326, IF(AND($P3326=FALSE, $A3326=TRUE), 0, IF($P3326=TRUE, (J3326 / $R3326) * 100 * ($S3326 / 100)-J3326, ))), )</f>
        <v/>
      </c>
      <c r="AD3326" s="32" t="str">
        <f t="shared" si="3413"/>
        <v/>
      </c>
      <c r="AE3326" s="32" t="str">
        <f t="shared" si="3413"/>
        <v/>
      </c>
      <c r="AF3326" s="32" t="str">
        <f t="shared" si="3413"/>
        <v/>
      </c>
      <c r="AG3326" s="32" t="str">
        <f t="shared" si="3413"/>
        <v/>
      </c>
      <c r="AH3326" s="33"/>
    </row>
    <row r="3327" hidden="1" outlineLevel="2">
      <c r="A3327" s="95" t="b">
        <v>0</v>
      </c>
      <c r="B3327" s="96"/>
      <c r="C3327" s="18"/>
      <c r="D3327" s="107"/>
      <c r="E3327" s="108"/>
      <c r="F3327" s="109"/>
      <c r="G3327" s="97"/>
      <c r="H3327" s="97"/>
      <c r="I3327" s="97"/>
      <c r="J3327" s="98"/>
      <c r="K3327" s="99"/>
      <c r="L3327" s="98"/>
      <c r="M3327" s="99"/>
      <c r="N3327" s="99"/>
      <c r="O3327" s="18"/>
      <c r="P3327" s="100" t="b">
        <v>0</v>
      </c>
      <c r="Q3327" s="18"/>
      <c r="R3327" s="101" t="str">
        <f t="shared" si="3377"/>
        <v/>
      </c>
      <c r="S3327" s="32"/>
      <c r="T3327" s="102" t="str">
        <f t="shared" si="3378"/>
        <v/>
      </c>
      <c r="U3327" s="18"/>
      <c r="V3327" s="75" t="s">
        <v>29</v>
      </c>
      <c r="W3327" s="104" t="str">
        <f t="shared" si="2828"/>
        <v>/</v>
      </c>
      <c r="X3327" s="111" t="s">
        <v>95</v>
      </c>
      <c r="Y3327" s="106"/>
      <c r="Z3327" s="26" t="str">
        <f t="shared" si="5"/>
        <v/>
      </c>
      <c r="AA3327" s="26" t="str">
        <f t="shared" si="6"/>
        <v/>
      </c>
      <c r="AB3327" s="32" t="str">
        <f t="shared" si="7"/>
        <v/>
      </c>
      <c r="AC3327" s="32" t="str">
        <f t="shared" ref="AC3327:AG3327" si="3414">IF(J3327&lt;&gt;"", IF(AND($P3327=FALSE, $A3327=FALSE), -J3327, IF(AND($P3327=FALSE, $A3327=TRUE), 0, IF($P3327=TRUE, (J3327 / $R3327) * 100 * ($S3327 / 100)-J3327, ))), )</f>
        <v/>
      </c>
      <c r="AD3327" s="32" t="str">
        <f t="shared" si="3414"/>
        <v/>
      </c>
      <c r="AE3327" s="32" t="str">
        <f t="shared" si="3414"/>
        <v/>
      </c>
      <c r="AF3327" s="32" t="str">
        <f t="shared" si="3414"/>
        <v/>
      </c>
      <c r="AG3327" s="32" t="str">
        <f t="shared" si="3414"/>
        <v/>
      </c>
      <c r="AH3327" s="33"/>
    </row>
    <row r="3328" hidden="1" outlineLevel="1" collapsed="1">
      <c r="A3328" s="95" t="b">
        <v>0</v>
      </c>
      <c r="B3328" s="96"/>
      <c r="C3328" s="18"/>
      <c r="D3328" s="42">
        <v>45669.0</v>
      </c>
      <c r="E3328" s="20" t="s">
        <v>24</v>
      </c>
      <c r="F3328" s="53" t="s">
        <v>1930</v>
      </c>
      <c r="G3328" s="97">
        <v>1.5</v>
      </c>
      <c r="H3328" s="97"/>
      <c r="I3328" s="97">
        <v>1.5</v>
      </c>
      <c r="J3328" s="98"/>
      <c r="K3328" s="99"/>
      <c r="L3328" s="98"/>
      <c r="M3328" s="99"/>
      <c r="N3328" s="99"/>
      <c r="O3328" s="18"/>
      <c r="P3328" s="100" t="b">
        <v>0</v>
      </c>
      <c r="Q3328" s="18"/>
      <c r="R3328" s="101">
        <f t="shared" si="3377"/>
        <v>3</v>
      </c>
      <c r="S3328" s="32">
        <v>5.73</v>
      </c>
      <c r="T3328" s="102">
        <f t="shared" si="3378"/>
        <v>-110</v>
      </c>
      <c r="U3328" s="18"/>
      <c r="V3328" s="103" t="str">
        <f>IF(ISBLANK($D3328), "0",)</f>
        <v/>
      </c>
      <c r="W3328" s="104" t="str">
        <f t="shared" si="2828"/>
        <v/>
      </c>
      <c r="X3328" s="105"/>
      <c r="Y3328" s="106"/>
      <c r="Z3328" s="26">
        <f t="shared" si="5"/>
        <v>-1.5</v>
      </c>
      <c r="AA3328" s="26">
        <f t="shared" si="6"/>
        <v>-1.5</v>
      </c>
      <c r="AB3328" s="32" t="str">
        <f t="shared" si="7"/>
        <v/>
      </c>
      <c r="AC3328" s="32" t="str">
        <f t="shared" ref="AC3328:AG3328" si="3415">IF(J3328&lt;&gt;"", IF(AND($P3328=FALSE, $A3328=FALSE), -J3328, IF(AND($P3328=FALSE, $A3328=TRUE), 0, IF($P3328=TRUE, (J3328 / $R3328) * 100 * ($S3328 / 100)-J3328, ))), )</f>
        <v/>
      </c>
      <c r="AD3328" s="32" t="str">
        <f t="shared" si="3415"/>
        <v/>
      </c>
      <c r="AE3328" s="32" t="str">
        <f t="shared" si="3415"/>
        <v/>
      </c>
      <c r="AF3328" s="32" t="str">
        <f t="shared" si="3415"/>
        <v/>
      </c>
      <c r="AG3328" s="32" t="str">
        <f t="shared" si="3415"/>
        <v/>
      </c>
      <c r="AH3328" s="33"/>
    </row>
    <row r="3329" hidden="1" outlineLevel="2">
      <c r="A3329" s="95" t="b">
        <v>0</v>
      </c>
      <c r="B3329" s="96"/>
      <c r="C3329" s="18"/>
      <c r="D3329" s="107"/>
      <c r="E3329" s="108"/>
      <c r="F3329" s="109"/>
      <c r="G3329" s="97"/>
      <c r="H3329" s="97"/>
      <c r="I3329" s="97"/>
      <c r="J3329" s="98"/>
      <c r="K3329" s="99"/>
      <c r="L3329" s="98"/>
      <c r="M3329" s="99"/>
      <c r="N3329" s="99"/>
      <c r="O3329" s="18"/>
      <c r="P3329" s="100" t="b">
        <v>0</v>
      </c>
      <c r="Q3329" s="18"/>
      <c r="R3329" s="101" t="str">
        <f t="shared" si="3377"/>
        <v/>
      </c>
      <c r="S3329" s="32"/>
      <c r="T3329" s="102" t="str">
        <f t="shared" si="3378"/>
        <v/>
      </c>
      <c r="U3329" s="18"/>
      <c r="V3329" s="113">
        <v>6.0</v>
      </c>
      <c r="W3329" s="104" t="str">
        <f t="shared" si="2828"/>
        <v>/</v>
      </c>
      <c r="X3329" s="111" t="s">
        <v>1966</v>
      </c>
      <c r="Y3329" s="106"/>
      <c r="Z3329" s="26" t="str">
        <f t="shared" si="5"/>
        <v/>
      </c>
      <c r="AA3329" s="26" t="str">
        <f t="shared" si="6"/>
        <v/>
      </c>
      <c r="AB3329" s="32" t="str">
        <f t="shared" si="7"/>
        <v/>
      </c>
      <c r="AC3329" s="32" t="str">
        <f t="shared" ref="AC3329:AG3329" si="3416">IF(J3329&lt;&gt;"", IF(AND($P3329=FALSE, $A3329=FALSE), -J3329, IF(AND($P3329=FALSE, $A3329=TRUE), 0, IF($P3329=TRUE, (J3329 / $R3329) * 100 * ($S3329 / 100)-J3329, ))), )</f>
        <v/>
      </c>
      <c r="AD3329" s="32" t="str">
        <f t="shared" si="3416"/>
        <v/>
      </c>
      <c r="AE3329" s="32" t="str">
        <f t="shared" si="3416"/>
        <v/>
      </c>
      <c r="AF3329" s="32" t="str">
        <f t="shared" si="3416"/>
        <v/>
      </c>
      <c r="AG3329" s="32" t="str">
        <f t="shared" si="3416"/>
        <v/>
      </c>
      <c r="AH3329" s="33"/>
    </row>
    <row r="3330" hidden="1" outlineLevel="1" collapsed="1">
      <c r="A3330" s="95" t="b">
        <v>0</v>
      </c>
      <c r="B3330" s="96"/>
      <c r="C3330" s="18"/>
      <c r="D3330" s="42">
        <v>45669.0</v>
      </c>
      <c r="E3330" s="20" t="s">
        <v>24</v>
      </c>
      <c r="F3330" s="53" t="s">
        <v>1930</v>
      </c>
      <c r="G3330" s="97">
        <v>2.0</v>
      </c>
      <c r="H3330" s="97"/>
      <c r="I3330" s="97">
        <v>3.0</v>
      </c>
      <c r="J3330" s="98"/>
      <c r="K3330" s="99"/>
      <c r="L3330" s="98"/>
      <c r="M3330" s="99"/>
      <c r="N3330" s="99"/>
      <c r="O3330" s="18"/>
      <c r="P3330" s="100" t="b">
        <v>0</v>
      </c>
      <c r="Q3330" s="18"/>
      <c r="R3330" s="101">
        <f t="shared" si="3377"/>
        <v>5</v>
      </c>
      <c r="S3330" s="32">
        <v>10.01</v>
      </c>
      <c r="T3330" s="102" t="str">
        <f t="shared" si="3378"/>
        <v>+100</v>
      </c>
      <c r="U3330" s="18"/>
      <c r="V3330" s="103" t="str">
        <f>IF(ISBLANK($D3330), "0",)</f>
        <v/>
      </c>
      <c r="W3330" s="104" t="str">
        <f t="shared" si="2828"/>
        <v/>
      </c>
      <c r="X3330" s="105"/>
      <c r="Y3330" s="106"/>
      <c r="Z3330" s="26">
        <f t="shared" si="5"/>
        <v>-2</v>
      </c>
      <c r="AA3330" s="26">
        <f t="shared" si="6"/>
        <v>-3</v>
      </c>
      <c r="AB3330" s="32" t="str">
        <f t="shared" si="7"/>
        <v/>
      </c>
      <c r="AC3330" s="32" t="str">
        <f t="shared" ref="AC3330:AG3330" si="3417">IF(J3330&lt;&gt;"", IF(AND($P3330=FALSE, $A3330=FALSE), -J3330, IF(AND($P3330=FALSE, $A3330=TRUE), 0, IF($P3330=TRUE, (J3330 / $R3330) * 100 * ($S3330 / 100)-J3330, ))), )</f>
        <v/>
      </c>
      <c r="AD3330" s="32" t="str">
        <f t="shared" si="3417"/>
        <v/>
      </c>
      <c r="AE3330" s="32" t="str">
        <f t="shared" si="3417"/>
        <v/>
      </c>
      <c r="AF3330" s="32" t="str">
        <f t="shared" si="3417"/>
        <v/>
      </c>
      <c r="AG3330" s="32" t="str">
        <f t="shared" si="3417"/>
        <v/>
      </c>
      <c r="AH3330" s="33"/>
    </row>
    <row r="3331" hidden="1" outlineLevel="2">
      <c r="A3331" s="95" t="b">
        <v>0</v>
      </c>
      <c r="B3331" s="96"/>
      <c r="C3331" s="18"/>
      <c r="D3331" s="107"/>
      <c r="E3331" s="108"/>
      <c r="F3331" s="109"/>
      <c r="G3331" s="97"/>
      <c r="H3331" s="97"/>
      <c r="I3331" s="97"/>
      <c r="J3331" s="98"/>
      <c r="K3331" s="99"/>
      <c r="L3331" s="98"/>
      <c r="M3331" s="99"/>
      <c r="N3331" s="99"/>
      <c r="O3331" s="18"/>
      <c r="P3331" s="100" t="b">
        <v>0</v>
      </c>
      <c r="Q3331" s="18"/>
      <c r="R3331" s="101" t="str">
        <f t="shared" si="3377"/>
        <v/>
      </c>
      <c r="S3331" s="32"/>
      <c r="T3331" s="102" t="str">
        <f t="shared" si="3378"/>
        <v/>
      </c>
      <c r="U3331" s="18"/>
      <c r="V3331" s="113">
        <v>185.0</v>
      </c>
      <c r="W3331" s="104" t="str">
        <f t="shared" si="2828"/>
        <v>/</v>
      </c>
      <c r="X3331" s="111" t="s">
        <v>90</v>
      </c>
      <c r="Y3331" s="106"/>
      <c r="Z3331" s="26" t="str">
        <f t="shared" si="5"/>
        <v/>
      </c>
      <c r="AA3331" s="26" t="str">
        <f t="shared" si="6"/>
        <v/>
      </c>
      <c r="AB3331" s="32" t="str">
        <f t="shared" si="7"/>
        <v/>
      </c>
      <c r="AC3331" s="32" t="str">
        <f t="shared" ref="AC3331:AG3331" si="3418">IF(J3331&lt;&gt;"", IF(AND($P3331=FALSE, $A3331=FALSE), -J3331, IF(AND($P3331=FALSE, $A3331=TRUE), 0, IF($P3331=TRUE, (J3331 / $R3331) * 100 * ($S3331 / 100)-J3331, ))), )</f>
        <v/>
      </c>
      <c r="AD3331" s="32" t="str">
        <f t="shared" si="3418"/>
        <v/>
      </c>
      <c r="AE3331" s="32" t="str">
        <f t="shared" si="3418"/>
        <v/>
      </c>
      <c r="AF3331" s="32" t="str">
        <f t="shared" si="3418"/>
        <v/>
      </c>
      <c r="AG3331" s="32" t="str">
        <f t="shared" si="3418"/>
        <v/>
      </c>
      <c r="AH3331" s="33"/>
    </row>
    <row r="3332" hidden="1" outlineLevel="2">
      <c r="A3332" s="95" t="b">
        <v>0</v>
      </c>
      <c r="B3332" s="96"/>
      <c r="C3332" s="18"/>
      <c r="D3332" s="107"/>
      <c r="E3332" s="108"/>
      <c r="F3332" s="109"/>
      <c r="G3332" s="97"/>
      <c r="H3332" s="97"/>
      <c r="I3332" s="97"/>
      <c r="J3332" s="98"/>
      <c r="K3332" s="99"/>
      <c r="L3332" s="98"/>
      <c r="M3332" s="99"/>
      <c r="N3332" s="99"/>
      <c r="O3332" s="18"/>
      <c r="P3332" s="100" t="b">
        <v>0</v>
      </c>
      <c r="Q3332" s="18"/>
      <c r="R3332" s="101" t="str">
        <f t="shared" si="3377"/>
        <v/>
      </c>
      <c r="S3332" s="32"/>
      <c r="T3332" s="102" t="str">
        <f t="shared" si="3378"/>
        <v/>
      </c>
      <c r="U3332" s="18"/>
      <c r="V3332" s="75" t="s">
        <v>29</v>
      </c>
      <c r="W3332" s="104" t="str">
        <f t="shared" si="2828"/>
        <v>/</v>
      </c>
      <c r="X3332" s="111" t="s">
        <v>1967</v>
      </c>
      <c r="Y3332" s="106"/>
      <c r="Z3332" s="26" t="str">
        <f t="shared" si="5"/>
        <v/>
      </c>
      <c r="AA3332" s="26" t="str">
        <f t="shared" si="6"/>
        <v/>
      </c>
      <c r="AB3332" s="32" t="str">
        <f t="shared" si="7"/>
        <v/>
      </c>
      <c r="AC3332" s="32" t="str">
        <f t="shared" ref="AC3332:AG3332" si="3419">IF(J3332&lt;&gt;"", IF(AND($P3332=FALSE, $A3332=FALSE), -J3332, IF(AND($P3332=FALSE, $A3332=TRUE), 0, IF($P3332=TRUE, (J3332 / $R3332) * 100 * ($S3332 / 100)-J3332, ))), )</f>
        <v/>
      </c>
      <c r="AD3332" s="32" t="str">
        <f t="shared" si="3419"/>
        <v/>
      </c>
      <c r="AE3332" s="32" t="str">
        <f t="shared" si="3419"/>
        <v/>
      </c>
      <c r="AF3332" s="32" t="str">
        <f t="shared" si="3419"/>
        <v/>
      </c>
      <c r="AG3332" s="32" t="str">
        <f t="shared" si="3419"/>
        <v/>
      </c>
      <c r="AH3332" s="33"/>
    </row>
    <row r="3333" hidden="1" outlineLevel="2">
      <c r="A3333" s="95" t="b">
        <v>0</v>
      </c>
      <c r="B3333" s="96"/>
      <c r="C3333" s="18"/>
      <c r="D3333" s="107"/>
      <c r="E3333" s="108"/>
      <c r="F3333" s="109"/>
      <c r="G3333" s="97"/>
      <c r="H3333" s="97"/>
      <c r="I3333" s="97"/>
      <c r="J3333" s="98"/>
      <c r="K3333" s="99"/>
      <c r="L3333" s="98"/>
      <c r="M3333" s="99"/>
      <c r="N3333" s="99"/>
      <c r="O3333" s="18"/>
      <c r="P3333" s="100" t="b">
        <v>0</v>
      </c>
      <c r="Q3333" s="18"/>
      <c r="R3333" s="101" t="str">
        <f t="shared" si="3377"/>
        <v/>
      </c>
      <c r="S3333" s="32"/>
      <c r="T3333" s="102" t="str">
        <f t="shared" si="3378"/>
        <v/>
      </c>
      <c r="U3333" s="18"/>
      <c r="V3333" s="75" t="s">
        <v>29</v>
      </c>
      <c r="W3333" s="104" t="str">
        <f t="shared" si="2828"/>
        <v>/</v>
      </c>
      <c r="X3333" s="111" t="s">
        <v>1968</v>
      </c>
      <c r="Y3333" s="106"/>
      <c r="Z3333" s="26" t="str">
        <f t="shared" si="5"/>
        <v/>
      </c>
      <c r="AA3333" s="26" t="str">
        <f t="shared" si="6"/>
        <v/>
      </c>
      <c r="AB3333" s="32" t="str">
        <f t="shared" si="7"/>
        <v/>
      </c>
      <c r="AC3333" s="32" t="str">
        <f t="shared" ref="AC3333:AG3333" si="3420">IF(J3333&lt;&gt;"", IF(AND($P3333=FALSE, $A3333=FALSE), -J3333, IF(AND($P3333=FALSE, $A3333=TRUE), 0, IF($P3333=TRUE, (J3333 / $R3333) * 100 * ($S3333 / 100)-J3333, ))), )</f>
        <v/>
      </c>
      <c r="AD3333" s="32" t="str">
        <f t="shared" si="3420"/>
        <v/>
      </c>
      <c r="AE3333" s="32" t="str">
        <f t="shared" si="3420"/>
        <v/>
      </c>
      <c r="AF3333" s="32" t="str">
        <f t="shared" si="3420"/>
        <v/>
      </c>
      <c r="AG3333" s="32" t="str">
        <f t="shared" si="3420"/>
        <v/>
      </c>
      <c r="AH3333" s="33"/>
    </row>
    <row r="3334" hidden="1" outlineLevel="1">
      <c r="A3334" s="95" t="b">
        <v>0</v>
      </c>
      <c r="B3334" s="96"/>
      <c r="C3334" s="18"/>
      <c r="D3334" s="42">
        <v>45669.0</v>
      </c>
      <c r="E3334" s="20" t="s">
        <v>24</v>
      </c>
      <c r="F3334" s="53" t="s">
        <v>1930</v>
      </c>
      <c r="G3334" s="97">
        <v>1.5</v>
      </c>
      <c r="H3334" s="97"/>
      <c r="I3334" s="97">
        <v>2.5</v>
      </c>
      <c r="J3334" s="98"/>
      <c r="K3334" s="99"/>
      <c r="L3334" s="98"/>
      <c r="M3334" s="99"/>
      <c r="N3334" s="99"/>
      <c r="O3334" s="18"/>
      <c r="P3334" s="100" t="b">
        <v>0</v>
      </c>
      <c r="Q3334" s="18"/>
      <c r="R3334" s="101">
        <f t="shared" si="3377"/>
        <v>4</v>
      </c>
      <c r="S3334" s="32">
        <v>8.11</v>
      </c>
      <c r="T3334" s="102" t="str">
        <f t="shared" si="3378"/>
        <v>+103</v>
      </c>
      <c r="U3334" s="18"/>
      <c r="V3334" s="103" t="str">
        <f>IF(ISBLANK($D3334), "0",)</f>
        <v/>
      </c>
      <c r="W3334" s="104" t="str">
        <f t="shared" si="2828"/>
        <v/>
      </c>
      <c r="X3334" s="105"/>
      <c r="Y3334" s="106"/>
      <c r="Z3334" s="26">
        <f t="shared" si="5"/>
        <v>-1.5</v>
      </c>
      <c r="AA3334" s="26">
        <f t="shared" si="6"/>
        <v>-2.5</v>
      </c>
      <c r="AB3334" s="32" t="str">
        <f t="shared" si="7"/>
        <v/>
      </c>
      <c r="AC3334" s="32" t="str">
        <f t="shared" ref="AC3334:AG3334" si="3421">IF(J3334&lt;&gt;"", IF(AND($P3334=FALSE, $A3334=FALSE), -J3334, IF(AND($P3334=FALSE, $A3334=TRUE), 0, IF($P3334=TRUE, (J3334 / $R3334) * 100 * ($S3334 / 100)-J3334, ))), )</f>
        <v/>
      </c>
      <c r="AD3334" s="32" t="str">
        <f t="shared" si="3421"/>
        <v/>
      </c>
      <c r="AE3334" s="32" t="str">
        <f t="shared" si="3421"/>
        <v/>
      </c>
      <c r="AF3334" s="32" t="str">
        <f t="shared" si="3421"/>
        <v/>
      </c>
      <c r="AG3334" s="32" t="str">
        <f t="shared" si="3421"/>
        <v/>
      </c>
      <c r="AH3334" s="33"/>
    </row>
    <row r="3335" hidden="1" outlineLevel="2">
      <c r="A3335" s="95" t="b">
        <v>0</v>
      </c>
      <c r="B3335" s="96"/>
      <c r="C3335" s="18"/>
      <c r="D3335" s="107"/>
      <c r="E3335" s="108"/>
      <c r="F3335" s="109"/>
      <c r="G3335" s="97"/>
      <c r="H3335" s="97"/>
      <c r="I3335" s="97"/>
      <c r="J3335" s="98"/>
      <c r="K3335" s="99"/>
      <c r="L3335" s="98"/>
      <c r="M3335" s="99"/>
      <c r="N3335" s="99"/>
      <c r="O3335" s="18"/>
      <c r="P3335" s="100" t="b">
        <v>0</v>
      </c>
      <c r="Q3335" s="18"/>
      <c r="R3335" s="101" t="str">
        <f t="shared" si="3377"/>
        <v/>
      </c>
      <c r="S3335" s="32"/>
      <c r="T3335" s="102" t="str">
        <f t="shared" si="3378"/>
        <v/>
      </c>
      <c r="U3335" s="18"/>
      <c r="V3335" s="75" t="s">
        <v>29</v>
      </c>
      <c r="W3335" s="104" t="str">
        <f t="shared" si="2828"/>
        <v>/</v>
      </c>
      <c r="X3335" s="111" t="s">
        <v>1969</v>
      </c>
      <c r="Y3335" s="106"/>
      <c r="Z3335" s="26" t="str">
        <f t="shared" si="5"/>
        <v/>
      </c>
      <c r="AA3335" s="26" t="str">
        <f t="shared" si="6"/>
        <v/>
      </c>
      <c r="AB3335" s="32" t="str">
        <f t="shared" si="7"/>
        <v/>
      </c>
      <c r="AC3335" s="32" t="str">
        <f t="shared" ref="AC3335:AG3335" si="3422">IF(J3335&lt;&gt;"", IF(AND($P3335=FALSE, $A3335=FALSE), -J3335, IF(AND($P3335=FALSE, $A3335=TRUE), 0, IF($P3335=TRUE, (J3335 / $R3335) * 100 * ($S3335 / 100)-J3335, ))), )</f>
        <v/>
      </c>
      <c r="AD3335" s="32" t="str">
        <f t="shared" si="3422"/>
        <v/>
      </c>
      <c r="AE3335" s="32" t="str">
        <f t="shared" si="3422"/>
        <v/>
      </c>
      <c r="AF3335" s="32" t="str">
        <f t="shared" si="3422"/>
        <v/>
      </c>
      <c r="AG3335" s="32" t="str">
        <f t="shared" si="3422"/>
        <v/>
      </c>
      <c r="AH3335" s="33"/>
    </row>
    <row r="3336" hidden="1" outlineLevel="2">
      <c r="A3336" s="95" t="b">
        <v>0</v>
      </c>
      <c r="B3336" s="96"/>
      <c r="C3336" s="18"/>
      <c r="D3336" s="107"/>
      <c r="E3336" s="108"/>
      <c r="F3336" s="109"/>
      <c r="G3336" s="97"/>
      <c r="H3336" s="97"/>
      <c r="I3336" s="97"/>
      <c r="J3336" s="98"/>
      <c r="K3336" s="99"/>
      <c r="L3336" s="98"/>
      <c r="M3336" s="99"/>
      <c r="N3336" s="99"/>
      <c r="O3336" s="18"/>
      <c r="P3336" s="100" t="b">
        <v>0</v>
      </c>
      <c r="Q3336" s="18"/>
      <c r="R3336" s="101" t="str">
        <f t="shared" si="3377"/>
        <v/>
      </c>
      <c r="S3336" s="32"/>
      <c r="T3336" s="102" t="str">
        <f t="shared" si="3378"/>
        <v/>
      </c>
      <c r="U3336" s="18"/>
      <c r="V3336" s="113">
        <v>43.0</v>
      </c>
      <c r="W3336" s="104" t="str">
        <f t="shared" si="2828"/>
        <v>/</v>
      </c>
      <c r="X3336" s="111" t="s">
        <v>1970</v>
      </c>
      <c r="Y3336" s="106"/>
      <c r="Z3336" s="26" t="str">
        <f t="shared" si="5"/>
        <v/>
      </c>
      <c r="AA3336" s="26" t="str">
        <f t="shared" si="6"/>
        <v/>
      </c>
      <c r="AB3336" s="32" t="str">
        <f t="shared" si="7"/>
        <v/>
      </c>
      <c r="AC3336" s="32" t="str">
        <f t="shared" ref="AC3336:AG3336" si="3423">IF(J3336&lt;&gt;"", IF(AND($P3336=FALSE, $A3336=FALSE), -J3336, IF(AND($P3336=FALSE, $A3336=TRUE), 0, IF($P3336=TRUE, (J3336 / $R3336) * 100 * ($S3336 / 100)-J3336, ))), )</f>
        <v/>
      </c>
      <c r="AD3336" s="32" t="str">
        <f t="shared" si="3423"/>
        <v/>
      </c>
      <c r="AE3336" s="32" t="str">
        <f t="shared" si="3423"/>
        <v/>
      </c>
      <c r="AF3336" s="32" t="str">
        <f t="shared" si="3423"/>
        <v/>
      </c>
      <c r="AG3336" s="32" t="str">
        <f t="shared" si="3423"/>
        <v/>
      </c>
      <c r="AH3336" s="33"/>
    </row>
    <row r="3337" collapsed="1">
      <c r="A3337" s="95" t="b">
        <v>0</v>
      </c>
      <c r="B3337" s="96"/>
      <c r="C3337" s="18"/>
      <c r="D3337" s="42">
        <v>45675.0</v>
      </c>
      <c r="E3337" s="20" t="s">
        <v>24</v>
      </c>
      <c r="F3337" s="53" t="s">
        <v>1971</v>
      </c>
      <c r="G3337" s="97">
        <v>2.0</v>
      </c>
      <c r="H3337" s="97"/>
      <c r="I3337" s="97">
        <v>3.0</v>
      </c>
      <c r="J3337" s="98"/>
      <c r="K3337" s="99"/>
      <c r="L3337" s="98"/>
      <c r="M3337" s="99"/>
      <c r="N3337" s="99"/>
      <c r="O3337" s="18"/>
      <c r="P3337" s="100" t="b">
        <v>1</v>
      </c>
      <c r="Q3337" s="18"/>
      <c r="R3337" s="101">
        <f t="shared" si="3377"/>
        <v>5</v>
      </c>
      <c r="S3337" s="32">
        <v>10.46</v>
      </c>
      <c r="T3337" s="102" t="str">
        <f t="shared" si="3378"/>
        <v>+109</v>
      </c>
      <c r="U3337" s="18"/>
      <c r="V3337" s="103" t="str">
        <f>IF(ISBLANK($D3337), "0",)</f>
        <v/>
      </c>
      <c r="W3337" s="104" t="str">
        <f t="shared" si="2828"/>
        <v/>
      </c>
      <c r="X3337" s="105"/>
      <c r="Y3337" s="106"/>
      <c r="Z3337" s="26">
        <f t="shared" si="5"/>
        <v>2.184</v>
      </c>
      <c r="AA3337" s="26">
        <f t="shared" si="6"/>
        <v>3.276</v>
      </c>
      <c r="AB3337" s="32" t="str">
        <f t="shared" si="7"/>
        <v/>
      </c>
      <c r="AC3337" s="32" t="str">
        <f t="shared" ref="AC3337:AG3337" si="3424">IF(J3337&lt;&gt;"", IF(AND($P3337=FALSE, $A3337=FALSE), -J3337, IF(AND($P3337=FALSE, $A3337=TRUE), 0, IF($P3337=TRUE, (J3337 / $R3337) * 100 * ($S3337 / 100)-J3337, ))), )</f>
        <v/>
      </c>
      <c r="AD3337" s="32" t="str">
        <f t="shared" si="3424"/>
        <v/>
      </c>
      <c r="AE3337" s="32" t="str">
        <f t="shared" si="3424"/>
        <v/>
      </c>
      <c r="AF3337" s="32" t="str">
        <f t="shared" si="3424"/>
        <v/>
      </c>
      <c r="AG3337" s="32" t="str">
        <f t="shared" si="3424"/>
        <v/>
      </c>
      <c r="AH3337" s="33"/>
    </row>
    <row r="3338" hidden="1" outlineLevel="2">
      <c r="A3338" s="95" t="b">
        <v>0</v>
      </c>
      <c r="B3338" s="96"/>
      <c r="C3338" s="18"/>
      <c r="D3338" s="107"/>
      <c r="E3338" s="108"/>
      <c r="F3338" s="109"/>
      <c r="G3338" s="97"/>
      <c r="H3338" s="97"/>
      <c r="I3338" s="97"/>
      <c r="J3338" s="98"/>
      <c r="K3338" s="99"/>
      <c r="L3338" s="98"/>
      <c r="M3338" s="99"/>
      <c r="N3338" s="99"/>
      <c r="O3338" s="18"/>
      <c r="P3338" s="100" t="b">
        <v>0</v>
      </c>
      <c r="Q3338" s="18"/>
      <c r="R3338" s="101" t="str">
        <f t="shared" si="3377"/>
        <v/>
      </c>
      <c r="S3338" s="32"/>
      <c r="T3338" s="102" t="str">
        <f t="shared" si="3378"/>
        <v/>
      </c>
      <c r="U3338" s="18"/>
      <c r="V3338" s="75" t="s">
        <v>29</v>
      </c>
      <c r="W3338" s="104" t="str">
        <f t="shared" si="2828"/>
        <v>/</v>
      </c>
      <c r="X3338" s="111" t="s">
        <v>331</v>
      </c>
      <c r="Y3338" s="106"/>
      <c r="Z3338" s="26" t="str">
        <f t="shared" si="5"/>
        <v/>
      </c>
      <c r="AA3338" s="26" t="str">
        <f t="shared" si="6"/>
        <v/>
      </c>
      <c r="AB3338" s="32" t="str">
        <f t="shared" si="7"/>
        <v/>
      </c>
      <c r="AC3338" s="32" t="str">
        <f t="shared" ref="AC3338:AG3338" si="3425">IF(J3338&lt;&gt;"", IF(AND($P3338=FALSE, $A3338=FALSE), -J3338, IF(AND($P3338=FALSE, $A3338=TRUE), 0, IF($P3338=TRUE, (J3338 / $R3338) * 100 * ($S3338 / 100)-J3338, ))), )</f>
        <v/>
      </c>
      <c r="AD3338" s="32" t="str">
        <f t="shared" si="3425"/>
        <v/>
      </c>
      <c r="AE3338" s="32" t="str">
        <f t="shared" si="3425"/>
        <v/>
      </c>
      <c r="AF3338" s="32" t="str">
        <f t="shared" si="3425"/>
        <v/>
      </c>
      <c r="AG3338" s="32" t="str">
        <f t="shared" si="3425"/>
        <v/>
      </c>
      <c r="AH3338" s="33"/>
    </row>
    <row r="3339" hidden="1" outlineLevel="2">
      <c r="A3339" s="95" t="b">
        <v>0</v>
      </c>
      <c r="B3339" s="96"/>
      <c r="C3339" s="18"/>
      <c r="D3339" s="107"/>
      <c r="E3339" s="108"/>
      <c r="F3339" s="109"/>
      <c r="G3339" s="97"/>
      <c r="H3339" s="97"/>
      <c r="I3339" s="97"/>
      <c r="J3339" s="98"/>
      <c r="K3339" s="99"/>
      <c r="L3339" s="98"/>
      <c r="M3339" s="99"/>
      <c r="N3339" s="99"/>
      <c r="O3339" s="18"/>
      <c r="P3339" s="100" t="b">
        <v>0</v>
      </c>
      <c r="Q3339" s="18"/>
      <c r="R3339" s="101" t="str">
        <f t="shared" si="3377"/>
        <v/>
      </c>
      <c r="S3339" s="32"/>
      <c r="T3339" s="102" t="str">
        <f t="shared" si="3378"/>
        <v/>
      </c>
      <c r="U3339" s="18"/>
      <c r="V3339" s="75" t="s">
        <v>29</v>
      </c>
      <c r="W3339" s="104" t="str">
        <f t="shared" si="2828"/>
        <v>/</v>
      </c>
      <c r="X3339" s="111" t="s">
        <v>1813</v>
      </c>
      <c r="Y3339" s="106"/>
      <c r="Z3339" s="26" t="str">
        <f t="shared" si="5"/>
        <v/>
      </c>
      <c r="AA3339" s="26" t="str">
        <f t="shared" si="6"/>
        <v/>
      </c>
      <c r="AB3339" s="32" t="str">
        <f t="shared" si="7"/>
        <v/>
      </c>
      <c r="AC3339" s="32" t="str">
        <f t="shared" ref="AC3339:AG3339" si="3426">IF(J3339&lt;&gt;"", IF(AND($P3339=FALSE, $A3339=FALSE), -J3339, IF(AND($P3339=FALSE, $A3339=TRUE), 0, IF($P3339=TRUE, (J3339 / $R3339) * 100 * ($S3339 / 100)-J3339, ))), )</f>
        <v/>
      </c>
      <c r="AD3339" s="32" t="str">
        <f t="shared" si="3426"/>
        <v/>
      </c>
      <c r="AE3339" s="32" t="str">
        <f t="shared" si="3426"/>
        <v/>
      </c>
      <c r="AF3339" s="32" t="str">
        <f t="shared" si="3426"/>
        <v/>
      </c>
      <c r="AG3339" s="32" t="str">
        <f t="shared" si="3426"/>
        <v/>
      </c>
      <c r="AH3339" s="33"/>
    </row>
    <row r="3340" hidden="1" outlineLevel="2">
      <c r="A3340" s="95" t="b">
        <v>0</v>
      </c>
      <c r="B3340" s="96"/>
      <c r="C3340" s="18"/>
      <c r="D3340" s="107"/>
      <c r="E3340" s="108"/>
      <c r="F3340" s="109"/>
      <c r="G3340" s="97"/>
      <c r="H3340" s="97"/>
      <c r="I3340" s="97"/>
      <c r="J3340" s="98"/>
      <c r="K3340" s="99"/>
      <c r="L3340" s="98"/>
      <c r="M3340" s="99"/>
      <c r="N3340" s="99"/>
      <c r="O3340" s="18"/>
      <c r="P3340" s="100" t="b">
        <v>0</v>
      </c>
      <c r="Q3340" s="18"/>
      <c r="R3340" s="101" t="str">
        <f t="shared" si="3377"/>
        <v/>
      </c>
      <c r="S3340" s="32"/>
      <c r="T3340" s="102" t="str">
        <f t="shared" si="3378"/>
        <v/>
      </c>
      <c r="U3340" s="18"/>
      <c r="V3340" s="75" t="s">
        <v>29</v>
      </c>
      <c r="W3340" s="104" t="str">
        <f t="shared" si="2828"/>
        <v>/</v>
      </c>
      <c r="X3340" s="111" t="s">
        <v>482</v>
      </c>
      <c r="Y3340" s="106"/>
      <c r="Z3340" s="26" t="str">
        <f t="shared" si="5"/>
        <v/>
      </c>
      <c r="AA3340" s="26" t="str">
        <f t="shared" si="6"/>
        <v/>
      </c>
      <c r="AB3340" s="32" t="str">
        <f t="shared" si="7"/>
        <v/>
      </c>
      <c r="AC3340" s="32" t="str">
        <f t="shared" ref="AC3340:AG3340" si="3427">IF(J3340&lt;&gt;"", IF(AND($P3340=FALSE, $A3340=FALSE), -J3340, IF(AND($P3340=FALSE, $A3340=TRUE), 0, IF($P3340=TRUE, (J3340 / $R3340) * 100 * ($S3340 / 100)-J3340, ))), )</f>
        <v/>
      </c>
      <c r="AD3340" s="32" t="str">
        <f t="shared" si="3427"/>
        <v/>
      </c>
      <c r="AE3340" s="32" t="str">
        <f t="shared" si="3427"/>
        <v/>
      </c>
      <c r="AF3340" s="32" t="str">
        <f t="shared" si="3427"/>
        <v/>
      </c>
      <c r="AG3340" s="32" t="str">
        <f t="shared" si="3427"/>
        <v/>
      </c>
      <c r="AH3340" s="33"/>
    </row>
    <row r="3341" hidden="1" outlineLevel="2">
      <c r="A3341" s="95" t="b">
        <v>0</v>
      </c>
      <c r="B3341" s="96"/>
      <c r="C3341" s="18"/>
      <c r="D3341" s="107"/>
      <c r="E3341" s="108"/>
      <c r="F3341" s="109"/>
      <c r="G3341" s="97"/>
      <c r="H3341" s="97"/>
      <c r="I3341" s="97"/>
      <c r="J3341" s="98"/>
      <c r="K3341" s="99"/>
      <c r="L3341" s="98"/>
      <c r="M3341" s="99"/>
      <c r="N3341" s="99"/>
      <c r="O3341" s="18"/>
      <c r="P3341" s="100" t="b">
        <v>0</v>
      </c>
      <c r="Q3341" s="18"/>
      <c r="R3341" s="101" t="str">
        <f t="shared" si="3377"/>
        <v/>
      </c>
      <c r="S3341" s="32"/>
      <c r="T3341" s="102" t="str">
        <f t="shared" si="3378"/>
        <v/>
      </c>
      <c r="U3341" s="18"/>
      <c r="V3341" s="75" t="s">
        <v>29</v>
      </c>
      <c r="W3341" s="104" t="str">
        <f t="shared" si="2828"/>
        <v>/</v>
      </c>
      <c r="X3341" s="111" t="s">
        <v>653</v>
      </c>
      <c r="Y3341" s="106"/>
      <c r="Z3341" s="26" t="str">
        <f t="shared" si="5"/>
        <v/>
      </c>
      <c r="AA3341" s="26" t="str">
        <f t="shared" si="6"/>
        <v/>
      </c>
      <c r="AB3341" s="32" t="str">
        <f t="shared" si="7"/>
        <v/>
      </c>
      <c r="AC3341" s="32" t="str">
        <f t="shared" ref="AC3341:AG3341" si="3428">IF(J3341&lt;&gt;"", IF(AND($P3341=FALSE, $A3341=FALSE), -J3341, IF(AND($P3341=FALSE, $A3341=TRUE), 0, IF($P3341=TRUE, (J3341 / $R3341) * 100 * ($S3341 / 100)-J3341, ))), )</f>
        <v/>
      </c>
      <c r="AD3341" s="32" t="str">
        <f t="shared" si="3428"/>
        <v/>
      </c>
      <c r="AE3341" s="32" t="str">
        <f t="shared" si="3428"/>
        <v/>
      </c>
      <c r="AF3341" s="32" t="str">
        <f t="shared" si="3428"/>
        <v/>
      </c>
      <c r="AG3341" s="32" t="str">
        <f t="shared" si="3428"/>
        <v/>
      </c>
      <c r="AH3341" s="33"/>
    </row>
    <row r="3342" hidden="1" outlineLevel="1">
      <c r="A3342" s="95" t="b">
        <v>0</v>
      </c>
      <c r="B3342" s="96"/>
      <c r="C3342" s="18"/>
      <c r="D3342" s="42">
        <v>45675.0</v>
      </c>
      <c r="E3342" s="20" t="s">
        <v>24</v>
      </c>
      <c r="F3342" s="53" t="s">
        <v>1971</v>
      </c>
      <c r="G3342" s="97">
        <v>7.0</v>
      </c>
      <c r="H3342" s="97"/>
      <c r="I3342" s="97">
        <v>15.5</v>
      </c>
      <c r="J3342" s="98"/>
      <c r="K3342" s="99"/>
      <c r="L3342" s="98"/>
      <c r="M3342" s="99"/>
      <c r="N3342" s="99"/>
      <c r="O3342" s="18"/>
      <c r="P3342" s="100" t="b">
        <v>0</v>
      </c>
      <c r="Q3342" s="18"/>
      <c r="R3342" s="101">
        <f t="shared" si="3377"/>
        <v>22.5</v>
      </c>
      <c r="S3342" s="32"/>
      <c r="T3342" s="102">
        <f t="shared" si="3378"/>
        <v>100</v>
      </c>
      <c r="U3342" s="18"/>
      <c r="V3342" s="103" t="str">
        <f t="shared" ref="V3342:V3344" si="3430">IF(ISBLANK($D3342), "0",)</f>
        <v/>
      </c>
      <c r="W3342" s="104" t="str">
        <f t="shared" si="2828"/>
        <v/>
      </c>
      <c r="X3342" s="105"/>
      <c r="Y3342" s="106"/>
      <c r="Z3342" s="26">
        <f t="shared" si="5"/>
        <v>-7</v>
      </c>
      <c r="AA3342" s="26">
        <f t="shared" si="6"/>
        <v>-15.5</v>
      </c>
      <c r="AB3342" s="32" t="str">
        <f t="shared" si="7"/>
        <v/>
      </c>
      <c r="AC3342" s="32" t="str">
        <f t="shared" ref="AC3342:AG3342" si="3429">IF(J3342&lt;&gt;"", IF(AND($P3342=FALSE, $A3342=FALSE), -J3342, IF(AND($P3342=FALSE, $A3342=TRUE), 0, IF($P3342=TRUE, (J3342 / $R3342) * 100 * ($S3342 / 100)-J3342, ))), )</f>
        <v/>
      </c>
      <c r="AD3342" s="32" t="str">
        <f t="shared" si="3429"/>
        <v/>
      </c>
      <c r="AE3342" s="32" t="str">
        <f t="shared" si="3429"/>
        <v/>
      </c>
      <c r="AF3342" s="32" t="str">
        <f t="shared" si="3429"/>
        <v/>
      </c>
      <c r="AG3342" s="32" t="str">
        <f t="shared" si="3429"/>
        <v/>
      </c>
      <c r="AH3342" s="33"/>
    </row>
    <row r="3343" hidden="1" outlineLevel="2">
      <c r="A3343" s="95" t="b">
        <v>0</v>
      </c>
      <c r="B3343" s="96"/>
      <c r="C3343" s="18"/>
      <c r="D3343" s="107"/>
      <c r="E3343" s="108"/>
      <c r="F3343" s="109"/>
      <c r="G3343" s="97"/>
      <c r="H3343" s="97"/>
      <c r="I3343" s="97"/>
      <c r="J3343" s="98"/>
      <c r="K3343" s="99"/>
      <c r="L3343" s="98"/>
      <c r="M3343" s="99"/>
      <c r="N3343" s="99"/>
      <c r="O3343" s="18"/>
      <c r="P3343" s="100" t="b">
        <v>0</v>
      </c>
      <c r="Q3343" s="18"/>
      <c r="R3343" s="101" t="str">
        <f t="shared" si="3377"/>
        <v/>
      </c>
      <c r="S3343" s="32"/>
      <c r="T3343" s="102" t="str">
        <f t="shared" si="3378"/>
        <v/>
      </c>
      <c r="U3343" s="18"/>
      <c r="V3343" s="103" t="str">
        <f t="shared" si="3430"/>
        <v>0</v>
      </c>
      <c r="W3343" s="104" t="str">
        <f t="shared" si="2828"/>
        <v>/</v>
      </c>
      <c r="X3343" s="111" t="s">
        <v>1972</v>
      </c>
      <c r="Y3343" s="106"/>
      <c r="Z3343" s="26" t="str">
        <f t="shared" si="5"/>
        <v/>
      </c>
      <c r="AA3343" s="26" t="str">
        <f t="shared" si="6"/>
        <v/>
      </c>
      <c r="AB3343" s="32" t="str">
        <f t="shared" si="7"/>
        <v/>
      </c>
      <c r="AC3343" s="32" t="str">
        <f t="shared" ref="AC3343:AG3343" si="3431">IF(J3343&lt;&gt;"", IF(AND($P3343=FALSE, $A3343=FALSE), -J3343, IF(AND($P3343=FALSE, $A3343=TRUE), 0, IF($P3343=TRUE, (J3343 / $R3343) * 100 * ($S3343 / 100)-J3343, ))), )</f>
        <v/>
      </c>
      <c r="AD3343" s="32" t="str">
        <f t="shared" si="3431"/>
        <v/>
      </c>
      <c r="AE3343" s="32" t="str">
        <f t="shared" si="3431"/>
        <v/>
      </c>
      <c r="AF3343" s="32" t="str">
        <f t="shared" si="3431"/>
        <v/>
      </c>
      <c r="AG3343" s="32" t="str">
        <f t="shared" si="3431"/>
        <v/>
      </c>
      <c r="AH3343" s="33"/>
    </row>
    <row r="3344" collapsed="1">
      <c r="A3344" s="95" t="b">
        <v>0</v>
      </c>
      <c r="B3344" s="96"/>
      <c r="C3344" s="18"/>
      <c r="D3344" s="42">
        <v>45676.0</v>
      </c>
      <c r="E3344" s="20" t="s">
        <v>24</v>
      </c>
      <c r="F3344" s="53" t="s">
        <v>1971</v>
      </c>
      <c r="G3344" s="97">
        <v>5.0</v>
      </c>
      <c r="H3344" s="97"/>
      <c r="I3344" s="97">
        <v>5.0</v>
      </c>
      <c r="J3344" s="98"/>
      <c r="K3344" s="99"/>
      <c r="L3344" s="98"/>
      <c r="M3344" s="99"/>
      <c r="N3344" s="99"/>
      <c r="O3344" s="18"/>
      <c r="P3344" s="100" t="b">
        <v>1</v>
      </c>
      <c r="Q3344" s="18"/>
      <c r="R3344" s="101">
        <f t="shared" si="3377"/>
        <v>10</v>
      </c>
      <c r="S3344" s="32">
        <v>28.99</v>
      </c>
      <c r="T3344" s="102" t="str">
        <f t="shared" si="3378"/>
        <v>+190</v>
      </c>
      <c r="U3344" s="18"/>
      <c r="V3344" s="103" t="str">
        <f t="shared" si="3430"/>
        <v/>
      </c>
      <c r="W3344" s="104" t="str">
        <f t="shared" si="2828"/>
        <v/>
      </c>
      <c r="X3344" s="105"/>
      <c r="Y3344" s="106"/>
      <c r="Z3344" s="26">
        <f t="shared" si="5"/>
        <v>9.495</v>
      </c>
      <c r="AA3344" s="26">
        <f t="shared" si="6"/>
        <v>9.495</v>
      </c>
      <c r="AB3344" s="32" t="str">
        <f t="shared" si="7"/>
        <v/>
      </c>
      <c r="AC3344" s="32" t="str">
        <f t="shared" ref="AC3344:AG3344" si="3432">IF(J3344&lt;&gt;"", IF(AND($P3344=FALSE, $A3344=FALSE), -J3344, IF(AND($P3344=FALSE, $A3344=TRUE), 0, IF($P3344=TRUE, (J3344 / $R3344) * 100 * ($S3344 / 100)-J3344, ))), )</f>
        <v/>
      </c>
      <c r="AD3344" s="32" t="str">
        <f t="shared" si="3432"/>
        <v/>
      </c>
      <c r="AE3344" s="32" t="str">
        <f t="shared" si="3432"/>
        <v/>
      </c>
      <c r="AF3344" s="32" t="str">
        <f t="shared" si="3432"/>
        <v/>
      </c>
      <c r="AG3344" s="32" t="str">
        <f t="shared" si="3432"/>
        <v/>
      </c>
      <c r="AH3344" s="33"/>
    </row>
    <row r="3345" hidden="1" outlineLevel="2">
      <c r="A3345" s="95" t="b">
        <v>0</v>
      </c>
      <c r="B3345" s="96"/>
      <c r="C3345" s="18"/>
      <c r="D3345" s="107"/>
      <c r="E3345" s="108"/>
      <c r="F3345" s="109"/>
      <c r="G3345" s="97"/>
      <c r="H3345" s="97"/>
      <c r="I3345" s="97"/>
      <c r="J3345" s="98"/>
      <c r="K3345" s="99"/>
      <c r="L3345" s="98"/>
      <c r="M3345" s="99"/>
      <c r="N3345" s="99"/>
      <c r="O3345" s="18"/>
      <c r="P3345" s="100" t="b">
        <v>0</v>
      </c>
      <c r="Q3345" s="18"/>
      <c r="R3345" s="101" t="str">
        <f t="shared" si="3377"/>
        <v/>
      </c>
      <c r="S3345" s="32"/>
      <c r="T3345" s="102" t="str">
        <f t="shared" si="3378"/>
        <v/>
      </c>
      <c r="U3345" s="18"/>
      <c r="V3345" s="75" t="s">
        <v>29</v>
      </c>
      <c r="W3345" s="104" t="str">
        <f t="shared" si="2828"/>
        <v>/</v>
      </c>
      <c r="X3345" s="111" t="s">
        <v>872</v>
      </c>
      <c r="Y3345" s="106"/>
      <c r="Z3345" s="26" t="str">
        <f t="shared" si="5"/>
        <v/>
      </c>
      <c r="AA3345" s="26" t="str">
        <f t="shared" si="6"/>
        <v/>
      </c>
      <c r="AB3345" s="32" t="str">
        <f t="shared" si="7"/>
        <v/>
      </c>
      <c r="AC3345" s="32" t="str">
        <f t="shared" ref="AC3345:AG3345" si="3433">IF(J3345&lt;&gt;"", IF(AND($P3345=FALSE, $A3345=FALSE), -J3345, IF(AND($P3345=FALSE, $A3345=TRUE), 0, IF($P3345=TRUE, (J3345 / $R3345) * 100 * ($S3345 / 100)-J3345, ))), )</f>
        <v/>
      </c>
      <c r="AD3345" s="32" t="str">
        <f t="shared" si="3433"/>
        <v/>
      </c>
      <c r="AE3345" s="32" t="str">
        <f t="shared" si="3433"/>
        <v/>
      </c>
      <c r="AF3345" s="32" t="str">
        <f t="shared" si="3433"/>
        <v/>
      </c>
      <c r="AG3345" s="32" t="str">
        <f t="shared" si="3433"/>
        <v/>
      </c>
      <c r="AH3345" s="33"/>
    </row>
    <row r="3346" hidden="1" outlineLevel="2">
      <c r="A3346" s="95" t="b">
        <v>0</v>
      </c>
      <c r="B3346" s="96"/>
      <c r="C3346" s="18"/>
      <c r="D3346" s="107"/>
      <c r="E3346" s="108"/>
      <c r="F3346" s="109"/>
      <c r="G3346" s="97"/>
      <c r="H3346" s="97"/>
      <c r="I3346" s="97"/>
      <c r="J3346" s="98"/>
      <c r="K3346" s="99"/>
      <c r="L3346" s="98"/>
      <c r="M3346" s="99"/>
      <c r="N3346" s="99"/>
      <c r="O3346" s="18"/>
      <c r="P3346" s="100" t="b">
        <v>0</v>
      </c>
      <c r="Q3346" s="18"/>
      <c r="R3346" s="101" t="str">
        <f t="shared" si="3377"/>
        <v/>
      </c>
      <c r="S3346" s="32"/>
      <c r="T3346" s="102" t="str">
        <f t="shared" si="3378"/>
        <v/>
      </c>
      <c r="U3346" s="18"/>
      <c r="V3346" s="75" t="s">
        <v>29</v>
      </c>
      <c r="W3346" s="104" t="str">
        <f t="shared" si="2828"/>
        <v>/</v>
      </c>
      <c r="X3346" s="111" t="s">
        <v>1778</v>
      </c>
      <c r="Y3346" s="106"/>
      <c r="Z3346" s="26" t="str">
        <f t="shared" si="5"/>
        <v/>
      </c>
      <c r="AA3346" s="26" t="str">
        <f t="shared" si="6"/>
        <v/>
      </c>
      <c r="AB3346" s="32" t="str">
        <f t="shared" si="7"/>
        <v/>
      </c>
      <c r="AC3346" s="32" t="str">
        <f t="shared" ref="AC3346:AG3346" si="3434">IF(J3346&lt;&gt;"", IF(AND($P3346=FALSE, $A3346=FALSE), -J3346, IF(AND($P3346=FALSE, $A3346=TRUE), 0, IF($P3346=TRUE, (J3346 / $R3346) * 100 * ($S3346 / 100)-J3346, ))), )</f>
        <v/>
      </c>
      <c r="AD3346" s="32" t="str">
        <f t="shared" si="3434"/>
        <v/>
      </c>
      <c r="AE3346" s="32" t="str">
        <f t="shared" si="3434"/>
        <v/>
      </c>
      <c r="AF3346" s="32" t="str">
        <f t="shared" si="3434"/>
        <v/>
      </c>
      <c r="AG3346" s="32" t="str">
        <f t="shared" si="3434"/>
        <v/>
      </c>
      <c r="AH3346" s="33"/>
    </row>
    <row r="3347" hidden="1" outlineLevel="2">
      <c r="A3347" s="95" t="b">
        <v>0</v>
      </c>
      <c r="B3347" s="96"/>
      <c r="C3347" s="18"/>
      <c r="D3347" s="107"/>
      <c r="E3347" s="108"/>
      <c r="F3347" s="109"/>
      <c r="G3347" s="97"/>
      <c r="H3347" s="97"/>
      <c r="I3347" s="97"/>
      <c r="J3347" s="98"/>
      <c r="K3347" s="99"/>
      <c r="L3347" s="98"/>
      <c r="M3347" s="99"/>
      <c r="N3347" s="99"/>
      <c r="O3347" s="18"/>
      <c r="P3347" s="100" t="b">
        <v>0</v>
      </c>
      <c r="Q3347" s="18"/>
      <c r="R3347" s="101" t="str">
        <f t="shared" si="3377"/>
        <v/>
      </c>
      <c r="S3347" s="32"/>
      <c r="T3347" s="102" t="str">
        <f t="shared" si="3378"/>
        <v/>
      </c>
      <c r="U3347" s="18"/>
      <c r="V3347" s="75" t="s">
        <v>29</v>
      </c>
      <c r="W3347" s="104" t="str">
        <f t="shared" si="2828"/>
        <v>/</v>
      </c>
      <c r="X3347" s="111" t="s">
        <v>148</v>
      </c>
      <c r="Y3347" s="106"/>
      <c r="Z3347" s="26" t="str">
        <f t="shared" si="5"/>
        <v/>
      </c>
      <c r="AA3347" s="26" t="str">
        <f t="shared" si="6"/>
        <v/>
      </c>
      <c r="AB3347" s="32" t="str">
        <f t="shared" si="7"/>
        <v/>
      </c>
      <c r="AC3347" s="32" t="str">
        <f t="shared" ref="AC3347:AG3347" si="3435">IF(J3347&lt;&gt;"", IF(AND($P3347=FALSE, $A3347=FALSE), -J3347, IF(AND($P3347=FALSE, $A3347=TRUE), 0, IF($P3347=TRUE, (J3347 / $R3347) * 100 * ($S3347 / 100)-J3347, ))), )</f>
        <v/>
      </c>
      <c r="AD3347" s="32" t="str">
        <f t="shared" si="3435"/>
        <v/>
      </c>
      <c r="AE3347" s="32" t="str">
        <f t="shared" si="3435"/>
        <v/>
      </c>
      <c r="AF3347" s="32" t="str">
        <f t="shared" si="3435"/>
        <v/>
      </c>
      <c r="AG3347" s="32" t="str">
        <f t="shared" si="3435"/>
        <v/>
      </c>
      <c r="AH3347" s="33"/>
    </row>
    <row r="3348" collapsed="1">
      <c r="A3348" s="95" t="b">
        <v>0</v>
      </c>
      <c r="B3348" s="96"/>
      <c r="C3348" s="18"/>
      <c r="D3348" s="42">
        <v>45697.0</v>
      </c>
      <c r="E3348" s="20" t="s">
        <v>24</v>
      </c>
      <c r="F3348" s="53" t="s">
        <v>1973</v>
      </c>
      <c r="G3348" s="97">
        <v>4.0</v>
      </c>
      <c r="H3348" s="97"/>
      <c r="I3348" s="97">
        <v>6.0</v>
      </c>
      <c r="J3348" s="98"/>
      <c r="K3348" s="99"/>
      <c r="L3348" s="98"/>
      <c r="M3348" s="99"/>
      <c r="N3348" s="99"/>
      <c r="O3348" s="18"/>
      <c r="P3348" s="100" t="b">
        <v>0</v>
      </c>
      <c r="Q3348" s="18"/>
      <c r="R3348" s="101">
        <f t="shared" si="3377"/>
        <v>10</v>
      </c>
      <c r="S3348" s="32">
        <v>23.33</v>
      </c>
      <c r="T3348" s="102" t="str">
        <f t="shared" si="3378"/>
        <v>+133</v>
      </c>
      <c r="U3348" s="18"/>
      <c r="V3348" s="103" t="str">
        <f t="shared" ref="V3348:V3349" si="3437">IF(ISBLANK($D3348), "0",)</f>
        <v/>
      </c>
      <c r="W3348" s="104" t="str">
        <f t="shared" si="2828"/>
        <v/>
      </c>
      <c r="X3348" s="105"/>
      <c r="Y3348" s="106"/>
      <c r="Z3348" s="26">
        <f t="shared" si="5"/>
        <v>-4</v>
      </c>
      <c r="AA3348" s="26">
        <f t="shared" si="6"/>
        <v>-6</v>
      </c>
      <c r="AB3348" s="32" t="str">
        <f t="shared" si="7"/>
        <v/>
      </c>
      <c r="AC3348" s="32" t="str">
        <f t="shared" ref="AC3348:AG3348" si="3436">IF(J3348&lt;&gt;"", IF(AND($P3348=FALSE, $A3348=FALSE), -J3348, IF(AND($P3348=FALSE, $A3348=TRUE), 0, IF($P3348=TRUE, (J3348 / $R3348) * 100 * ($S3348 / 100)-J3348, ))), )</f>
        <v/>
      </c>
      <c r="AD3348" s="32" t="str">
        <f t="shared" si="3436"/>
        <v/>
      </c>
      <c r="AE3348" s="32" t="str">
        <f t="shared" si="3436"/>
        <v/>
      </c>
      <c r="AF3348" s="32" t="str">
        <f t="shared" si="3436"/>
        <v/>
      </c>
      <c r="AG3348" s="32" t="str">
        <f t="shared" si="3436"/>
        <v/>
      </c>
      <c r="AH3348" s="33"/>
    </row>
    <row r="3349" hidden="1" outlineLevel="2">
      <c r="A3349" s="95" t="b">
        <v>0</v>
      </c>
      <c r="B3349" s="96"/>
      <c r="C3349" s="18"/>
      <c r="D3349" s="107"/>
      <c r="E3349" s="108"/>
      <c r="F3349" s="109"/>
      <c r="G3349" s="97"/>
      <c r="H3349" s="97"/>
      <c r="I3349" s="97"/>
      <c r="J3349" s="98"/>
      <c r="K3349" s="99"/>
      <c r="L3349" s="98"/>
      <c r="M3349" s="99"/>
      <c r="N3349" s="99"/>
      <c r="O3349" s="18"/>
      <c r="P3349" s="100" t="b">
        <v>0</v>
      </c>
      <c r="Q3349" s="18"/>
      <c r="R3349" s="101" t="str">
        <f t="shared" si="3377"/>
        <v/>
      </c>
      <c r="S3349" s="32"/>
      <c r="T3349" s="102" t="str">
        <f t="shared" si="3378"/>
        <v/>
      </c>
      <c r="U3349" s="18"/>
      <c r="V3349" s="103" t="str">
        <f t="shared" si="3437"/>
        <v>0</v>
      </c>
      <c r="W3349" s="104" t="str">
        <f t="shared" si="2828"/>
        <v>/</v>
      </c>
      <c r="X3349" s="111" t="s">
        <v>1494</v>
      </c>
      <c r="Y3349" s="106"/>
      <c r="Z3349" s="26" t="str">
        <f t="shared" si="5"/>
        <v/>
      </c>
      <c r="AA3349" s="26" t="str">
        <f t="shared" si="6"/>
        <v/>
      </c>
      <c r="AB3349" s="32" t="str">
        <f t="shared" si="7"/>
        <v/>
      </c>
      <c r="AC3349" s="32" t="str">
        <f t="shared" ref="AC3349:AG3349" si="3438">IF(J3349&lt;&gt;"", IF(AND($P3349=FALSE, $A3349=FALSE), -J3349, IF(AND($P3349=FALSE, $A3349=TRUE), 0, IF($P3349=TRUE, (J3349 / $R3349) * 100 * ($S3349 / 100)-J3349, ))), )</f>
        <v/>
      </c>
      <c r="AD3349" s="32" t="str">
        <f t="shared" si="3438"/>
        <v/>
      </c>
      <c r="AE3349" s="32" t="str">
        <f t="shared" si="3438"/>
        <v/>
      </c>
      <c r="AF3349" s="32" t="str">
        <f t="shared" si="3438"/>
        <v/>
      </c>
      <c r="AG3349" s="32" t="str">
        <f t="shared" si="3438"/>
        <v/>
      </c>
      <c r="AH3349" s="33"/>
    </row>
    <row r="3350" hidden="1" outlineLevel="2">
      <c r="A3350" s="95" t="b">
        <v>0</v>
      </c>
      <c r="B3350" s="96"/>
      <c r="C3350" s="18"/>
      <c r="D3350" s="107"/>
      <c r="E3350" s="108"/>
      <c r="F3350" s="109"/>
      <c r="G3350" s="97"/>
      <c r="H3350" s="97"/>
      <c r="I3350" s="97"/>
      <c r="J3350" s="98"/>
      <c r="K3350" s="99"/>
      <c r="L3350" s="98"/>
      <c r="M3350" s="99"/>
      <c r="N3350" s="99"/>
      <c r="O3350" s="18"/>
      <c r="P3350" s="100" t="b">
        <v>0</v>
      </c>
      <c r="Q3350" s="18"/>
      <c r="R3350" s="101" t="str">
        <f t="shared" si="3377"/>
        <v/>
      </c>
      <c r="S3350" s="32"/>
      <c r="T3350" s="102" t="str">
        <f t="shared" si="3378"/>
        <v/>
      </c>
      <c r="U3350" s="18"/>
      <c r="V3350" s="113">
        <v>57.0</v>
      </c>
      <c r="W3350" s="104" t="str">
        <f t="shared" si="2828"/>
        <v>/</v>
      </c>
      <c r="X3350" s="111" t="s">
        <v>1959</v>
      </c>
      <c r="Y3350" s="106"/>
      <c r="Z3350" s="26" t="str">
        <f t="shared" si="5"/>
        <v/>
      </c>
      <c r="AA3350" s="26" t="str">
        <f t="shared" si="6"/>
        <v/>
      </c>
      <c r="AB3350" s="32" t="str">
        <f t="shared" si="7"/>
        <v/>
      </c>
      <c r="AC3350" s="32" t="str">
        <f t="shared" ref="AC3350:AG3350" si="3439">IF(J3350&lt;&gt;"", IF(AND($P3350=FALSE, $A3350=FALSE), -J3350, IF(AND($P3350=FALSE, $A3350=TRUE), 0, IF($P3350=TRUE, (J3350 / $R3350) * 100 * ($S3350 / 100)-J3350, ))), )</f>
        <v/>
      </c>
      <c r="AD3350" s="32" t="str">
        <f t="shared" si="3439"/>
        <v/>
      </c>
      <c r="AE3350" s="32" t="str">
        <f t="shared" si="3439"/>
        <v/>
      </c>
      <c r="AF3350" s="32" t="str">
        <f t="shared" si="3439"/>
        <v/>
      </c>
      <c r="AG3350" s="32" t="str">
        <f t="shared" si="3439"/>
        <v/>
      </c>
      <c r="AH3350" s="33"/>
    </row>
    <row r="3351" hidden="1" outlineLevel="2">
      <c r="A3351" s="95" t="b">
        <v>0</v>
      </c>
      <c r="B3351" s="96"/>
      <c r="C3351" s="18"/>
      <c r="D3351" s="107"/>
      <c r="E3351" s="108"/>
      <c r="F3351" s="109"/>
      <c r="G3351" s="97"/>
      <c r="H3351" s="97"/>
      <c r="I3351" s="97"/>
      <c r="J3351" s="98"/>
      <c r="K3351" s="99"/>
      <c r="L3351" s="98"/>
      <c r="M3351" s="99"/>
      <c r="N3351" s="99"/>
      <c r="O3351" s="18"/>
      <c r="P3351" s="100" t="b">
        <v>0</v>
      </c>
      <c r="Q3351" s="18"/>
      <c r="R3351" s="101" t="str">
        <f t="shared" si="3377"/>
        <v/>
      </c>
      <c r="S3351" s="32"/>
      <c r="T3351" s="102" t="str">
        <f t="shared" si="3378"/>
        <v/>
      </c>
      <c r="U3351" s="18"/>
      <c r="V3351" s="113">
        <v>3.0</v>
      </c>
      <c r="W3351" s="104" t="str">
        <f t="shared" si="2828"/>
        <v>/</v>
      </c>
      <c r="X3351" s="111" t="s">
        <v>1974</v>
      </c>
      <c r="Y3351" s="106"/>
      <c r="Z3351" s="26" t="str">
        <f t="shared" si="5"/>
        <v/>
      </c>
      <c r="AA3351" s="26" t="str">
        <f t="shared" si="6"/>
        <v/>
      </c>
      <c r="AB3351" s="32" t="str">
        <f t="shared" si="7"/>
        <v/>
      </c>
      <c r="AC3351" s="32" t="str">
        <f t="shared" ref="AC3351:AG3351" si="3440">IF(J3351&lt;&gt;"", IF(AND($P3351=FALSE, $A3351=FALSE), -J3351, IF(AND($P3351=FALSE, $A3351=TRUE), 0, IF($P3351=TRUE, (J3351 / $R3351) * 100 * ($S3351 / 100)-J3351, ))), )</f>
        <v/>
      </c>
      <c r="AD3351" s="32" t="str">
        <f t="shared" si="3440"/>
        <v/>
      </c>
      <c r="AE3351" s="32" t="str">
        <f t="shared" si="3440"/>
        <v/>
      </c>
      <c r="AF3351" s="32" t="str">
        <f t="shared" si="3440"/>
        <v/>
      </c>
      <c r="AG3351" s="32" t="str">
        <f t="shared" si="3440"/>
        <v/>
      </c>
      <c r="AH3351" s="33"/>
    </row>
    <row r="3352" hidden="1" outlineLevel="1" collapsed="1">
      <c r="A3352" s="95" t="b">
        <v>0</v>
      </c>
      <c r="B3352" s="96"/>
      <c r="C3352" s="18"/>
      <c r="D3352" s="42">
        <v>45697.0</v>
      </c>
      <c r="E3352" s="20" t="s">
        <v>24</v>
      </c>
      <c r="F3352" s="53" t="s">
        <v>1973</v>
      </c>
      <c r="G3352" s="97">
        <v>2.0</v>
      </c>
      <c r="H3352" s="97"/>
      <c r="I3352" s="97"/>
      <c r="J3352" s="98"/>
      <c r="K3352" s="99"/>
      <c r="L3352" s="98"/>
      <c r="M3352" s="99"/>
      <c r="N3352" s="99"/>
      <c r="O3352" s="18"/>
      <c r="P3352" s="100" t="b">
        <v>0</v>
      </c>
      <c r="Q3352" s="18"/>
      <c r="R3352" s="101">
        <f t="shared" si="3377"/>
        <v>2</v>
      </c>
      <c r="S3352" s="32">
        <v>5.08</v>
      </c>
      <c r="T3352" s="102" t="str">
        <f t="shared" si="3378"/>
        <v>+154</v>
      </c>
      <c r="U3352" s="18"/>
      <c r="V3352" s="103" t="str">
        <f t="shared" ref="V3352:V3356" si="3442">IF(ISBLANK($D3352), "0",)</f>
        <v/>
      </c>
      <c r="W3352" s="104" t="str">
        <f t="shared" si="2828"/>
        <v/>
      </c>
      <c r="X3352" s="105"/>
      <c r="Y3352" s="106"/>
      <c r="Z3352" s="26">
        <f t="shared" si="5"/>
        <v>-2</v>
      </c>
      <c r="AA3352" s="26" t="str">
        <f t="shared" si="6"/>
        <v/>
      </c>
      <c r="AB3352" s="32" t="str">
        <f t="shared" si="7"/>
        <v/>
      </c>
      <c r="AC3352" s="32" t="str">
        <f t="shared" ref="AC3352:AG3352" si="3441">IF(J3352&lt;&gt;"", IF(AND($P3352=FALSE, $A3352=FALSE), -J3352, IF(AND($P3352=FALSE, $A3352=TRUE), 0, IF($P3352=TRUE, (J3352 / $R3352) * 100 * ($S3352 / 100)-J3352, ))), )</f>
        <v/>
      </c>
      <c r="AD3352" s="32" t="str">
        <f t="shared" si="3441"/>
        <v/>
      </c>
      <c r="AE3352" s="32" t="str">
        <f t="shared" si="3441"/>
        <v/>
      </c>
      <c r="AF3352" s="32" t="str">
        <f t="shared" si="3441"/>
        <v/>
      </c>
      <c r="AG3352" s="32" t="str">
        <f t="shared" si="3441"/>
        <v/>
      </c>
      <c r="AH3352" s="33"/>
    </row>
    <row r="3353" hidden="1" outlineLevel="2">
      <c r="A3353" s="95" t="b">
        <v>0</v>
      </c>
      <c r="B3353" s="96"/>
      <c r="C3353" s="18"/>
      <c r="D3353" s="107"/>
      <c r="E3353" s="108"/>
      <c r="F3353" s="109"/>
      <c r="G3353" s="97"/>
      <c r="H3353" s="97"/>
      <c r="I3353" s="97"/>
      <c r="J3353" s="98"/>
      <c r="K3353" s="99"/>
      <c r="L3353" s="98"/>
      <c r="M3353" s="99"/>
      <c r="N3353" s="99"/>
      <c r="O3353" s="18"/>
      <c r="P3353" s="100" t="b">
        <v>0</v>
      </c>
      <c r="Q3353" s="18"/>
      <c r="R3353" s="101" t="str">
        <f t="shared" si="3377"/>
        <v/>
      </c>
      <c r="S3353" s="32"/>
      <c r="T3353" s="102" t="str">
        <f t="shared" si="3378"/>
        <v/>
      </c>
      <c r="U3353" s="18"/>
      <c r="V3353" s="103" t="str">
        <f t="shared" si="3442"/>
        <v>0</v>
      </c>
      <c r="W3353" s="104" t="str">
        <f t="shared" si="2828"/>
        <v>/</v>
      </c>
      <c r="X3353" s="111" t="s">
        <v>1975</v>
      </c>
      <c r="Y3353" s="106"/>
      <c r="Z3353" s="26" t="str">
        <f t="shared" si="5"/>
        <v/>
      </c>
      <c r="AA3353" s="26" t="str">
        <f t="shared" si="6"/>
        <v/>
      </c>
      <c r="AB3353" s="32" t="str">
        <f t="shared" si="7"/>
        <v/>
      </c>
      <c r="AC3353" s="32" t="str">
        <f t="shared" ref="AC3353:AG3353" si="3443">IF(J3353&lt;&gt;"", IF(AND($P3353=FALSE, $A3353=FALSE), -J3353, IF(AND($P3353=FALSE, $A3353=TRUE), 0, IF($P3353=TRUE, (J3353 / $R3353) * 100 * ($S3353 / 100)-J3353, ))), )</f>
        <v/>
      </c>
      <c r="AD3353" s="32" t="str">
        <f t="shared" si="3443"/>
        <v/>
      </c>
      <c r="AE3353" s="32" t="str">
        <f t="shared" si="3443"/>
        <v/>
      </c>
      <c r="AF3353" s="32" t="str">
        <f t="shared" si="3443"/>
        <v/>
      </c>
      <c r="AG3353" s="32" t="str">
        <f t="shared" si="3443"/>
        <v/>
      </c>
      <c r="AH3353" s="33"/>
    </row>
    <row r="3354" hidden="1" outlineLevel="1" collapsed="1">
      <c r="A3354" s="95" t="b">
        <v>0</v>
      </c>
      <c r="B3354" s="96"/>
      <c r="C3354" s="18"/>
      <c r="D3354" s="42">
        <v>45697.0</v>
      </c>
      <c r="E3354" s="20" t="s">
        <v>24</v>
      </c>
      <c r="F3354" s="53" t="s">
        <v>1973</v>
      </c>
      <c r="G3354" s="97">
        <v>1.0</v>
      </c>
      <c r="H3354" s="97"/>
      <c r="I3354" s="97">
        <v>2.0</v>
      </c>
      <c r="J3354" s="98"/>
      <c r="K3354" s="99"/>
      <c r="L3354" s="98"/>
      <c r="M3354" s="99"/>
      <c r="N3354" s="99"/>
      <c r="O3354" s="18"/>
      <c r="P3354" s="100" t="b">
        <v>0</v>
      </c>
      <c r="Q3354" s="18"/>
      <c r="R3354" s="101">
        <f t="shared" si="3377"/>
        <v>3</v>
      </c>
      <c r="S3354" s="32">
        <v>16.2</v>
      </c>
      <c r="T3354" s="102" t="str">
        <f t="shared" si="3378"/>
        <v>+440</v>
      </c>
      <c r="U3354" s="18"/>
      <c r="V3354" s="103" t="str">
        <f t="shared" si="3442"/>
        <v/>
      </c>
      <c r="W3354" s="104" t="str">
        <f t="shared" si="2828"/>
        <v/>
      </c>
      <c r="X3354" s="105"/>
      <c r="Y3354" s="106"/>
      <c r="Z3354" s="26">
        <f t="shared" si="5"/>
        <v>-1</v>
      </c>
      <c r="AA3354" s="26">
        <f t="shared" si="6"/>
        <v>-2</v>
      </c>
      <c r="AB3354" s="32" t="str">
        <f t="shared" si="7"/>
        <v/>
      </c>
      <c r="AC3354" s="32" t="str">
        <f t="shared" ref="AC3354:AG3354" si="3444">IF(J3354&lt;&gt;"", IF(AND($P3354=FALSE, $A3354=FALSE), -J3354, IF(AND($P3354=FALSE, $A3354=TRUE), 0, IF($P3354=TRUE, (J3354 / $R3354) * 100 * ($S3354 / 100)-J3354, ))), )</f>
        <v/>
      </c>
      <c r="AD3354" s="32" t="str">
        <f t="shared" si="3444"/>
        <v/>
      </c>
      <c r="AE3354" s="32" t="str">
        <f t="shared" si="3444"/>
        <v/>
      </c>
      <c r="AF3354" s="32" t="str">
        <f t="shared" si="3444"/>
        <v/>
      </c>
      <c r="AG3354" s="32" t="str">
        <f t="shared" si="3444"/>
        <v/>
      </c>
      <c r="AH3354" s="33"/>
    </row>
    <row r="3355" hidden="1" outlineLevel="2">
      <c r="A3355" s="95" t="b">
        <v>0</v>
      </c>
      <c r="B3355" s="96"/>
      <c r="C3355" s="18"/>
      <c r="D3355" s="107"/>
      <c r="E3355" s="108"/>
      <c r="F3355" s="109"/>
      <c r="G3355" s="97"/>
      <c r="H3355" s="97"/>
      <c r="I3355" s="97"/>
      <c r="J3355" s="98"/>
      <c r="K3355" s="99"/>
      <c r="L3355" s="98"/>
      <c r="M3355" s="99"/>
      <c r="N3355" s="99"/>
      <c r="O3355" s="18"/>
      <c r="P3355" s="100" t="b">
        <v>0</v>
      </c>
      <c r="Q3355" s="18"/>
      <c r="R3355" s="101" t="str">
        <f t="shared" si="3377"/>
        <v/>
      </c>
      <c r="S3355" s="32"/>
      <c r="T3355" s="102" t="str">
        <f t="shared" si="3378"/>
        <v/>
      </c>
      <c r="U3355" s="18"/>
      <c r="V3355" s="103" t="str">
        <f t="shared" si="3442"/>
        <v>0</v>
      </c>
      <c r="W3355" s="104" t="str">
        <f t="shared" si="2828"/>
        <v>/</v>
      </c>
      <c r="X3355" s="111" t="s">
        <v>1976</v>
      </c>
      <c r="Y3355" s="106"/>
      <c r="Z3355" s="26" t="str">
        <f t="shared" si="5"/>
        <v/>
      </c>
      <c r="AA3355" s="26" t="str">
        <f t="shared" si="6"/>
        <v/>
      </c>
      <c r="AB3355" s="32" t="str">
        <f t="shared" si="7"/>
        <v/>
      </c>
      <c r="AC3355" s="32" t="str">
        <f t="shared" ref="AC3355:AG3355" si="3445">IF(J3355&lt;&gt;"", IF(AND($P3355=FALSE, $A3355=FALSE), -J3355, IF(AND($P3355=FALSE, $A3355=TRUE), 0, IF($P3355=TRUE, (J3355 / $R3355) * 100 * ($S3355 / 100)-J3355, ))), )</f>
        <v/>
      </c>
      <c r="AD3355" s="32" t="str">
        <f t="shared" si="3445"/>
        <v/>
      </c>
      <c r="AE3355" s="32" t="str">
        <f t="shared" si="3445"/>
        <v/>
      </c>
      <c r="AF3355" s="32" t="str">
        <f t="shared" si="3445"/>
        <v/>
      </c>
      <c r="AG3355" s="32" t="str">
        <f t="shared" si="3445"/>
        <v/>
      </c>
      <c r="AH3355" s="33"/>
    </row>
    <row r="3356" hidden="1" outlineLevel="1" collapsed="1">
      <c r="A3356" s="95" t="b">
        <v>0</v>
      </c>
      <c r="B3356" s="96"/>
      <c r="C3356" s="18"/>
      <c r="D3356" s="42">
        <v>45697.0</v>
      </c>
      <c r="E3356" s="20" t="s">
        <v>24</v>
      </c>
      <c r="F3356" s="53" t="s">
        <v>1973</v>
      </c>
      <c r="G3356" s="97">
        <v>1.0</v>
      </c>
      <c r="H3356" s="97"/>
      <c r="I3356" s="97">
        <v>1.5</v>
      </c>
      <c r="J3356" s="98"/>
      <c r="K3356" s="99"/>
      <c r="L3356" s="98"/>
      <c r="M3356" s="99"/>
      <c r="N3356" s="99"/>
      <c r="O3356" s="18"/>
      <c r="P3356" s="100" t="b">
        <v>0</v>
      </c>
      <c r="Q3356" s="18"/>
      <c r="R3356" s="101">
        <f t="shared" si="3377"/>
        <v>2.5</v>
      </c>
      <c r="S3356" s="32">
        <v>15.0</v>
      </c>
      <c r="T3356" s="102" t="str">
        <f t="shared" si="3378"/>
        <v>+500</v>
      </c>
      <c r="U3356" s="18"/>
      <c r="V3356" s="103" t="str">
        <f t="shared" si="3442"/>
        <v/>
      </c>
      <c r="W3356" s="104" t="str">
        <f t="shared" si="2828"/>
        <v/>
      </c>
      <c r="X3356" s="105"/>
      <c r="Y3356" s="106"/>
      <c r="Z3356" s="26">
        <f t="shared" si="5"/>
        <v>-1</v>
      </c>
      <c r="AA3356" s="26">
        <f t="shared" si="6"/>
        <v>-1.5</v>
      </c>
      <c r="AB3356" s="32" t="str">
        <f t="shared" si="7"/>
        <v/>
      </c>
      <c r="AC3356" s="32" t="str">
        <f t="shared" ref="AC3356:AG3356" si="3446">IF(J3356&lt;&gt;"", IF(AND($P3356=FALSE, $A3356=FALSE), -J3356, IF(AND($P3356=FALSE, $A3356=TRUE), 0, IF($P3356=TRUE, (J3356 / $R3356) * 100 * ($S3356 / 100)-J3356, ))), )</f>
        <v/>
      </c>
      <c r="AD3356" s="32" t="str">
        <f t="shared" si="3446"/>
        <v/>
      </c>
      <c r="AE3356" s="32" t="str">
        <f t="shared" si="3446"/>
        <v/>
      </c>
      <c r="AF3356" s="32" t="str">
        <f t="shared" si="3446"/>
        <v/>
      </c>
      <c r="AG3356" s="32" t="str">
        <f t="shared" si="3446"/>
        <v/>
      </c>
      <c r="AH3356" s="33"/>
    </row>
    <row r="3357" hidden="1" outlineLevel="2">
      <c r="A3357" s="95" t="b">
        <v>0</v>
      </c>
      <c r="B3357" s="96"/>
      <c r="C3357" s="18"/>
      <c r="D3357" s="107"/>
      <c r="E3357" s="108"/>
      <c r="F3357" s="109"/>
      <c r="G3357" s="97"/>
      <c r="H3357" s="97"/>
      <c r="I3357" s="97"/>
      <c r="J3357" s="98"/>
      <c r="K3357" s="99"/>
      <c r="L3357" s="98"/>
      <c r="M3357" s="99"/>
      <c r="N3357" s="99"/>
      <c r="O3357" s="18"/>
      <c r="P3357" s="100" t="b">
        <v>0</v>
      </c>
      <c r="Q3357" s="18"/>
      <c r="R3357" s="101" t="str">
        <f t="shared" si="3377"/>
        <v/>
      </c>
      <c r="S3357" s="32"/>
      <c r="T3357" s="102" t="str">
        <f t="shared" si="3378"/>
        <v/>
      </c>
      <c r="U3357" s="18"/>
      <c r="V3357" s="113">
        <v>57.0</v>
      </c>
      <c r="W3357" s="104" t="str">
        <f t="shared" si="2828"/>
        <v>/</v>
      </c>
      <c r="X3357" s="111" t="s">
        <v>1977</v>
      </c>
      <c r="Y3357" s="106"/>
      <c r="Z3357" s="26" t="str">
        <f t="shared" si="5"/>
        <v/>
      </c>
      <c r="AA3357" s="26" t="str">
        <f t="shared" si="6"/>
        <v/>
      </c>
      <c r="AB3357" s="32" t="str">
        <f t="shared" si="7"/>
        <v/>
      </c>
      <c r="AC3357" s="32" t="str">
        <f t="shared" ref="AC3357:AG3357" si="3447">IF(J3357&lt;&gt;"", IF(AND($P3357=FALSE, $A3357=FALSE), -J3357, IF(AND($P3357=FALSE, $A3357=TRUE), 0, IF($P3357=TRUE, (J3357 / $R3357) * 100 * ($S3357 / 100)-J3357, ))), )</f>
        <v/>
      </c>
      <c r="AD3357" s="32" t="str">
        <f t="shared" si="3447"/>
        <v/>
      </c>
      <c r="AE3357" s="32" t="str">
        <f t="shared" si="3447"/>
        <v/>
      </c>
      <c r="AF3357" s="32" t="str">
        <f t="shared" si="3447"/>
        <v/>
      </c>
      <c r="AG3357" s="32" t="str">
        <f t="shared" si="3447"/>
        <v/>
      </c>
      <c r="AH3357" s="33"/>
    </row>
    <row r="3358" hidden="1" outlineLevel="1" collapsed="1">
      <c r="A3358" s="95" t="b">
        <v>0</v>
      </c>
      <c r="B3358" s="96"/>
      <c r="C3358" s="18"/>
      <c r="D3358" s="42">
        <v>45697.0</v>
      </c>
      <c r="E3358" s="20" t="s">
        <v>24</v>
      </c>
      <c r="F3358" s="53" t="s">
        <v>1973</v>
      </c>
      <c r="G3358" s="97">
        <v>1.0</v>
      </c>
      <c r="H3358" s="97"/>
      <c r="I3358" s="97">
        <v>2.0</v>
      </c>
      <c r="J3358" s="98"/>
      <c r="K3358" s="99"/>
      <c r="L3358" s="98"/>
      <c r="M3358" s="99"/>
      <c r="N3358" s="99"/>
      <c r="O3358" s="18"/>
      <c r="P3358" s="100" t="b">
        <v>1</v>
      </c>
      <c r="Q3358" s="18"/>
      <c r="R3358" s="101">
        <f t="shared" si="3377"/>
        <v>3</v>
      </c>
      <c r="S3358" s="32">
        <v>5.88</v>
      </c>
      <c r="T3358" s="102">
        <f t="shared" si="3378"/>
        <v>-104</v>
      </c>
      <c r="U3358" s="18"/>
      <c r="V3358" s="103" t="str">
        <f>IF(ISBLANK($D3358), "0",)</f>
        <v/>
      </c>
      <c r="W3358" s="104" t="str">
        <f t="shared" si="2828"/>
        <v/>
      </c>
      <c r="X3358" s="105"/>
      <c r="Y3358" s="106"/>
      <c r="Z3358" s="26">
        <f t="shared" si="5"/>
        <v>0.96</v>
      </c>
      <c r="AA3358" s="26">
        <f t="shared" si="6"/>
        <v>1.92</v>
      </c>
      <c r="AB3358" s="32" t="str">
        <f t="shared" si="7"/>
        <v/>
      </c>
      <c r="AC3358" s="32" t="str">
        <f t="shared" ref="AC3358:AG3358" si="3448">IF(J3358&lt;&gt;"", IF(AND($P3358=FALSE, $A3358=FALSE), -J3358, IF(AND($P3358=FALSE, $A3358=TRUE), 0, IF($P3358=TRUE, (J3358 / $R3358) * 100 * ($S3358 / 100)-J3358, ))), )</f>
        <v/>
      </c>
      <c r="AD3358" s="32" t="str">
        <f t="shared" si="3448"/>
        <v/>
      </c>
      <c r="AE3358" s="32" t="str">
        <f t="shared" si="3448"/>
        <v/>
      </c>
      <c r="AF3358" s="32" t="str">
        <f t="shared" si="3448"/>
        <v/>
      </c>
      <c r="AG3358" s="32" t="str">
        <f t="shared" si="3448"/>
        <v/>
      </c>
      <c r="AH3358" s="33"/>
    </row>
    <row r="3359" hidden="1" outlineLevel="2">
      <c r="A3359" s="95" t="b">
        <v>0</v>
      </c>
      <c r="B3359" s="96"/>
      <c r="C3359" s="18"/>
      <c r="D3359" s="107"/>
      <c r="E3359" s="108"/>
      <c r="F3359" s="109"/>
      <c r="G3359" s="97"/>
      <c r="H3359" s="97"/>
      <c r="I3359" s="97"/>
      <c r="J3359" s="98"/>
      <c r="K3359" s="99"/>
      <c r="L3359" s="98"/>
      <c r="M3359" s="99"/>
      <c r="N3359" s="99"/>
      <c r="O3359" s="18"/>
      <c r="P3359" s="100" t="b">
        <v>0</v>
      </c>
      <c r="Q3359" s="18"/>
      <c r="R3359" s="101" t="str">
        <f t="shared" si="3377"/>
        <v/>
      </c>
      <c r="S3359" s="32"/>
      <c r="T3359" s="102" t="str">
        <f t="shared" si="3378"/>
        <v/>
      </c>
      <c r="U3359" s="18"/>
      <c r="V3359" s="116" t="s">
        <v>29</v>
      </c>
      <c r="W3359" s="104" t="str">
        <f t="shared" si="2828"/>
        <v>/</v>
      </c>
      <c r="X3359" s="111" t="s">
        <v>1978</v>
      </c>
      <c r="Y3359" s="106"/>
      <c r="Z3359" s="26" t="str">
        <f t="shared" si="5"/>
        <v/>
      </c>
      <c r="AA3359" s="26" t="str">
        <f t="shared" si="6"/>
        <v/>
      </c>
      <c r="AB3359" s="32" t="str">
        <f t="shared" si="7"/>
        <v/>
      </c>
      <c r="AC3359" s="32" t="str">
        <f t="shared" ref="AC3359:AG3359" si="3449">IF(J3359&lt;&gt;"", IF(AND($P3359=FALSE, $A3359=FALSE), -J3359, IF(AND($P3359=FALSE, $A3359=TRUE), 0, IF($P3359=TRUE, (J3359 / $R3359) * 100 * ($S3359 / 100)-J3359, ))), )</f>
        <v/>
      </c>
      <c r="AD3359" s="32" t="str">
        <f t="shared" si="3449"/>
        <v/>
      </c>
      <c r="AE3359" s="32" t="str">
        <f t="shared" si="3449"/>
        <v/>
      </c>
      <c r="AF3359" s="32" t="str">
        <f t="shared" si="3449"/>
        <v/>
      </c>
      <c r="AG3359" s="32" t="str">
        <f t="shared" si="3449"/>
        <v/>
      </c>
      <c r="AH3359" s="33"/>
    </row>
    <row r="3360" hidden="1" outlineLevel="1" collapsed="1">
      <c r="A3360" s="95" t="b">
        <v>0</v>
      </c>
      <c r="B3360" s="96"/>
      <c r="C3360" s="18"/>
      <c r="D3360" s="42">
        <v>45697.0</v>
      </c>
      <c r="E3360" s="20" t="s">
        <v>24</v>
      </c>
      <c r="F3360" s="53" t="s">
        <v>1973</v>
      </c>
      <c r="G3360" s="97">
        <v>1.0</v>
      </c>
      <c r="H3360" s="97"/>
      <c r="I3360" s="97">
        <v>2.0</v>
      </c>
      <c r="J3360" s="98"/>
      <c r="K3360" s="99"/>
      <c r="L3360" s="98"/>
      <c r="M3360" s="99"/>
      <c r="N3360" s="99"/>
      <c r="O3360" s="18"/>
      <c r="P3360" s="100" t="b">
        <v>0</v>
      </c>
      <c r="Q3360" s="18"/>
      <c r="R3360" s="101">
        <f t="shared" si="3377"/>
        <v>3</v>
      </c>
      <c r="S3360" s="32">
        <v>228.0</v>
      </c>
      <c r="T3360" s="102" t="str">
        <f t="shared" si="3378"/>
        <v>+7500</v>
      </c>
      <c r="U3360" s="18"/>
      <c r="V3360" s="103" t="str">
        <f t="shared" ref="V3360:V3362" si="3451">IF(ISBLANK($D3360), "0",)</f>
        <v/>
      </c>
      <c r="W3360" s="104" t="str">
        <f t="shared" si="2828"/>
        <v/>
      </c>
      <c r="X3360" s="105"/>
      <c r="Y3360" s="106"/>
      <c r="Z3360" s="26">
        <f t="shared" si="5"/>
        <v>-1</v>
      </c>
      <c r="AA3360" s="26">
        <f t="shared" si="6"/>
        <v>-2</v>
      </c>
      <c r="AB3360" s="32" t="str">
        <f t="shared" si="7"/>
        <v/>
      </c>
      <c r="AC3360" s="32" t="str">
        <f t="shared" ref="AC3360:AG3360" si="3450">IF(J3360&lt;&gt;"", IF(AND($P3360=FALSE, $A3360=FALSE), -J3360, IF(AND($P3360=FALSE, $A3360=TRUE), 0, IF($P3360=TRUE, (J3360 / $R3360) * 100 * ($S3360 / 100)-J3360, ))), )</f>
        <v/>
      </c>
      <c r="AD3360" s="32" t="str">
        <f t="shared" si="3450"/>
        <v/>
      </c>
      <c r="AE3360" s="32" t="str">
        <f t="shared" si="3450"/>
        <v/>
      </c>
      <c r="AF3360" s="32" t="str">
        <f t="shared" si="3450"/>
        <v/>
      </c>
      <c r="AG3360" s="32" t="str">
        <f t="shared" si="3450"/>
        <v/>
      </c>
      <c r="AH3360" s="33"/>
    </row>
    <row r="3361" hidden="1" outlineLevel="2">
      <c r="A3361" s="95" t="b">
        <v>0</v>
      </c>
      <c r="B3361" s="96"/>
      <c r="C3361" s="18"/>
      <c r="D3361" s="107"/>
      <c r="E3361" s="108"/>
      <c r="F3361" s="109"/>
      <c r="G3361" s="97"/>
      <c r="H3361" s="97"/>
      <c r="I3361" s="97"/>
      <c r="J3361" s="98"/>
      <c r="K3361" s="99"/>
      <c r="L3361" s="98"/>
      <c r="M3361" s="99"/>
      <c r="N3361" s="99"/>
      <c r="O3361" s="18"/>
      <c r="P3361" s="100" t="b">
        <v>0</v>
      </c>
      <c r="Q3361" s="18"/>
      <c r="R3361" s="101" t="str">
        <f t="shared" si="3377"/>
        <v/>
      </c>
      <c r="S3361" s="32"/>
      <c r="T3361" s="102" t="str">
        <f t="shared" si="3378"/>
        <v/>
      </c>
      <c r="U3361" s="18"/>
      <c r="V3361" s="103" t="str">
        <f t="shared" si="3451"/>
        <v>0</v>
      </c>
      <c r="W3361" s="104" t="str">
        <f t="shared" si="2828"/>
        <v>/</v>
      </c>
      <c r="X3361" s="111" t="s">
        <v>1979</v>
      </c>
      <c r="Y3361" s="106"/>
      <c r="Z3361" s="26" t="str">
        <f t="shared" si="5"/>
        <v/>
      </c>
      <c r="AA3361" s="26" t="str">
        <f t="shared" si="6"/>
        <v/>
      </c>
      <c r="AB3361" s="32" t="str">
        <f t="shared" si="7"/>
        <v/>
      </c>
      <c r="AC3361" s="32" t="str">
        <f t="shared" ref="AC3361:AG3361" si="3452">IF(J3361&lt;&gt;"", IF(AND($P3361=FALSE, $A3361=FALSE), -J3361, IF(AND($P3361=FALSE, $A3361=TRUE), 0, IF($P3361=TRUE, (J3361 / $R3361) * 100 * ($S3361 / 100)-J3361, ))), )</f>
        <v/>
      </c>
      <c r="AD3361" s="32" t="str">
        <f t="shared" si="3452"/>
        <v/>
      </c>
      <c r="AE3361" s="32" t="str">
        <f t="shared" si="3452"/>
        <v/>
      </c>
      <c r="AF3361" s="32" t="str">
        <f t="shared" si="3452"/>
        <v/>
      </c>
      <c r="AG3361" s="32" t="str">
        <f t="shared" si="3452"/>
        <v/>
      </c>
      <c r="AH3361" s="33"/>
    </row>
    <row r="3362" hidden="1" outlineLevel="2">
      <c r="A3362" s="95" t="b">
        <v>0</v>
      </c>
      <c r="B3362" s="96"/>
      <c r="C3362" s="18"/>
      <c r="D3362" s="107"/>
      <c r="E3362" s="108"/>
      <c r="F3362" s="109"/>
      <c r="G3362" s="97"/>
      <c r="H3362" s="97"/>
      <c r="I3362" s="97"/>
      <c r="J3362" s="98"/>
      <c r="K3362" s="99"/>
      <c r="L3362" s="98"/>
      <c r="M3362" s="99"/>
      <c r="N3362" s="99"/>
      <c r="O3362" s="18"/>
      <c r="P3362" s="100" t="b">
        <v>0</v>
      </c>
      <c r="Q3362" s="18"/>
      <c r="R3362" s="101" t="str">
        <f t="shared" si="3377"/>
        <v/>
      </c>
      <c r="S3362" s="32"/>
      <c r="T3362" s="102" t="str">
        <f t="shared" si="3378"/>
        <v/>
      </c>
      <c r="U3362" s="18"/>
      <c r="V3362" s="103" t="str">
        <f t="shared" si="3451"/>
        <v>0</v>
      </c>
      <c r="W3362" s="104" t="str">
        <f t="shared" si="2828"/>
        <v>/</v>
      </c>
      <c r="X3362" s="111" t="s">
        <v>1980</v>
      </c>
      <c r="Y3362" s="106"/>
      <c r="Z3362" s="26" t="str">
        <f t="shared" si="5"/>
        <v/>
      </c>
      <c r="AA3362" s="26" t="str">
        <f t="shared" si="6"/>
        <v/>
      </c>
      <c r="AB3362" s="32" t="str">
        <f t="shared" si="7"/>
        <v/>
      </c>
      <c r="AC3362" s="32" t="str">
        <f t="shared" ref="AC3362:AG3362" si="3453">IF(J3362&lt;&gt;"", IF(AND($P3362=FALSE, $A3362=FALSE), -J3362, IF(AND($P3362=FALSE, $A3362=TRUE), 0, IF($P3362=TRUE, (J3362 / $R3362) * 100 * ($S3362 / 100)-J3362, ))), )</f>
        <v/>
      </c>
      <c r="AD3362" s="32" t="str">
        <f t="shared" si="3453"/>
        <v/>
      </c>
      <c r="AE3362" s="32" t="str">
        <f t="shared" si="3453"/>
        <v/>
      </c>
      <c r="AF3362" s="32" t="str">
        <f t="shared" si="3453"/>
        <v/>
      </c>
      <c r="AG3362" s="32" t="str">
        <f t="shared" si="3453"/>
        <v/>
      </c>
      <c r="AH3362" s="33"/>
    </row>
    <row r="3363" hidden="1" outlineLevel="2">
      <c r="A3363" s="95" t="b">
        <v>0</v>
      </c>
      <c r="B3363" s="96"/>
      <c r="C3363" s="18"/>
      <c r="D3363" s="107"/>
      <c r="E3363" s="108"/>
      <c r="F3363" s="109"/>
      <c r="G3363" s="97"/>
      <c r="H3363" s="97"/>
      <c r="I3363" s="97"/>
      <c r="J3363" s="98"/>
      <c r="K3363" s="99"/>
      <c r="L3363" s="98"/>
      <c r="M3363" s="99"/>
      <c r="N3363" s="99"/>
      <c r="O3363" s="18"/>
      <c r="P3363" s="100" t="b">
        <v>0</v>
      </c>
      <c r="Q3363" s="18"/>
      <c r="R3363" s="101" t="str">
        <f t="shared" si="3377"/>
        <v/>
      </c>
      <c r="S3363" s="32"/>
      <c r="T3363" s="102" t="str">
        <f t="shared" si="3378"/>
        <v/>
      </c>
      <c r="U3363" s="18"/>
      <c r="V3363" s="116" t="s">
        <v>29</v>
      </c>
      <c r="W3363" s="104" t="str">
        <f t="shared" si="2828"/>
        <v>/</v>
      </c>
      <c r="X3363" s="111" t="s">
        <v>1981</v>
      </c>
      <c r="Y3363" s="106"/>
      <c r="Z3363" s="26" t="str">
        <f t="shared" si="5"/>
        <v/>
      </c>
      <c r="AA3363" s="26" t="str">
        <f t="shared" si="6"/>
        <v/>
      </c>
      <c r="AB3363" s="32" t="str">
        <f t="shared" si="7"/>
        <v/>
      </c>
      <c r="AC3363" s="32" t="str">
        <f t="shared" ref="AC3363:AG3363" si="3454">IF(J3363&lt;&gt;"", IF(AND($P3363=FALSE, $A3363=FALSE), -J3363, IF(AND($P3363=FALSE, $A3363=TRUE), 0, IF($P3363=TRUE, (J3363 / $R3363) * 100 * ($S3363 / 100)-J3363, ))), )</f>
        <v/>
      </c>
      <c r="AD3363" s="32" t="str">
        <f t="shared" si="3454"/>
        <v/>
      </c>
      <c r="AE3363" s="32" t="str">
        <f t="shared" si="3454"/>
        <v/>
      </c>
      <c r="AF3363" s="32" t="str">
        <f t="shared" si="3454"/>
        <v/>
      </c>
      <c r="AG3363" s="32" t="str">
        <f t="shared" si="3454"/>
        <v/>
      </c>
      <c r="AH3363" s="33"/>
    </row>
    <row r="3364" hidden="1" outlineLevel="2">
      <c r="A3364" s="95" t="b">
        <v>0</v>
      </c>
      <c r="B3364" s="96"/>
      <c r="C3364" s="18"/>
      <c r="D3364" s="107"/>
      <c r="E3364" s="108"/>
      <c r="F3364" s="109"/>
      <c r="G3364" s="97"/>
      <c r="H3364" s="97"/>
      <c r="I3364" s="97"/>
      <c r="J3364" s="98"/>
      <c r="K3364" s="99"/>
      <c r="L3364" s="98"/>
      <c r="M3364" s="99"/>
      <c r="N3364" s="99"/>
      <c r="O3364" s="18"/>
      <c r="P3364" s="100" t="b">
        <v>0</v>
      </c>
      <c r="Q3364" s="18"/>
      <c r="R3364" s="101" t="str">
        <f t="shared" si="3377"/>
        <v/>
      </c>
      <c r="S3364" s="32"/>
      <c r="T3364" s="102" t="str">
        <f t="shared" si="3378"/>
        <v/>
      </c>
      <c r="U3364" s="18"/>
      <c r="V3364" s="103" t="str">
        <f t="shared" ref="V3364:V3365" si="3456">IF(ISBLANK($D3364), "0",)</f>
        <v>0</v>
      </c>
      <c r="W3364" s="104" t="str">
        <f t="shared" si="2828"/>
        <v>/</v>
      </c>
      <c r="X3364" s="111" t="s">
        <v>1982</v>
      </c>
      <c r="Y3364" s="106"/>
      <c r="Z3364" s="26" t="str">
        <f t="shared" si="5"/>
        <v/>
      </c>
      <c r="AA3364" s="26" t="str">
        <f t="shared" si="6"/>
        <v/>
      </c>
      <c r="AB3364" s="32" t="str">
        <f t="shared" si="7"/>
        <v/>
      </c>
      <c r="AC3364" s="32" t="str">
        <f t="shared" ref="AC3364:AG3364" si="3455">IF(J3364&lt;&gt;"", IF(AND($P3364=FALSE, $A3364=FALSE), -J3364, IF(AND($P3364=FALSE, $A3364=TRUE), 0, IF($P3364=TRUE, (J3364 / $R3364) * 100 * ($S3364 / 100)-J3364, ))), )</f>
        <v/>
      </c>
      <c r="AD3364" s="32" t="str">
        <f t="shared" si="3455"/>
        <v/>
      </c>
      <c r="AE3364" s="32" t="str">
        <f t="shared" si="3455"/>
        <v/>
      </c>
      <c r="AF3364" s="32" t="str">
        <f t="shared" si="3455"/>
        <v/>
      </c>
      <c r="AG3364" s="32" t="str">
        <f t="shared" si="3455"/>
        <v/>
      </c>
      <c r="AH3364" s="33"/>
    </row>
    <row r="3365" hidden="1" outlineLevel="2">
      <c r="A3365" s="95" t="b">
        <v>0</v>
      </c>
      <c r="B3365" s="96"/>
      <c r="C3365" s="18"/>
      <c r="D3365" s="107"/>
      <c r="E3365" s="108"/>
      <c r="F3365" s="109"/>
      <c r="G3365" s="97"/>
      <c r="H3365" s="97"/>
      <c r="I3365" s="97"/>
      <c r="J3365" s="98"/>
      <c r="K3365" s="99"/>
      <c r="L3365" s="98"/>
      <c r="M3365" s="99"/>
      <c r="N3365" s="99"/>
      <c r="O3365" s="18"/>
      <c r="P3365" s="100" t="b">
        <v>0</v>
      </c>
      <c r="Q3365" s="18"/>
      <c r="R3365" s="101" t="str">
        <f t="shared" si="3377"/>
        <v/>
      </c>
      <c r="S3365" s="32"/>
      <c r="T3365" s="102" t="str">
        <f t="shared" si="3378"/>
        <v/>
      </c>
      <c r="U3365" s="18"/>
      <c r="V3365" s="103" t="str">
        <f t="shared" si="3456"/>
        <v>0</v>
      </c>
      <c r="W3365" s="104" t="str">
        <f t="shared" si="2828"/>
        <v>/</v>
      </c>
      <c r="X3365" s="111" t="s">
        <v>1983</v>
      </c>
      <c r="Y3365" s="106"/>
      <c r="Z3365" s="26" t="str">
        <f t="shared" si="5"/>
        <v/>
      </c>
      <c r="AA3365" s="26" t="str">
        <f t="shared" si="6"/>
        <v/>
      </c>
      <c r="AB3365" s="32" t="str">
        <f t="shared" si="7"/>
        <v/>
      </c>
      <c r="AC3365" s="32" t="str">
        <f t="shared" ref="AC3365:AG3365" si="3457">IF(J3365&lt;&gt;"", IF(AND($P3365=FALSE, $A3365=FALSE), -J3365, IF(AND($P3365=FALSE, $A3365=TRUE), 0, IF($P3365=TRUE, (J3365 / $R3365) * 100 * ($S3365 / 100)-J3365, ))), )</f>
        <v/>
      </c>
      <c r="AD3365" s="32" t="str">
        <f t="shared" si="3457"/>
        <v/>
      </c>
      <c r="AE3365" s="32" t="str">
        <f t="shared" si="3457"/>
        <v/>
      </c>
      <c r="AF3365" s="32" t="str">
        <f t="shared" si="3457"/>
        <v/>
      </c>
      <c r="AG3365" s="32" t="str">
        <f t="shared" si="3457"/>
        <v/>
      </c>
      <c r="AH3365" s="33"/>
    </row>
    <row r="3366" hidden="1" outlineLevel="2">
      <c r="A3366" s="95" t="b">
        <v>0</v>
      </c>
      <c r="B3366" s="96"/>
      <c r="C3366" s="18"/>
      <c r="D3366" s="107"/>
      <c r="E3366" s="108"/>
      <c r="F3366" s="109"/>
      <c r="G3366" s="97"/>
      <c r="H3366" s="97"/>
      <c r="I3366" s="97"/>
      <c r="J3366" s="98"/>
      <c r="K3366" s="99"/>
      <c r="L3366" s="98"/>
      <c r="M3366" s="99"/>
      <c r="N3366" s="99"/>
      <c r="O3366" s="18"/>
      <c r="P3366" s="100" t="b">
        <v>0</v>
      </c>
      <c r="Q3366" s="18"/>
      <c r="R3366" s="101" t="str">
        <f t="shared" si="3377"/>
        <v/>
      </c>
      <c r="S3366" s="32"/>
      <c r="T3366" s="102" t="str">
        <f t="shared" si="3378"/>
        <v/>
      </c>
      <c r="U3366" s="18"/>
      <c r="V3366" s="116" t="s">
        <v>29</v>
      </c>
      <c r="W3366" s="104" t="str">
        <f t="shared" si="2828"/>
        <v>/</v>
      </c>
      <c r="X3366" s="111" t="s">
        <v>1984</v>
      </c>
      <c r="Y3366" s="106"/>
      <c r="Z3366" s="26" t="str">
        <f t="shared" si="5"/>
        <v/>
      </c>
      <c r="AA3366" s="26" t="str">
        <f t="shared" si="6"/>
        <v/>
      </c>
      <c r="AB3366" s="32" t="str">
        <f t="shared" si="7"/>
        <v/>
      </c>
      <c r="AC3366" s="32" t="str">
        <f t="shared" ref="AC3366:AG3366" si="3458">IF(J3366&lt;&gt;"", IF(AND($P3366=FALSE, $A3366=FALSE), -J3366, IF(AND($P3366=FALSE, $A3366=TRUE), 0, IF($P3366=TRUE, (J3366 / $R3366) * 100 * ($S3366 / 100)-J3366, ))), )</f>
        <v/>
      </c>
      <c r="AD3366" s="32" t="str">
        <f t="shared" si="3458"/>
        <v/>
      </c>
      <c r="AE3366" s="32" t="str">
        <f t="shared" si="3458"/>
        <v/>
      </c>
      <c r="AF3366" s="32" t="str">
        <f t="shared" si="3458"/>
        <v/>
      </c>
      <c r="AG3366" s="32" t="str">
        <f t="shared" si="3458"/>
        <v/>
      </c>
      <c r="AH3366" s="33"/>
    </row>
    <row r="3367" hidden="1" outlineLevel="2">
      <c r="A3367" s="95" t="b">
        <v>0</v>
      </c>
      <c r="B3367" s="96"/>
      <c r="C3367" s="18"/>
      <c r="D3367" s="107"/>
      <c r="E3367" s="108"/>
      <c r="F3367" s="109"/>
      <c r="G3367" s="97"/>
      <c r="H3367" s="97"/>
      <c r="I3367" s="97"/>
      <c r="J3367" s="98"/>
      <c r="K3367" s="99"/>
      <c r="L3367" s="98"/>
      <c r="M3367" s="99"/>
      <c r="N3367" s="99"/>
      <c r="O3367" s="18"/>
      <c r="P3367" s="100" t="b">
        <v>0</v>
      </c>
      <c r="Q3367" s="18"/>
      <c r="R3367" s="101" t="str">
        <f t="shared" si="3377"/>
        <v/>
      </c>
      <c r="S3367" s="32"/>
      <c r="T3367" s="102" t="str">
        <f t="shared" si="3378"/>
        <v/>
      </c>
      <c r="U3367" s="18"/>
      <c r="V3367" s="103" t="str">
        <f>IF(ISBLANK($D3367), "0",)</f>
        <v>0</v>
      </c>
      <c r="W3367" s="104" t="str">
        <f t="shared" si="2828"/>
        <v>/</v>
      </c>
      <c r="X3367" s="111" t="s">
        <v>1985</v>
      </c>
      <c r="Y3367" s="106"/>
      <c r="Z3367" s="26" t="str">
        <f t="shared" si="5"/>
        <v/>
      </c>
      <c r="AA3367" s="26" t="str">
        <f t="shared" si="6"/>
        <v/>
      </c>
      <c r="AB3367" s="32" t="str">
        <f t="shared" si="7"/>
        <v/>
      </c>
      <c r="AC3367" s="32" t="str">
        <f t="shared" ref="AC3367:AG3367" si="3459">IF(J3367&lt;&gt;"", IF(AND($P3367=FALSE, $A3367=FALSE), -J3367, IF(AND($P3367=FALSE, $A3367=TRUE), 0, IF($P3367=TRUE, (J3367 / $R3367) * 100 * ($S3367 / 100)-J3367, ))), )</f>
        <v/>
      </c>
      <c r="AD3367" s="32" t="str">
        <f t="shared" si="3459"/>
        <v/>
      </c>
      <c r="AE3367" s="32" t="str">
        <f t="shared" si="3459"/>
        <v/>
      </c>
      <c r="AF3367" s="32" t="str">
        <f t="shared" si="3459"/>
        <v/>
      </c>
      <c r="AG3367" s="32" t="str">
        <f t="shared" si="3459"/>
        <v/>
      </c>
      <c r="AH3367" s="33"/>
    </row>
    <row r="3368" hidden="1" outlineLevel="2">
      <c r="A3368" s="95" t="b">
        <v>0</v>
      </c>
      <c r="B3368" s="96"/>
      <c r="C3368" s="18"/>
      <c r="D3368" s="107"/>
      <c r="E3368" s="108"/>
      <c r="F3368" s="109"/>
      <c r="G3368" s="97"/>
      <c r="H3368" s="97"/>
      <c r="I3368" s="97"/>
      <c r="J3368" s="98"/>
      <c r="K3368" s="99"/>
      <c r="L3368" s="98"/>
      <c r="M3368" s="99"/>
      <c r="N3368" s="99"/>
      <c r="O3368" s="18"/>
      <c r="P3368" s="100" t="b">
        <v>0</v>
      </c>
      <c r="Q3368" s="18"/>
      <c r="R3368" s="101" t="str">
        <f t="shared" si="3377"/>
        <v/>
      </c>
      <c r="S3368" s="32"/>
      <c r="T3368" s="102" t="str">
        <f t="shared" si="3378"/>
        <v/>
      </c>
      <c r="U3368" s="18"/>
      <c r="V3368" s="116" t="s">
        <v>29</v>
      </c>
      <c r="W3368" s="104" t="str">
        <f t="shared" si="2828"/>
        <v>/</v>
      </c>
      <c r="X3368" s="111" t="s">
        <v>1986</v>
      </c>
      <c r="Y3368" s="106"/>
      <c r="Z3368" s="26" t="str">
        <f t="shared" si="5"/>
        <v/>
      </c>
      <c r="AA3368" s="26" t="str">
        <f t="shared" si="6"/>
        <v/>
      </c>
      <c r="AB3368" s="32" t="str">
        <f t="shared" si="7"/>
        <v/>
      </c>
      <c r="AC3368" s="32" t="str">
        <f t="shared" ref="AC3368:AG3368" si="3460">IF(J3368&lt;&gt;"", IF(AND($P3368=FALSE, $A3368=FALSE), -J3368, IF(AND($P3368=FALSE, $A3368=TRUE), 0, IF($P3368=TRUE, (J3368 / $R3368) * 100 * ($S3368 / 100)-J3368, ))), )</f>
        <v/>
      </c>
      <c r="AD3368" s="32" t="str">
        <f t="shared" si="3460"/>
        <v/>
      </c>
      <c r="AE3368" s="32" t="str">
        <f t="shared" si="3460"/>
        <v/>
      </c>
      <c r="AF3368" s="32" t="str">
        <f t="shared" si="3460"/>
        <v/>
      </c>
      <c r="AG3368" s="32" t="str">
        <f t="shared" si="3460"/>
        <v/>
      </c>
      <c r="AH3368" s="33"/>
    </row>
    <row r="3369" hidden="1" outlineLevel="1" collapsed="1">
      <c r="A3369" s="95" t="b">
        <v>0</v>
      </c>
      <c r="B3369" s="96"/>
      <c r="C3369" s="18"/>
      <c r="D3369" s="42">
        <v>45697.0</v>
      </c>
      <c r="E3369" s="20" t="s">
        <v>24</v>
      </c>
      <c r="F3369" s="53" t="s">
        <v>1973</v>
      </c>
      <c r="G3369" s="97">
        <v>1.0</v>
      </c>
      <c r="H3369" s="97"/>
      <c r="I3369" s="97">
        <v>4.0</v>
      </c>
      <c r="J3369" s="98"/>
      <c r="K3369" s="99"/>
      <c r="L3369" s="98"/>
      <c r="M3369" s="99"/>
      <c r="N3369" s="99"/>
      <c r="O3369" s="18"/>
      <c r="P3369" s="100" t="b">
        <v>0</v>
      </c>
      <c r="Q3369" s="18"/>
      <c r="R3369" s="101">
        <f t="shared" si="3377"/>
        <v>5</v>
      </c>
      <c r="S3369" s="32">
        <v>75.0</v>
      </c>
      <c r="T3369" s="102" t="str">
        <f t="shared" si="3378"/>
        <v>+1400</v>
      </c>
      <c r="U3369" s="18"/>
      <c r="V3369" s="103" t="str">
        <f t="shared" ref="V3369:V3371" si="3462">IF(ISBLANK($D3369), "0",)</f>
        <v/>
      </c>
      <c r="W3369" s="104" t="str">
        <f t="shared" si="2828"/>
        <v/>
      </c>
      <c r="X3369" s="105"/>
      <c r="Y3369" s="106"/>
      <c r="Z3369" s="26">
        <f t="shared" si="5"/>
        <v>-1</v>
      </c>
      <c r="AA3369" s="26">
        <f t="shared" si="6"/>
        <v>-4</v>
      </c>
      <c r="AB3369" s="32" t="str">
        <f t="shared" si="7"/>
        <v/>
      </c>
      <c r="AC3369" s="32" t="str">
        <f t="shared" ref="AC3369:AG3369" si="3461">IF(J3369&lt;&gt;"", IF(AND($P3369=FALSE, $A3369=FALSE), -J3369, IF(AND($P3369=FALSE, $A3369=TRUE), 0, IF($P3369=TRUE, (J3369 / $R3369) * 100 * ($S3369 / 100)-J3369, ))), )</f>
        <v/>
      </c>
      <c r="AD3369" s="32" t="str">
        <f t="shared" si="3461"/>
        <v/>
      </c>
      <c r="AE3369" s="32" t="str">
        <f t="shared" si="3461"/>
        <v/>
      </c>
      <c r="AF3369" s="32" t="str">
        <f t="shared" si="3461"/>
        <v/>
      </c>
      <c r="AG3369" s="32" t="str">
        <f t="shared" si="3461"/>
        <v/>
      </c>
      <c r="AH3369" s="33"/>
    </row>
    <row r="3370" hidden="1" outlineLevel="2">
      <c r="A3370" s="95" t="b">
        <v>0</v>
      </c>
      <c r="B3370" s="96"/>
      <c r="C3370" s="18"/>
      <c r="D3370" s="107"/>
      <c r="E3370" s="108"/>
      <c r="F3370" s="109"/>
      <c r="G3370" s="97"/>
      <c r="H3370" s="97"/>
      <c r="I3370" s="97"/>
      <c r="J3370" s="98"/>
      <c r="K3370" s="99"/>
      <c r="L3370" s="98"/>
      <c r="M3370" s="99"/>
      <c r="N3370" s="99"/>
      <c r="O3370" s="18"/>
      <c r="P3370" s="100" t="b">
        <v>0</v>
      </c>
      <c r="Q3370" s="18"/>
      <c r="R3370" s="101" t="str">
        <f t="shared" si="3377"/>
        <v/>
      </c>
      <c r="S3370" s="32"/>
      <c r="T3370" s="102" t="str">
        <f t="shared" si="3378"/>
        <v/>
      </c>
      <c r="U3370" s="18"/>
      <c r="V3370" s="103" t="str">
        <f t="shared" si="3462"/>
        <v>0</v>
      </c>
      <c r="W3370" s="104" t="str">
        <f t="shared" si="2828"/>
        <v>/</v>
      </c>
      <c r="X3370" s="111" t="s">
        <v>1987</v>
      </c>
      <c r="Y3370" s="106"/>
      <c r="Z3370" s="26" t="str">
        <f t="shared" si="5"/>
        <v/>
      </c>
      <c r="AA3370" s="26" t="str">
        <f t="shared" si="6"/>
        <v/>
      </c>
      <c r="AB3370" s="32" t="str">
        <f t="shared" si="7"/>
        <v/>
      </c>
      <c r="AC3370" s="32" t="str">
        <f t="shared" ref="AC3370:AG3370" si="3463">IF(J3370&lt;&gt;"", IF(AND($P3370=FALSE, $A3370=FALSE), -J3370, IF(AND($P3370=FALSE, $A3370=TRUE), 0, IF($P3370=TRUE, (J3370 / $R3370) * 100 * ($S3370 / 100)-J3370, ))), )</f>
        <v/>
      </c>
      <c r="AD3370" s="32" t="str">
        <f t="shared" si="3463"/>
        <v/>
      </c>
      <c r="AE3370" s="32" t="str">
        <f t="shared" si="3463"/>
        <v/>
      </c>
      <c r="AF3370" s="32" t="str">
        <f t="shared" si="3463"/>
        <v/>
      </c>
      <c r="AG3370" s="32" t="str">
        <f t="shared" si="3463"/>
        <v/>
      </c>
      <c r="AH3370" s="33"/>
    </row>
    <row r="3371" hidden="1" outlineLevel="2">
      <c r="A3371" s="95" t="b">
        <v>0</v>
      </c>
      <c r="B3371" s="96"/>
      <c r="C3371" s="18"/>
      <c r="D3371" s="107"/>
      <c r="E3371" s="108"/>
      <c r="F3371" s="109"/>
      <c r="G3371" s="97"/>
      <c r="H3371" s="97"/>
      <c r="I3371" s="97"/>
      <c r="J3371" s="98"/>
      <c r="K3371" s="99"/>
      <c r="L3371" s="98"/>
      <c r="M3371" s="99"/>
      <c r="N3371" s="99"/>
      <c r="O3371" s="18"/>
      <c r="P3371" s="100" t="b">
        <v>0</v>
      </c>
      <c r="Q3371" s="18"/>
      <c r="R3371" s="101" t="str">
        <f t="shared" si="3377"/>
        <v/>
      </c>
      <c r="S3371" s="32"/>
      <c r="T3371" s="102" t="str">
        <f t="shared" si="3378"/>
        <v/>
      </c>
      <c r="U3371" s="18"/>
      <c r="V3371" s="103" t="str">
        <f t="shared" si="3462"/>
        <v>0</v>
      </c>
      <c r="W3371" s="104" t="str">
        <f t="shared" si="2828"/>
        <v>/</v>
      </c>
      <c r="X3371" s="111" t="s">
        <v>1988</v>
      </c>
      <c r="Y3371" s="106"/>
      <c r="Z3371" s="26" t="str">
        <f t="shared" si="5"/>
        <v/>
      </c>
      <c r="AA3371" s="26" t="str">
        <f t="shared" si="6"/>
        <v/>
      </c>
      <c r="AB3371" s="32" t="str">
        <f t="shared" si="7"/>
        <v/>
      </c>
      <c r="AC3371" s="32" t="str">
        <f t="shared" ref="AC3371:AG3371" si="3464">IF(J3371&lt;&gt;"", IF(AND($P3371=FALSE, $A3371=FALSE), -J3371, IF(AND($P3371=FALSE, $A3371=TRUE), 0, IF($P3371=TRUE, (J3371 / $R3371) * 100 * ($S3371 / 100)-J3371, ))), )</f>
        <v/>
      </c>
      <c r="AD3371" s="32" t="str">
        <f t="shared" si="3464"/>
        <v/>
      </c>
      <c r="AE3371" s="32" t="str">
        <f t="shared" si="3464"/>
        <v/>
      </c>
      <c r="AF3371" s="32" t="str">
        <f t="shared" si="3464"/>
        <v/>
      </c>
      <c r="AG3371" s="32" t="str">
        <f t="shared" si="3464"/>
        <v/>
      </c>
      <c r="AH3371" s="33"/>
    </row>
    <row r="3372" hidden="1" outlineLevel="2">
      <c r="A3372" s="95" t="b">
        <v>0</v>
      </c>
      <c r="B3372" s="96"/>
      <c r="C3372" s="18"/>
      <c r="D3372" s="107"/>
      <c r="E3372" s="108"/>
      <c r="F3372" s="109"/>
      <c r="G3372" s="97"/>
      <c r="H3372" s="97"/>
      <c r="I3372" s="97"/>
      <c r="J3372" s="98"/>
      <c r="K3372" s="99"/>
      <c r="L3372" s="98"/>
      <c r="M3372" s="99"/>
      <c r="N3372" s="99"/>
      <c r="O3372" s="18"/>
      <c r="P3372" s="100" t="b">
        <v>0</v>
      </c>
      <c r="Q3372" s="18"/>
      <c r="R3372" s="101" t="str">
        <f t="shared" si="3377"/>
        <v/>
      </c>
      <c r="S3372" s="32"/>
      <c r="T3372" s="102" t="str">
        <f t="shared" si="3378"/>
        <v/>
      </c>
      <c r="U3372" s="18"/>
      <c r="V3372" s="116" t="s">
        <v>29</v>
      </c>
      <c r="W3372" s="104" t="str">
        <f t="shared" si="2828"/>
        <v>/</v>
      </c>
      <c r="X3372" s="111" t="s">
        <v>1989</v>
      </c>
      <c r="Y3372" s="106"/>
      <c r="Z3372" s="26" t="str">
        <f t="shared" si="5"/>
        <v/>
      </c>
      <c r="AA3372" s="26" t="str">
        <f t="shared" si="6"/>
        <v/>
      </c>
      <c r="AB3372" s="32" t="str">
        <f t="shared" si="7"/>
        <v/>
      </c>
      <c r="AC3372" s="32" t="str">
        <f t="shared" ref="AC3372:AG3372" si="3465">IF(J3372&lt;&gt;"", IF(AND($P3372=FALSE, $A3372=FALSE), -J3372, IF(AND($P3372=FALSE, $A3372=TRUE), 0, IF($P3372=TRUE, (J3372 / $R3372) * 100 * ($S3372 / 100)-J3372, ))), )</f>
        <v/>
      </c>
      <c r="AD3372" s="32" t="str">
        <f t="shared" si="3465"/>
        <v/>
      </c>
      <c r="AE3372" s="32" t="str">
        <f t="shared" si="3465"/>
        <v/>
      </c>
      <c r="AF3372" s="32" t="str">
        <f t="shared" si="3465"/>
        <v/>
      </c>
      <c r="AG3372" s="32" t="str">
        <f t="shared" si="3465"/>
        <v/>
      </c>
      <c r="AH3372" s="33"/>
    </row>
    <row r="3373" hidden="1" outlineLevel="2">
      <c r="A3373" s="95" t="b">
        <v>0</v>
      </c>
      <c r="B3373" s="96"/>
      <c r="C3373" s="18"/>
      <c r="D3373" s="107"/>
      <c r="E3373" s="108"/>
      <c r="F3373" s="109"/>
      <c r="G3373" s="97"/>
      <c r="H3373" s="97"/>
      <c r="I3373" s="97"/>
      <c r="J3373" s="98"/>
      <c r="K3373" s="99"/>
      <c r="L3373" s="98"/>
      <c r="M3373" s="99"/>
      <c r="N3373" s="99"/>
      <c r="O3373" s="18"/>
      <c r="P3373" s="100" t="b">
        <v>0</v>
      </c>
      <c r="Q3373" s="18"/>
      <c r="R3373" s="101" t="str">
        <f t="shared" si="3377"/>
        <v/>
      </c>
      <c r="S3373" s="32"/>
      <c r="T3373" s="102" t="str">
        <f t="shared" si="3378"/>
        <v/>
      </c>
      <c r="U3373" s="18"/>
      <c r="V3373" s="116" t="s">
        <v>29</v>
      </c>
      <c r="W3373" s="104" t="str">
        <f t="shared" si="2828"/>
        <v>/</v>
      </c>
      <c r="X3373" s="111" t="s">
        <v>1990</v>
      </c>
      <c r="Y3373" s="106"/>
      <c r="Z3373" s="26" t="str">
        <f t="shared" si="5"/>
        <v/>
      </c>
      <c r="AA3373" s="26" t="str">
        <f t="shared" si="6"/>
        <v/>
      </c>
      <c r="AB3373" s="32" t="str">
        <f t="shared" si="7"/>
        <v/>
      </c>
      <c r="AC3373" s="32" t="str">
        <f t="shared" ref="AC3373:AG3373" si="3466">IF(J3373&lt;&gt;"", IF(AND($P3373=FALSE, $A3373=FALSE), -J3373, IF(AND($P3373=FALSE, $A3373=TRUE), 0, IF($P3373=TRUE, (J3373 / $R3373) * 100 * ($S3373 / 100)-J3373, ))), )</f>
        <v/>
      </c>
      <c r="AD3373" s="32" t="str">
        <f t="shared" si="3466"/>
        <v/>
      </c>
      <c r="AE3373" s="32" t="str">
        <f t="shared" si="3466"/>
        <v/>
      </c>
      <c r="AF3373" s="32" t="str">
        <f t="shared" si="3466"/>
        <v/>
      </c>
      <c r="AG3373" s="32" t="str">
        <f t="shared" si="3466"/>
        <v/>
      </c>
      <c r="AH3373" s="33"/>
    </row>
    <row r="3374" hidden="1" outlineLevel="2">
      <c r="A3374" s="95" t="b">
        <v>0</v>
      </c>
      <c r="B3374" s="96"/>
      <c r="C3374" s="18"/>
      <c r="D3374" s="107"/>
      <c r="E3374" s="108"/>
      <c r="F3374" s="109"/>
      <c r="G3374" s="97"/>
      <c r="H3374" s="97"/>
      <c r="I3374" s="97"/>
      <c r="J3374" s="98"/>
      <c r="K3374" s="99"/>
      <c r="L3374" s="98"/>
      <c r="M3374" s="99"/>
      <c r="N3374" s="99"/>
      <c r="O3374" s="18"/>
      <c r="P3374" s="100" t="b">
        <v>0</v>
      </c>
      <c r="Q3374" s="18"/>
      <c r="R3374" s="101" t="str">
        <f t="shared" si="3377"/>
        <v/>
      </c>
      <c r="S3374" s="32"/>
      <c r="T3374" s="102" t="str">
        <f t="shared" si="3378"/>
        <v/>
      </c>
      <c r="U3374" s="18"/>
      <c r="V3374" s="116" t="s">
        <v>29</v>
      </c>
      <c r="W3374" s="104" t="str">
        <f t="shared" si="2828"/>
        <v>/</v>
      </c>
      <c r="X3374" s="111" t="s">
        <v>1991</v>
      </c>
      <c r="Y3374" s="106"/>
      <c r="Z3374" s="26" t="str">
        <f t="shared" si="5"/>
        <v/>
      </c>
      <c r="AA3374" s="26" t="str">
        <f t="shared" si="6"/>
        <v/>
      </c>
      <c r="AB3374" s="32" t="str">
        <f t="shared" si="7"/>
        <v/>
      </c>
      <c r="AC3374" s="32" t="str">
        <f t="shared" ref="AC3374:AG3374" si="3467">IF(J3374&lt;&gt;"", IF(AND($P3374=FALSE, $A3374=FALSE), -J3374, IF(AND($P3374=FALSE, $A3374=TRUE), 0, IF($P3374=TRUE, (J3374 / $R3374) * 100 * ($S3374 / 100)-J3374, ))), )</f>
        <v/>
      </c>
      <c r="AD3374" s="32" t="str">
        <f t="shared" si="3467"/>
        <v/>
      </c>
      <c r="AE3374" s="32" t="str">
        <f t="shared" si="3467"/>
        <v/>
      </c>
      <c r="AF3374" s="32" t="str">
        <f t="shared" si="3467"/>
        <v/>
      </c>
      <c r="AG3374" s="32" t="str">
        <f t="shared" si="3467"/>
        <v/>
      </c>
      <c r="AH3374" s="33"/>
    </row>
    <row r="3375" hidden="1" outlineLevel="2">
      <c r="A3375" s="95" t="b">
        <v>0</v>
      </c>
      <c r="B3375" s="96"/>
      <c r="C3375" s="18"/>
      <c r="D3375" s="107"/>
      <c r="E3375" s="108"/>
      <c r="F3375" s="109"/>
      <c r="G3375" s="97"/>
      <c r="H3375" s="97"/>
      <c r="I3375" s="97"/>
      <c r="J3375" s="98"/>
      <c r="K3375" s="99"/>
      <c r="L3375" s="98"/>
      <c r="M3375" s="99"/>
      <c r="N3375" s="99"/>
      <c r="O3375" s="18"/>
      <c r="P3375" s="100" t="b">
        <v>0</v>
      </c>
      <c r="Q3375" s="18"/>
      <c r="R3375" s="101" t="str">
        <f t="shared" si="3377"/>
        <v/>
      </c>
      <c r="S3375" s="32"/>
      <c r="T3375" s="102" t="str">
        <f t="shared" si="3378"/>
        <v/>
      </c>
      <c r="U3375" s="18"/>
      <c r="V3375" s="103" t="str">
        <f>IF(ISBLANK($D3375), "0",)</f>
        <v>0</v>
      </c>
      <c r="W3375" s="104" t="str">
        <f t="shared" si="2828"/>
        <v>/</v>
      </c>
      <c r="X3375" s="111" t="s">
        <v>1992</v>
      </c>
      <c r="Y3375" s="106"/>
      <c r="Z3375" s="26" t="str">
        <f t="shared" si="5"/>
        <v/>
      </c>
      <c r="AA3375" s="26" t="str">
        <f t="shared" si="6"/>
        <v/>
      </c>
      <c r="AB3375" s="32" t="str">
        <f t="shared" si="7"/>
        <v/>
      </c>
      <c r="AC3375" s="32" t="str">
        <f t="shared" ref="AC3375:AG3375" si="3468">IF(J3375&lt;&gt;"", IF(AND($P3375=FALSE, $A3375=FALSE), -J3375, IF(AND($P3375=FALSE, $A3375=TRUE), 0, IF($P3375=TRUE, (J3375 / $R3375) * 100 * ($S3375 / 100)-J3375, ))), )</f>
        <v/>
      </c>
      <c r="AD3375" s="32" t="str">
        <f t="shared" si="3468"/>
        <v/>
      </c>
      <c r="AE3375" s="32" t="str">
        <f t="shared" si="3468"/>
        <v/>
      </c>
      <c r="AF3375" s="32" t="str">
        <f t="shared" si="3468"/>
        <v/>
      </c>
      <c r="AG3375" s="32" t="str">
        <f t="shared" si="3468"/>
        <v/>
      </c>
      <c r="AH3375" s="33"/>
    </row>
    <row r="3376" hidden="1" outlineLevel="2">
      <c r="A3376" s="95" t="b">
        <v>0</v>
      </c>
      <c r="B3376" s="96"/>
      <c r="C3376" s="18"/>
      <c r="D3376" s="107"/>
      <c r="E3376" s="108"/>
      <c r="F3376" s="109"/>
      <c r="G3376" s="97"/>
      <c r="H3376" s="97"/>
      <c r="I3376" s="97"/>
      <c r="J3376" s="98"/>
      <c r="K3376" s="99"/>
      <c r="L3376" s="98"/>
      <c r="M3376" s="99"/>
      <c r="N3376" s="99"/>
      <c r="O3376" s="18"/>
      <c r="P3376" s="100" t="b">
        <v>0</v>
      </c>
      <c r="Q3376" s="18"/>
      <c r="R3376" s="101" t="str">
        <f t="shared" si="3377"/>
        <v/>
      </c>
      <c r="S3376" s="32"/>
      <c r="T3376" s="102" t="str">
        <f t="shared" si="3378"/>
        <v/>
      </c>
      <c r="U3376" s="18"/>
      <c r="V3376" s="116" t="s">
        <v>29</v>
      </c>
      <c r="W3376" s="104" t="str">
        <f t="shared" si="2828"/>
        <v>/</v>
      </c>
      <c r="X3376" s="111" t="s">
        <v>1993</v>
      </c>
      <c r="Y3376" s="106"/>
      <c r="Z3376" s="26" t="str">
        <f t="shared" si="5"/>
        <v/>
      </c>
      <c r="AA3376" s="26" t="str">
        <f t="shared" si="6"/>
        <v/>
      </c>
      <c r="AB3376" s="32" t="str">
        <f t="shared" si="7"/>
        <v/>
      </c>
      <c r="AC3376" s="32" t="str">
        <f t="shared" ref="AC3376:AG3376" si="3469">IF(J3376&lt;&gt;"", IF(AND($P3376=FALSE, $A3376=FALSE), -J3376, IF(AND($P3376=FALSE, $A3376=TRUE), 0, IF($P3376=TRUE, (J3376 / $R3376) * 100 * ($S3376 / 100)-J3376, ))), )</f>
        <v/>
      </c>
      <c r="AD3376" s="32" t="str">
        <f t="shared" si="3469"/>
        <v/>
      </c>
      <c r="AE3376" s="32" t="str">
        <f t="shared" si="3469"/>
        <v/>
      </c>
      <c r="AF3376" s="32" t="str">
        <f t="shared" si="3469"/>
        <v/>
      </c>
      <c r="AG3376" s="32" t="str">
        <f t="shared" si="3469"/>
        <v/>
      </c>
      <c r="AH3376" s="33"/>
    </row>
    <row r="3377" hidden="1" outlineLevel="2">
      <c r="A3377" s="95" t="b">
        <v>0</v>
      </c>
      <c r="B3377" s="96"/>
      <c r="C3377" s="18"/>
      <c r="D3377" s="107"/>
      <c r="E3377" s="108"/>
      <c r="F3377" s="109"/>
      <c r="G3377" s="97"/>
      <c r="H3377" s="97"/>
      <c r="I3377" s="97"/>
      <c r="J3377" s="98"/>
      <c r="K3377" s="99"/>
      <c r="L3377" s="98"/>
      <c r="M3377" s="99"/>
      <c r="N3377" s="99"/>
      <c r="O3377" s="18"/>
      <c r="P3377" s="100" t="b">
        <v>0</v>
      </c>
      <c r="Q3377" s="18"/>
      <c r="R3377" s="101" t="str">
        <f t="shared" si="3377"/>
        <v/>
      </c>
      <c r="S3377" s="32"/>
      <c r="T3377" s="102" t="str">
        <f t="shared" si="3378"/>
        <v/>
      </c>
      <c r="U3377" s="18"/>
      <c r="V3377" s="116" t="s">
        <v>29</v>
      </c>
      <c r="W3377" s="104" t="str">
        <f t="shared" si="2828"/>
        <v>/</v>
      </c>
      <c r="X3377" s="111" t="s">
        <v>1994</v>
      </c>
      <c r="Y3377" s="106"/>
      <c r="Z3377" s="26" t="str">
        <f t="shared" si="5"/>
        <v/>
      </c>
      <c r="AA3377" s="26" t="str">
        <f t="shared" si="6"/>
        <v/>
      </c>
      <c r="AB3377" s="32" t="str">
        <f t="shared" si="7"/>
        <v/>
      </c>
      <c r="AC3377" s="32" t="str">
        <f t="shared" ref="AC3377:AG3377" si="3470">IF(J3377&lt;&gt;"", IF(AND($P3377=FALSE, $A3377=FALSE), -J3377, IF(AND($P3377=FALSE, $A3377=TRUE), 0, IF($P3377=TRUE, (J3377 / $R3377) * 100 * ($S3377 / 100)-J3377, ))), )</f>
        <v/>
      </c>
      <c r="AD3377" s="32" t="str">
        <f t="shared" si="3470"/>
        <v/>
      </c>
      <c r="AE3377" s="32" t="str">
        <f t="shared" si="3470"/>
        <v/>
      </c>
      <c r="AF3377" s="32" t="str">
        <f t="shared" si="3470"/>
        <v/>
      </c>
      <c r="AG3377" s="32" t="str">
        <f t="shared" si="3470"/>
        <v/>
      </c>
      <c r="AH3377" s="33"/>
    </row>
    <row r="3378" hidden="1" outlineLevel="1" collapsed="1">
      <c r="A3378" s="95" t="b">
        <v>0</v>
      </c>
      <c r="B3378" s="96"/>
      <c r="C3378" s="18"/>
      <c r="D3378" s="42">
        <v>45697.0</v>
      </c>
      <c r="E3378" s="20" t="s">
        <v>24</v>
      </c>
      <c r="F3378" s="53" t="s">
        <v>1973</v>
      </c>
      <c r="G3378" s="97">
        <v>1.0</v>
      </c>
      <c r="H3378" s="97"/>
      <c r="I3378" s="97">
        <v>1.0</v>
      </c>
      <c r="J3378" s="98"/>
      <c r="K3378" s="99"/>
      <c r="L3378" s="98"/>
      <c r="M3378" s="99"/>
      <c r="N3378" s="99"/>
      <c r="O3378" s="18"/>
      <c r="P3378" s="100" t="b">
        <v>0</v>
      </c>
      <c r="Q3378" s="18"/>
      <c r="R3378" s="101">
        <f t="shared" si="3377"/>
        <v>2</v>
      </c>
      <c r="S3378" s="32">
        <v>7.8</v>
      </c>
      <c r="T3378" s="102" t="str">
        <f t="shared" si="3378"/>
        <v>+290</v>
      </c>
      <c r="U3378" s="18"/>
      <c r="V3378" s="103" t="str">
        <f>IF(ISBLANK($D3378), "0",)</f>
        <v/>
      </c>
      <c r="W3378" s="104" t="str">
        <f t="shared" si="2828"/>
        <v/>
      </c>
      <c r="X3378" s="105"/>
      <c r="Y3378" s="106"/>
      <c r="Z3378" s="26">
        <f t="shared" si="5"/>
        <v>-1</v>
      </c>
      <c r="AA3378" s="26">
        <f t="shared" si="6"/>
        <v>-1</v>
      </c>
      <c r="AB3378" s="32" t="str">
        <f t="shared" si="7"/>
        <v/>
      </c>
      <c r="AC3378" s="32" t="str">
        <f t="shared" ref="AC3378:AG3378" si="3471">IF(J3378&lt;&gt;"", IF(AND($P3378=FALSE, $A3378=FALSE), -J3378, IF(AND($P3378=FALSE, $A3378=TRUE), 0, IF($P3378=TRUE, (J3378 / $R3378) * 100 * ($S3378 / 100)-J3378, ))), )</f>
        <v/>
      </c>
      <c r="AD3378" s="32" t="str">
        <f t="shared" si="3471"/>
        <v/>
      </c>
      <c r="AE3378" s="32" t="str">
        <f t="shared" si="3471"/>
        <v/>
      </c>
      <c r="AF3378" s="32" t="str">
        <f t="shared" si="3471"/>
        <v/>
      </c>
      <c r="AG3378" s="32" t="str">
        <f t="shared" si="3471"/>
        <v/>
      </c>
      <c r="AH3378" s="33"/>
    </row>
    <row r="3379" hidden="1" outlineLevel="2">
      <c r="A3379" s="95" t="b">
        <v>0</v>
      </c>
      <c r="B3379" s="96"/>
      <c r="C3379" s="18"/>
      <c r="D3379" s="107"/>
      <c r="E3379" s="108"/>
      <c r="F3379" s="109"/>
      <c r="G3379" s="97"/>
      <c r="H3379" s="97"/>
      <c r="I3379" s="97"/>
      <c r="J3379" s="98"/>
      <c r="K3379" s="99"/>
      <c r="L3379" s="98"/>
      <c r="M3379" s="99"/>
      <c r="N3379" s="99"/>
      <c r="O3379" s="18"/>
      <c r="P3379" s="100" t="b">
        <v>0</v>
      </c>
      <c r="Q3379" s="18"/>
      <c r="R3379" s="101" t="str">
        <f t="shared" si="3377"/>
        <v/>
      </c>
      <c r="S3379" s="32"/>
      <c r="T3379" s="102" t="str">
        <f t="shared" si="3378"/>
        <v/>
      </c>
      <c r="U3379" s="18"/>
      <c r="V3379" s="113">
        <v>3.0</v>
      </c>
      <c r="W3379" s="104" t="str">
        <f t="shared" si="2828"/>
        <v>/</v>
      </c>
      <c r="X3379" s="111" t="s">
        <v>1995</v>
      </c>
      <c r="Y3379" s="106"/>
      <c r="Z3379" s="26" t="str">
        <f t="shared" si="5"/>
        <v/>
      </c>
      <c r="AA3379" s="26" t="str">
        <f t="shared" si="6"/>
        <v/>
      </c>
      <c r="AB3379" s="32" t="str">
        <f t="shared" si="7"/>
        <v/>
      </c>
      <c r="AC3379" s="32" t="str">
        <f t="shared" ref="AC3379:AG3379" si="3472">IF(J3379&lt;&gt;"", IF(AND($P3379=FALSE, $A3379=FALSE), -J3379, IF(AND($P3379=FALSE, $A3379=TRUE), 0, IF($P3379=TRUE, (J3379 / $R3379) * 100 * ($S3379 / 100)-J3379, ))), )</f>
        <v/>
      </c>
      <c r="AD3379" s="32" t="str">
        <f t="shared" si="3472"/>
        <v/>
      </c>
      <c r="AE3379" s="32" t="str">
        <f t="shared" si="3472"/>
        <v/>
      </c>
      <c r="AF3379" s="32" t="str">
        <f t="shared" si="3472"/>
        <v/>
      </c>
      <c r="AG3379" s="32" t="str">
        <f t="shared" si="3472"/>
        <v/>
      </c>
      <c r="AH3379" s="33"/>
    </row>
    <row r="3380" hidden="1" outlineLevel="1" collapsed="1">
      <c r="A3380" s="95" t="b">
        <v>0</v>
      </c>
      <c r="B3380" s="96"/>
      <c r="C3380" s="18"/>
      <c r="D3380" s="42">
        <v>45697.0</v>
      </c>
      <c r="E3380" s="20" t="s">
        <v>24</v>
      </c>
      <c r="F3380" s="53" t="s">
        <v>1973</v>
      </c>
      <c r="G3380" s="97">
        <v>1.0</v>
      </c>
      <c r="H3380" s="97"/>
      <c r="I3380" s="97">
        <v>1.0</v>
      </c>
      <c r="J3380" s="98"/>
      <c r="K3380" s="99"/>
      <c r="L3380" s="98"/>
      <c r="M3380" s="99"/>
      <c r="N3380" s="99"/>
      <c r="O3380" s="18"/>
      <c r="P3380" s="100" t="b">
        <v>0</v>
      </c>
      <c r="Q3380" s="18"/>
      <c r="R3380" s="101">
        <f t="shared" si="3377"/>
        <v>2</v>
      </c>
      <c r="S3380" s="32">
        <v>22.0</v>
      </c>
      <c r="T3380" s="102" t="str">
        <f t="shared" si="3378"/>
        <v>+1000</v>
      </c>
      <c r="U3380" s="18"/>
      <c r="V3380" s="103" t="str">
        <f>IF(ISBLANK($D3380), "0",)</f>
        <v/>
      </c>
      <c r="W3380" s="104" t="str">
        <f t="shared" si="2828"/>
        <v/>
      </c>
      <c r="X3380" s="105"/>
      <c r="Y3380" s="106"/>
      <c r="Z3380" s="26">
        <f t="shared" si="5"/>
        <v>-1</v>
      </c>
      <c r="AA3380" s="26">
        <f t="shared" si="6"/>
        <v>-1</v>
      </c>
      <c r="AB3380" s="32" t="str">
        <f t="shared" si="7"/>
        <v/>
      </c>
      <c r="AC3380" s="32" t="str">
        <f t="shared" ref="AC3380:AG3380" si="3473">IF(J3380&lt;&gt;"", IF(AND($P3380=FALSE, $A3380=FALSE), -J3380, IF(AND($P3380=FALSE, $A3380=TRUE), 0, IF($P3380=TRUE, (J3380 / $R3380) * 100 * ($S3380 / 100)-J3380, ))), )</f>
        <v/>
      </c>
      <c r="AD3380" s="32" t="str">
        <f t="shared" si="3473"/>
        <v/>
      </c>
      <c r="AE3380" s="32" t="str">
        <f t="shared" si="3473"/>
        <v/>
      </c>
      <c r="AF3380" s="32" t="str">
        <f t="shared" si="3473"/>
        <v/>
      </c>
      <c r="AG3380" s="32" t="str">
        <f t="shared" si="3473"/>
        <v/>
      </c>
      <c r="AH3380" s="33"/>
    </row>
    <row r="3381" hidden="1" outlineLevel="2">
      <c r="A3381" s="95" t="b">
        <v>0</v>
      </c>
      <c r="B3381" s="96"/>
      <c r="C3381" s="18"/>
      <c r="D3381" s="107"/>
      <c r="E3381" s="108"/>
      <c r="F3381" s="109"/>
      <c r="G3381" s="97"/>
      <c r="H3381" s="97"/>
      <c r="I3381" s="97"/>
      <c r="J3381" s="98"/>
      <c r="K3381" s="99"/>
      <c r="L3381" s="98"/>
      <c r="M3381" s="99"/>
      <c r="N3381" s="99"/>
      <c r="O3381" s="18"/>
      <c r="P3381" s="100" t="b">
        <v>0</v>
      </c>
      <c r="Q3381" s="18"/>
      <c r="R3381" s="101" t="str">
        <f t="shared" si="3377"/>
        <v/>
      </c>
      <c r="S3381" s="32"/>
      <c r="T3381" s="102" t="str">
        <f t="shared" si="3378"/>
        <v/>
      </c>
      <c r="U3381" s="18"/>
      <c r="V3381" s="113">
        <v>40.0</v>
      </c>
      <c r="W3381" s="104" t="str">
        <f t="shared" si="2828"/>
        <v>/</v>
      </c>
      <c r="X3381" s="111" t="s">
        <v>1996</v>
      </c>
      <c r="Y3381" s="106"/>
      <c r="Z3381" s="26" t="str">
        <f t="shared" si="5"/>
        <v/>
      </c>
      <c r="AA3381" s="26" t="str">
        <f t="shared" si="6"/>
        <v/>
      </c>
      <c r="AB3381" s="32" t="str">
        <f t="shared" si="7"/>
        <v/>
      </c>
      <c r="AC3381" s="32" t="str">
        <f t="shared" ref="AC3381:AG3381" si="3474">IF(J3381&lt;&gt;"", IF(AND($P3381=FALSE, $A3381=FALSE), -J3381, IF(AND($P3381=FALSE, $A3381=TRUE), 0, IF($P3381=TRUE, (J3381 / $R3381) * 100 * ($S3381 / 100)-J3381, ))), )</f>
        <v/>
      </c>
      <c r="AD3381" s="32" t="str">
        <f t="shared" si="3474"/>
        <v/>
      </c>
      <c r="AE3381" s="32" t="str">
        <f t="shared" si="3474"/>
        <v/>
      </c>
      <c r="AF3381" s="32" t="str">
        <f t="shared" si="3474"/>
        <v/>
      </c>
      <c r="AG3381" s="32" t="str">
        <f t="shared" si="3474"/>
        <v/>
      </c>
      <c r="AH3381" s="33"/>
    </row>
    <row r="3382" hidden="1" outlineLevel="1" collapsed="1">
      <c r="A3382" s="95" t="b">
        <v>0</v>
      </c>
      <c r="B3382" s="96"/>
      <c r="C3382" s="18"/>
      <c r="D3382" s="42">
        <v>45697.0</v>
      </c>
      <c r="E3382" s="20" t="s">
        <v>24</v>
      </c>
      <c r="F3382" s="53" t="s">
        <v>1973</v>
      </c>
      <c r="G3382" s="97">
        <v>1.0</v>
      </c>
      <c r="H3382" s="97"/>
      <c r="I3382" s="97">
        <v>1.0</v>
      </c>
      <c r="J3382" s="98"/>
      <c r="K3382" s="99"/>
      <c r="L3382" s="98"/>
      <c r="M3382" s="99"/>
      <c r="N3382" s="99"/>
      <c r="O3382" s="18"/>
      <c r="P3382" s="100" t="b">
        <v>0</v>
      </c>
      <c r="Q3382" s="18"/>
      <c r="R3382" s="101">
        <f t="shared" si="3377"/>
        <v>2</v>
      </c>
      <c r="S3382" s="32">
        <v>22.0</v>
      </c>
      <c r="T3382" s="102" t="str">
        <f t="shared" si="3378"/>
        <v>+1000</v>
      </c>
      <c r="U3382" s="18"/>
      <c r="V3382" s="103" t="str">
        <f>IF(ISBLANK($D3382), "0",)</f>
        <v/>
      </c>
      <c r="W3382" s="104" t="str">
        <f t="shared" si="2828"/>
        <v/>
      </c>
      <c r="X3382" s="105"/>
      <c r="Y3382" s="106"/>
      <c r="Z3382" s="26">
        <f t="shared" si="5"/>
        <v>-1</v>
      </c>
      <c r="AA3382" s="26">
        <f t="shared" si="6"/>
        <v>-1</v>
      </c>
      <c r="AB3382" s="32" t="str">
        <f t="shared" si="7"/>
        <v/>
      </c>
      <c r="AC3382" s="32" t="str">
        <f t="shared" ref="AC3382:AG3382" si="3475">IF(J3382&lt;&gt;"", IF(AND($P3382=FALSE, $A3382=FALSE), -J3382, IF(AND($P3382=FALSE, $A3382=TRUE), 0, IF($P3382=TRUE, (J3382 / $R3382) * 100 * ($S3382 / 100)-J3382, ))), )</f>
        <v/>
      </c>
      <c r="AD3382" s="32" t="str">
        <f t="shared" si="3475"/>
        <v/>
      </c>
      <c r="AE3382" s="32" t="str">
        <f t="shared" si="3475"/>
        <v/>
      </c>
      <c r="AF3382" s="32" t="str">
        <f t="shared" si="3475"/>
        <v/>
      </c>
      <c r="AG3382" s="32" t="str">
        <f t="shared" si="3475"/>
        <v/>
      </c>
      <c r="AH3382" s="33"/>
    </row>
    <row r="3383" hidden="1" outlineLevel="2">
      <c r="A3383" s="95" t="b">
        <v>0</v>
      </c>
      <c r="B3383" s="96"/>
      <c r="C3383" s="18"/>
      <c r="D3383" s="107"/>
      <c r="E3383" s="108"/>
      <c r="F3383" s="109"/>
      <c r="G3383" s="97"/>
      <c r="H3383" s="97"/>
      <c r="I3383" s="97"/>
      <c r="J3383" s="98"/>
      <c r="K3383" s="99"/>
      <c r="L3383" s="98"/>
      <c r="M3383" s="99"/>
      <c r="N3383" s="99"/>
      <c r="O3383" s="18"/>
      <c r="P3383" s="100" t="b">
        <v>0</v>
      </c>
      <c r="Q3383" s="18"/>
      <c r="R3383" s="101" t="str">
        <f t="shared" si="3377"/>
        <v/>
      </c>
      <c r="S3383" s="32"/>
      <c r="T3383" s="102" t="str">
        <f t="shared" si="3378"/>
        <v/>
      </c>
      <c r="U3383" s="18"/>
      <c r="V3383" s="113">
        <v>22.0</v>
      </c>
      <c r="W3383" s="104" t="str">
        <f t="shared" si="2828"/>
        <v>/</v>
      </c>
      <c r="X3383" s="111" t="s">
        <v>1997</v>
      </c>
      <c r="Y3383" s="106"/>
      <c r="Z3383" s="26" t="str">
        <f t="shared" si="5"/>
        <v/>
      </c>
      <c r="AA3383" s="26" t="str">
        <f t="shared" si="6"/>
        <v/>
      </c>
      <c r="AB3383" s="32" t="str">
        <f t="shared" si="7"/>
        <v/>
      </c>
      <c r="AC3383" s="32" t="str">
        <f t="shared" ref="AC3383:AG3383" si="3476">IF(J3383&lt;&gt;"", IF(AND($P3383=FALSE, $A3383=FALSE), -J3383, IF(AND($P3383=FALSE, $A3383=TRUE), 0, IF($P3383=TRUE, (J3383 / $R3383) * 100 * ($S3383 / 100)-J3383, ))), )</f>
        <v/>
      </c>
      <c r="AD3383" s="32" t="str">
        <f t="shared" si="3476"/>
        <v/>
      </c>
      <c r="AE3383" s="32" t="str">
        <f t="shared" si="3476"/>
        <v/>
      </c>
      <c r="AF3383" s="32" t="str">
        <f t="shared" si="3476"/>
        <v/>
      </c>
      <c r="AG3383" s="32" t="str">
        <f t="shared" si="3476"/>
        <v/>
      </c>
      <c r="AH3383" s="33"/>
    </row>
    <row r="3384" hidden="1" outlineLevel="1" collapsed="1">
      <c r="A3384" s="95" t="b">
        <v>0</v>
      </c>
      <c r="B3384" s="96"/>
      <c r="C3384" s="18"/>
      <c r="D3384" s="42">
        <v>45697.0</v>
      </c>
      <c r="E3384" s="20" t="s">
        <v>24</v>
      </c>
      <c r="F3384" s="53" t="s">
        <v>1973</v>
      </c>
      <c r="G3384" s="97">
        <v>1.0</v>
      </c>
      <c r="H3384" s="97"/>
      <c r="I3384" s="97">
        <v>1.0</v>
      </c>
      <c r="J3384" s="98"/>
      <c r="K3384" s="99"/>
      <c r="L3384" s="98"/>
      <c r="M3384" s="99"/>
      <c r="N3384" s="99"/>
      <c r="O3384" s="18"/>
      <c r="P3384" s="100" t="b">
        <v>0</v>
      </c>
      <c r="Q3384" s="18"/>
      <c r="R3384" s="101">
        <f t="shared" si="3377"/>
        <v>2</v>
      </c>
      <c r="S3384" s="32">
        <v>90.0</v>
      </c>
      <c r="T3384" s="102" t="str">
        <f t="shared" si="3378"/>
        <v>+4400</v>
      </c>
      <c r="U3384" s="18"/>
      <c r="V3384" s="103" t="str">
        <f t="shared" ref="V3384:V3391" si="3478">IF(ISBLANK($D3384), "0",)</f>
        <v/>
      </c>
      <c r="W3384" s="104" t="str">
        <f t="shared" si="2828"/>
        <v/>
      </c>
      <c r="X3384" s="105"/>
      <c r="Y3384" s="106"/>
      <c r="Z3384" s="26">
        <f t="shared" si="5"/>
        <v>-1</v>
      </c>
      <c r="AA3384" s="26">
        <f t="shared" si="6"/>
        <v>-1</v>
      </c>
      <c r="AB3384" s="32" t="str">
        <f t="shared" si="7"/>
        <v/>
      </c>
      <c r="AC3384" s="32" t="str">
        <f t="shared" ref="AC3384:AG3384" si="3477">IF(J3384&lt;&gt;"", IF(AND($P3384=FALSE, $A3384=FALSE), -J3384, IF(AND($P3384=FALSE, $A3384=TRUE), 0, IF($P3384=TRUE, (J3384 / $R3384) * 100 * ($S3384 / 100)-J3384, ))), )</f>
        <v/>
      </c>
      <c r="AD3384" s="32" t="str">
        <f t="shared" si="3477"/>
        <v/>
      </c>
      <c r="AE3384" s="32" t="str">
        <f t="shared" si="3477"/>
        <v/>
      </c>
      <c r="AF3384" s="32" t="str">
        <f t="shared" si="3477"/>
        <v/>
      </c>
      <c r="AG3384" s="32" t="str">
        <f t="shared" si="3477"/>
        <v/>
      </c>
      <c r="AH3384" s="33"/>
    </row>
    <row r="3385" hidden="1" outlineLevel="2">
      <c r="A3385" s="95" t="b">
        <v>0</v>
      </c>
      <c r="B3385" s="96"/>
      <c r="C3385" s="18"/>
      <c r="D3385" s="107"/>
      <c r="E3385" s="108"/>
      <c r="F3385" s="109"/>
      <c r="G3385" s="97"/>
      <c r="H3385" s="97"/>
      <c r="I3385" s="97"/>
      <c r="J3385" s="98"/>
      <c r="K3385" s="99"/>
      <c r="L3385" s="98"/>
      <c r="M3385" s="99"/>
      <c r="N3385" s="99"/>
      <c r="O3385" s="18"/>
      <c r="P3385" s="100" t="b">
        <v>0</v>
      </c>
      <c r="Q3385" s="18"/>
      <c r="R3385" s="101" t="str">
        <f t="shared" si="3377"/>
        <v/>
      </c>
      <c r="S3385" s="32"/>
      <c r="T3385" s="102" t="str">
        <f t="shared" si="3378"/>
        <v/>
      </c>
      <c r="U3385" s="18"/>
      <c r="V3385" s="103" t="str">
        <f t="shared" si="3478"/>
        <v>0</v>
      </c>
      <c r="W3385" s="104" t="str">
        <f t="shared" si="2828"/>
        <v>/</v>
      </c>
      <c r="X3385" s="111" t="s">
        <v>1998</v>
      </c>
      <c r="Y3385" s="106"/>
      <c r="Z3385" s="26" t="str">
        <f t="shared" si="5"/>
        <v/>
      </c>
      <c r="AA3385" s="26" t="str">
        <f t="shared" si="6"/>
        <v/>
      </c>
      <c r="AB3385" s="32" t="str">
        <f t="shared" si="7"/>
        <v/>
      </c>
      <c r="AC3385" s="32" t="str">
        <f t="shared" ref="AC3385:AG3385" si="3479">IF(J3385&lt;&gt;"", IF(AND($P3385=FALSE, $A3385=FALSE), -J3385, IF(AND($P3385=FALSE, $A3385=TRUE), 0, IF($P3385=TRUE, (J3385 / $R3385) * 100 * ($S3385 / 100)-J3385, ))), )</f>
        <v/>
      </c>
      <c r="AD3385" s="32" t="str">
        <f t="shared" si="3479"/>
        <v/>
      </c>
      <c r="AE3385" s="32" t="str">
        <f t="shared" si="3479"/>
        <v/>
      </c>
      <c r="AF3385" s="32" t="str">
        <f t="shared" si="3479"/>
        <v/>
      </c>
      <c r="AG3385" s="32" t="str">
        <f t="shared" si="3479"/>
        <v/>
      </c>
      <c r="AH3385" s="33"/>
    </row>
    <row r="3386" hidden="1" outlineLevel="2">
      <c r="A3386" s="95" t="b">
        <v>0</v>
      </c>
      <c r="B3386" s="96"/>
      <c r="C3386" s="18"/>
      <c r="D3386" s="107"/>
      <c r="E3386" s="108"/>
      <c r="F3386" s="109"/>
      <c r="G3386" s="97"/>
      <c r="H3386" s="97"/>
      <c r="I3386" s="97"/>
      <c r="J3386" s="98"/>
      <c r="K3386" s="99"/>
      <c r="L3386" s="98"/>
      <c r="M3386" s="99"/>
      <c r="N3386" s="99"/>
      <c r="O3386" s="18"/>
      <c r="P3386" s="100" t="b">
        <v>0</v>
      </c>
      <c r="Q3386" s="18"/>
      <c r="R3386" s="101" t="str">
        <f t="shared" si="3377"/>
        <v/>
      </c>
      <c r="S3386" s="32"/>
      <c r="T3386" s="102" t="str">
        <f t="shared" si="3378"/>
        <v/>
      </c>
      <c r="U3386" s="18"/>
      <c r="V3386" s="103" t="str">
        <f t="shared" si="3478"/>
        <v>0</v>
      </c>
      <c r="W3386" s="104" t="str">
        <f t="shared" si="2828"/>
        <v>/</v>
      </c>
      <c r="X3386" s="111" t="s">
        <v>1999</v>
      </c>
      <c r="Y3386" s="106"/>
      <c r="Z3386" s="26" t="str">
        <f t="shared" si="5"/>
        <v/>
      </c>
      <c r="AA3386" s="26" t="str">
        <f t="shared" si="6"/>
        <v/>
      </c>
      <c r="AB3386" s="32" t="str">
        <f t="shared" si="7"/>
        <v/>
      </c>
      <c r="AC3386" s="32" t="str">
        <f t="shared" ref="AC3386:AG3386" si="3480">IF(J3386&lt;&gt;"", IF(AND($P3386=FALSE, $A3386=FALSE), -J3386, IF(AND($P3386=FALSE, $A3386=TRUE), 0, IF($P3386=TRUE, (J3386 / $R3386) * 100 * ($S3386 / 100)-J3386, ))), )</f>
        <v/>
      </c>
      <c r="AD3386" s="32" t="str">
        <f t="shared" si="3480"/>
        <v/>
      </c>
      <c r="AE3386" s="32" t="str">
        <f t="shared" si="3480"/>
        <v/>
      </c>
      <c r="AF3386" s="32" t="str">
        <f t="shared" si="3480"/>
        <v/>
      </c>
      <c r="AG3386" s="32" t="str">
        <f t="shared" si="3480"/>
        <v/>
      </c>
      <c r="AH3386" s="33"/>
    </row>
    <row r="3387" hidden="1" outlineLevel="1" collapsed="1">
      <c r="A3387" s="95" t="b">
        <v>0</v>
      </c>
      <c r="B3387" s="96"/>
      <c r="C3387" s="18"/>
      <c r="D3387" s="42">
        <v>45697.0</v>
      </c>
      <c r="E3387" s="20" t="s">
        <v>24</v>
      </c>
      <c r="F3387" s="53" t="s">
        <v>1973</v>
      </c>
      <c r="G3387" s="97">
        <v>1.0</v>
      </c>
      <c r="H3387" s="97"/>
      <c r="I3387" s="97">
        <v>4.0</v>
      </c>
      <c r="J3387" s="98"/>
      <c r="K3387" s="99"/>
      <c r="L3387" s="98"/>
      <c r="M3387" s="99"/>
      <c r="N3387" s="99"/>
      <c r="O3387" s="18"/>
      <c r="P3387" s="100" t="b">
        <v>0</v>
      </c>
      <c r="Q3387" s="18"/>
      <c r="R3387" s="101">
        <f t="shared" si="3377"/>
        <v>5</v>
      </c>
      <c r="S3387" s="32">
        <v>18.5</v>
      </c>
      <c r="T3387" s="102" t="str">
        <f t="shared" si="3378"/>
        <v>+270</v>
      </c>
      <c r="U3387" s="18"/>
      <c r="V3387" s="103" t="str">
        <f t="shared" si="3478"/>
        <v/>
      </c>
      <c r="W3387" s="104" t="str">
        <f t="shared" si="2828"/>
        <v/>
      </c>
      <c r="X3387" s="105"/>
      <c r="Y3387" s="106"/>
      <c r="Z3387" s="26">
        <f t="shared" si="5"/>
        <v>-1</v>
      </c>
      <c r="AA3387" s="26">
        <f t="shared" si="6"/>
        <v>-4</v>
      </c>
      <c r="AB3387" s="32" t="str">
        <f t="shared" si="7"/>
        <v/>
      </c>
      <c r="AC3387" s="32" t="str">
        <f t="shared" ref="AC3387:AG3387" si="3481">IF(J3387&lt;&gt;"", IF(AND($P3387=FALSE, $A3387=FALSE), -J3387, IF(AND($P3387=FALSE, $A3387=TRUE), 0, IF($P3387=TRUE, (J3387 / $R3387) * 100 * ($S3387 / 100)-J3387, ))), )</f>
        <v/>
      </c>
      <c r="AD3387" s="32" t="str">
        <f t="shared" si="3481"/>
        <v/>
      </c>
      <c r="AE3387" s="32" t="str">
        <f t="shared" si="3481"/>
        <v/>
      </c>
      <c r="AF3387" s="32" t="str">
        <f t="shared" si="3481"/>
        <v/>
      </c>
      <c r="AG3387" s="32" t="str">
        <f t="shared" si="3481"/>
        <v/>
      </c>
      <c r="AH3387" s="33"/>
    </row>
    <row r="3388" hidden="1" outlineLevel="2">
      <c r="A3388" s="95" t="b">
        <v>0</v>
      </c>
      <c r="B3388" s="96"/>
      <c r="C3388" s="18"/>
      <c r="D3388" s="107"/>
      <c r="E3388" s="108"/>
      <c r="F3388" s="109"/>
      <c r="G3388" s="97"/>
      <c r="H3388" s="97"/>
      <c r="I3388" s="97"/>
      <c r="J3388" s="98"/>
      <c r="K3388" s="99"/>
      <c r="L3388" s="98"/>
      <c r="M3388" s="99"/>
      <c r="N3388" s="99"/>
      <c r="O3388" s="18"/>
      <c r="P3388" s="100" t="b">
        <v>0</v>
      </c>
      <c r="Q3388" s="18"/>
      <c r="R3388" s="101" t="str">
        <f t="shared" si="3377"/>
        <v/>
      </c>
      <c r="S3388" s="32"/>
      <c r="T3388" s="102" t="str">
        <f t="shared" si="3378"/>
        <v/>
      </c>
      <c r="U3388" s="18"/>
      <c r="V3388" s="103" t="str">
        <f t="shared" si="3478"/>
        <v>0</v>
      </c>
      <c r="W3388" s="104" t="str">
        <f t="shared" si="2828"/>
        <v>/</v>
      </c>
      <c r="X3388" s="111" t="s">
        <v>2000</v>
      </c>
      <c r="Y3388" s="106"/>
      <c r="Z3388" s="26" t="str">
        <f t="shared" si="5"/>
        <v/>
      </c>
      <c r="AA3388" s="26" t="str">
        <f t="shared" si="6"/>
        <v/>
      </c>
      <c r="AB3388" s="32" t="str">
        <f t="shared" si="7"/>
        <v/>
      </c>
      <c r="AC3388" s="32" t="str">
        <f t="shared" ref="AC3388:AG3388" si="3482">IF(J3388&lt;&gt;"", IF(AND($P3388=FALSE, $A3388=FALSE), -J3388, IF(AND($P3388=FALSE, $A3388=TRUE), 0, IF($P3388=TRUE, (J3388 / $R3388) * 100 * ($S3388 / 100)-J3388, ))), )</f>
        <v/>
      </c>
      <c r="AD3388" s="32" t="str">
        <f t="shared" si="3482"/>
        <v/>
      </c>
      <c r="AE3388" s="32" t="str">
        <f t="shared" si="3482"/>
        <v/>
      </c>
      <c r="AF3388" s="32" t="str">
        <f t="shared" si="3482"/>
        <v/>
      </c>
      <c r="AG3388" s="32" t="str">
        <f t="shared" si="3482"/>
        <v/>
      </c>
      <c r="AH3388" s="33"/>
    </row>
    <row r="3389" hidden="1" outlineLevel="1" collapsed="1">
      <c r="A3389" s="95" t="b">
        <v>0</v>
      </c>
      <c r="B3389" s="96"/>
      <c r="C3389" s="18"/>
      <c r="D3389" s="42">
        <v>45697.0</v>
      </c>
      <c r="E3389" s="20" t="s">
        <v>24</v>
      </c>
      <c r="F3389" s="53" t="s">
        <v>1973</v>
      </c>
      <c r="G3389" s="97">
        <v>3.0</v>
      </c>
      <c r="H3389" s="97"/>
      <c r="I3389" s="97">
        <v>7.0</v>
      </c>
      <c r="J3389" s="98"/>
      <c r="K3389" s="99"/>
      <c r="L3389" s="98"/>
      <c r="M3389" s="99"/>
      <c r="N3389" s="99"/>
      <c r="O3389" s="18"/>
      <c r="P3389" s="100" t="b">
        <v>0</v>
      </c>
      <c r="Q3389" s="18"/>
      <c r="R3389" s="101">
        <f t="shared" si="3377"/>
        <v>10</v>
      </c>
      <c r="S3389" s="32">
        <v>1478.01</v>
      </c>
      <c r="T3389" s="102" t="str">
        <f t="shared" si="3378"/>
        <v>+14680</v>
      </c>
      <c r="U3389" s="18"/>
      <c r="V3389" s="103" t="str">
        <f t="shared" si="3478"/>
        <v/>
      </c>
      <c r="W3389" s="104" t="str">
        <f t="shared" si="2828"/>
        <v/>
      </c>
      <c r="X3389" s="105"/>
      <c r="Y3389" s="106"/>
      <c r="Z3389" s="26">
        <f t="shared" si="5"/>
        <v>-3</v>
      </c>
      <c r="AA3389" s="26">
        <f t="shared" si="6"/>
        <v>-7</v>
      </c>
      <c r="AB3389" s="32" t="str">
        <f t="shared" si="7"/>
        <v/>
      </c>
      <c r="AC3389" s="32" t="str">
        <f t="shared" ref="AC3389:AG3389" si="3483">IF(J3389&lt;&gt;"", IF(AND($P3389=FALSE, $A3389=FALSE), -J3389, IF(AND($P3389=FALSE, $A3389=TRUE), 0, IF($P3389=TRUE, (J3389 / $R3389) * 100 * ($S3389 / 100)-J3389, ))), )</f>
        <v/>
      </c>
      <c r="AD3389" s="32" t="str">
        <f t="shared" si="3483"/>
        <v/>
      </c>
      <c r="AE3389" s="32" t="str">
        <f t="shared" si="3483"/>
        <v/>
      </c>
      <c r="AF3389" s="32" t="str">
        <f t="shared" si="3483"/>
        <v/>
      </c>
      <c r="AG3389" s="32" t="str">
        <f t="shared" si="3483"/>
        <v/>
      </c>
      <c r="AH3389" s="33"/>
    </row>
    <row r="3390" hidden="1" outlineLevel="2">
      <c r="A3390" s="95" t="b">
        <v>0</v>
      </c>
      <c r="B3390" s="96"/>
      <c r="C3390" s="18"/>
      <c r="D3390" s="107"/>
      <c r="E3390" s="108"/>
      <c r="F3390" s="109"/>
      <c r="G3390" s="97"/>
      <c r="H3390" s="97"/>
      <c r="I3390" s="97"/>
      <c r="J3390" s="98"/>
      <c r="K3390" s="99"/>
      <c r="L3390" s="98"/>
      <c r="M3390" s="99"/>
      <c r="N3390" s="99"/>
      <c r="O3390" s="18"/>
      <c r="P3390" s="100" t="b">
        <v>0</v>
      </c>
      <c r="Q3390" s="18"/>
      <c r="R3390" s="101" t="str">
        <f t="shared" si="3377"/>
        <v/>
      </c>
      <c r="S3390" s="32"/>
      <c r="T3390" s="102" t="str">
        <f t="shared" si="3378"/>
        <v/>
      </c>
      <c r="U3390" s="18"/>
      <c r="V3390" s="103" t="str">
        <f t="shared" si="3478"/>
        <v>0</v>
      </c>
      <c r="W3390" s="104" t="str">
        <f t="shared" si="2828"/>
        <v>/</v>
      </c>
      <c r="X3390" s="111" t="s">
        <v>1494</v>
      </c>
      <c r="Y3390" s="106"/>
      <c r="Z3390" s="26" t="str">
        <f t="shared" si="5"/>
        <v/>
      </c>
      <c r="AA3390" s="26" t="str">
        <f t="shared" si="6"/>
        <v/>
      </c>
      <c r="AB3390" s="32" t="str">
        <f t="shared" si="7"/>
        <v/>
      </c>
      <c r="AC3390" s="32" t="str">
        <f t="shared" ref="AC3390:AG3390" si="3484">IF(J3390&lt;&gt;"", IF(AND($P3390=FALSE, $A3390=FALSE), -J3390, IF(AND($P3390=FALSE, $A3390=TRUE), 0, IF($P3390=TRUE, (J3390 / $R3390) * 100 * ($S3390 / 100)-J3390, ))), )</f>
        <v/>
      </c>
      <c r="AD3390" s="32" t="str">
        <f t="shared" si="3484"/>
        <v/>
      </c>
      <c r="AE3390" s="32" t="str">
        <f t="shared" si="3484"/>
        <v/>
      </c>
      <c r="AF3390" s="32" t="str">
        <f t="shared" si="3484"/>
        <v/>
      </c>
      <c r="AG3390" s="32" t="str">
        <f t="shared" si="3484"/>
        <v/>
      </c>
      <c r="AH3390" s="33"/>
    </row>
    <row r="3391" hidden="1" outlineLevel="2">
      <c r="A3391" s="95" t="b">
        <v>0</v>
      </c>
      <c r="B3391" s="96"/>
      <c r="C3391" s="18"/>
      <c r="D3391" s="107"/>
      <c r="E3391" s="108"/>
      <c r="F3391" s="109"/>
      <c r="G3391" s="97"/>
      <c r="H3391" s="97"/>
      <c r="I3391" s="97"/>
      <c r="J3391" s="98"/>
      <c r="K3391" s="99"/>
      <c r="L3391" s="98"/>
      <c r="M3391" s="99"/>
      <c r="N3391" s="99"/>
      <c r="O3391" s="18"/>
      <c r="P3391" s="100" t="b">
        <v>0</v>
      </c>
      <c r="Q3391" s="18"/>
      <c r="R3391" s="101" t="str">
        <f t="shared" si="3377"/>
        <v/>
      </c>
      <c r="S3391" s="32"/>
      <c r="T3391" s="102" t="str">
        <f t="shared" si="3378"/>
        <v/>
      </c>
      <c r="U3391" s="18"/>
      <c r="V3391" s="103" t="str">
        <f t="shared" si="3478"/>
        <v>0</v>
      </c>
      <c r="W3391" s="104" t="str">
        <f t="shared" si="2828"/>
        <v>/</v>
      </c>
      <c r="X3391" s="111" t="s">
        <v>2001</v>
      </c>
      <c r="Y3391" s="106"/>
      <c r="Z3391" s="26" t="str">
        <f t="shared" si="5"/>
        <v/>
      </c>
      <c r="AA3391" s="26" t="str">
        <f t="shared" si="6"/>
        <v/>
      </c>
      <c r="AB3391" s="32" t="str">
        <f t="shared" si="7"/>
        <v/>
      </c>
      <c r="AC3391" s="32" t="str">
        <f t="shared" ref="AC3391:AG3391" si="3485">IF(J3391&lt;&gt;"", IF(AND($P3391=FALSE, $A3391=FALSE), -J3391, IF(AND($P3391=FALSE, $A3391=TRUE), 0, IF($P3391=TRUE, (J3391 / $R3391) * 100 * ($S3391 / 100)-J3391, ))), )</f>
        <v/>
      </c>
      <c r="AD3391" s="32" t="str">
        <f t="shared" si="3485"/>
        <v/>
      </c>
      <c r="AE3391" s="32" t="str">
        <f t="shared" si="3485"/>
        <v/>
      </c>
      <c r="AF3391" s="32" t="str">
        <f t="shared" si="3485"/>
        <v/>
      </c>
      <c r="AG3391" s="32" t="str">
        <f t="shared" si="3485"/>
        <v/>
      </c>
      <c r="AH3391" s="33"/>
    </row>
    <row r="3392" hidden="1" outlineLevel="2">
      <c r="A3392" s="95" t="b">
        <v>0</v>
      </c>
      <c r="B3392" s="96"/>
      <c r="C3392" s="18"/>
      <c r="D3392" s="107"/>
      <c r="E3392" s="108"/>
      <c r="F3392" s="109"/>
      <c r="G3392" s="97"/>
      <c r="H3392" s="97"/>
      <c r="I3392" s="97"/>
      <c r="J3392" s="98"/>
      <c r="K3392" s="99"/>
      <c r="L3392" s="98"/>
      <c r="M3392" s="99"/>
      <c r="N3392" s="99"/>
      <c r="O3392" s="18"/>
      <c r="P3392" s="100" t="b">
        <v>0</v>
      </c>
      <c r="Q3392" s="18"/>
      <c r="R3392" s="101" t="str">
        <f t="shared" si="3377"/>
        <v/>
      </c>
      <c r="S3392" s="32"/>
      <c r="T3392" s="102" t="str">
        <f t="shared" si="3378"/>
        <v/>
      </c>
      <c r="U3392" s="18"/>
      <c r="V3392" s="116" t="s">
        <v>29</v>
      </c>
      <c r="W3392" s="104" t="str">
        <f t="shared" si="2828"/>
        <v>/</v>
      </c>
      <c r="X3392" s="111" t="s">
        <v>2002</v>
      </c>
      <c r="Y3392" s="106"/>
      <c r="Z3392" s="26" t="str">
        <f t="shared" si="5"/>
        <v/>
      </c>
      <c r="AA3392" s="26" t="str">
        <f t="shared" si="6"/>
        <v/>
      </c>
      <c r="AB3392" s="32" t="str">
        <f t="shared" si="7"/>
        <v/>
      </c>
      <c r="AC3392" s="32" t="str">
        <f t="shared" ref="AC3392:AG3392" si="3486">IF(J3392&lt;&gt;"", IF(AND($P3392=FALSE, $A3392=FALSE), -J3392, IF(AND($P3392=FALSE, $A3392=TRUE), 0, IF($P3392=TRUE, (J3392 / $R3392) * 100 * ($S3392 / 100)-J3392, ))), )</f>
        <v/>
      </c>
      <c r="AD3392" s="32" t="str">
        <f t="shared" si="3486"/>
        <v/>
      </c>
      <c r="AE3392" s="32" t="str">
        <f t="shared" si="3486"/>
        <v/>
      </c>
      <c r="AF3392" s="32" t="str">
        <f t="shared" si="3486"/>
        <v/>
      </c>
      <c r="AG3392" s="32" t="str">
        <f t="shared" si="3486"/>
        <v/>
      </c>
      <c r="AH3392" s="33"/>
    </row>
    <row r="3393" hidden="1" outlineLevel="2">
      <c r="A3393" s="95" t="b">
        <v>0</v>
      </c>
      <c r="B3393" s="96"/>
      <c r="C3393" s="18"/>
      <c r="D3393" s="107"/>
      <c r="E3393" s="108"/>
      <c r="F3393" s="109"/>
      <c r="G3393" s="97"/>
      <c r="H3393" s="97"/>
      <c r="I3393" s="97"/>
      <c r="J3393" s="98"/>
      <c r="K3393" s="99"/>
      <c r="L3393" s="98"/>
      <c r="M3393" s="99"/>
      <c r="N3393" s="99"/>
      <c r="O3393" s="18"/>
      <c r="P3393" s="100" t="b">
        <v>0</v>
      </c>
      <c r="Q3393" s="18"/>
      <c r="R3393" s="101" t="str">
        <f t="shared" si="3377"/>
        <v/>
      </c>
      <c r="S3393" s="32"/>
      <c r="T3393" s="102" t="str">
        <f t="shared" si="3378"/>
        <v/>
      </c>
      <c r="U3393" s="18"/>
      <c r="V3393" s="113">
        <v>43.0</v>
      </c>
      <c r="W3393" s="104" t="str">
        <f t="shared" si="2828"/>
        <v>/</v>
      </c>
      <c r="X3393" s="111" t="s">
        <v>2003</v>
      </c>
      <c r="Y3393" s="106"/>
      <c r="Z3393" s="26" t="str">
        <f t="shared" si="5"/>
        <v/>
      </c>
      <c r="AA3393" s="26" t="str">
        <f t="shared" si="6"/>
        <v/>
      </c>
      <c r="AB3393" s="32" t="str">
        <f t="shared" si="7"/>
        <v/>
      </c>
      <c r="AC3393" s="32" t="str">
        <f t="shared" ref="AC3393:AG3393" si="3487">IF(J3393&lt;&gt;"", IF(AND($P3393=FALSE, $A3393=FALSE), -J3393, IF(AND($P3393=FALSE, $A3393=TRUE), 0, IF($P3393=TRUE, (J3393 / $R3393) * 100 * ($S3393 / 100)-J3393, ))), )</f>
        <v/>
      </c>
      <c r="AD3393" s="32" t="str">
        <f t="shared" si="3487"/>
        <v/>
      </c>
      <c r="AE3393" s="32" t="str">
        <f t="shared" si="3487"/>
        <v/>
      </c>
      <c r="AF3393" s="32" t="str">
        <f t="shared" si="3487"/>
        <v/>
      </c>
      <c r="AG3393" s="32" t="str">
        <f t="shared" si="3487"/>
        <v/>
      </c>
      <c r="AH3393" s="33"/>
    </row>
    <row r="3394" hidden="1" outlineLevel="2">
      <c r="A3394" s="95" t="b">
        <v>0</v>
      </c>
      <c r="B3394" s="96"/>
      <c r="C3394" s="18"/>
      <c r="D3394" s="107"/>
      <c r="E3394" s="108"/>
      <c r="F3394" s="109"/>
      <c r="G3394" s="97"/>
      <c r="H3394" s="97"/>
      <c r="I3394" s="97"/>
      <c r="J3394" s="98"/>
      <c r="K3394" s="99"/>
      <c r="L3394" s="98"/>
      <c r="M3394" s="99"/>
      <c r="N3394" s="99"/>
      <c r="O3394" s="18"/>
      <c r="P3394" s="100" t="b">
        <v>0</v>
      </c>
      <c r="Q3394" s="18"/>
      <c r="R3394" s="101" t="str">
        <f t="shared" si="3377"/>
        <v/>
      </c>
      <c r="S3394" s="32"/>
      <c r="T3394" s="102" t="str">
        <f t="shared" si="3378"/>
        <v/>
      </c>
      <c r="U3394" s="18"/>
      <c r="V3394" s="116" t="s">
        <v>29</v>
      </c>
      <c r="W3394" s="104" t="str">
        <f t="shared" si="2828"/>
        <v>/</v>
      </c>
      <c r="X3394" s="111" t="s">
        <v>2004</v>
      </c>
      <c r="Y3394" s="106"/>
      <c r="Z3394" s="26" t="str">
        <f t="shared" si="5"/>
        <v/>
      </c>
      <c r="AA3394" s="26" t="str">
        <f t="shared" si="6"/>
        <v/>
      </c>
      <c r="AB3394" s="32" t="str">
        <f t="shared" si="7"/>
        <v/>
      </c>
      <c r="AC3394" s="32" t="str">
        <f t="shared" ref="AC3394:AG3394" si="3488">IF(J3394&lt;&gt;"", IF(AND($P3394=FALSE, $A3394=FALSE), -J3394, IF(AND($P3394=FALSE, $A3394=TRUE), 0, IF($P3394=TRUE, (J3394 / $R3394) * 100 * ($S3394 / 100)-J3394, ))), )</f>
        <v/>
      </c>
      <c r="AD3394" s="32" t="str">
        <f t="shared" si="3488"/>
        <v/>
      </c>
      <c r="AE3394" s="32" t="str">
        <f t="shared" si="3488"/>
        <v/>
      </c>
      <c r="AF3394" s="32" t="str">
        <f t="shared" si="3488"/>
        <v/>
      </c>
      <c r="AG3394" s="32" t="str">
        <f t="shared" si="3488"/>
        <v/>
      </c>
      <c r="AH3394" s="33"/>
    </row>
    <row r="3395" hidden="1" outlineLevel="2">
      <c r="A3395" s="95" t="b">
        <v>0</v>
      </c>
      <c r="B3395" s="96"/>
      <c r="C3395" s="18"/>
      <c r="D3395" s="107"/>
      <c r="E3395" s="108"/>
      <c r="F3395" s="109"/>
      <c r="G3395" s="97"/>
      <c r="H3395" s="97"/>
      <c r="I3395" s="97"/>
      <c r="J3395" s="98"/>
      <c r="K3395" s="99"/>
      <c r="L3395" s="98"/>
      <c r="M3395" s="99"/>
      <c r="N3395" s="99"/>
      <c r="O3395" s="18"/>
      <c r="P3395" s="100" t="b">
        <v>0</v>
      </c>
      <c r="Q3395" s="18"/>
      <c r="R3395" s="101" t="str">
        <f t="shared" si="3377"/>
        <v/>
      </c>
      <c r="S3395" s="32"/>
      <c r="T3395" s="102" t="str">
        <f t="shared" si="3378"/>
        <v/>
      </c>
      <c r="U3395" s="18"/>
      <c r="V3395" s="116" t="s">
        <v>29</v>
      </c>
      <c r="W3395" s="104" t="str">
        <f t="shared" si="2828"/>
        <v>/</v>
      </c>
      <c r="X3395" s="111" t="s">
        <v>2005</v>
      </c>
      <c r="Y3395" s="106"/>
      <c r="Z3395" s="26" t="str">
        <f t="shared" si="5"/>
        <v/>
      </c>
      <c r="AA3395" s="26" t="str">
        <f t="shared" si="6"/>
        <v/>
      </c>
      <c r="AB3395" s="32" t="str">
        <f t="shared" si="7"/>
        <v/>
      </c>
      <c r="AC3395" s="32" t="str">
        <f t="shared" ref="AC3395:AG3395" si="3489">IF(J3395&lt;&gt;"", IF(AND($P3395=FALSE, $A3395=FALSE), -J3395, IF(AND($P3395=FALSE, $A3395=TRUE), 0, IF($P3395=TRUE, (J3395 / $R3395) * 100 * ($S3395 / 100)-J3395, ))), )</f>
        <v/>
      </c>
      <c r="AD3395" s="32" t="str">
        <f t="shared" si="3489"/>
        <v/>
      </c>
      <c r="AE3395" s="32" t="str">
        <f t="shared" si="3489"/>
        <v/>
      </c>
      <c r="AF3395" s="32" t="str">
        <f t="shared" si="3489"/>
        <v/>
      </c>
      <c r="AG3395" s="32" t="str">
        <f t="shared" si="3489"/>
        <v/>
      </c>
      <c r="AH3395" s="33"/>
    </row>
    <row r="3396" hidden="1" outlineLevel="2">
      <c r="A3396" s="95" t="b">
        <v>0</v>
      </c>
      <c r="B3396" s="96"/>
      <c r="C3396" s="18"/>
      <c r="D3396" s="107"/>
      <c r="E3396" s="108"/>
      <c r="F3396" s="109"/>
      <c r="G3396" s="97"/>
      <c r="H3396" s="97"/>
      <c r="I3396" s="97"/>
      <c r="J3396" s="98"/>
      <c r="K3396" s="99"/>
      <c r="L3396" s="98"/>
      <c r="M3396" s="99"/>
      <c r="N3396" s="99"/>
      <c r="O3396" s="18"/>
      <c r="P3396" s="100" t="b">
        <v>0</v>
      </c>
      <c r="Q3396" s="18"/>
      <c r="R3396" s="101" t="str">
        <f t="shared" si="3377"/>
        <v/>
      </c>
      <c r="S3396" s="32"/>
      <c r="T3396" s="102" t="str">
        <f t="shared" si="3378"/>
        <v/>
      </c>
      <c r="U3396" s="18"/>
      <c r="V3396" s="116" t="s">
        <v>29</v>
      </c>
      <c r="W3396" s="104" t="str">
        <f t="shared" si="2828"/>
        <v>/</v>
      </c>
      <c r="X3396" s="111" t="s">
        <v>2006</v>
      </c>
      <c r="Y3396" s="106"/>
      <c r="Z3396" s="26" t="str">
        <f t="shared" si="5"/>
        <v/>
      </c>
      <c r="AA3396" s="26" t="str">
        <f t="shared" si="6"/>
        <v/>
      </c>
      <c r="AB3396" s="32" t="str">
        <f t="shared" si="7"/>
        <v/>
      </c>
      <c r="AC3396" s="32" t="str">
        <f t="shared" ref="AC3396:AG3396" si="3490">IF(J3396&lt;&gt;"", IF(AND($P3396=FALSE, $A3396=FALSE), -J3396, IF(AND($P3396=FALSE, $A3396=TRUE), 0, IF($P3396=TRUE, (J3396 / $R3396) * 100 * ($S3396 / 100)-J3396, ))), )</f>
        <v/>
      </c>
      <c r="AD3396" s="32" t="str">
        <f t="shared" si="3490"/>
        <v/>
      </c>
      <c r="AE3396" s="32" t="str">
        <f t="shared" si="3490"/>
        <v/>
      </c>
      <c r="AF3396" s="32" t="str">
        <f t="shared" si="3490"/>
        <v/>
      </c>
      <c r="AG3396" s="32" t="str">
        <f t="shared" si="3490"/>
        <v/>
      </c>
      <c r="AH3396" s="33"/>
    </row>
    <row r="3397" hidden="1" outlineLevel="2">
      <c r="A3397" s="95" t="b">
        <v>0</v>
      </c>
      <c r="B3397" s="96"/>
      <c r="C3397" s="18"/>
      <c r="D3397" s="107"/>
      <c r="E3397" s="108"/>
      <c r="F3397" s="109"/>
      <c r="G3397" s="97"/>
      <c r="H3397" s="97"/>
      <c r="I3397" s="97"/>
      <c r="J3397" s="98"/>
      <c r="K3397" s="99"/>
      <c r="L3397" s="98"/>
      <c r="M3397" s="99"/>
      <c r="N3397" s="99"/>
      <c r="O3397" s="18"/>
      <c r="P3397" s="100" t="b">
        <v>0</v>
      </c>
      <c r="Q3397" s="18"/>
      <c r="R3397" s="101" t="str">
        <f t="shared" si="3377"/>
        <v/>
      </c>
      <c r="S3397" s="32"/>
      <c r="T3397" s="102" t="str">
        <f t="shared" si="3378"/>
        <v/>
      </c>
      <c r="U3397" s="18"/>
      <c r="V3397" s="113">
        <v>39.0</v>
      </c>
      <c r="W3397" s="104" t="str">
        <f t="shared" si="2828"/>
        <v>/</v>
      </c>
      <c r="X3397" s="111" t="s">
        <v>2007</v>
      </c>
      <c r="Y3397" s="106"/>
      <c r="Z3397" s="26" t="str">
        <f t="shared" si="5"/>
        <v/>
      </c>
      <c r="AA3397" s="26" t="str">
        <f t="shared" si="6"/>
        <v/>
      </c>
      <c r="AB3397" s="32" t="str">
        <f t="shared" si="7"/>
        <v/>
      </c>
      <c r="AC3397" s="32" t="str">
        <f t="shared" ref="AC3397:AG3397" si="3491">IF(J3397&lt;&gt;"", IF(AND($P3397=FALSE, $A3397=FALSE), -J3397, IF(AND($P3397=FALSE, $A3397=TRUE), 0, IF($P3397=TRUE, (J3397 / $R3397) * 100 * ($S3397 / 100)-J3397, ))), )</f>
        <v/>
      </c>
      <c r="AD3397" s="32" t="str">
        <f t="shared" si="3491"/>
        <v/>
      </c>
      <c r="AE3397" s="32" t="str">
        <f t="shared" si="3491"/>
        <v/>
      </c>
      <c r="AF3397" s="32" t="str">
        <f t="shared" si="3491"/>
        <v/>
      </c>
      <c r="AG3397" s="32" t="str">
        <f t="shared" si="3491"/>
        <v/>
      </c>
      <c r="AH3397" s="33"/>
    </row>
    <row r="3398" hidden="1" outlineLevel="2">
      <c r="A3398" s="95" t="b">
        <v>0</v>
      </c>
      <c r="B3398" s="96"/>
      <c r="C3398" s="18"/>
      <c r="D3398" s="107"/>
      <c r="E3398" s="108"/>
      <c r="F3398" s="109"/>
      <c r="G3398" s="97"/>
      <c r="H3398" s="97"/>
      <c r="I3398" s="97"/>
      <c r="J3398" s="98"/>
      <c r="K3398" s="99"/>
      <c r="L3398" s="98"/>
      <c r="M3398" s="99"/>
      <c r="N3398" s="99"/>
      <c r="O3398" s="18"/>
      <c r="P3398" s="100" t="b">
        <v>0</v>
      </c>
      <c r="Q3398" s="18"/>
      <c r="R3398" s="101" t="str">
        <f t="shared" si="3377"/>
        <v/>
      </c>
      <c r="S3398" s="32"/>
      <c r="T3398" s="102" t="str">
        <f t="shared" si="3378"/>
        <v/>
      </c>
      <c r="U3398" s="18"/>
      <c r="V3398" s="113">
        <v>2.0</v>
      </c>
      <c r="W3398" s="104" t="str">
        <f t="shared" si="2828"/>
        <v>/</v>
      </c>
      <c r="X3398" s="111" t="s">
        <v>2008</v>
      </c>
      <c r="Y3398" s="106"/>
      <c r="Z3398" s="26" t="str">
        <f t="shared" si="5"/>
        <v/>
      </c>
      <c r="AA3398" s="26" t="str">
        <f t="shared" si="6"/>
        <v/>
      </c>
      <c r="AB3398" s="32" t="str">
        <f t="shared" si="7"/>
        <v/>
      </c>
      <c r="AC3398" s="32" t="str">
        <f t="shared" ref="AC3398:AG3398" si="3492">IF(J3398&lt;&gt;"", IF(AND($P3398=FALSE, $A3398=FALSE), -J3398, IF(AND($P3398=FALSE, $A3398=TRUE), 0, IF($P3398=TRUE, (J3398 / $R3398) * 100 * ($S3398 / 100)-J3398, ))), )</f>
        <v/>
      </c>
      <c r="AD3398" s="32" t="str">
        <f t="shared" si="3492"/>
        <v/>
      </c>
      <c r="AE3398" s="32" t="str">
        <f t="shared" si="3492"/>
        <v/>
      </c>
      <c r="AF3398" s="32" t="str">
        <f t="shared" si="3492"/>
        <v/>
      </c>
      <c r="AG3398" s="32" t="str">
        <f t="shared" si="3492"/>
        <v/>
      </c>
      <c r="AH3398" s="33"/>
    </row>
    <row r="3399" hidden="1" outlineLevel="2">
      <c r="A3399" s="95" t="b">
        <v>0</v>
      </c>
      <c r="B3399" s="96"/>
      <c r="C3399" s="18"/>
      <c r="D3399" s="107"/>
      <c r="E3399" s="108"/>
      <c r="F3399" s="109"/>
      <c r="G3399" s="97"/>
      <c r="H3399" s="97"/>
      <c r="I3399" s="97"/>
      <c r="J3399" s="98"/>
      <c r="K3399" s="99"/>
      <c r="L3399" s="98"/>
      <c r="M3399" s="99"/>
      <c r="N3399" s="99"/>
      <c r="O3399" s="18"/>
      <c r="P3399" s="100" t="b">
        <v>0</v>
      </c>
      <c r="Q3399" s="18"/>
      <c r="R3399" s="101" t="str">
        <f t="shared" si="3377"/>
        <v/>
      </c>
      <c r="S3399" s="32"/>
      <c r="T3399" s="102" t="str">
        <f t="shared" si="3378"/>
        <v/>
      </c>
      <c r="U3399" s="18"/>
      <c r="V3399" s="113">
        <v>2.0</v>
      </c>
      <c r="W3399" s="104" t="str">
        <f t="shared" si="2828"/>
        <v>/</v>
      </c>
      <c r="X3399" s="111" t="s">
        <v>2009</v>
      </c>
      <c r="Y3399" s="106"/>
      <c r="Z3399" s="26" t="str">
        <f t="shared" si="5"/>
        <v/>
      </c>
      <c r="AA3399" s="26" t="str">
        <f t="shared" si="6"/>
        <v/>
      </c>
      <c r="AB3399" s="32" t="str">
        <f t="shared" si="7"/>
        <v/>
      </c>
      <c r="AC3399" s="32" t="str">
        <f t="shared" ref="AC3399:AG3399" si="3493">IF(J3399&lt;&gt;"", IF(AND($P3399=FALSE, $A3399=FALSE), -J3399, IF(AND($P3399=FALSE, $A3399=TRUE), 0, IF($P3399=TRUE, (J3399 / $R3399) * 100 * ($S3399 / 100)-J3399, ))), )</f>
        <v/>
      </c>
      <c r="AD3399" s="32" t="str">
        <f t="shared" si="3493"/>
        <v/>
      </c>
      <c r="AE3399" s="32" t="str">
        <f t="shared" si="3493"/>
        <v/>
      </c>
      <c r="AF3399" s="32" t="str">
        <f t="shared" si="3493"/>
        <v/>
      </c>
      <c r="AG3399" s="32" t="str">
        <f t="shared" si="3493"/>
        <v/>
      </c>
      <c r="AH3399" s="33"/>
    </row>
    <row r="3400" hidden="1" outlineLevel="2">
      <c r="A3400" s="95" t="b">
        <v>0</v>
      </c>
      <c r="B3400" s="96"/>
      <c r="C3400" s="18"/>
      <c r="D3400" s="107"/>
      <c r="E3400" s="108"/>
      <c r="F3400" s="109"/>
      <c r="G3400" s="97"/>
      <c r="H3400" s="97"/>
      <c r="I3400" s="97"/>
      <c r="J3400" s="98"/>
      <c r="K3400" s="99"/>
      <c r="L3400" s="98"/>
      <c r="M3400" s="99"/>
      <c r="N3400" s="99"/>
      <c r="O3400" s="18"/>
      <c r="P3400" s="100" t="b">
        <v>0</v>
      </c>
      <c r="Q3400" s="18"/>
      <c r="R3400" s="101" t="str">
        <f t="shared" si="3377"/>
        <v/>
      </c>
      <c r="S3400" s="32"/>
      <c r="T3400" s="102" t="str">
        <f t="shared" si="3378"/>
        <v/>
      </c>
      <c r="U3400" s="18"/>
      <c r="V3400" s="113">
        <v>1.0</v>
      </c>
      <c r="W3400" s="104" t="str">
        <f t="shared" si="2828"/>
        <v>/</v>
      </c>
      <c r="X3400" s="111" t="s">
        <v>2010</v>
      </c>
      <c r="Y3400" s="106"/>
      <c r="Z3400" s="26" t="str">
        <f t="shared" si="5"/>
        <v/>
      </c>
      <c r="AA3400" s="26" t="str">
        <f t="shared" si="6"/>
        <v/>
      </c>
      <c r="AB3400" s="32" t="str">
        <f t="shared" si="7"/>
        <v/>
      </c>
      <c r="AC3400" s="32" t="str">
        <f t="shared" ref="AC3400:AG3400" si="3494">IF(J3400&lt;&gt;"", IF(AND($P3400=FALSE, $A3400=FALSE), -J3400, IF(AND($P3400=FALSE, $A3400=TRUE), 0, IF($P3400=TRUE, (J3400 / $R3400) * 100 * ($S3400 / 100)-J3400, ))), )</f>
        <v/>
      </c>
      <c r="AD3400" s="32" t="str">
        <f t="shared" si="3494"/>
        <v/>
      </c>
      <c r="AE3400" s="32" t="str">
        <f t="shared" si="3494"/>
        <v/>
      </c>
      <c r="AF3400" s="32" t="str">
        <f t="shared" si="3494"/>
        <v/>
      </c>
      <c r="AG3400" s="32" t="str">
        <f t="shared" si="3494"/>
        <v/>
      </c>
      <c r="AH3400" s="33"/>
    </row>
    <row r="3401" hidden="1" outlineLevel="2">
      <c r="A3401" s="95" t="b">
        <v>0</v>
      </c>
      <c r="B3401" s="96"/>
      <c r="C3401" s="18"/>
      <c r="D3401" s="107"/>
      <c r="E3401" s="108"/>
      <c r="F3401" s="109"/>
      <c r="G3401" s="97"/>
      <c r="H3401" s="97"/>
      <c r="I3401" s="97"/>
      <c r="J3401" s="98"/>
      <c r="K3401" s="99"/>
      <c r="L3401" s="98"/>
      <c r="M3401" s="99"/>
      <c r="N3401" s="99"/>
      <c r="O3401" s="18"/>
      <c r="P3401" s="100" t="b">
        <v>0</v>
      </c>
      <c r="Q3401" s="18"/>
      <c r="R3401" s="101" t="str">
        <f t="shared" si="3377"/>
        <v/>
      </c>
      <c r="S3401" s="32"/>
      <c r="T3401" s="102" t="str">
        <f t="shared" si="3378"/>
        <v/>
      </c>
      <c r="U3401" s="18"/>
      <c r="V3401" s="113">
        <v>57.0</v>
      </c>
      <c r="W3401" s="104" t="str">
        <f t="shared" si="2828"/>
        <v>/</v>
      </c>
      <c r="X3401" s="111" t="s">
        <v>2011</v>
      </c>
      <c r="Y3401" s="106"/>
      <c r="Z3401" s="26" t="str">
        <f t="shared" si="5"/>
        <v/>
      </c>
      <c r="AA3401" s="26" t="str">
        <f t="shared" si="6"/>
        <v/>
      </c>
      <c r="AB3401" s="32" t="str">
        <f t="shared" si="7"/>
        <v/>
      </c>
      <c r="AC3401" s="32" t="str">
        <f t="shared" ref="AC3401:AG3401" si="3495">IF(J3401&lt;&gt;"", IF(AND($P3401=FALSE, $A3401=FALSE), -J3401, IF(AND($P3401=FALSE, $A3401=TRUE), 0, IF($P3401=TRUE, (J3401 / $R3401) * 100 * ($S3401 / 100)-J3401, ))), )</f>
        <v/>
      </c>
      <c r="AD3401" s="32" t="str">
        <f t="shared" si="3495"/>
        <v/>
      </c>
      <c r="AE3401" s="32" t="str">
        <f t="shared" si="3495"/>
        <v/>
      </c>
      <c r="AF3401" s="32" t="str">
        <f t="shared" si="3495"/>
        <v/>
      </c>
      <c r="AG3401" s="32" t="str">
        <f t="shared" si="3495"/>
        <v/>
      </c>
      <c r="AH3401" s="33"/>
    </row>
    <row r="3402" hidden="1" outlineLevel="1">
      <c r="A3402" s="95" t="b">
        <v>0</v>
      </c>
      <c r="B3402" s="96"/>
      <c r="C3402" s="18"/>
      <c r="D3402" s="42">
        <v>45697.0</v>
      </c>
      <c r="E3402" s="20" t="s">
        <v>24</v>
      </c>
      <c r="F3402" s="53" t="s">
        <v>1973</v>
      </c>
      <c r="G3402" s="97">
        <v>2.0</v>
      </c>
      <c r="H3402" s="97"/>
      <c r="I3402" s="97">
        <v>6.0</v>
      </c>
      <c r="J3402" s="98"/>
      <c r="K3402" s="99"/>
      <c r="L3402" s="98"/>
      <c r="M3402" s="99"/>
      <c r="N3402" s="99"/>
      <c r="O3402" s="18"/>
      <c r="P3402" s="100" t="b">
        <v>0</v>
      </c>
      <c r="Q3402" s="18"/>
      <c r="R3402" s="101">
        <f t="shared" si="3377"/>
        <v>8</v>
      </c>
      <c r="S3402" s="32">
        <v>16.71</v>
      </c>
      <c r="T3402" s="102" t="str">
        <f t="shared" si="3378"/>
        <v>+109</v>
      </c>
      <c r="U3402" s="18"/>
      <c r="V3402" s="103" t="str">
        <f>IF(ISBLANK($D3402), "0",)</f>
        <v/>
      </c>
      <c r="W3402" s="104" t="str">
        <f t="shared" si="2828"/>
        <v/>
      </c>
      <c r="X3402" s="117"/>
      <c r="Y3402" s="106"/>
      <c r="Z3402" s="26">
        <f t="shared" si="5"/>
        <v>-2</v>
      </c>
      <c r="AA3402" s="26">
        <f t="shared" si="6"/>
        <v>-6</v>
      </c>
      <c r="AB3402" s="32" t="str">
        <f t="shared" si="7"/>
        <v/>
      </c>
      <c r="AC3402" s="32" t="str">
        <f t="shared" ref="AC3402:AG3402" si="3496">IF(J3402&lt;&gt;"", IF(AND($P3402=FALSE, $A3402=FALSE), -J3402, IF(AND($P3402=FALSE, $A3402=TRUE), 0, IF($P3402=TRUE, (J3402 / $R3402) * 100 * ($S3402 / 100)-J3402, ))), )</f>
        <v/>
      </c>
      <c r="AD3402" s="32" t="str">
        <f t="shared" si="3496"/>
        <v/>
      </c>
      <c r="AE3402" s="32" t="str">
        <f t="shared" si="3496"/>
        <v/>
      </c>
      <c r="AF3402" s="32" t="str">
        <f t="shared" si="3496"/>
        <v/>
      </c>
      <c r="AG3402" s="32" t="str">
        <f t="shared" si="3496"/>
        <v/>
      </c>
      <c r="AH3402" s="33"/>
    </row>
    <row r="3403" hidden="1" outlineLevel="2">
      <c r="A3403" s="95" t="b">
        <v>0</v>
      </c>
      <c r="B3403" s="96"/>
      <c r="C3403" s="18"/>
      <c r="D3403" s="107"/>
      <c r="E3403" s="108"/>
      <c r="F3403" s="109"/>
      <c r="G3403" s="97"/>
      <c r="H3403" s="97"/>
      <c r="I3403" s="97"/>
      <c r="J3403" s="98"/>
      <c r="K3403" s="99"/>
      <c r="L3403" s="98"/>
      <c r="M3403" s="99"/>
      <c r="N3403" s="99"/>
      <c r="O3403" s="18"/>
      <c r="P3403" s="100" t="b">
        <v>0</v>
      </c>
      <c r="Q3403" s="18"/>
      <c r="R3403" s="101" t="str">
        <f t="shared" si="3377"/>
        <v/>
      </c>
      <c r="S3403" s="32"/>
      <c r="T3403" s="102" t="str">
        <f t="shared" si="3378"/>
        <v/>
      </c>
      <c r="U3403" s="18"/>
      <c r="V3403" s="113">
        <v>4.0</v>
      </c>
      <c r="W3403" s="104" t="str">
        <f t="shared" si="2828"/>
        <v>/</v>
      </c>
      <c r="X3403" s="111" t="s">
        <v>2012</v>
      </c>
      <c r="Y3403" s="106"/>
      <c r="Z3403" s="26" t="str">
        <f t="shared" si="5"/>
        <v/>
      </c>
      <c r="AA3403" s="26" t="str">
        <f t="shared" si="6"/>
        <v/>
      </c>
      <c r="AB3403" s="32" t="str">
        <f t="shared" si="7"/>
        <v/>
      </c>
      <c r="AC3403" s="32" t="str">
        <f t="shared" ref="AC3403:AG3403" si="3497">IF(J3403&lt;&gt;"", IF(AND($P3403=FALSE, $A3403=FALSE), -J3403, IF(AND($P3403=FALSE, $A3403=TRUE), 0, IF($P3403=TRUE, (J3403 / $R3403) * 100 * ($S3403 / 100)-J3403, ))), )</f>
        <v/>
      </c>
      <c r="AD3403" s="32" t="str">
        <f t="shared" si="3497"/>
        <v/>
      </c>
      <c r="AE3403" s="32" t="str">
        <f t="shared" si="3497"/>
        <v/>
      </c>
      <c r="AF3403" s="32" t="str">
        <f t="shared" si="3497"/>
        <v/>
      </c>
      <c r="AG3403" s="32" t="str">
        <f t="shared" si="3497"/>
        <v/>
      </c>
      <c r="AH3403" s="33"/>
    </row>
    <row r="3404" hidden="1" outlineLevel="2">
      <c r="A3404" s="95" t="b">
        <v>0</v>
      </c>
      <c r="B3404" s="96"/>
      <c r="C3404" s="18"/>
      <c r="D3404" s="107"/>
      <c r="E3404" s="108"/>
      <c r="F3404" s="109"/>
      <c r="G3404" s="97"/>
      <c r="H3404" s="97"/>
      <c r="I3404" s="97"/>
      <c r="J3404" s="98"/>
      <c r="K3404" s="99"/>
      <c r="L3404" s="98"/>
      <c r="M3404" s="99"/>
      <c r="N3404" s="99"/>
      <c r="O3404" s="18"/>
      <c r="P3404" s="100" t="b">
        <v>0</v>
      </c>
      <c r="Q3404" s="18"/>
      <c r="R3404" s="101" t="str">
        <f t="shared" si="3377"/>
        <v/>
      </c>
      <c r="S3404" s="32"/>
      <c r="T3404" s="102" t="str">
        <f t="shared" si="3378"/>
        <v/>
      </c>
      <c r="U3404" s="18"/>
      <c r="V3404" s="116" t="s">
        <v>29</v>
      </c>
      <c r="W3404" s="104" t="str">
        <f t="shared" si="2828"/>
        <v>/</v>
      </c>
      <c r="X3404" s="111" t="s">
        <v>910</v>
      </c>
      <c r="Y3404" s="106"/>
      <c r="Z3404" s="26" t="str">
        <f t="shared" si="5"/>
        <v/>
      </c>
      <c r="AA3404" s="26" t="str">
        <f t="shared" si="6"/>
        <v/>
      </c>
      <c r="AB3404" s="32" t="str">
        <f t="shared" si="7"/>
        <v/>
      </c>
      <c r="AC3404" s="32" t="str">
        <f t="shared" ref="AC3404:AG3404" si="3498">IF(J3404&lt;&gt;"", IF(AND($P3404=FALSE, $A3404=FALSE), -J3404, IF(AND($P3404=FALSE, $A3404=TRUE), 0, IF($P3404=TRUE, (J3404 / $R3404) * 100 * ($S3404 / 100)-J3404, ))), )</f>
        <v/>
      </c>
      <c r="AD3404" s="32" t="str">
        <f t="shared" si="3498"/>
        <v/>
      </c>
      <c r="AE3404" s="32" t="str">
        <f t="shared" si="3498"/>
        <v/>
      </c>
      <c r="AF3404" s="32" t="str">
        <f t="shared" si="3498"/>
        <v/>
      </c>
      <c r="AG3404" s="32" t="str">
        <f t="shared" si="3498"/>
        <v/>
      </c>
      <c r="AH3404" s="33"/>
    </row>
    <row r="3405" hidden="1" outlineLevel="2">
      <c r="A3405" s="95" t="b">
        <v>0</v>
      </c>
      <c r="B3405" s="96"/>
      <c r="C3405" s="18"/>
      <c r="D3405" s="107"/>
      <c r="E3405" s="108"/>
      <c r="F3405" s="109"/>
      <c r="G3405" s="97"/>
      <c r="H3405" s="97"/>
      <c r="I3405" s="97"/>
      <c r="J3405" s="98"/>
      <c r="K3405" s="99"/>
      <c r="L3405" s="98"/>
      <c r="M3405" s="99"/>
      <c r="N3405" s="99"/>
      <c r="O3405" s="18"/>
      <c r="P3405" s="100" t="b">
        <v>0</v>
      </c>
      <c r="Q3405" s="18"/>
      <c r="R3405" s="101" t="str">
        <f t="shared" si="3377"/>
        <v/>
      </c>
      <c r="S3405" s="32"/>
      <c r="T3405" s="102" t="str">
        <f t="shared" si="3378"/>
        <v/>
      </c>
      <c r="U3405" s="18"/>
      <c r="V3405" s="116" t="s">
        <v>29</v>
      </c>
      <c r="W3405" s="104" t="str">
        <f t="shared" si="2828"/>
        <v>/</v>
      </c>
      <c r="X3405" s="111" t="s">
        <v>680</v>
      </c>
      <c r="Y3405" s="106"/>
      <c r="Z3405" s="26" t="str">
        <f t="shared" si="5"/>
        <v/>
      </c>
      <c r="AA3405" s="26" t="str">
        <f t="shared" si="6"/>
        <v/>
      </c>
      <c r="AB3405" s="32" t="str">
        <f t="shared" si="7"/>
        <v/>
      </c>
      <c r="AC3405" s="32" t="str">
        <f t="shared" ref="AC3405:AG3405" si="3499">IF(J3405&lt;&gt;"", IF(AND($P3405=FALSE, $A3405=FALSE), -J3405, IF(AND($P3405=FALSE, $A3405=TRUE), 0, IF($P3405=TRUE, (J3405 / $R3405) * 100 * ($S3405 / 100)-J3405, ))), )</f>
        <v/>
      </c>
      <c r="AD3405" s="32" t="str">
        <f t="shared" si="3499"/>
        <v/>
      </c>
      <c r="AE3405" s="32" t="str">
        <f t="shared" si="3499"/>
        <v/>
      </c>
      <c r="AF3405" s="32" t="str">
        <f t="shared" si="3499"/>
        <v/>
      </c>
      <c r="AG3405" s="32" t="str">
        <f t="shared" si="3499"/>
        <v/>
      </c>
      <c r="AH3405" s="33"/>
    </row>
    <row r="3406" collapsed="1">
      <c r="A3406" s="95" t="b">
        <v>0</v>
      </c>
      <c r="B3406" s="96"/>
      <c r="C3406" s="18"/>
      <c r="D3406" s="42">
        <v>45827.0</v>
      </c>
      <c r="E3406" s="108" t="s">
        <v>2013</v>
      </c>
      <c r="F3406" s="109" t="s">
        <v>2014</v>
      </c>
      <c r="G3406" s="97">
        <v>3.0</v>
      </c>
      <c r="H3406" s="97"/>
      <c r="I3406" s="97">
        <v>2.0</v>
      </c>
      <c r="J3406" s="98"/>
      <c r="K3406" s="99"/>
      <c r="L3406" s="98"/>
      <c r="M3406" s="99"/>
      <c r="N3406" s="99"/>
      <c r="O3406" s="18"/>
      <c r="P3406" s="100" t="b">
        <v>1</v>
      </c>
      <c r="Q3406" s="18"/>
      <c r="R3406" s="101">
        <f t="shared" si="3377"/>
        <v>5</v>
      </c>
      <c r="S3406" s="32">
        <v>9.81</v>
      </c>
      <c r="T3406" s="102">
        <f t="shared" si="3378"/>
        <v>-104</v>
      </c>
      <c r="U3406" s="18"/>
      <c r="V3406" s="103" t="str">
        <f t="shared" ref="V3406:V3411" si="3501">IF(ISBLANK($D3406), "0",)</f>
        <v/>
      </c>
      <c r="W3406" s="104" t="str">
        <f t="shared" si="2828"/>
        <v/>
      </c>
      <c r="X3406" s="105"/>
      <c r="Y3406" s="106"/>
      <c r="Z3406" s="26">
        <f t="shared" si="5"/>
        <v>2.886</v>
      </c>
      <c r="AA3406" s="26">
        <f t="shared" si="6"/>
        <v>1.924</v>
      </c>
      <c r="AB3406" s="32" t="str">
        <f t="shared" si="7"/>
        <v/>
      </c>
      <c r="AC3406" s="32" t="str">
        <f t="shared" ref="AC3406:AG3406" si="3500">IF(J3406&lt;&gt;"", IF(AND($P3406=FALSE, $A3406=FALSE), -J3406, IF(AND($P3406=FALSE, $A3406=TRUE), 0, IF($P3406=TRUE, (J3406 / $R3406) * 100 * ($S3406 / 100)-J3406, ))), )</f>
        <v/>
      </c>
      <c r="AD3406" s="32" t="str">
        <f t="shared" si="3500"/>
        <v/>
      </c>
      <c r="AE3406" s="32" t="str">
        <f t="shared" si="3500"/>
        <v/>
      </c>
      <c r="AF3406" s="32" t="str">
        <f t="shared" si="3500"/>
        <v/>
      </c>
      <c r="AG3406" s="32" t="str">
        <f t="shared" si="3500"/>
        <v/>
      </c>
      <c r="AH3406" s="33"/>
    </row>
    <row r="3407" hidden="1" outlineLevel="2">
      <c r="A3407" s="95" t="b">
        <v>0</v>
      </c>
      <c r="B3407" s="96"/>
      <c r="C3407" s="18"/>
      <c r="D3407" s="107"/>
      <c r="E3407" s="108"/>
      <c r="F3407" s="109"/>
      <c r="G3407" s="97"/>
      <c r="H3407" s="97"/>
      <c r="I3407" s="97"/>
      <c r="J3407" s="98"/>
      <c r="K3407" s="99"/>
      <c r="L3407" s="98"/>
      <c r="M3407" s="99"/>
      <c r="N3407" s="99"/>
      <c r="O3407" s="18"/>
      <c r="P3407" s="100" t="b">
        <v>0</v>
      </c>
      <c r="Q3407" s="18"/>
      <c r="R3407" s="101" t="str">
        <f t="shared" si="3377"/>
        <v/>
      </c>
      <c r="S3407" s="32"/>
      <c r="T3407" s="102" t="str">
        <f t="shared" si="3378"/>
        <v/>
      </c>
      <c r="U3407" s="18"/>
      <c r="V3407" s="103" t="str">
        <f t="shared" si="3501"/>
        <v>0</v>
      </c>
      <c r="W3407" s="104" t="str">
        <f t="shared" si="2828"/>
        <v>/</v>
      </c>
      <c r="X3407" s="111" t="s">
        <v>2015</v>
      </c>
      <c r="Y3407" s="106"/>
      <c r="Z3407" s="26" t="str">
        <f t="shared" si="5"/>
        <v/>
      </c>
      <c r="AA3407" s="26" t="str">
        <f t="shared" si="6"/>
        <v/>
      </c>
      <c r="AB3407" s="32" t="str">
        <f t="shared" si="7"/>
        <v/>
      </c>
      <c r="AC3407" s="32" t="str">
        <f t="shared" ref="AC3407:AG3407" si="3502">IF(J3407&lt;&gt;"", IF(AND($P3407=FALSE, $A3407=FALSE), -J3407, IF(AND($P3407=FALSE, $A3407=TRUE), 0, IF($P3407=TRUE, (J3407 / $R3407) * 100 * ($S3407 / 100)-J3407, ))), )</f>
        <v/>
      </c>
      <c r="AD3407" s="32" t="str">
        <f t="shared" si="3502"/>
        <v/>
      </c>
      <c r="AE3407" s="32" t="str">
        <f t="shared" si="3502"/>
        <v/>
      </c>
      <c r="AF3407" s="32" t="str">
        <f t="shared" si="3502"/>
        <v/>
      </c>
      <c r="AG3407" s="32" t="str">
        <f t="shared" si="3502"/>
        <v/>
      </c>
      <c r="AH3407" s="33"/>
    </row>
    <row r="3408" collapsed="1">
      <c r="A3408" s="95" t="b">
        <v>0</v>
      </c>
      <c r="B3408" s="96"/>
      <c r="C3408" s="18"/>
      <c r="D3408" s="42">
        <v>45828.0</v>
      </c>
      <c r="E3408" s="118" t="s">
        <v>2013</v>
      </c>
      <c r="F3408" s="119" t="s">
        <v>2014</v>
      </c>
      <c r="G3408" s="97">
        <v>2.0</v>
      </c>
      <c r="H3408" s="97"/>
      <c r="I3408" s="97">
        <v>2.0</v>
      </c>
      <c r="J3408" s="98"/>
      <c r="K3408" s="99"/>
      <c r="L3408" s="98"/>
      <c r="M3408" s="99"/>
      <c r="N3408" s="99"/>
      <c r="O3408" s="18"/>
      <c r="P3408" s="100" t="b">
        <v>0</v>
      </c>
      <c r="Q3408" s="18"/>
      <c r="R3408" s="101">
        <f t="shared" si="3377"/>
        <v>4</v>
      </c>
      <c r="S3408" s="32">
        <v>9.83</v>
      </c>
      <c r="T3408" s="102" t="str">
        <f t="shared" si="3378"/>
        <v>+146</v>
      </c>
      <c r="U3408" s="18"/>
      <c r="V3408" s="103" t="str">
        <f t="shared" si="3501"/>
        <v/>
      </c>
      <c r="W3408" s="104" t="str">
        <f t="shared" si="2828"/>
        <v/>
      </c>
      <c r="X3408" s="105"/>
      <c r="Y3408" s="106"/>
      <c r="Z3408" s="26">
        <f t="shared" si="5"/>
        <v>-2</v>
      </c>
      <c r="AA3408" s="26">
        <f t="shared" si="6"/>
        <v>-2</v>
      </c>
      <c r="AB3408" s="32" t="str">
        <f t="shared" si="7"/>
        <v/>
      </c>
      <c r="AC3408" s="32" t="str">
        <f t="shared" ref="AC3408:AG3408" si="3503">IF(J3408&lt;&gt;"", IF(AND($P3408=FALSE, $A3408=FALSE), -J3408, IF(AND($P3408=FALSE, $A3408=TRUE), 0, IF($P3408=TRUE, (J3408 / $R3408) * 100 * ($S3408 / 100)-J3408, ))), )</f>
        <v/>
      </c>
      <c r="AD3408" s="32" t="str">
        <f t="shared" si="3503"/>
        <v/>
      </c>
      <c r="AE3408" s="32" t="str">
        <f t="shared" si="3503"/>
        <v/>
      </c>
      <c r="AF3408" s="32" t="str">
        <f t="shared" si="3503"/>
        <v/>
      </c>
      <c r="AG3408" s="32" t="str">
        <f t="shared" si="3503"/>
        <v/>
      </c>
      <c r="AH3408" s="33"/>
    </row>
    <row r="3409" hidden="1" outlineLevel="2">
      <c r="A3409" s="95" t="b">
        <v>0</v>
      </c>
      <c r="B3409" s="96"/>
      <c r="C3409" s="18"/>
      <c r="D3409" s="107"/>
      <c r="E3409" s="108"/>
      <c r="F3409" s="109"/>
      <c r="G3409" s="97"/>
      <c r="H3409" s="97"/>
      <c r="I3409" s="97"/>
      <c r="J3409" s="98"/>
      <c r="K3409" s="99"/>
      <c r="L3409" s="98"/>
      <c r="M3409" s="99"/>
      <c r="N3409" s="99"/>
      <c r="O3409" s="18"/>
      <c r="P3409" s="100" t="b">
        <v>0</v>
      </c>
      <c r="Q3409" s="18"/>
      <c r="R3409" s="101" t="str">
        <f t="shared" si="3377"/>
        <v/>
      </c>
      <c r="S3409" s="32"/>
      <c r="T3409" s="102" t="str">
        <f t="shared" si="3378"/>
        <v/>
      </c>
      <c r="U3409" s="18"/>
      <c r="V3409" s="103" t="str">
        <f t="shared" si="3501"/>
        <v>0</v>
      </c>
      <c r="W3409" s="104" t="str">
        <f t="shared" si="2828"/>
        <v>/</v>
      </c>
      <c r="X3409" s="111" t="s">
        <v>2016</v>
      </c>
      <c r="Y3409" s="106"/>
      <c r="Z3409" s="26" t="str">
        <f t="shared" si="5"/>
        <v/>
      </c>
      <c r="AA3409" s="26" t="str">
        <f t="shared" si="6"/>
        <v/>
      </c>
      <c r="AB3409" s="32" t="str">
        <f t="shared" si="7"/>
        <v/>
      </c>
      <c r="AC3409" s="32" t="str">
        <f t="shared" ref="AC3409:AG3409" si="3504">IF(J3409&lt;&gt;"", IF(AND($P3409=FALSE, $A3409=FALSE), -J3409, IF(AND($P3409=FALSE, $A3409=TRUE), 0, IF($P3409=TRUE, (J3409 / $R3409) * 100 * ($S3409 / 100)-J3409, ))), )</f>
        <v/>
      </c>
      <c r="AD3409" s="32" t="str">
        <f t="shared" si="3504"/>
        <v/>
      </c>
      <c r="AE3409" s="32" t="str">
        <f t="shared" si="3504"/>
        <v/>
      </c>
      <c r="AF3409" s="32" t="str">
        <f t="shared" si="3504"/>
        <v/>
      </c>
      <c r="AG3409" s="32" t="str">
        <f t="shared" si="3504"/>
        <v/>
      </c>
      <c r="AH3409" s="33"/>
    </row>
    <row r="3410" hidden="1" outlineLevel="2">
      <c r="A3410" s="95" t="b">
        <v>0</v>
      </c>
      <c r="B3410" s="96"/>
      <c r="C3410" s="18"/>
      <c r="D3410" s="107"/>
      <c r="E3410" s="108"/>
      <c r="F3410" s="109"/>
      <c r="G3410" s="97"/>
      <c r="H3410" s="97"/>
      <c r="I3410" s="97"/>
      <c r="J3410" s="98"/>
      <c r="K3410" s="99"/>
      <c r="L3410" s="98"/>
      <c r="M3410" s="99"/>
      <c r="N3410" s="99"/>
      <c r="O3410" s="18"/>
      <c r="P3410" s="100" t="b">
        <v>0</v>
      </c>
      <c r="Q3410" s="18"/>
      <c r="R3410" s="101" t="str">
        <f t="shared" si="3377"/>
        <v/>
      </c>
      <c r="S3410" s="32"/>
      <c r="T3410" s="102" t="str">
        <f t="shared" si="3378"/>
        <v/>
      </c>
      <c r="U3410" s="18"/>
      <c r="V3410" s="103" t="str">
        <f t="shared" si="3501"/>
        <v>0</v>
      </c>
      <c r="W3410" s="104" t="str">
        <f t="shared" si="2828"/>
        <v>/</v>
      </c>
      <c r="X3410" s="111" t="s">
        <v>2015</v>
      </c>
      <c r="Y3410" s="106"/>
      <c r="Z3410" s="26" t="str">
        <f t="shared" si="5"/>
        <v/>
      </c>
      <c r="AA3410" s="26" t="str">
        <f t="shared" si="6"/>
        <v/>
      </c>
      <c r="AB3410" s="32" t="str">
        <f t="shared" si="7"/>
        <v/>
      </c>
      <c r="AC3410" s="32" t="str">
        <f t="shared" ref="AC3410:AG3410" si="3505">IF(J3410&lt;&gt;"", IF(AND($P3410=FALSE, $A3410=FALSE), -J3410, IF(AND($P3410=FALSE, $A3410=TRUE), 0, IF($P3410=TRUE, (J3410 / $R3410) * 100 * ($S3410 / 100)-J3410, ))), )</f>
        <v/>
      </c>
      <c r="AD3410" s="32" t="str">
        <f t="shared" si="3505"/>
        <v/>
      </c>
      <c r="AE3410" s="32" t="str">
        <f t="shared" si="3505"/>
        <v/>
      </c>
      <c r="AF3410" s="32" t="str">
        <f t="shared" si="3505"/>
        <v/>
      </c>
      <c r="AG3410" s="32" t="str">
        <f t="shared" si="3505"/>
        <v/>
      </c>
      <c r="AH3410" s="33"/>
    </row>
    <row r="3411" collapsed="1">
      <c r="A3411" s="95" t="b">
        <v>0</v>
      </c>
      <c r="B3411" s="96"/>
      <c r="C3411" s="18"/>
      <c r="D3411" s="42">
        <v>45904.0</v>
      </c>
      <c r="E3411" s="20" t="s">
        <v>24</v>
      </c>
      <c r="F3411" s="53" t="s">
        <v>2017</v>
      </c>
      <c r="G3411" s="97">
        <v>3.0</v>
      </c>
      <c r="H3411" s="97"/>
      <c r="I3411" s="97">
        <v>0.0</v>
      </c>
      <c r="J3411" s="98"/>
      <c r="K3411" s="99"/>
      <c r="L3411" s="98"/>
      <c r="M3411" s="99"/>
      <c r="N3411" s="99"/>
      <c r="O3411" s="18"/>
      <c r="P3411" s="100" t="b">
        <v>0</v>
      </c>
      <c r="Q3411" s="18"/>
      <c r="R3411" s="101">
        <f t="shared" si="3377"/>
        <v>3</v>
      </c>
      <c r="S3411" s="32">
        <v>7.29</v>
      </c>
      <c r="T3411" s="102" t="str">
        <f t="shared" si="3378"/>
        <v>+143</v>
      </c>
      <c r="U3411" s="18"/>
      <c r="V3411" s="103" t="str">
        <f t="shared" si="3501"/>
        <v/>
      </c>
      <c r="W3411" s="104" t="str">
        <f t="shared" si="2828"/>
        <v/>
      </c>
      <c r="X3411" s="105"/>
      <c r="Y3411" s="106"/>
      <c r="Z3411" s="26">
        <f t="shared" si="5"/>
        <v>-3</v>
      </c>
      <c r="AA3411" s="26">
        <f t="shared" si="6"/>
        <v>0</v>
      </c>
      <c r="AB3411" s="32" t="str">
        <f t="shared" si="7"/>
        <v/>
      </c>
      <c r="AC3411" s="32" t="str">
        <f t="shared" ref="AC3411:AG3411" si="3506">IF(J3411&lt;&gt;"", IF(AND($P3411=FALSE, $A3411=FALSE), -J3411, IF(AND($P3411=FALSE, $A3411=TRUE), 0, IF($P3411=TRUE, (J3411 / $R3411) * 100 * ($S3411 / 100)-J3411, ))), )</f>
        <v/>
      </c>
      <c r="AD3411" s="32" t="str">
        <f t="shared" si="3506"/>
        <v/>
      </c>
      <c r="AE3411" s="32" t="str">
        <f t="shared" si="3506"/>
        <v/>
      </c>
      <c r="AF3411" s="32" t="str">
        <f t="shared" si="3506"/>
        <v/>
      </c>
      <c r="AG3411" s="32" t="str">
        <f t="shared" si="3506"/>
        <v/>
      </c>
      <c r="AH3411" s="33"/>
    </row>
    <row r="3412" hidden="1" outlineLevel="2">
      <c r="A3412" s="95" t="b">
        <v>0</v>
      </c>
      <c r="B3412" s="96"/>
      <c r="C3412" s="18"/>
      <c r="D3412" s="107"/>
      <c r="E3412" s="108"/>
      <c r="F3412" s="109"/>
      <c r="G3412" s="97"/>
      <c r="H3412" s="97"/>
      <c r="I3412" s="97"/>
      <c r="J3412" s="98"/>
      <c r="K3412" s="99"/>
      <c r="L3412" s="98"/>
      <c r="M3412" s="99"/>
      <c r="N3412" s="99"/>
      <c r="O3412" s="18"/>
      <c r="P3412" s="100" t="b">
        <v>0</v>
      </c>
      <c r="Q3412" s="18"/>
      <c r="R3412" s="101" t="str">
        <f t="shared" si="3377"/>
        <v/>
      </c>
      <c r="S3412" s="32"/>
      <c r="T3412" s="102" t="str">
        <f t="shared" si="3378"/>
        <v/>
      </c>
      <c r="U3412" s="18"/>
      <c r="V3412" s="113">
        <v>-4.0</v>
      </c>
      <c r="W3412" s="104" t="str">
        <f t="shared" si="2828"/>
        <v>/</v>
      </c>
      <c r="X3412" s="111" t="s">
        <v>2018</v>
      </c>
      <c r="Y3412" s="106"/>
      <c r="Z3412" s="26" t="str">
        <f t="shared" si="5"/>
        <v/>
      </c>
      <c r="AA3412" s="26" t="str">
        <f t="shared" si="6"/>
        <v/>
      </c>
      <c r="AB3412" s="32" t="str">
        <f t="shared" si="7"/>
        <v/>
      </c>
      <c r="AC3412" s="32" t="str">
        <f t="shared" ref="AC3412:AG3412" si="3507">IF(J3412&lt;&gt;"", IF(AND($P3412=FALSE, $A3412=FALSE), -J3412, IF(AND($P3412=FALSE, $A3412=TRUE), 0, IF($P3412=TRUE, (J3412 / $R3412) * 100 * ($S3412 / 100)-J3412, ))), )</f>
        <v/>
      </c>
      <c r="AD3412" s="32" t="str">
        <f t="shared" si="3507"/>
        <v/>
      </c>
      <c r="AE3412" s="32" t="str">
        <f t="shared" si="3507"/>
        <v/>
      </c>
      <c r="AF3412" s="32" t="str">
        <f t="shared" si="3507"/>
        <v/>
      </c>
      <c r="AG3412" s="32" t="str">
        <f t="shared" si="3507"/>
        <v/>
      </c>
      <c r="AH3412" s="33"/>
    </row>
    <row r="3413" hidden="1" outlineLevel="1" collapsed="1">
      <c r="A3413" s="95" t="b">
        <v>0</v>
      </c>
      <c r="B3413" s="96"/>
      <c r="C3413" s="18"/>
      <c r="D3413" s="42">
        <v>45904.0</v>
      </c>
      <c r="E3413" s="20" t="s">
        <v>24</v>
      </c>
      <c r="F3413" s="53" t="s">
        <v>2017</v>
      </c>
      <c r="G3413" s="97">
        <v>1.0</v>
      </c>
      <c r="H3413" s="97"/>
      <c r="I3413" s="97">
        <v>1.0</v>
      </c>
      <c r="J3413" s="98"/>
      <c r="K3413" s="99"/>
      <c r="L3413" s="98"/>
      <c r="M3413" s="99"/>
      <c r="N3413" s="99"/>
      <c r="O3413" s="18"/>
      <c r="P3413" s="100" t="b">
        <v>0</v>
      </c>
      <c r="Q3413" s="18"/>
      <c r="R3413" s="101">
        <f t="shared" si="3377"/>
        <v>2</v>
      </c>
      <c r="S3413" s="32">
        <v>8.4</v>
      </c>
      <c r="T3413" s="102" t="str">
        <f t="shared" si="3378"/>
        <v>+320</v>
      </c>
      <c r="U3413" s="18"/>
      <c r="V3413" s="103" t="str">
        <f>IF(ISBLANK($D3413), "0",)</f>
        <v/>
      </c>
      <c r="W3413" s="104" t="str">
        <f t="shared" si="2828"/>
        <v/>
      </c>
      <c r="X3413" s="105"/>
      <c r="Y3413" s="106"/>
      <c r="Z3413" s="26">
        <f t="shared" si="5"/>
        <v>-1</v>
      </c>
      <c r="AA3413" s="26">
        <f t="shared" si="6"/>
        <v>-1</v>
      </c>
      <c r="AB3413" s="32" t="str">
        <f t="shared" si="7"/>
        <v/>
      </c>
      <c r="AC3413" s="32" t="str">
        <f t="shared" ref="AC3413:AG3413" si="3508">IF(J3413&lt;&gt;"", IF(AND($P3413=FALSE, $A3413=FALSE), -J3413, IF(AND($P3413=FALSE, $A3413=TRUE), 0, IF($P3413=TRUE, (J3413 / $R3413) * 100 * ($S3413 / 100)-J3413, ))), )</f>
        <v/>
      </c>
      <c r="AD3413" s="32" t="str">
        <f t="shared" si="3508"/>
        <v/>
      </c>
      <c r="AE3413" s="32" t="str">
        <f t="shared" si="3508"/>
        <v/>
      </c>
      <c r="AF3413" s="32" t="str">
        <f t="shared" si="3508"/>
        <v/>
      </c>
      <c r="AG3413" s="32" t="str">
        <f t="shared" si="3508"/>
        <v/>
      </c>
      <c r="AH3413" s="33"/>
    </row>
    <row r="3414" hidden="1" outlineLevel="2">
      <c r="A3414" s="95" t="b">
        <v>0</v>
      </c>
      <c r="B3414" s="96"/>
      <c r="C3414" s="18"/>
      <c r="D3414" s="107"/>
      <c r="E3414" s="108"/>
      <c r="F3414" s="109"/>
      <c r="G3414" s="97"/>
      <c r="H3414" s="97"/>
      <c r="I3414" s="97"/>
      <c r="J3414" s="98"/>
      <c r="K3414" s="99"/>
      <c r="L3414" s="98"/>
      <c r="M3414" s="99"/>
      <c r="N3414" s="99"/>
      <c r="O3414" s="18"/>
      <c r="P3414" s="100" t="b">
        <v>0</v>
      </c>
      <c r="Q3414" s="18"/>
      <c r="R3414" s="101" t="str">
        <f t="shared" si="3377"/>
        <v/>
      </c>
      <c r="S3414" s="32"/>
      <c r="T3414" s="102" t="str">
        <f t="shared" si="3378"/>
        <v/>
      </c>
      <c r="U3414" s="18"/>
      <c r="V3414" s="113" t="s">
        <v>2019</v>
      </c>
      <c r="W3414" s="104" t="str">
        <f t="shared" si="2828"/>
        <v>/</v>
      </c>
      <c r="X3414" s="111" t="s">
        <v>2020</v>
      </c>
      <c r="Y3414" s="106"/>
      <c r="Z3414" s="26" t="str">
        <f t="shared" si="5"/>
        <v/>
      </c>
      <c r="AA3414" s="26" t="str">
        <f t="shared" si="6"/>
        <v/>
      </c>
      <c r="AB3414" s="32" t="str">
        <f t="shared" si="7"/>
        <v/>
      </c>
      <c r="AC3414" s="32" t="str">
        <f t="shared" ref="AC3414:AG3414" si="3509">IF(J3414&lt;&gt;"", IF(AND($P3414=FALSE, $A3414=FALSE), -J3414, IF(AND($P3414=FALSE, $A3414=TRUE), 0, IF($P3414=TRUE, (J3414 / $R3414) * 100 * ($S3414 / 100)-J3414, ))), )</f>
        <v/>
      </c>
      <c r="AD3414" s="32" t="str">
        <f t="shared" si="3509"/>
        <v/>
      </c>
      <c r="AE3414" s="32" t="str">
        <f t="shared" si="3509"/>
        <v/>
      </c>
      <c r="AF3414" s="32" t="str">
        <f t="shared" si="3509"/>
        <v/>
      </c>
      <c r="AG3414" s="32" t="str">
        <f t="shared" si="3509"/>
        <v/>
      </c>
      <c r="AH3414" s="33"/>
    </row>
    <row r="3415" hidden="1" outlineLevel="1" collapsed="1">
      <c r="A3415" s="95" t="b">
        <v>0</v>
      </c>
      <c r="B3415" s="96"/>
      <c r="C3415" s="18"/>
      <c r="D3415" s="42">
        <v>45904.0</v>
      </c>
      <c r="E3415" s="20" t="s">
        <v>24</v>
      </c>
      <c r="F3415" s="53" t="s">
        <v>2017</v>
      </c>
      <c r="G3415" s="97">
        <v>2.0</v>
      </c>
      <c r="H3415" s="97"/>
      <c r="I3415" s="97">
        <v>3.0</v>
      </c>
      <c r="J3415" s="98"/>
      <c r="K3415" s="99">
        <v>2.0</v>
      </c>
      <c r="L3415" s="98"/>
      <c r="M3415" s="99"/>
      <c r="N3415" s="99"/>
      <c r="O3415" s="18"/>
      <c r="P3415" s="100" t="b">
        <v>0</v>
      </c>
      <c r="Q3415" s="18"/>
      <c r="R3415" s="101">
        <f t="shared" si="3377"/>
        <v>7</v>
      </c>
      <c r="S3415" s="32">
        <v>15.4</v>
      </c>
      <c r="T3415" s="102" t="str">
        <f t="shared" si="3378"/>
        <v>+120</v>
      </c>
      <c r="U3415" s="18"/>
      <c r="V3415" s="103" t="str">
        <f>IF(ISBLANK($D3415), "0",)</f>
        <v/>
      </c>
      <c r="W3415" s="104" t="str">
        <f t="shared" si="2828"/>
        <v/>
      </c>
      <c r="X3415" s="105"/>
      <c r="Y3415" s="106"/>
      <c r="Z3415" s="26">
        <f t="shared" si="5"/>
        <v>-2</v>
      </c>
      <c r="AA3415" s="26">
        <f t="shared" si="6"/>
        <v>-3</v>
      </c>
      <c r="AB3415" s="32" t="str">
        <f t="shared" si="7"/>
        <v/>
      </c>
      <c r="AC3415" s="32" t="str">
        <f t="shared" ref="AC3415:AG3415" si="3510">IF(J3415&lt;&gt;"", IF(AND($P3415=FALSE, $A3415=FALSE), -J3415, IF(AND($P3415=FALSE, $A3415=TRUE), 0, IF($P3415=TRUE, (J3415 / $R3415) * 100 * ($S3415 / 100)-J3415, ))), )</f>
        <v/>
      </c>
      <c r="AD3415" s="32">
        <f t="shared" si="3510"/>
        <v>-2</v>
      </c>
      <c r="AE3415" s="32" t="str">
        <f t="shared" si="3510"/>
        <v/>
      </c>
      <c r="AF3415" s="32" t="str">
        <f t="shared" si="3510"/>
        <v/>
      </c>
      <c r="AG3415" s="32" t="str">
        <f t="shared" si="3510"/>
        <v/>
      </c>
      <c r="AH3415" s="33"/>
    </row>
    <row r="3416" hidden="1" outlineLevel="2">
      <c r="A3416" s="95" t="b">
        <v>0</v>
      </c>
      <c r="B3416" s="96"/>
      <c r="C3416" s="18"/>
      <c r="D3416" s="107"/>
      <c r="E3416" s="108"/>
      <c r="F3416" s="109"/>
      <c r="G3416" s="97"/>
      <c r="H3416" s="97"/>
      <c r="I3416" s="97"/>
      <c r="J3416" s="98"/>
      <c r="K3416" s="99"/>
      <c r="L3416" s="98"/>
      <c r="M3416" s="99"/>
      <c r="N3416" s="99"/>
      <c r="O3416" s="18"/>
      <c r="P3416" s="100" t="b">
        <v>0</v>
      </c>
      <c r="Q3416" s="18"/>
      <c r="R3416" s="101" t="str">
        <f t="shared" si="3377"/>
        <v/>
      </c>
      <c r="S3416" s="32"/>
      <c r="T3416" s="102" t="str">
        <f t="shared" si="3378"/>
        <v/>
      </c>
      <c r="U3416" s="18"/>
      <c r="V3416" s="120" t="s">
        <v>2021</v>
      </c>
      <c r="W3416" s="104" t="str">
        <f t="shared" si="2828"/>
        <v>/</v>
      </c>
      <c r="X3416" s="111" t="s">
        <v>2022</v>
      </c>
      <c r="Y3416" s="106"/>
      <c r="Z3416" s="26" t="str">
        <f t="shared" si="5"/>
        <v/>
      </c>
      <c r="AA3416" s="26" t="str">
        <f t="shared" si="6"/>
        <v/>
      </c>
      <c r="AB3416" s="32" t="str">
        <f t="shared" si="7"/>
        <v/>
      </c>
      <c r="AC3416" s="32" t="str">
        <f t="shared" ref="AC3416:AG3416" si="3511">IF(J3416&lt;&gt;"", IF(AND($P3416=FALSE, $A3416=FALSE), -J3416, IF(AND($P3416=FALSE, $A3416=TRUE), 0, IF($P3416=TRUE, (J3416 / $R3416) * 100 * ($S3416 / 100)-J3416, ))), )</f>
        <v/>
      </c>
      <c r="AD3416" s="32" t="str">
        <f t="shared" si="3511"/>
        <v/>
      </c>
      <c r="AE3416" s="32" t="str">
        <f t="shared" si="3511"/>
        <v/>
      </c>
      <c r="AF3416" s="32" t="str">
        <f t="shared" si="3511"/>
        <v/>
      </c>
      <c r="AG3416" s="32" t="str">
        <f t="shared" si="3511"/>
        <v/>
      </c>
      <c r="AH3416" s="33"/>
    </row>
    <row r="3417" hidden="1" outlineLevel="1">
      <c r="A3417" s="95" t="b">
        <v>0</v>
      </c>
      <c r="B3417" s="96"/>
      <c r="C3417" s="18"/>
      <c r="D3417" s="42">
        <v>45904.0</v>
      </c>
      <c r="E3417" s="20" t="s">
        <v>24</v>
      </c>
      <c r="F3417" s="53" t="s">
        <v>2017</v>
      </c>
      <c r="G3417" s="97">
        <v>1.0</v>
      </c>
      <c r="H3417" s="97"/>
      <c r="I3417" s="97">
        <v>1.0</v>
      </c>
      <c r="J3417" s="98"/>
      <c r="K3417" s="99"/>
      <c r="L3417" s="98"/>
      <c r="M3417" s="99"/>
      <c r="N3417" s="99"/>
      <c r="O3417" s="18"/>
      <c r="P3417" s="100" t="b">
        <v>0</v>
      </c>
      <c r="Q3417" s="18"/>
      <c r="R3417" s="101">
        <f t="shared" si="3377"/>
        <v>2</v>
      </c>
      <c r="S3417" s="32">
        <v>9.8</v>
      </c>
      <c r="T3417" s="102" t="str">
        <f t="shared" si="3378"/>
        <v>+390</v>
      </c>
      <c r="U3417" s="18"/>
      <c r="V3417" s="103" t="str">
        <f>IF(ISBLANK($D3417), "0",)</f>
        <v/>
      </c>
      <c r="W3417" s="104" t="str">
        <f t="shared" si="2828"/>
        <v/>
      </c>
      <c r="X3417" s="105"/>
      <c r="Y3417" s="106"/>
      <c r="Z3417" s="26">
        <f t="shared" si="5"/>
        <v>-1</v>
      </c>
      <c r="AA3417" s="26">
        <f t="shared" si="6"/>
        <v>-1</v>
      </c>
      <c r="AB3417" s="32" t="str">
        <f t="shared" si="7"/>
        <v/>
      </c>
      <c r="AC3417" s="32" t="str">
        <f t="shared" ref="AC3417:AG3417" si="3512">IF(J3417&lt;&gt;"", IF(AND($P3417=FALSE, $A3417=FALSE), -J3417, IF(AND($P3417=FALSE, $A3417=TRUE), 0, IF($P3417=TRUE, (J3417 / $R3417) * 100 * ($S3417 / 100)-J3417, ))), )</f>
        <v/>
      </c>
      <c r="AD3417" s="32" t="str">
        <f t="shared" si="3512"/>
        <v/>
      </c>
      <c r="AE3417" s="32" t="str">
        <f t="shared" si="3512"/>
        <v/>
      </c>
      <c r="AF3417" s="32" t="str">
        <f t="shared" si="3512"/>
        <v/>
      </c>
      <c r="AG3417" s="32" t="str">
        <f t="shared" si="3512"/>
        <v/>
      </c>
      <c r="AH3417" s="33"/>
    </row>
    <row r="3418" hidden="1" outlineLevel="2">
      <c r="A3418" s="95" t="b">
        <v>0</v>
      </c>
      <c r="B3418" s="96"/>
      <c r="C3418" s="18"/>
      <c r="D3418" s="107"/>
      <c r="E3418" s="108"/>
      <c r="F3418" s="109"/>
      <c r="G3418" s="97"/>
      <c r="H3418" s="97"/>
      <c r="I3418" s="97"/>
      <c r="J3418" s="98"/>
      <c r="K3418" s="99"/>
      <c r="L3418" s="98"/>
      <c r="M3418" s="99"/>
      <c r="N3418" s="99"/>
      <c r="O3418" s="18"/>
      <c r="P3418" s="100" t="b">
        <v>0</v>
      </c>
      <c r="Q3418" s="18"/>
      <c r="R3418" s="101" t="str">
        <f t="shared" si="3377"/>
        <v/>
      </c>
      <c r="S3418" s="32"/>
      <c r="T3418" s="102" t="str">
        <f t="shared" si="3378"/>
        <v/>
      </c>
      <c r="U3418" s="18"/>
      <c r="V3418" s="75" t="s">
        <v>29</v>
      </c>
      <c r="W3418" s="104" t="str">
        <f t="shared" si="2828"/>
        <v>/</v>
      </c>
      <c r="X3418" s="111" t="s">
        <v>2023</v>
      </c>
      <c r="Y3418" s="106"/>
      <c r="Z3418" s="26" t="str">
        <f t="shared" si="5"/>
        <v/>
      </c>
      <c r="AA3418" s="26" t="str">
        <f t="shared" si="6"/>
        <v/>
      </c>
      <c r="AB3418" s="32" t="str">
        <f t="shared" si="7"/>
        <v/>
      </c>
      <c r="AC3418" s="32" t="str">
        <f t="shared" ref="AC3418:AG3418" si="3513">IF(J3418&lt;&gt;"", IF(AND($P3418=FALSE, $A3418=FALSE), -J3418, IF(AND($P3418=FALSE, $A3418=TRUE), 0, IF($P3418=TRUE, (J3418 / $R3418) * 100 * ($S3418 / 100)-J3418, ))), )</f>
        <v/>
      </c>
      <c r="AD3418" s="32" t="str">
        <f t="shared" si="3513"/>
        <v/>
      </c>
      <c r="AE3418" s="32" t="str">
        <f t="shared" si="3513"/>
        <v/>
      </c>
      <c r="AF3418" s="32" t="str">
        <f t="shared" si="3513"/>
        <v/>
      </c>
      <c r="AG3418" s="32" t="str">
        <f t="shared" si="3513"/>
        <v/>
      </c>
      <c r="AH3418" s="33"/>
    </row>
    <row r="3419" hidden="1" outlineLevel="2">
      <c r="A3419" s="95" t="b">
        <v>0</v>
      </c>
      <c r="B3419" s="96"/>
      <c r="C3419" s="18"/>
      <c r="D3419" s="107"/>
      <c r="E3419" s="108"/>
      <c r="F3419" s="109"/>
      <c r="G3419" s="97"/>
      <c r="H3419" s="97"/>
      <c r="I3419" s="97"/>
      <c r="J3419" s="98"/>
      <c r="K3419" s="99"/>
      <c r="L3419" s="98"/>
      <c r="M3419" s="99"/>
      <c r="N3419" s="99"/>
      <c r="O3419" s="18"/>
      <c r="P3419" s="100" t="b">
        <v>0</v>
      </c>
      <c r="Q3419" s="18"/>
      <c r="R3419" s="101" t="str">
        <f t="shared" si="3377"/>
        <v/>
      </c>
      <c r="S3419" s="32"/>
      <c r="T3419" s="102" t="str">
        <f t="shared" si="3378"/>
        <v/>
      </c>
      <c r="U3419" s="18"/>
      <c r="V3419" s="75" t="s">
        <v>29</v>
      </c>
      <c r="W3419" s="104" t="str">
        <f t="shared" si="2828"/>
        <v>/</v>
      </c>
      <c r="X3419" s="111" t="s">
        <v>2024</v>
      </c>
      <c r="Y3419" s="106"/>
      <c r="Z3419" s="26" t="str">
        <f t="shared" si="5"/>
        <v/>
      </c>
      <c r="AA3419" s="26" t="str">
        <f t="shared" si="6"/>
        <v/>
      </c>
      <c r="AB3419" s="32" t="str">
        <f t="shared" si="7"/>
        <v/>
      </c>
      <c r="AC3419" s="32" t="str">
        <f t="shared" ref="AC3419:AG3419" si="3514">IF(J3419&lt;&gt;"", IF(AND($P3419=FALSE, $A3419=FALSE), -J3419, IF(AND($P3419=FALSE, $A3419=TRUE), 0, IF($P3419=TRUE, (J3419 / $R3419) * 100 * ($S3419 / 100)-J3419, ))), )</f>
        <v/>
      </c>
      <c r="AD3419" s="32" t="str">
        <f t="shared" si="3514"/>
        <v/>
      </c>
      <c r="AE3419" s="32" t="str">
        <f t="shared" si="3514"/>
        <v/>
      </c>
      <c r="AF3419" s="32" t="str">
        <f t="shared" si="3514"/>
        <v/>
      </c>
      <c r="AG3419" s="32" t="str">
        <f t="shared" si="3514"/>
        <v/>
      </c>
      <c r="AH3419" s="33"/>
    </row>
    <row r="3420" hidden="1" outlineLevel="2">
      <c r="A3420" s="95" t="b">
        <v>0</v>
      </c>
      <c r="B3420" s="96"/>
      <c r="C3420" s="18"/>
      <c r="D3420" s="107"/>
      <c r="E3420" s="108"/>
      <c r="F3420" s="109"/>
      <c r="G3420" s="97"/>
      <c r="H3420" s="97"/>
      <c r="I3420" s="97"/>
      <c r="J3420" s="98"/>
      <c r="K3420" s="99"/>
      <c r="L3420" s="98"/>
      <c r="M3420" s="99"/>
      <c r="N3420" s="99"/>
      <c r="O3420" s="18"/>
      <c r="P3420" s="100" t="b">
        <v>0</v>
      </c>
      <c r="Q3420" s="18"/>
      <c r="R3420" s="101" t="str">
        <f t="shared" si="3377"/>
        <v/>
      </c>
      <c r="S3420" s="32"/>
      <c r="T3420" s="102" t="str">
        <f t="shared" si="3378"/>
        <v/>
      </c>
      <c r="U3420" s="18"/>
      <c r="V3420" s="103" t="str">
        <f t="shared" ref="V3420:V3423" si="3516">IF(ISBLANK($D3420), "0",)</f>
        <v>0</v>
      </c>
      <c r="W3420" s="104" t="str">
        <f t="shared" si="2828"/>
        <v>/</v>
      </c>
      <c r="X3420" s="111" t="s">
        <v>2025</v>
      </c>
      <c r="Y3420" s="106"/>
      <c r="Z3420" s="26" t="str">
        <f t="shared" si="5"/>
        <v/>
      </c>
      <c r="AA3420" s="26" t="str">
        <f t="shared" si="6"/>
        <v/>
      </c>
      <c r="AB3420" s="32" t="str">
        <f t="shared" si="7"/>
        <v/>
      </c>
      <c r="AC3420" s="32" t="str">
        <f t="shared" ref="AC3420:AG3420" si="3515">IF(J3420&lt;&gt;"", IF(AND($P3420=FALSE, $A3420=FALSE), -J3420, IF(AND($P3420=FALSE, $A3420=TRUE), 0, IF($P3420=TRUE, (J3420 / $R3420) * 100 * ($S3420 / 100)-J3420, ))), )</f>
        <v/>
      </c>
      <c r="AD3420" s="32" t="str">
        <f t="shared" si="3515"/>
        <v/>
      </c>
      <c r="AE3420" s="32" t="str">
        <f t="shared" si="3515"/>
        <v/>
      </c>
      <c r="AF3420" s="32" t="str">
        <f t="shared" si="3515"/>
        <v/>
      </c>
      <c r="AG3420" s="32" t="str">
        <f t="shared" si="3515"/>
        <v/>
      </c>
      <c r="AH3420" s="33"/>
    </row>
    <row r="3421" collapsed="1">
      <c r="A3421" s="95" t="b">
        <v>0</v>
      </c>
      <c r="B3421" s="96"/>
      <c r="C3421" s="18"/>
      <c r="D3421" s="42">
        <v>45907.0</v>
      </c>
      <c r="E3421" s="20" t="s">
        <v>24</v>
      </c>
      <c r="F3421" s="53" t="s">
        <v>2017</v>
      </c>
      <c r="G3421" s="97">
        <v>2.0</v>
      </c>
      <c r="H3421" s="97"/>
      <c r="I3421" s="97"/>
      <c r="J3421" s="98"/>
      <c r="K3421" s="99"/>
      <c r="L3421" s="98"/>
      <c r="M3421" s="99"/>
      <c r="N3421" s="99"/>
      <c r="O3421" s="18"/>
      <c r="P3421" s="100" t="b">
        <v>0</v>
      </c>
      <c r="Q3421" s="18"/>
      <c r="R3421" s="101">
        <f t="shared" si="3377"/>
        <v>2</v>
      </c>
      <c r="S3421" s="32">
        <v>5.2</v>
      </c>
      <c r="T3421" s="102" t="str">
        <f t="shared" si="3378"/>
        <v>+160</v>
      </c>
      <c r="U3421" s="18"/>
      <c r="V3421" s="103" t="str">
        <f t="shared" si="3516"/>
        <v/>
      </c>
      <c r="W3421" s="104" t="str">
        <f t="shared" si="2828"/>
        <v/>
      </c>
      <c r="X3421" s="105"/>
      <c r="Y3421" s="106"/>
      <c r="Z3421" s="26">
        <f t="shared" si="5"/>
        <v>-2</v>
      </c>
      <c r="AA3421" s="26" t="str">
        <f t="shared" si="6"/>
        <v/>
      </c>
      <c r="AB3421" s="32" t="str">
        <f t="shared" si="7"/>
        <v/>
      </c>
      <c r="AC3421" s="32" t="str">
        <f t="shared" ref="AC3421:AG3421" si="3517">IF(J3421&lt;&gt;"", IF(AND($P3421=FALSE, $A3421=FALSE), -J3421, IF(AND($P3421=FALSE, $A3421=TRUE), 0, IF($P3421=TRUE, (J3421 / $R3421) * 100 * ($S3421 / 100)-J3421, ))), )</f>
        <v/>
      </c>
      <c r="AD3421" s="32" t="str">
        <f t="shared" si="3517"/>
        <v/>
      </c>
      <c r="AE3421" s="32" t="str">
        <f t="shared" si="3517"/>
        <v/>
      </c>
      <c r="AF3421" s="32" t="str">
        <f t="shared" si="3517"/>
        <v/>
      </c>
      <c r="AG3421" s="32" t="str">
        <f t="shared" si="3517"/>
        <v/>
      </c>
      <c r="AH3421" s="33"/>
    </row>
    <row r="3422" hidden="1" outlineLevel="2">
      <c r="A3422" s="95" t="b">
        <v>0</v>
      </c>
      <c r="B3422" s="96"/>
      <c r="C3422" s="18"/>
      <c r="D3422" s="107"/>
      <c r="E3422" s="108"/>
      <c r="F3422" s="109"/>
      <c r="G3422" s="97"/>
      <c r="H3422" s="97"/>
      <c r="I3422" s="97"/>
      <c r="J3422" s="98"/>
      <c r="K3422" s="99"/>
      <c r="L3422" s="98"/>
      <c r="M3422" s="99"/>
      <c r="N3422" s="99"/>
      <c r="O3422" s="18"/>
      <c r="P3422" s="100" t="b">
        <v>0</v>
      </c>
      <c r="Q3422" s="18"/>
      <c r="R3422" s="101" t="str">
        <f t="shared" si="3377"/>
        <v/>
      </c>
      <c r="S3422" s="32"/>
      <c r="T3422" s="102" t="str">
        <f t="shared" si="3378"/>
        <v/>
      </c>
      <c r="U3422" s="18"/>
      <c r="V3422" s="103" t="str">
        <f t="shared" si="3516"/>
        <v>0</v>
      </c>
      <c r="W3422" s="104" t="str">
        <f t="shared" si="2828"/>
        <v>/</v>
      </c>
      <c r="X3422" s="111" t="s">
        <v>2026</v>
      </c>
      <c r="Y3422" s="106"/>
      <c r="Z3422" s="26" t="str">
        <f t="shared" si="5"/>
        <v/>
      </c>
      <c r="AA3422" s="26" t="str">
        <f t="shared" si="6"/>
        <v/>
      </c>
      <c r="AB3422" s="32" t="str">
        <f t="shared" si="7"/>
        <v/>
      </c>
      <c r="AC3422" s="32" t="str">
        <f t="shared" ref="AC3422:AG3422" si="3518">IF(J3422&lt;&gt;"", IF(AND($P3422=FALSE, $A3422=FALSE), -J3422, IF(AND($P3422=FALSE, $A3422=TRUE), 0, IF($P3422=TRUE, (J3422 / $R3422) * 100 * ($S3422 / 100)-J3422, ))), )</f>
        <v/>
      </c>
      <c r="AD3422" s="32" t="str">
        <f t="shared" si="3518"/>
        <v/>
      </c>
      <c r="AE3422" s="32" t="str">
        <f t="shared" si="3518"/>
        <v/>
      </c>
      <c r="AF3422" s="32" t="str">
        <f t="shared" si="3518"/>
        <v/>
      </c>
      <c r="AG3422" s="32" t="str">
        <f t="shared" si="3518"/>
        <v/>
      </c>
      <c r="AH3422" s="33"/>
    </row>
    <row r="3423" hidden="1" outlineLevel="1" collapsed="1">
      <c r="A3423" s="95" t="b">
        <v>0</v>
      </c>
      <c r="B3423" s="96"/>
      <c r="C3423" s="18"/>
      <c r="D3423" s="42">
        <v>45907.0</v>
      </c>
      <c r="E3423" s="20" t="s">
        <v>24</v>
      </c>
      <c r="F3423" s="53" t="s">
        <v>2017</v>
      </c>
      <c r="G3423" s="97">
        <v>2.0</v>
      </c>
      <c r="H3423" s="97"/>
      <c r="I3423" s="97">
        <v>3.0</v>
      </c>
      <c r="J3423" s="98"/>
      <c r="K3423" s="99"/>
      <c r="L3423" s="98"/>
      <c r="M3423" s="99"/>
      <c r="N3423" s="99"/>
      <c r="O3423" s="18"/>
      <c r="P3423" s="100" t="b">
        <v>1</v>
      </c>
      <c r="Q3423" s="18"/>
      <c r="R3423" s="101">
        <f t="shared" si="3377"/>
        <v>5</v>
      </c>
      <c r="S3423" s="32">
        <v>11.83</v>
      </c>
      <c r="T3423" s="102" t="str">
        <f t="shared" si="3378"/>
        <v>+137</v>
      </c>
      <c r="U3423" s="18"/>
      <c r="V3423" s="103" t="str">
        <f t="shared" si="3516"/>
        <v/>
      </c>
      <c r="W3423" s="104" t="str">
        <f t="shared" si="2828"/>
        <v/>
      </c>
      <c r="X3423" s="105"/>
      <c r="Y3423" s="106"/>
      <c r="Z3423" s="26">
        <f t="shared" si="5"/>
        <v>2.732</v>
      </c>
      <c r="AA3423" s="26">
        <f t="shared" si="6"/>
        <v>4.098</v>
      </c>
      <c r="AB3423" s="32" t="str">
        <f t="shared" si="7"/>
        <v/>
      </c>
      <c r="AC3423" s="32" t="str">
        <f t="shared" ref="AC3423:AG3423" si="3519">IF(J3423&lt;&gt;"", IF(AND($P3423=FALSE, $A3423=FALSE), -J3423, IF(AND($P3423=FALSE, $A3423=TRUE), 0, IF($P3423=TRUE, (J3423 / $R3423) * 100 * ($S3423 / 100)-J3423, ))), )</f>
        <v/>
      </c>
      <c r="AD3423" s="32" t="str">
        <f t="shared" si="3519"/>
        <v/>
      </c>
      <c r="AE3423" s="32" t="str">
        <f t="shared" si="3519"/>
        <v/>
      </c>
      <c r="AF3423" s="32" t="str">
        <f t="shared" si="3519"/>
        <v/>
      </c>
      <c r="AG3423" s="32" t="str">
        <f t="shared" si="3519"/>
        <v/>
      </c>
      <c r="AH3423" s="33"/>
    </row>
    <row r="3424" hidden="1" outlineLevel="2">
      <c r="A3424" s="95" t="b">
        <v>0</v>
      </c>
      <c r="B3424" s="96"/>
      <c r="C3424" s="18"/>
      <c r="D3424" s="107"/>
      <c r="E3424" s="108"/>
      <c r="F3424" s="109"/>
      <c r="G3424" s="97"/>
      <c r="H3424" s="97"/>
      <c r="I3424" s="97"/>
      <c r="J3424" s="98"/>
      <c r="K3424" s="99"/>
      <c r="L3424" s="98"/>
      <c r="M3424" s="99"/>
      <c r="N3424" s="99"/>
      <c r="O3424" s="18"/>
      <c r="P3424" s="100" t="b">
        <v>0</v>
      </c>
      <c r="Q3424" s="18"/>
      <c r="R3424" s="101" t="str">
        <f t="shared" si="3377"/>
        <v/>
      </c>
      <c r="S3424" s="32"/>
      <c r="T3424" s="102" t="str">
        <f t="shared" si="3378"/>
        <v/>
      </c>
      <c r="U3424" s="18"/>
      <c r="V3424" s="75" t="s">
        <v>29</v>
      </c>
      <c r="W3424" s="104" t="str">
        <f t="shared" si="2828"/>
        <v>/</v>
      </c>
      <c r="X3424" s="111" t="s">
        <v>872</v>
      </c>
      <c r="Y3424" s="106"/>
      <c r="Z3424" s="26" t="str">
        <f t="shared" si="5"/>
        <v/>
      </c>
      <c r="AA3424" s="26" t="str">
        <f t="shared" si="6"/>
        <v/>
      </c>
      <c r="AB3424" s="32" t="str">
        <f t="shared" si="7"/>
        <v/>
      </c>
      <c r="AC3424" s="32" t="str">
        <f t="shared" ref="AC3424:AG3424" si="3520">IF(J3424&lt;&gt;"", IF(AND($P3424=FALSE, $A3424=FALSE), -J3424, IF(AND($P3424=FALSE, $A3424=TRUE), 0, IF($P3424=TRUE, (J3424 / $R3424) * 100 * ($S3424 / 100)-J3424, ))), )</f>
        <v/>
      </c>
      <c r="AD3424" s="32" t="str">
        <f t="shared" si="3520"/>
        <v/>
      </c>
      <c r="AE3424" s="32" t="str">
        <f t="shared" si="3520"/>
        <v/>
      </c>
      <c r="AF3424" s="32" t="str">
        <f t="shared" si="3520"/>
        <v/>
      </c>
      <c r="AG3424" s="32" t="str">
        <f t="shared" si="3520"/>
        <v/>
      </c>
      <c r="AH3424" s="33"/>
    </row>
    <row r="3425" hidden="1" outlineLevel="2">
      <c r="A3425" s="95" t="b">
        <v>0</v>
      </c>
      <c r="B3425" s="96"/>
      <c r="C3425" s="18"/>
      <c r="D3425" s="107"/>
      <c r="E3425" s="108"/>
      <c r="F3425" s="109"/>
      <c r="G3425" s="97"/>
      <c r="H3425" s="97"/>
      <c r="I3425" s="97"/>
      <c r="J3425" s="98"/>
      <c r="K3425" s="99"/>
      <c r="L3425" s="98"/>
      <c r="M3425" s="99"/>
      <c r="N3425" s="99"/>
      <c r="O3425" s="18"/>
      <c r="P3425" s="100" t="b">
        <v>0</v>
      </c>
      <c r="Q3425" s="18"/>
      <c r="R3425" s="101" t="str">
        <f t="shared" si="3377"/>
        <v/>
      </c>
      <c r="S3425" s="32"/>
      <c r="T3425" s="102" t="str">
        <f t="shared" si="3378"/>
        <v/>
      </c>
      <c r="U3425" s="18"/>
      <c r="V3425" s="75" t="s">
        <v>29</v>
      </c>
      <c r="W3425" s="104" t="str">
        <f t="shared" si="2828"/>
        <v>/</v>
      </c>
      <c r="X3425" s="111" t="s">
        <v>2027</v>
      </c>
      <c r="Y3425" s="106"/>
      <c r="Z3425" s="26" t="str">
        <f t="shared" si="5"/>
        <v/>
      </c>
      <c r="AA3425" s="26" t="str">
        <f t="shared" si="6"/>
        <v/>
      </c>
      <c r="AB3425" s="32" t="str">
        <f t="shared" si="7"/>
        <v/>
      </c>
      <c r="AC3425" s="32" t="str">
        <f t="shared" ref="AC3425:AG3425" si="3521">IF(J3425&lt;&gt;"", IF(AND($P3425=FALSE, $A3425=FALSE), -J3425, IF(AND($P3425=FALSE, $A3425=TRUE), 0, IF($P3425=TRUE, (J3425 / $R3425) * 100 * ($S3425 / 100)-J3425, ))), )</f>
        <v/>
      </c>
      <c r="AD3425" s="32" t="str">
        <f t="shared" si="3521"/>
        <v/>
      </c>
      <c r="AE3425" s="32" t="str">
        <f t="shared" si="3521"/>
        <v/>
      </c>
      <c r="AF3425" s="32" t="str">
        <f t="shared" si="3521"/>
        <v/>
      </c>
      <c r="AG3425" s="32" t="str">
        <f t="shared" si="3521"/>
        <v/>
      </c>
      <c r="AH3425" s="33"/>
    </row>
    <row r="3426" hidden="1" outlineLevel="1" collapsed="1">
      <c r="A3426" s="95" t="b">
        <v>0</v>
      </c>
      <c r="B3426" s="96"/>
      <c r="C3426" s="18"/>
      <c r="D3426" s="42">
        <v>45907.0</v>
      </c>
      <c r="E3426" s="20" t="s">
        <v>24</v>
      </c>
      <c r="F3426" s="53" t="s">
        <v>2017</v>
      </c>
      <c r="G3426" s="97">
        <v>1.0</v>
      </c>
      <c r="H3426" s="97"/>
      <c r="I3426" s="97">
        <v>3.0</v>
      </c>
      <c r="J3426" s="98"/>
      <c r="K3426" s="99"/>
      <c r="L3426" s="98"/>
      <c r="M3426" s="99"/>
      <c r="N3426" s="99"/>
      <c r="O3426" s="18"/>
      <c r="P3426" s="100" t="b">
        <v>0</v>
      </c>
      <c r="Q3426" s="18"/>
      <c r="R3426" s="101">
        <f t="shared" si="3377"/>
        <v>4</v>
      </c>
      <c r="S3426" s="32">
        <v>26.0</v>
      </c>
      <c r="T3426" s="102" t="str">
        <f t="shared" si="3378"/>
        <v>+550</v>
      </c>
      <c r="U3426" s="18"/>
      <c r="V3426" s="103" t="str">
        <f t="shared" ref="V3426:V3430" si="3523">IF(ISBLANK($D3426), "0",)</f>
        <v/>
      </c>
      <c r="W3426" s="104" t="str">
        <f t="shared" si="2828"/>
        <v/>
      </c>
      <c r="X3426" s="105"/>
      <c r="Y3426" s="106"/>
      <c r="Z3426" s="26">
        <f t="shared" si="5"/>
        <v>-1</v>
      </c>
      <c r="AA3426" s="26">
        <f t="shared" si="6"/>
        <v>-3</v>
      </c>
      <c r="AB3426" s="32" t="str">
        <f t="shared" si="7"/>
        <v/>
      </c>
      <c r="AC3426" s="32" t="str">
        <f t="shared" ref="AC3426:AG3426" si="3522">IF(J3426&lt;&gt;"", IF(AND($P3426=FALSE, $A3426=FALSE), -J3426, IF(AND($P3426=FALSE, $A3426=TRUE), 0, IF($P3426=TRUE, (J3426 / $R3426) * 100 * ($S3426 / 100)-J3426, ))), )</f>
        <v/>
      </c>
      <c r="AD3426" s="32" t="str">
        <f t="shared" si="3522"/>
        <v/>
      </c>
      <c r="AE3426" s="32" t="str">
        <f t="shared" si="3522"/>
        <v/>
      </c>
      <c r="AF3426" s="32" t="str">
        <f t="shared" si="3522"/>
        <v/>
      </c>
      <c r="AG3426" s="32" t="str">
        <f t="shared" si="3522"/>
        <v/>
      </c>
      <c r="AH3426" s="33"/>
    </row>
    <row r="3427" hidden="1" outlineLevel="2">
      <c r="A3427" s="95" t="b">
        <v>0</v>
      </c>
      <c r="B3427" s="96"/>
      <c r="C3427" s="18"/>
      <c r="D3427" s="107"/>
      <c r="E3427" s="108"/>
      <c r="F3427" s="109"/>
      <c r="G3427" s="97"/>
      <c r="H3427" s="97"/>
      <c r="I3427" s="97"/>
      <c r="J3427" s="98"/>
      <c r="K3427" s="99"/>
      <c r="L3427" s="98"/>
      <c r="M3427" s="99"/>
      <c r="N3427" s="99"/>
      <c r="O3427" s="18"/>
      <c r="P3427" s="100" t="b">
        <v>0</v>
      </c>
      <c r="Q3427" s="18"/>
      <c r="R3427" s="101" t="str">
        <f t="shared" si="3377"/>
        <v/>
      </c>
      <c r="S3427" s="32"/>
      <c r="T3427" s="102" t="str">
        <f t="shared" si="3378"/>
        <v/>
      </c>
      <c r="U3427" s="18"/>
      <c r="V3427" s="103" t="str">
        <f t="shared" si="3523"/>
        <v>0</v>
      </c>
      <c r="W3427" s="104" t="str">
        <f t="shared" si="2828"/>
        <v>/</v>
      </c>
      <c r="X3427" s="111" t="s">
        <v>2028</v>
      </c>
      <c r="Y3427" s="106"/>
      <c r="Z3427" s="26" t="str">
        <f t="shared" si="5"/>
        <v/>
      </c>
      <c r="AA3427" s="26" t="str">
        <f t="shared" si="6"/>
        <v/>
      </c>
      <c r="AB3427" s="32" t="str">
        <f t="shared" si="7"/>
        <v/>
      </c>
      <c r="AC3427" s="32" t="str">
        <f t="shared" ref="AC3427:AG3427" si="3524">IF(J3427&lt;&gt;"", IF(AND($P3427=FALSE, $A3427=FALSE), -J3427, IF(AND($P3427=FALSE, $A3427=TRUE), 0, IF($P3427=TRUE, (J3427 / $R3427) * 100 * ($S3427 / 100)-J3427, ))), )</f>
        <v/>
      </c>
      <c r="AD3427" s="32" t="str">
        <f t="shared" si="3524"/>
        <v/>
      </c>
      <c r="AE3427" s="32" t="str">
        <f t="shared" si="3524"/>
        <v/>
      </c>
      <c r="AF3427" s="32" t="str">
        <f t="shared" si="3524"/>
        <v/>
      </c>
      <c r="AG3427" s="32" t="str">
        <f t="shared" si="3524"/>
        <v/>
      </c>
      <c r="AH3427" s="33"/>
    </row>
    <row r="3428" hidden="1" outlineLevel="1" collapsed="1">
      <c r="A3428" s="95" t="b">
        <v>0</v>
      </c>
      <c r="B3428" s="96"/>
      <c r="C3428" s="18"/>
      <c r="D3428" s="42">
        <v>45907.0</v>
      </c>
      <c r="E3428" s="20" t="s">
        <v>24</v>
      </c>
      <c r="F3428" s="53" t="s">
        <v>2017</v>
      </c>
      <c r="G3428" s="97">
        <v>3.0</v>
      </c>
      <c r="H3428" s="97"/>
      <c r="I3428" s="97">
        <v>3.0</v>
      </c>
      <c r="J3428" s="98"/>
      <c r="K3428" s="99"/>
      <c r="L3428" s="98"/>
      <c r="M3428" s="99"/>
      <c r="N3428" s="99"/>
      <c r="O3428" s="18"/>
      <c r="P3428" s="100" t="b">
        <v>0</v>
      </c>
      <c r="Q3428" s="18"/>
      <c r="R3428" s="101">
        <f t="shared" si="3377"/>
        <v>6</v>
      </c>
      <c r="S3428" s="32">
        <v>11.56</v>
      </c>
      <c r="T3428" s="102">
        <f t="shared" si="3378"/>
        <v>-108</v>
      </c>
      <c r="U3428" s="18"/>
      <c r="V3428" s="103" t="str">
        <f t="shared" si="3523"/>
        <v/>
      </c>
      <c r="W3428" s="104" t="str">
        <f t="shared" si="2828"/>
        <v/>
      </c>
      <c r="X3428" s="105"/>
      <c r="Y3428" s="106"/>
      <c r="Z3428" s="26">
        <f t="shared" si="5"/>
        <v>-3</v>
      </c>
      <c r="AA3428" s="26">
        <f t="shared" si="6"/>
        <v>-3</v>
      </c>
      <c r="AB3428" s="32" t="str">
        <f t="shared" si="7"/>
        <v/>
      </c>
      <c r="AC3428" s="32" t="str">
        <f t="shared" ref="AC3428:AG3428" si="3525">IF(J3428&lt;&gt;"", IF(AND($P3428=FALSE, $A3428=FALSE), -J3428, IF(AND($P3428=FALSE, $A3428=TRUE), 0, IF($P3428=TRUE, (J3428 / $R3428) * 100 * ($S3428 / 100)-J3428, ))), )</f>
        <v/>
      </c>
      <c r="AD3428" s="32" t="str">
        <f t="shared" si="3525"/>
        <v/>
      </c>
      <c r="AE3428" s="32" t="str">
        <f t="shared" si="3525"/>
        <v/>
      </c>
      <c r="AF3428" s="32" t="str">
        <f t="shared" si="3525"/>
        <v/>
      </c>
      <c r="AG3428" s="32" t="str">
        <f t="shared" si="3525"/>
        <v/>
      </c>
      <c r="AH3428" s="33"/>
    </row>
    <row r="3429" hidden="1" outlineLevel="2">
      <c r="A3429" s="95" t="b">
        <v>0</v>
      </c>
      <c r="B3429" s="96"/>
      <c r="C3429" s="18"/>
      <c r="D3429" s="107"/>
      <c r="E3429" s="108"/>
      <c r="F3429" s="109"/>
      <c r="G3429" s="97"/>
      <c r="H3429" s="97"/>
      <c r="I3429" s="97"/>
      <c r="J3429" s="98"/>
      <c r="K3429" s="99"/>
      <c r="L3429" s="98"/>
      <c r="M3429" s="99"/>
      <c r="N3429" s="99"/>
      <c r="O3429" s="18"/>
      <c r="P3429" s="100" t="b">
        <v>0</v>
      </c>
      <c r="Q3429" s="18"/>
      <c r="R3429" s="101" t="str">
        <f t="shared" si="3377"/>
        <v/>
      </c>
      <c r="S3429" s="32"/>
      <c r="T3429" s="102" t="str">
        <f t="shared" si="3378"/>
        <v/>
      </c>
      <c r="U3429" s="18"/>
      <c r="V3429" s="103" t="str">
        <f t="shared" si="3523"/>
        <v>0</v>
      </c>
      <c r="W3429" s="104" t="str">
        <f t="shared" si="2828"/>
        <v>/</v>
      </c>
      <c r="X3429" s="111" t="s">
        <v>777</v>
      </c>
      <c r="Y3429" s="106"/>
      <c r="Z3429" s="26" t="str">
        <f t="shared" si="5"/>
        <v/>
      </c>
      <c r="AA3429" s="26" t="str">
        <f t="shared" si="6"/>
        <v/>
      </c>
      <c r="AB3429" s="32" t="str">
        <f t="shared" si="7"/>
        <v/>
      </c>
      <c r="AC3429" s="32" t="str">
        <f t="shared" ref="AC3429:AG3429" si="3526">IF(J3429&lt;&gt;"", IF(AND($P3429=FALSE, $A3429=FALSE), -J3429, IF(AND($P3429=FALSE, $A3429=TRUE), 0, IF($P3429=TRUE, (J3429 / $R3429) * 100 * ($S3429 / 100)-J3429, ))), )</f>
        <v/>
      </c>
      <c r="AD3429" s="32" t="str">
        <f t="shared" si="3526"/>
        <v/>
      </c>
      <c r="AE3429" s="32" t="str">
        <f t="shared" si="3526"/>
        <v/>
      </c>
      <c r="AF3429" s="32" t="str">
        <f t="shared" si="3526"/>
        <v/>
      </c>
      <c r="AG3429" s="32" t="str">
        <f t="shared" si="3526"/>
        <v/>
      </c>
      <c r="AH3429" s="33"/>
    </row>
    <row r="3430" hidden="1" outlineLevel="1" collapsed="1">
      <c r="A3430" s="95" t="b">
        <v>0</v>
      </c>
      <c r="B3430" s="96"/>
      <c r="C3430" s="18"/>
      <c r="D3430" s="42">
        <v>45907.0</v>
      </c>
      <c r="E3430" s="20" t="s">
        <v>24</v>
      </c>
      <c r="F3430" s="53" t="s">
        <v>2017</v>
      </c>
      <c r="G3430" s="97">
        <v>2.0</v>
      </c>
      <c r="H3430" s="97"/>
      <c r="I3430" s="97">
        <v>2.0</v>
      </c>
      <c r="J3430" s="98"/>
      <c r="K3430" s="99"/>
      <c r="L3430" s="98"/>
      <c r="M3430" s="99"/>
      <c r="N3430" s="99"/>
      <c r="O3430" s="18"/>
      <c r="P3430" s="100" t="b">
        <v>1</v>
      </c>
      <c r="Q3430" s="18"/>
      <c r="R3430" s="101">
        <f t="shared" si="3377"/>
        <v>4</v>
      </c>
      <c r="S3430" s="32">
        <v>7.92</v>
      </c>
      <c r="T3430" s="102">
        <f t="shared" si="3378"/>
        <v>-102</v>
      </c>
      <c r="U3430" s="18"/>
      <c r="V3430" s="103" t="str">
        <f t="shared" si="3523"/>
        <v/>
      </c>
      <c r="W3430" s="104" t="str">
        <f t="shared" si="2828"/>
        <v/>
      </c>
      <c r="X3430" s="105"/>
      <c r="Y3430" s="106"/>
      <c r="Z3430" s="26">
        <f t="shared" si="5"/>
        <v>1.96</v>
      </c>
      <c r="AA3430" s="26">
        <f t="shared" si="6"/>
        <v>1.96</v>
      </c>
      <c r="AB3430" s="32" t="str">
        <f t="shared" si="7"/>
        <v/>
      </c>
      <c r="AC3430" s="32" t="str">
        <f t="shared" ref="AC3430:AG3430" si="3527">IF(J3430&lt;&gt;"", IF(AND($P3430=FALSE, $A3430=FALSE), -J3430, IF(AND($P3430=FALSE, $A3430=TRUE), 0, IF($P3430=TRUE, (J3430 / $R3430) * 100 * ($S3430 / 100)-J3430, ))), )</f>
        <v/>
      </c>
      <c r="AD3430" s="32" t="str">
        <f t="shared" si="3527"/>
        <v/>
      </c>
      <c r="AE3430" s="32" t="str">
        <f t="shared" si="3527"/>
        <v/>
      </c>
      <c r="AF3430" s="32" t="str">
        <f t="shared" si="3527"/>
        <v/>
      </c>
      <c r="AG3430" s="32" t="str">
        <f t="shared" si="3527"/>
        <v/>
      </c>
      <c r="AH3430" s="33"/>
    </row>
    <row r="3431" hidden="1" outlineLevel="2">
      <c r="A3431" s="95" t="b">
        <v>0</v>
      </c>
      <c r="B3431" s="96"/>
      <c r="C3431" s="18"/>
      <c r="D3431" s="107"/>
      <c r="E3431" s="108"/>
      <c r="F3431" s="109"/>
      <c r="G3431" s="97"/>
      <c r="H3431" s="97"/>
      <c r="I3431" s="97"/>
      <c r="J3431" s="98"/>
      <c r="K3431" s="99"/>
      <c r="L3431" s="98"/>
      <c r="M3431" s="99"/>
      <c r="N3431" s="99"/>
      <c r="O3431" s="18"/>
      <c r="P3431" s="100" t="b">
        <v>0</v>
      </c>
      <c r="Q3431" s="18"/>
      <c r="R3431" s="101" t="str">
        <f t="shared" si="3377"/>
        <v/>
      </c>
      <c r="S3431" s="32"/>
      <c r="T3431" s="102" t="str">
        <f t="shared" si="3378"/>
        <v/>
      </c>
      <c r="U3431" s="18"/>
      <c r="V3431" s="75" t="s">
        <v>29</v>
      </c>
      <c r="W3431" s="104" t="str">
        <f t="shared" si="2828"/>
        <v>/</v>
      </c>
      <c r="X3431" s="111" t="s">
        <v>2029</v>
      </c>
      <c r="Y3431" s="106"/>
      <c r="Z3431" s="26" t="str">
        <f t="shared" si="5"/>
        <v/>
      </c>
      <c r="AA3431" s="26" t="str">
        <f t="shared" si="6"/>
        <v/>
      </c>
      <c r="AB3431" s="32" t="str">
        <f t="shared" si="7"/>
        <v/>
      </c>
      <c r="AC3431" s="32" t="str">
        <f t="shared" ref="AC3431:AG3431" si="3528">IF(J3431&lt;&gt;"", IF(AND($P3431=FALSE, $A3431=FALSE), -J3431, IF(AND($P3431=FALSE, $A3431=TRUE), 0, IF($P3431=TRUE, (J3431 / $R3431) * 100 * ($S3431 / 100)-J3431, ))), )</f>
        <v/>
      </c>
      <c r="AD3431" s="32" t="str">
        <f t="shared" si="3528"/>
        <v/>
      </c>
      <c r="AE3431" s="32" t="str">
        <f t="shared" si="3528"/>
        <v/>
      </c>
      <c r="AF3431" s="32" t="str">
        <f t="shared" si="3528"/>
        <v/>
      </c>
      <c r="AG3431" s="32" t="str">
        <f t="shared" si="3528"/>
        <v/>
      </c>
      <c r="AH3431" s="33"/>
    </row>
    <row r="3432" hidden="1" outlineLevel="1" collapsed="1">
      <c r="A3432" s="95" t="b">
        <v>0</v>
      </c>
      <c r="B3432" s="96"/>
      <c r="C3432" s="18"/>
      <c r="D3432" s="42">
        <v>45907.0</v>
      </c>
      <c r="E3432" s="20" t="s">
        <v>24</v>
      </c>
      <c r="F3432" s="53" t="s">
        <v>2017</v>
      </c>
      <c r="G3432" s="97">
        <v>2.0</v>
      </c>
      <c r="H3432" s="97"/>
      <c r="I3432" s="97">
        <v>3.0</v>
      </c>
      <c r="J3432" s="98"/>
      <c r="K3432" s="99"/>
      <c r="L3432" s="98"/>
      <c r="M3432" s="99"/>
      <c r="N3432" s="99"/>
      <c r="O3432" s="18"/>
      <c r="P3432" s="100" t="b">
        <v>0</v>
      </c>
      <c r="Q3432" s="18"/>
      <c r="R3432" s="101">
        <f t="shared" si="3377"/>
        <v>5</v>
      </c>
      <c r="S3432" s="32">
        <v>11.65</v>
      </c>
      <c r="T3432" s="102" t="str">
        <f t="shared" si="3378"/>
        <v>+133</v>
      </c>
      <c r="U3432" s="18"/>
      <c r="V3432" s="103" t="str">
        <f>IF(ISBLANK($D3432), "0",)</f>
        <v/>
      </c>
      <c r="W3432" s="104" t="str">
        <f t="shared" si="2828"/>
        <v/>
      </c>
      <c r="X3432" s="105"/>
      <c r="Y3432" s="106"/>
      <c r="Z3432" s="26">
        <f t="shared" si="5"/>
        <v>-2</v>
      </c>
      <c r="AA3432" s="26">
        <f t="shared" si="6"/>
        <v>-3</v>
      </c>
      <c r="AB3432" s="32" t="str">
        <f t="shared" si="7"/>
        <v/>
      </c>
      <c r="AC3432" s="32" t="str">
        <f t="shared" ref="AC3432:AG3432" si="3529">IF(J3432&lt;&gt;"", IF(AND($P3432=FALSE, $A3432=FALSE), -J3432, IF(AND($P3432=FALSE, $A3432=TRUE), 0, IF($P3432=TRUE, (J3432 / $R3432) * 100 * ($S3432 / 100)-J3432, ))), )</f>
        <v/>
      </c>
      <c r="AD3432" s="32" t="str">
        <f t="shared" si="3529"/>
        <v/>
      </c>
      <c r="AE3432" s="32" t="str">
        <f t="shared" si="3529"/>
        <v/>
      </c>
      <c r="AF3432" s="32" t="str">
        <f t="shared" si="3529"/>
        <v/>
      </c>
      <c r="AG3432" s="32" t="str">
        <f t="shared" si="3529"/>
        <v/>
      </c>
      <c r="AH3432" s="33"/>
    </row>
    <row r="3433" hidden="1" outlineLevel="2">
      <c r="A3433" s="95" t="b">
        <v>0</v>
      </c>
      <c r="B3433" s="96"/>
      <c r="C3433" s="18"/>
      <c r="D3433" s="107"/>
      <c r="E3433" s="108"/>
      <c r="F3433" s="109"/>
      <c r="G3433" s="97"/>
      <c r="H3433" s="97"/>
      <c r="I3433" s="97"/>
      <c r="J3433" s="98"/>
      <c r="K3433" s="99"/>
      <c r="L3433" s="98"/>
      <c r="M3433" s="99"/>
      <c r="N3433" s="99"/>
      <c r="O3433" s="18"/>
      <c r="P3433" s="100" t="b">
        <v>0</v>
      </c>
      <c r="Q3433" s="18"/>
      <c r="R3433" s="101" t="str">
        <f t="shared" si="3377"/>
        <v/>
      </c>
      <c r="S3433" s="32"/>
      <c r="T3433" s="102" t="str">
        <f t="shared" si="3378"/>
        <v/>
      </c>
      <c r="U3433" s="18"/>
      <c r="V3433" s="113">
        <v>38.0</v>
      </c>
      <c r="W3433" s="104" t="str">
        <f t="shared" si="2828"/>
        <v>/</v>
      </c>
      <c r="X3433" s="111" t="s">
        <v>2030</v>
      </c>
      <c r="Y3433" s="106"/>
      <c r="Z3433" s="26" t="str">
        <f t="shared" si="5"/>
        <v/>
      </c>
      <c r="AA3433" s="26" t="str">
        <f t="shared" si="6"/>
        <v/>
      </c>
      <c r="AB3433" s="32" t="str">
        <f t="shared" si="7"/>
        <v/>
      </c>
      <c r="AC3433" s="32" t="str">
        <f t="shared" ref="AC3433:AG3433" si="3530">IF(J3433&lt;&gt;"", IF(AND($P3433=FALSE, $A3433=FALSE), -J3433, IF(AND($P3433=FALSE, $A3433=TRUE), 0, IF($P3433=TRUE, (J3433 / $R3433) * 100 * ($S3433 / 100)-J3433, ))), )</f>
        <v/>
      </c>
      <c r="AD3433" s="32" t="str">
        <f t="shared" si="3530"/>
        <v/>
      </c>
      <c r="AE3433" s="32" t="str">
        <f t="shared" si="3530"/>
        <v/>
      </c>
      <c r="AF3433" s="32" t="str">
        <f t="shared" si="3530"/>
        <v/>
      </c>
      <c r="AG3433" s="32" t="str">
        <f t="shared" si="3530"/>
        <v/>
      </c>
      <c r="AH3433" s="33"/>
    </row>
    <row r="3434" hidden="1" outlineLevel="1" collapsed="1">
      <c r="A3434" s="95" t="b">
        <v>0</v>
      </c>
      <c r="B3434" s="96"/>
      <c r="C3434" s="18"/>
      <c r="D3434" s="42">
        <v>45907.0</v>
      </c>
      <c r="E3434" s="20" t="s">
        <v>24</v>
      </c>
      <c r="F3434" s="53" t="s">
        <v>2017</v>
      </c>
      <c r="G3434" s="97">
        <v>3.0</v>
      </c>
      <c r="H3434" s="97"/>
      <c r="I3434" s="97">
        <v>2.0</v>
      </c>
      <c r="J3434" s="98"/>
      <c r="K3434" s="99"/>
      <c r="L3434" s="98"/>
      <c r="M3434" s="99"/>
      <c r="N3434" s="99"/>
      <c r="O3434" s="18"/>
      <c r="P3434" s="100" t="b">
        <v>1</v>
      </c>
      <c r="Q3434" s="18"/>
      <c r="R3434" s="101">
        <f t="shared" si="3377"/>
        <v>5</v>
      </c>
      <c r="S3434" s="32">
        <v>9.55</v>
      </c>
      <c r="T3434" s="102">
        <f t="shared" si="3378"/>
        <v>-110</v>
      </c>
      <c r="U3434" s="18"/>
      <c r="V3434" s="103" t="str">
        <f>IF(ISBLANK($D3434), "0",)</f>
        <v/>
      </c>
      <c r="W3434" s="104" t="str">
        <f t="shared" si="2828"/>
        <v/>
      </c>
      <c r="X3434" s="105"/>
      <c r="Y3434" s="106"/>
      <c r="Z3434" s="26">
        <f t="shared" si="5"/>
        <v>2.73</v>
      </c>
      <c r="AA3434" s="26">
        <f t="shared" si="6"/>
        <v>1.82</v>
      </c>
      <c r="AB3434" s="32" t="str">
        <f t="shared" si="7"/>
        <v/>
      </c>
      <c r="AC3434" s="32" t="str">
        <f t="shared" ref="AC3434:AG3434" si="3531">IF(J3434&lt;&gt;"", IF(AND($P3434=FALSE, $A3434=FALSE), -J3434, IF(AND($P3434=FALSE, $A3434=TRUE), 0, IF($P3434=TRUE, (J3434 / $R3434) * 100 * ($S3434 / 100)-J3434, ))), )</f>
        <v/>
      </c>
      <c r="AD3434" s="32" t="str">
        <f t="shared" si="3531"/>
        <v/>
      </c>
      <c r="AE3434" s="32" t="str">
        <f t="shared" si="3531"/>
        <v/>
      </c>
      <c r="AF3434" s="32" t="str">
        <f t="shared" si="3531"/>
        <v/>
      </c>
      <c r="AG3434" s="32" t="str">
        <f t="shared" si="3531"/>
        <v/>
      </c>
      <c r="AH3434" s="33"/>
    </row>
    <row r="3435" hidden="1" outlineLevel="2">
      <c r="A3435" s="95" t="b">
        <v>0</v>
      </c>
      <c r="B3435" s="96"/>
      <c r="C3435" s="18"/>
      <c r="D3435" s="107"/>
      <c r="E3435" s="108"/>
      <c r="F3435" s="109"/>
      <c r="G3435" s="97"/>
      <c r="H3435" s="97"/>
      <c r="I3435" s="97"/>
      <c r="J3435" s="98"/>
      <c r="K3435" s="99"/>
      <c r="L3435" s="98"/>
      <c r="M3435" s="99"/>
      <c r="N3435" s="99"/>
      <c r="O3435" s="18"/>
      <c r="P3435" s="100" t="b">
        <v>0</v>
      </c>
      <c r="Q3435" s="18"/>
      <c r="R3435" s="101" t="str">
        <f t="shared" si="3377"/>
        <v/>
      </c>
      <c r="S3435" s="32"/>
      <c r="T3435" s="102" t="str">
        <f t="shared" si="3378"/>
        <v/>
      </c>
      <c r="U3435" s="18"/>
      <c r="V3435" s="75" t="s">
        <v>29</v>
      </c>
      <c r="W3435" s="104" t="str">
        <f t="shared" si="2828"/>
        <v>/</v>
      </c>
      <c r="X3435" s="111" t="s">
        <v>1615</v>
      </c>
      <c r="Y3435" s="106"/>
      <c r="Z3435" s="26" t="str">
        <f t="shared" si="5"/>
        <v/>
      </c>
      <c r="AA3435" s="26" t="str">
        <f t="shared" si="6"/>
        <v/>
      </c>
      <c r="AB3435" s="32" t="str">
        <f t="shared" si="7"/>
        <v/>
      </c>
      <c r="AC3435" s="32" t="str">
        <f t="shared" ref="AC3435:AG3435" si="3532">IF(J3435&lt;&gt;"", IF(AND($P3435=FALSE, $A3435=FALSE), -J3435, IF(AND($P3435=FALSE, $A3435=TRUE), 0, IF($P3435=TRUE, (J3435 / $R3435) * 100 * ($S3435 / 100)-J3435, ))), )</f>
        <v/>
      </c>
      <c r="AD3435" s="32" t="str">
        <f t="shared" si="3532"/>
        <v/>
      </c>
      <c r="AE3435" s="32" t="str">
        <f t="shared" si="3532"/>
        <v/>
      </c>
      <c r="AF3435" s="32" t="str">
        <f t="shared" si="3532"/>
        <v/>
      </c>
      <c r="AG3435" s="32" t="str">
        <f t="shared" si="3532"/>
        <v/>
      </c>
      <c r="AH3435" s="33"/>
    </row>
    <row r="3436" hidden="1" outlineLevel="1" collapsed="1">
      <c r="A3436" s="95" t="b">
        <v>0</v>
      </c>
      <c r="B3436" s="96"/>
      <c r="C3436" s="18"/>
      <c r="D3436" s="42">
        <v>45907.0</v>
      </c>
      <c r="E3436" s="20" t="s">
        <v>24</v>
      </c>
      <c r="F3436" s="53" t="s">
        <v>2017</v>
      </c>
      <c r="G3436" s="97">
        <v>2.0</v>
      </c>
      <c r="H3436" s="97"/>
      <c r="I3436" s="97">
        <v>3.0</v>
      </c>
      <c r="J3436" s="98"/>
      <c r="K3436" s="99"/>
      <c r="L3436" s="98"/>
      <c r="M3436" s="99"/>
      <c r="N3436" s="99"/>
      <c r="O3436" s="18"/>
      <c r="P3436" s="100" t="b">
        <v>0</v>
      </c>
      <c r="Q3436" s="18"/>
      <c r="R3436" s="101">
        <f t="shared" si="3377"/>
        <v>5</v>
      </c>
      <c r="S3436" s="32">
        <v>9.76</v>
      </c>
      <c r="T3436" s="102">
        <f t="shared" si="3378"/>
        <v>-105</v>
      </c>
      <c r="U3436" s="18"/>
      <c r="V3436" s="103" t="str">
        <f>IF(ISBLANK($D3436), "0",)</f>
        <v/>
      </c>
      <c r="W3436" s="104" t="str">
        <f t="shared" si="2828"/>
        <v/>
      </c>
      <c r="X3436" s="105"/>
      <c r="Y3436" s="106"/>
      <c r="Z3436" s="26">
        <f t="shared" si="5"/>
        <v>-2</v>
      </c>
      <c r="AA3436" s="26">
        <f t="shared" si="6"/>
        <v>-3</v>
      </c>
      <c r="AB3436" s="32" t="str">
        <f t="shared" si="7"/>
        <v/>
      </c>
      <c r="AC3436" s="32" t="str">
        <f t="shared" ref="AC3436:AG3436" si="3533">IF(J3436&lt;&gt;"", IF(AND($P3436=FALSE, $A3436=FALSE), -J3436, IF(AND($P3436=FALSE, $A3436=TRUE), 0, IF($P3436=TRUE, (J3436 / $R3436) * 100 * ($S3436 / 100)-J3436, ))), )</f>
        <v/>
      </c>
      <c r="AD3436" s="32" t="str">
        <f t="shared" si="3533"/>
        <v/>
      </c>
      <c r="AE3436" s="32" t="str">
        <f t="shared" si="3533"/>
        <v/>
      </c>
      <c r="AF3436" s="32" t="str">
        <f t="shared" si="3533"/>
        <v/>
      </c>
      <c r="AG3436" s="32" t="str">
        <f t="shared" si="3533"/>
        <v/>
      </c>
      <c r="AH3436" s="33"/>
    </row>
    <row r="3437" hidden="1" outlineLevel="2">
      <c r="A3437" s="95" t="b">
        <v>0</v>
      </c>
      <c r="B3437" s="96"/>
      <c r="C3437" s="18"/>
      <c r="D3437" s="107"/>
      <c r="E3437" s="108"/>
      <c r="F3437" s="109"/>
      <c r="G3437" s="97"/>
      <c r="H3437" s="97"/>
      <c r="I3437" s="97"/>
      <c r="J3437" s="98"/>
      <c r="K3437" s="99"/>
      <c r="L3437" s="98"/>
      <c r="M3437" s="99"/>
      <c r="N3437" s="99"/>
      <c r="O3437" s="18"/>
      <c r="P3437" s="100" t="b">
        <v>0</v>
      </c>
      <c r="Q3437" s="18"/>
      <c r="R3437" s="101" t="str">
        <f t="shared" si="3377"/>
        <v/>
      </c>
      <c r="S3437" s="32"/>
      <c r="T3437" s="102" t="str">
        <f t="shared" si="3378"/>
        <v/>
      </c>
      <c r="U3437" s="18"/>
      <c r="V3437" s="113">
        <v>-1.0</v>
      </c>
      <c r="W3437" s="104" t="str">
        <f t="shared" si="2828"/>
        <v>/</v>
      </c>
      <c r="X3437" s="111" t="s">
        <v>2031</v>
      </c>
      <c r="Y3437" s="106"/>
      <c r="Z3437" s="26" t="str">
        <f t="shared" si="5"/>
        <v/>
      </c>
      <c r="AA3437" s="26" t="str">
        <f t="shared" si="6"/>
        <v/>
      </c>
      <c r="AB3437" s="32" t="str">
        <f t="shared" si="7"/>
        <v/>
      </c>
      <c r="AC3437" s="32" t="str">
        <f t="shared" ref="AC3437:AG3437" si="3534">IF(J3437&lt;&gt;"", IF(AND($P3437=FALSE, $A3437=FALSE), -J3437, IF(AND($P3437=FALSE, $A3437=TRUE), 0, IF($P3437=TRUE, (J3437 / $R3437) * 100 * ($S3437 / 100)-J3437, ))), )</f>
        <v/>
      </c>
      <c r="AD3437" s="32" t="str">
        <f t="shared" si="3534"/>
        <v/>
      </c>
      <c r="AE3437" s="32" t="str">
        <f t="shared" si="3534"/>
        <v/>
      </c>
      <c r="AF3437" s="32" t="str">
        <f t="shared" si="3534"/>
        <v/>
      </c>
      <c r="AG3437" s="32" t="str">
        <f t="shared" si="3534"/>
        <v/>
      </c>
      <c r="AH3437" s="33"/>
    </row>
    <row r="3438" hidden="1" outlineLevel="1" collapsed="1">
      <c r="A3438" s="95" t="b">
        <v>0</v>
      </c>
      <c r="B3438" s="96"/>
      <c r="C3438" s="18"/>
      <c r="D3438" s="42">
        <v>45907.0</v>
      </c>
      <c r="E3438" s="20" t="s">
        <v>24</v>
      </c>
      <c r="F3438" s="53" t="s">
        <v>2017</v>
      </c>
      <c r="G3438" s="97">
        <v>2.0</v>
      </c>
      <c r="H3438" s="97"/>
      <c r="I3438" s="97">
        <v>5.0</v>
      </c>
      <c r="J3438" s="98"/>
      <c r="K3438" s="99"/>
      <c r="L3438" s="98"/>
      <c r="M3438" s="99"/>
      <c r="N3438" s="99"/>
      <c r="O3438" s="18"/>
      <c r="P3438" s="100" t="b">
        <v>1</v>
      </c>
      <c r="Q3438" s="18"/>
      <c r="R3438" s="101">
        <f t="shared" si="3377"/>
        <v>7</v>
      </c>
      <c r="S3438" s="32">
        <v>27.98</v>
      </c>
      <c r="T3438" s="102" t="str">
        <f t="shared" si="3378"/>
        <v>+300</v>
      </c>
      <c r="U3438" s="18"/>
      <c r="V3438" s="103" t="str">
        <f>IF(ISBLANK($D3438), "0",)</f>
        <v/>
      </c>
      <c r="W3438" s="104" t="str">
        <f t="shared" si="2828"/>
        <v/>
      </c>
      <c r="X3438" s="105"/>
      <c r="Y3438" s="106"/>
      <c r="Z3438" s="26">
        <f t="shared" si="5"/>
        <v>5.994285714</v>
      </c>
      <c r="AA3438" s="26">
        <f t="shared" si="6"/>
        <v>14.98571429</v>
      </c>
      <c r="AB3438" s="32" t="str">
        <f t="shared" si="7"/>
        <v/>
      </c>
      <c r="AC3438" s="32" t="str">
        <f t="shared" ref="AC3438:AG3438" si="3535">IF(J3438&lt;&gt;"", IF(AND($P3438=FALSE, $A3438=FALSE), -J3438, IF(AND($P3438=FALSE, $A3438=TRUE), 0, IF($P3438=TRUE, (J3438 / $R3438) * 100 * ($S3438 / 100)-J3438, ))), )</f>
        <v/>
      </c>
      <c r="AD3438" s="32" t="str">
        <f t="shared" si="3535"/>
        <v/>
      </c>
      <c r="AE3438" s="32" t="str">
        <f t="shared" si="3535"/>
        <v/>
      </c>
      <c r="AF3438" s="32" t="str">
        <f t="shared" si="3535"/>
        <v/>
      </c>
      <c r="AG3438" s="32" t="str">
        <f t="shared" si="3535"/>
        <v/>
      </c>
      <c r="AH3438" s="33"/>
    </row>
    <row r="3439" hidden="1" outlineLevel="2">
      <c r="A3439" s="95" t="b">
        <v>0</v>
      </c>
      <c r="B3439" s="96"/>
      <c r="C3439" s="18"/>
      <c r="D3439" s="107"/>
      <c r="E3439" s="108"/>
      <c r="F3439" s="109"/>
      <c r="G3439" s="97"/>
      <c r="H3439" s="97"/>
      <c r="I3439" s="97"/>
      <c r="J3439" s="98"/>
      <c r="K3439" s="99"/>
      <c r="L3439" s="98"/>
      <c r="M3439" s="99"/>
      <c r="N3439" s="99"/>
      <c r="O3439" s="18"/>
      <c r="P3439" s="100" t="b">
        <v>0</v>
      </c>
      <c r="Q3439" s="18"/>
      <c r="R3439" s="101" t="str">
        <f t="shared" si="3377"/>
        <v/>
      </c>
      <c r="S3439" s="32"/>
      <c r="T3439" s="102" t="str">
        <f t="shared" si="3378"/>
        <v/>
      </c>
      <c r="U3439" s="18"/>
      <c r="V3439" s="75" t="s">
        <v>29</v>
      </c>
      <c r="W3439" s="104" t="str">
        <f t="shared" si="2828"/>
        <v>/</v>
      </c>
      <c r="X3439" s="111" t="s">
        <v>1160</v>
      </c>
      <c r="Y3439" s="106"/>
      <c r="Z3439" s="26" t="str">
        <f t="shared" si="5"/>
        <v/>
      </c>
      <c r="AA3439" s="26" t="str">
        <f t="shared" si="6"/>
        <v/>
      </c>
      <c r="AB3439" s="32" t="str">
        <f t="shared" si="7"/>
        <v/>
      </c>
      <c r="AC3439" s="32" t="str">
        <f t="shared" ref="AC3439:AG3439" si="3536">IF(J3439&lt;&gt;"", IF(AND($P3439=FALSE, $A3439=FALSE), -J3439, IF(AND($P3439=FALSE, $A3439=TRUE), 0, IF($P3439=TRUE, (J3439 / $R3439) * 100 * ($S3439 / 100)-J3439, ))), )</f>
        <v/>
      </c>
      <c r="AD3439" s="32" t="str">
        <f t="shared" si="3536"/>
        <v/>
      </c>
      <c r="AE3439" s="32" t="str">
        <f t="shared" si="3536"/>
        <v/>
      </c>
      <c r="AF3439" s="32" t="str">
        <f t="shared" si="3536"/>
        <v/>
      </c>
      <c r="AG3439" s="32" t="str">
        <f t="shared" si="3536"/>
        <v/>
      </c>
      <c r="AH3439" s="33"/>
    </row>
    <row r="3440" hidden="1" outlineLevel="2">
      <c r="A3440" s="95" t="b">
        <v>0</v>
      </c>
      <c r="B3440" s="96"/>
      <c r="C3440" s="18"/>
      <c r="D3440" s="107"/>
      <c r="E3440" s="108"/>
      <c r="F3440" s="109"/>
      <c r="G3440" s="97"/>
      <c r="H3440" s="97"/>
      <c r="I3440" s="97"/>
      <c r="J3440" s="98"/>
      <c r="K3440" s="99"/>
      <c r="L3440" s="98"/>
      <c r="M3440" s="99"/>
      <c r="N3440" s="99"/>
      <c r="O3440" s="18"/>
      <c r="P3440" s="100" t="b">
        <v>0</v>
      </c>
      <c r="Q3440" s="18"/>
      <c r="R3440" s="101" t="str">
        <f t="shared" si="3377"/>
        <v/>
      </c>
      <c r="S3440" s="32"/>
      <c r="T3440" s="102" t="str">
        <f t="shared" si="3378"/>
        <v/>
      </c>
      <c r="U3440" s="18"/>
      <c r="V3440" s="75" t="s">
        <v>29</v>
      </c>
      <c r="W3440" s="104" t="str">
        <f t="shared" si="2828"/>
        <v>/</v>
      </c>
      <c r="X3440" s="111" t="s">
        <v>2032</v>
      </c>
      <c r="Y3440" s="106"/>
      <c r="Z3440" s="26" t="str">
        <f t="shared" si="5"/>
        <v/>
      </c>
      <c r="AA3440" s="26" t="str">
        <f t="shared" si="6"/>
        <v/>
      </c>
      <c r="AB3440" s="32" t="str">
        <f t="shared" si="7"/>
        <v/>
      </c>
      <c r="AC3440" s="32" t="str">
        <f t="shared" ref="AC3440:AG3440" si="3537">IF(J3440&lt;&gt;"", IF(AND($P3440=FALSE, $A3440=FALSE), -J3440, IF(AND($P3440=FALSE, $A3440=TRUE), 0, IF($P3440=TRUE, (J3440 / $R3440) * 100 * ($S3440 / 100)-J3440, ))), )</f>
        <v/>
      </c>
      <c r="AD3440" s="32" t="str">
        <f t="shared" si="3537"/>
        <v/>
      </c>
      <c r="AE3440" s="32" t="str">
        <f t="shared" si="3537"/>
        <v/>
      </c>
      <c r="AF3440" s="32" t="str">
        <f t="shared" si="3537"/>
        <v/>
      </c>
      <c r="AG3440" s="32" t="str">
        <f t="shared" si="3537"/>
        <v/>
      </c>
      <c r="AH3440" s="33"/>
    </row>
    <row r="3441" hidden="1" outlineLevel="2">
      <c r="A3441" s="95" t="b">
        <v>0</v>
      </c>
      <c r="B3441" s="96"/>
      <c r="C3441" s="18"/>
      <c r="D3441" s="107"/>
      <c r="E3441" s="108"/>
      <c r="F3441" s="109"/>
      <c r="G3441" s="97"/>
      <c r="H3441" s="97"/>
      <c r="I3441" s="97"/>
      <c r="J3441" s="98"/>
      <c r="K3441" s="99"/>
      <c r="L3441" s="98"/>
      <c r="M3441" s="99"/>
      <c r="N3441" s="99"/>
      <c r="O3441" s="18"/>
      <c r="P3441" s="100" t="b">
        <v>0</v>
      </c>
      <c r="Q3441" s="18"/>
      <c r="R3441" s="101" t="str">
        <f t="shared" si="3377"/>
        <v/>
      </c>
      <c r="S3441" s="32"/>
      <c r="T3441" s="102" t="str">
        <f t="shared" si="3378"/>
        <v/>
      </c>
      <c r="U3441" s="18"/>
      <c r="V3441" s="75" t="s">
        <v>29</v>
      </c>
      <c r="W3441" s="104" t="str">
        <f t="shared" si="2828"/>
        <v>/</v>
      </c>
      <c r="X3441" s="111" t="s">
        <v>2033</v>
      </c>
      <c r="Y3441" s="106"/>
      <c r="Z3441" s="26" t="str">
        <f t="shared" si="5"/>
        <v/>
      </c>
      <c r="AA3441" s="26" t="str">
        <f t="shared" si="6"/>
        <v/>
      </c>
      <c r="AB3441" s="32" t="str">
        <f t="shared" si="7"/>
        <v/>
      </c>
      <c r="AC3441" s="32" t="str">
        <f t="shared" ref="AC3441:AG3441" si="3538">IF(J3441&lt;&gt;"", IF(AND($P3441=FALSE, $A3441=FALSE), -J3441, IF(AND($P3441=FALSE, $A3441=TRUE), 0, IF($P3441=TRUE, (J3441 / $R3441) * 100 * ($S3441 / 100)-J3441, ))), )</f>
        <v/>
      </c>
      <c r="AD3441" s="32" t="str">
        <f t="shared" si="3538"/>
        <v/>
      </c>
      <c r="AE3441" s="32" t="str">
        <f t="shared" si="3538"/>
        <v/>
      </c>
      <c r="AF3441" s="32" t="str">
        <f t="shared" si="3538"/>
        <v/>
      </c>
      <c r="AG3441" s="32" t="str">
        <f t="shared" si="3538"/>
        <v/>
      </c>
      <c r="AH3441" s="33"/>
    </row>
    <row r="3442" hidden="1" outlineLevel="2">
      <c r="A3442" s="95" t="b">
        <v>0</v>
      </c>
      <c r="B3442" s="96"/>
      <c r="C3442" s="18"/>
      <c r="D3442" s="107"/>
      <c r="E3442" s="108"/>
      <c r="F3442" s="109"/>
      <c r="G3442" s="97"/>
      <c r="H3442" s="97"/>
      <c r="I3442" s="97"/>
      <c r="J3442" s="98"/>
      <c r="K3442" s="99"/>
      <c r="L3442" s="98"/>
      <c r="M3442" s="99"/>
      <c r="N3442" s="99"/>
      <c r="O3442" s="18"/>
      <c r="P3442" s="100" t="b">
        <v>0</v>
      </c>
      <c r="Q3442" s="18"/>
      <c r="R3442" s="101" t="str">
        <f t="shared" si="3377"/>
        <v/>
      </c>
      <c r="S3442" s="32"/>
      <c r="T3442" s="102" t="str">
        <f t="shared" si="3378"/>
        <v/>
      </c>
      <c r="U3442" s="18"/>
      <c r="V3442" s="75" t="s">
        <v>29</v>
      </c>
      <c r="W3442" s="104" t="str">
        <f t="shared" si="2828"/>
        <v>/</v>
      </c>
      <c r="X3442" s="111" t="s">
        <v>1637</v>
      </c>
      <c r="Y3442" s="106"/>
      <c r="Z3442" s="26" t="str">
        <f t="shared" si="5"/>
        <v/>
      </c>
      <c r="AA3442" s="26" t="str">
        <f t="shared" si="6"/>
        <v/>
      </c>
      <c r="AB3442" s="32" t="str">
        <f t="shared" si="7"/>
        <v/>
      </c>
      <c r="AC3442" s="32" t="str">
        <f t="shared" ref="AC3442:AG3442" si="3539">IF(J3442&lt;&gt;"", IF(AND($P3442=FALSE, $A3442=FALSE), -J3442, IF(AND($P3442=FALSE, $A3442=TRUE), 0, IF($P3442=TRUE, (J3442 / $R3442) * 100 * ($S3442 / 100)-J3442, ))), )</f>
        <v/>
      </c>
      <c r="AD3442" s="32" t="str">
        <f t="shared" si="3539"/>
        <v/>
      </c>
      <c r="AE3442" s="32" t="str">
        <f t="shared" si="3539"/>
        <v/>
      </c>
      <c r="AF3442" s="32" t="str">
        <f t="shared" si="3539"/>
        <v/>
      </c>
      <c r="AG3442" s="32" t="str">
        <f t="shared" si="3539"/>
        <v/>
      </c>
      <c r="AH3442" s="33"/>
    </row>
    <row r="3443" hidden="1" outlineLevel="2">
      <c r="A3443" s="95" t="b">
        <v>0</v>
      </c>
      <c r="B3443" s="96"/>
      <c r="C3443" s="18"/>
      <c r="D3443" s="107"/>
      <c r="E3443" s="108"/>
      <c r="F3443" s="109"/>
      <c r="G3443" s="97"/>
      <c r="H3443" s="97"/>
      <c r="I3443" s="97"/>
      <c r="J3443" s="98"/>
      <c r="K3443" s="99"/>
      <c r="L3443" s="98"/>
      <c r="M3443" s="99"/>
      <c r="N3443" s="99"/>
      <c r="O3443" s="18"/>
      <c r="P3443" s="100" t="b">
        <v>0</v>
      </c>
      <c r="Q3443" s="18"/>
      <c r="R3443" s="101" t="str">
        <f t="shared" si="3377"/>
        <v/>
      </c>
      <c r="S3443" s="32"/>
      <c r="T3443" s="102" t="str">
        <f t="shared" si="3378"/>
        <v/>
      </c>
      <c r="U3443" s="18"/>
      <c r="V3443" s="75" t="s">
        <v>29</v>
      </c>
      <c r="W3443" s="104" t="str">
        <f t="shared" si="2828"/>
        <v>/</v>
      </c>
      <c r="X3443" s="111" t="s">
        <v>1792</v>
      </c>
      <c r="Y3443" s="106"/>
      <c r="Z3443" s="26" t="str">
        <f t="shared" si="5"/>
        <v/>
      </c>
      <c r="AA3443" s="26" t="str">
        <f t="shared" si="6"/>
        <v/>
      </c>
      <c r="AB3443" s="32" t="str">
        <f t="shared" si="7"/>
        <v/>
      </c>
      <c r="AC3443" s="32" t="str">
        <f t="shared" ref="AC3443:AG3443" si="3540">IF(J3443&lt;&gt;"", IF(AND($P3443=FALSE, $A3443=FALSE), -J3443, IF(AND($P3443=FALSE, $A3443=TRUE), 0, IF($P3443=TRUE, (J3443 / $R3443) * 100 * ($S3443 / 100)-J3443, ))), )</f>
        <v/>
      </c>
      <c r="AD3443" s="32" t="str">
        <f t="shared" si="3540"/>
        <v/>
      </c>
      <c r="AE3443" s="32" t="str">
        <f t="shared" si="3540"/>
        <v/>
      </c>
      <c r="AF3443" s="32" t="str">
        <f t="shared" si="3540"/>
        <v/>
      </c>
      <c r="AG3443" s="32" t="str">
        <f t="shared" si="3540"/>
        <v/>
      </c>
      <c r="AH3443" s="33"/>
    </row>
    <row r="3444" hidden="1" outlineLevel="1" collapsed="1">
      <c r="A3444" s="95" t="b">
        <v>0</v>
      </c>
      <c r="B3444" s="96"/>
      <c r="C3444" s="18"/>
      <c r="D3444" s="42">
        <v>45908.0</v>
      </c>
      <c r="E3444" s="20" t="s">
        <v>24</v>
      </c>
      <c r="F3444" s="53" t="s">
        <v>2017</v>
      </c>
      <c r="G3444" s="97">
        <v>1.0</v>
      </c>
      <c r="H3444" s="97"/>
      <c r="I3444" s="97"/>
      <c r="J3444" s="98"/>
      <c r="K3444" s="99"/>
      <c r="L3444" s="98"/>
      <c r="M3444" s="99"/>
      <c r="N3444" s="99"/>
      <c r="O3444" s="18"/>
      <c r="P3444" s="100" t="b">
        <v>0</v>
      </c>
      <c r="Q3444" s="18"/>
      <c r="R3444" s="101">
        <f t="shared" si="3377"/>
        <v>1</v>
      </c>
      <c r="S3444" s="32">
        <v>7.0</v>
      </c>
      <c r="T3444" s="102" t="str">
        <f t="shared" si="3378"/>
        <v>+600</v>
      </c>
      <c r="U3444" s="18"/>
      <c r="V3444" s="103" t="str">
        <f>IF(ISBLANK($D3444), "0",)</f>
        <v/>
      </c>
      <c r="W3444" s="104" t="str">
        <f t="shared" si="2828"/>
        <v/>
      </c>
      <c r="X3444" s="105"/>
      <c r="Y3444" s="106"/>
      <c r="Z3444" s="26">
        <f t="shared" si="5"/>
        <v>-1</v>
      </c>
      <c r="AA3444" s="26" t="str">
        <f t="shared" si="6"/>
        <v/>
      </c>
      <c r="AB3444" s="32" t="str">
        <f t="shared" si="7"/>
        <v/>
      </c>
      <c r="AC3444" s="32" t="str">
        <f t="shared" ref="AC3444:AG3444" si="3541">IF(J3444&lt;&gt;"", IF(AND($P3444=FALSE, $A3444=FALSE), -J3444, IF(AND($P3444=FALSE, $A3444=TRUE), 0, IF($P3444=TRUE, (J3444 / $R3444) * 100 * ($S3444 / 100)-J3444, ))), )</f>
        <v/>
      </c>
      <c r="AD3444" s="32" t="str">
        <f t="shared" si="3541"/>
        <v/>
      </c>
      <c r="AE3444" s="32" t="str">
        <f t="shared" si="3541"/>
        <v/>
      </c>
      <c r="AF3444" s="32" t="str">
        <f t="shared" si="3541"/>
        <v/>
      </c>
      <c r="AG3444" s="32" t="str">
        <f t="shared" si="3541"/>
        <v/>
      </c>
      <c r="AH3444" s="33"/>
    </row>
    <row r="3445" hidden="1" outlineLevel="2">
      <c r="A3445" s="95" t="b">
        <v>0</v>
      </c>
      <c r="B3445" s="96"/>
      <c r="C3445" s="18"/>
      <c r="D3445" s="107"/>
      <c r="E3445" s="108"/>
      <c r="F3445" s="109"/>
      <c r="G3445" s="97"/>
      <c r="H3445" s="97"/>
      <c r="I3445" s="97"/>
      <c r="J3445" s="98"/>
      <c r="K3445" s="99"/>
      <c r="L3445" s="98"/>
      <c r="M3445" s="99"/>
      <c r="N3445" s="99"/>
      <c r="O3445" s="18"/>
      <c r="P3445" s="100" t="b">
        <v>0</v>
      </c>
      <c r="Q3445" s="18"/>
      <c r="R3445" s="101" t="str">
        <f t="shared" si="3377"/>
        <v/>
      </c>
      <c r="S3445" s="32"/>
      <c r="T3445" s="102" t="str">
        <f t="shared" si="3378"/>
        <v/>
      </c>
      <c r="U3445" s="18"/>
      <c r="V3445" s="113">
        <v>1.0</v>
      </c>
      <c r="W3445" s="104" t="str">
        <f t="shared" si="2828"/>
        <v>/</v>
      </c>
      <c r="X3445" s="111" t="s">
        <v>2034</v>
      </c>
      <c r="Y3445" s="106"/>
      <c r="Z3445" s="26" t="str">
        <f t="shared" si="5"/>
        <v/>
      </c>
      <c r="AA3445" s="26" t="str">
        <f t="shared" si="6"/>
        <v/>
      </c>
      <c r="AB3445" s="32" t="str">
        <f t="shared" si="7"/>
        <v/>
      </c>
      <c r="AC3445" s="32" t="str">
        <f t="shared" ref="AC3445:AG3445" si="3542">IF(J3445&lt;&gt;"", IF(AND($P3445=FALSE, $A3445=FALSE), -J3445, IF(AND($P3445=FALSE, $A3445=TRUE), 0, IF($P3445=TRUE, (J3445 / $R3445) * 100 * ($S3445 / 100)-J3445, ))), )</f>
        <v/>
      </c>
      <c r="AD3445" s="32" t="str">
        <f t="shared" si="3542"/>
        <v/>
      </c>
      <c r="AE3445" s="32" t="str">
        <f t="shared" si="3542"/>
        <v/>
      </c>
      <c r="AF3445" s="32" t="str">
        <f t="shared" si="3542"/>
        <v/>
      </c>
      <c r="AG3445" s="32" t="str">
        <f t="shared" si="3542"/>
        <v/>
      </c>
      <c r="AH3445" s="33"/>
    </row>
    <row r="3446" hidden="1" outlineLevel="1">
      <c r="A3446" s="95" t="b">
        <v>0</v>
      </c>
      <c r="B3446" s="96"/>
      <c r="C3446" s="18"/>
      <c r="D3446" s="42">
        <v>45908.0</v>
      </c>
      <c r="E3446" s="20" t="s">
        <v>24</v>
      </c>
      <c r="F3446" s="53" t="s">
        <v>2017</v>
      </c>
      <c r="G3446" s="97">
        <v>1.67</v>
      </c>
      <c r="H3446" s="97"/>
      <c r="I3446" s="97">
        <v>1.67</v>
      </c>
      <c r="J3446" s="98"/>
      <c r="K3446" s="99"/>
      <c r="L3446" s="98">
        <v>1.66</v>
      </c>
      <c r="M3446" s="99"/>
      <c r="N3446" s="99"/>
      <c r="O3446" s="18"/>
      <c r="P3446" s="100" t="b">
        <v>0</v>
      </c>
      <c r="Q3446" s="18"/>
      <c r="R3446" s="101">
        <f t="shared" si="3377"/>
        <v>5</v>
      </c>
      <c r="S3446" s="32">
        <v>16.26</v>
      </c>
      <c r="T3446" s="102" t="str">
        <f t="shared" si="3378"/>
        <v>+225</v>
      </c>
      <c r="U3446" s="18"/>
      <c r="V3446" s="103" t="str">
        <f>IF(ISBLANK($D3446), "0",)</f>
        <v/>
      </c>
      <c r="W3446" s="104" t="str">
        <f t="shared" si="2828"/>
        <v/>
      </c>
      <c r="X3446" s="105"/>
      <c r="Y3446" s="106"/>
      <c r="Z3446" s="26">
        <f t="shared" si="5"/>
        <v>-1.67</v>
      </c>
      <c r="AA3446" s="26">
        <f t="shared" si="6"/>
        <v>-1.67</v>
      </c>
      <c r="AB3446" s="32" t="str">
        <f t="shared" si="7"/>
        <v/>
      </c>
      <c r="AC3446" s="32" t="str">
        <f t="shared" ref="AC3446:AG3446" si="3543">IF(J3446&lt;&gt;"", IF(AND($P3446=FALSE, $A3446=FALSE), -J3446, IF(AND($P3446=FALSE, $A3446=TRUE), 0, IF($P3446=TRUE, (J3446 / $R3446) * 100 * ($S3446 / 100)-J3446, ))), )</f>
        <v/>
      </c>
      <c r="AD3446" s="32" t="str">
        <f t="shared" si="3543"/>
        <v/>
      </c>
      <c r="AE3446" s="32">
        <f t="shared" si="3543"/>
        <v>-1.66</v>
      </c>
      <c r="AF3446" s="32" t="str">
        <f t="shared" si="3543"/>
        <v/>
      </c>
      <c r="AG3446" s="32" t="str">
        <f t="shared" si="3543"/>
        <v/>
      </c>
      <c r="AH3446" s="33"/>
    </row>
    <row r="3447" hidden="1" outlineLevel="2">
      <c r="A3447" s="95" t="b">
        <v>0</v>
      </c>
      <c r="B3447" s="96"/>
      <c r="C3447" s="18"/>
      <c r="D3447" s="107"/>
      <c r="E3447" s="108"/>
      <c r="F3447" s="109"/>
      <c r="G3447" s="97"/>
      <c r="H3447" s="97"/>
      <c r="I3447" s="97"/>
      <c r="J3447" s="98"/>
      <c r="K3447" s="99"/>
      <c r="L3447" s="98"/>
      <c r="M3447" s="99"/>
      <c r="N3447" s="99"/>
      <c r="O3447" s="18"/>
      <c r="P3447" s="100" t="b">
        <v>0</v>
      </c>
      <c r="Q3447" s="18"/>
      <c r="R3447" s="101" t="str">
        <f t="shared" si="3377"/>
        <v/>
      </c>
      <c r="S3447" s="32"/>
      <c r="T3447" s="102" t="str">
        <f t="shared" si="3378"/>
        <v/>
      </c>
      <c r="U3447" s="18"/>
      <c r="V3447" s="75" t="s">
        <v>29</v>
      </c>
      <c r="W3447" s="104" t="str">
        <f t="shared" si="2828"/>
        <v>/</v>
      </c>
      <c r="X3447" s="111" t="s">
        <v>2035</v>
      </c>
      <c r="Y3447" s="106"/>
      <c r="Z3447" s="26" t="str">
        <f t="shared" si="5"/>
        <v/>
      </c>
      <c r="AA3447" s="26" t="str">
        <f t="shared" si="6"/>
        <v/>
      </c>
      <c r="AB3447" s="32" t="str">
        <f t="shared" si="7"/>
        <v/>
      </c>
      <c r="AC3447" s="32" t="str">
        <f t="shared" ref="AC3447:AG3447" si="3544">IF(J3447&lt;&gt;"", IF(AND($P3447=FALSE, $A3447=FALSE), -J3447, IF(AND($P3447=FALSE, $A3447=TRUE), 0, IF($P3447=TRUE, (J3447 / $R3447) * 100 * ($S3447 / 100)-J3447, ))), )</f>
        <v/>
      </c>
      <c r="AD3447" s="32" t="str">
        <f t="shared" si="3544"/>
        <v/>
      </c>
      <c r="AE3447" s="32" t="str">
        <f t="shared" si="3544"/>
        <v/>
      </c>
      <c r="AF3447" s="32" t="str">
        <f t="shared" si="3544"/>
        <v/>
      </c>
      <c r="AG3447" s="32" t="str">
        <f t="shared" si="3544"/>
        <v/>
      </c>
      <c r="AH3447" s="33"/>
    </row>
    <row r="3448" hidden="1" outlineLevel="2">
      <c r="A3448" s="95" t="b">
        <v>0</v>
      </c>
      <c r="B3448" s="96"/>
      <c r="C3448" s="18"/>
      <c r="D3448" s="107"/>
      <c r="E3448" s="108"/>
      <c r="F3448" s="109"/>
      <c r="G3448" s="97"/>
      <c r="H3448" s="97"/>
      <c r="I3448" s="97"/>
      <c r="J3448" s="98"/>
      <c r="K3448" s="99"/>
      <c r="L3448" s="98"/>
      <c r="M3448" s="99"/>
      <c r="N3448" s="99"/>
      <c r="O3448" s="18"/>
      <c r="P3448" s="100" t="b">
        <v>0</v>
      </c>
      <c r="Q3448" s="18"/>
      <c r="R3448" s="101" t="str">
        <f t="shared" si="3377"/>
        <v/>
      </c>
      <c r="S3448" s="32"/>
      <c r="T3448" s="102" t="str">
        <f t="shared" si="3378"/>
        <v/>
      </c>
      <c r="U3448" s="18"/>
      <c r="V3448" s="113">
        <v>44.0</v>
      </c>
      <c r="W3448" s="104" t="str">
        <f t="shared" si="2828"/>
        <v>/</v>
      </c>
      <c r="X3448" s="111" t="s">
        <v>1603</v>
      </c>
      <c r="Y3448" s="106"/>
      <c r="Z3448" s="26" t="str">
        <f t="shared" si="5"/>
        <v/>
      </c>
      <c r="AA3448" s="26" t="str">
        <f t="shared" si="6"/>
        <v/>
      </c>
      <c r="AB3448" s="32" t="str">
        <f t="shared" si="7"/>
        <v/>
      </c>
      <c r="AC3448" s="32" t="str">
        <f t="shared" ref="AC3448:AG3448" si="3545">IF(J3448&lt;&gt;"", IF(AND($P3448=FALSE, $A3448=FALSE), -J3448, IF(AND($P3448=FALSE, $A3448=TRUE), 0, IF($P3448=TRUE, (J3448 / $R3448) * 100 * ($S3448 / 100)-J3448, ))), )</f>
        <v/>
      </c>
      <c r="AD3448" s="32" t="str">
        <f t="shared" si="3545"/>
        <v/>
      </c>
      <c r="AE3448" s="32" t="str">
        <f t="shared" si="3545"/>
        <v/>
      </c>
      <c r="AF3448" s="32" t="str">
        <f t="shared" si="3545"/>
        <v/>
      </c>
      <c r="AG3448" s="32" t="str">
        <f t="shared" si="3545"/>
        <v/>
      </c>
      <c r="AH3448" s="33"/>
    </row>
    <row r="3449" hidden="1" outlineLevel="2">
      <c r="A3449" s="95" t="b">
        <v>0</v>
      </c>
      <c r="B3449" s="96"/>
      <c r="C3449" s="18"/>
      <c r="D3449" s="107"/>
      <c r="E3449" s="108"/>
      <c r="F3449" s="109"/>
      <c r="G3449" s="97"/>
      <c r="H3449" s="97"/>
      <c r="I3449" s="97"/>
      <c r="J3449" s="98"/>
      <c r="K3449" s="99"/>
      <c r="L3449" s="98"/>
      <c r="M3449" s="99"/>
      <c r="N3449" s="99"/>
      <c r="O3449" s="18"/>
      <c r="P3449" s="100" t="b">
        <v>0</v>
      </c>
      <c r="Q3449" s="18"/>
      <c r="R3449" s="101" t="str">
        <f t="shared" si="3377"/>
        <v/>
      </c>
      <c r="S3449" s="32"/>
      <c r="T3449" s="102" t="str">
        <f t="shared" si="3378"/>
        <v/>
      </c>
      <c r="U3449" s="18"/>
      <c r="V3449" s="75" t="s">
        <v>29</v>
      </c>
      <c r="W3449" s="104" t="str">
        <f t="shared" si="2828"/>
        <v>/</v>
      </c>
      <c r="X3449" s="111" t="s">
        <v>2036</v>
      </c>
      <c r="Y3449" s="106"/>
      <c r="Z3449" s="26" t="str">
        <f t="shared" si="5"/>
        <v/>
      </c>
      <c r="AA3449" s="26" t="str">
        <f t="shared" si="6"/>
        <v/>
      </c>
      <c r="AB3449" s="32" t="str">
        <f t="shared" si="7"/>
        <v/>
      </c>
      <c r="AC3449" s="32" t="str">
        <f t="shared" ref="AC3449:AG3449" si="3546">IF(J3449&lt;&gt;"", IF(AND($P3449=FALSE, $A3449=FALSE), -J3449, IF(AND($P3449=FALSE, $A3449=TRUE), 0, IF($P3449=TRUE, (J3449 / $R3449) * 100 * ($S3449 / 100)-J3449, ))), )</f>
        <v/>
      </c>
      <c r="AD3449" s="32" t="str">
        <f t="shared" si="3546"/>
        <v/>
      </c>
      <c r="AE3449" s="32" t="str">
        <f t="shared" si="3546"/>
        <v/>
      </c>
      <c r="AF3449" s="32" t="str">
        <f t="shared" si="3546"/>
        <v/>
      </c>
      <c r="AG3449" s="32" t="str">
        <f t="shared" si="3546"/>
        <v/>
      </c>
      <c r="AH3449" s="33"/>
    </row>
    <row r="3450" hidden="1" outlineLevel="2">
      <c r="A3450" s="95" t="b">
        <v>0</v>
      </c>
      <c r="B3450" s="96"/>
      <c r="C3450" s="18"/>
      <c r="D3450" s="107"/>
      <c r="E3450" s="108"/>
      <c r="F3450" s="109"/>
      <c r="G3450" s="97"/>
      <c r="H3450" s="97"/>
      <c r="I3450" s="97"/>
      <c r="J3450" s="98"/>
      <c r="K3450" s="99"/>
      <c r="L3450" s="98"/>
      <c r="M3450" s="99"/>
      <c r="N3450" s="99"/>
      <c r="O3450" s="18"/>
      <c r="P3450" s="100" t="b">
        <v>0</v>
      </c>
      <c r="Q3450" s="18"/>
      <c r="R3450" s="101" t="str">
        <f t="shared" si="3377"/>
        <v/>
      </c>
      <c r="S3450" s="32"/>
      <c r="T3450" s="102" t="str">
        <f t="shared" si="3378"/>
        <v/>
      </c>
      <c r="U3450" s="18"/>
      <c r="V3450" s="75" t="s">
        <v>29</v>
      </c>
      <c r="W3450" s="104" t="str">
        <f t="shared" si="2828"/>
        <v>/</v>
      </c>
      <c r="X3450" s="111" t="s">
        <v>2037</v>
      </c>
      <c r="Y3450" s="106"/>
      <c r="Z3450" s="26" t="str">
        <f t="shared" si="5"/>
        <v/>
      </c>
      <c r="AA3450" s="26" t="str">
        <f t="shared" si="6"/>
        <v/>
      </c>
      <c r="AB3450" s="32" t="str">
        <f t="shared" si="7"/>
        <v/>
      </c>
      <c r="AC3450" s="32" t="str">
        <f t="shared" ref="AC3450:AG3450" si="3547">IF(J3450&lt;&gt;"", IF(AND($P3450=FALSE, $A3450=FALSE), -J3450, IF(AND($P3450=FALSE, $A3450=TRUE), 0, IF($P3450=TRUE, (J3450 / $R3450) * 100 * ($S3450 / 100)-J3450, ))), )</f>
        <v/>
      </c>
      <c r="AD3450" s="32" t="str">
        <f t="shared" si="3547"/>
        <v/>
      </c>
      <c r="AE3450" s="32" t="str">
        <f t="shared" si="3547"/>
        <v/>
      </c>
      <c r="AF3450" s="32" t="str">
        <f t="shared" si="3547"/>
        <v/>
      </c>
      <c r="AG3450" s="32" t="str">
        <f t="shared" si="3547"/>
        <v/>
      </c>
      <c r="AH3450" s="33"/>
    </row>
    <row r="3451" collapsed="1">
      <c r="A3451" s="95" t="b">
        <v>0</v>
      </c>
      <c r="B3451" s="96"/>
      <c r="C3451" s="18"/>
      <c r="D3451" s="42">
        <v>45911.0</v>
      </c>
      <c r="E3451" s="20" t="s">
        <v>24</v>
      </c>
      <c r="F3451" s="53" t="s">
        <v>2038</v>
      </c>
      <c r="G3451" s="97">
        <v>3.0</v>
      </c>
      <c r="H3451" s="97"/>
      <c r="I3451" s="97">
        <v>5.0</v>
      </c>
      <c r="J3451" s="98"/>
      <c r="K3451" s="99"/>
      <c r="L3451" s="98"/>
      <c r="M3451" s="99"/>
      <c r="N3451" s="99"/>
      <c r="O3451" s="18"/>
      <c r="P3451" s="100" t="b">
        <v>0</v>
      </c>
      <c r="Q3451" s="18"/>
      <c r="R3451" s="101">
        <f t="shared" si="3377"/>
        <v>8</v>
      </c>
      <c r="S3451" s="32">
        <v>24.53</v>
      </c>
      <c r="T3451" s="102" t="str">
        <f t="shared" si="3378"/>
        <v>+207</v>
      </c>
      <c r="U3451" s="18"/>
      <c r="V3451" s="103" t="str">
        <f>IF(ISBLANK($D3451), "0",)</f>
        <v/>
      </c>
      <c r="W3451" s="104" t="str">
        <f t="shared" si="2828"/>
        <v/>
      </c>
      <c r="X3451" s="105"/>
      <c r="Y3451" s="106"/>
      <c r="Z3451" s="26">
        <f t="shared" si="5"/>
        <v>-3</v>
      </c>
      <c r="AA3451" s="26">
        <f t="shared" si="6"/>
        <v>-5</v>
      </c>
      <c r="AB3451" s="32" t="str">
        <f t="shared" si="7"/>
        <v/>
      </c>
      <c r="AC3451" s="32" t="str">
        <f t="shared" ref="AC3451:AG3451" si="3548">IF(J3451&lt;&gt;"", IF(AND($P3451=FALSE, $A3451=FALSE), -J3451, IF(AND($P3451=FALSE, $A3451=TRUE), 0, IF($P3451=TRUE, (J3451 / $R3451) * 100 * ($S3451 / 100)-J3451, ))), )</f>
        <v/>
      </c>
      <c r="AD3451" s="32" t="str">
        <f t="shared" si="3548"/>
        <v/>
      </c>
      <c r="AE3451" s="32" t="str">
        <f t="shared" si="3548"/>
        <v/>
      </c>
      <c r="AF3451" s="32" t="str">
        <f t="shared" si="3548"/>
        <v/>
      </c>
      <c r="AG3451" s="32" t="str">
        <f t="shared" si="3548"/>
        <v/>
      </c>
      <c r="AH3451" s="33"/>
    </row>
    <row r="3452" hidden="1" outlineLevel="2">
      <c r="A3452" s="95" t="b">
        <v>0</v>
      </c>
      <c r="B3452" s="96"/>
      <c r="C3452" s="18"/>
      <c r="D3452" s="107"/>
      <c r="E3452" s="108"/>
      <c r="F3452" s="109"/>
      <c r="G3452" s="97"/>
      <c r="H3452" s="97"/>
      <c r="I3452" s="97"/>
      <c r="J3452" s="98"/>
      <c r="K3452" s="99"/>
      <c r="L3452" s="98"/>
      <c r="M3452" s="99"/>
      <c r="N3452" s="99"/>
      <c r="O3452" s="18"/>
      <c r="P3452" s="100" t="b">
        <v>0</v>
      </c>
      <c r="Q3452" s="18"/>
      <c r="R3452" s="101" t="str">
        <f t="shared" si="3377"/>
        <v/>
      </c>
      <c r="S3452" s="32"/>
      <c r="T3452" s="102" t="str">
        <f t="shared" si="3378"/>
        <v/>
      </c>
      <c r="U3452" s="18"/>
      <c r="V3452" s="75" t="s">
        <v>29</v>
      </c>
      <c r="W3452" s="104" t="str">
        <f t="shared" si="2828"/>
        <v>/</v>
      </c>
      <c r="X3452" s="111" t="s">
        <v>1593</v>
      </c>
      <c r="Y3452" s="106"/>
      <c r="Z3452" s="26" t="str">
        <f t="shared" si="5"/>
        <v/>
      </c>
      <c r="AA3452" s="26" t="str">
        <f t="shared" si="6"/>
        <v/>
      </c>
      <c r="AB3452" s="32" t="str">
        <f t="shared" si="7"/>
        <v/>
      </c>
      <c r="AC3452" s="32" t="str">
        <f t="shared" ref="AC3452:AG3452" si="3549">IF(J3452&lt;&gt;"", IF(AND($P3452=FALSE, $A3452=FALSE), -J3452, IF(AND($P3452=FALSE, $A3452=TRUE), 0, IF($P3452=TRUE, (J3452 / $R3452) * 100 * ($S3452 / 100)-J3452, ))), )</f>
        <v/>
      </c>
      <c r="AD3452" s="32" t="str">
        <f t="shared" si="3549"/>
        <v/>
      </c>
      <c r="AE3452" s="32" t="str">
        <f t="shared" si="3549"/>
        <v/>
      </c>
      <c r="AF3452" s="32" t="str">
        <f t="shared" si="3549"/>
        <v/>
      </c>
      <c r="AG3452" s="32" t="str">
        <f t="shared" si="3549"/>
        <v/>
      </c>
      <c r="AH3452" s="33"/>
    </row>
    <row r="3453" hidden="1" outlineLevel="2">
      <c r="A3453" s="95" t="b">
        <v>0</v>
      </c>
      <c r="B3453" s="96"/>
      <c r="C3453" s="18"/>
      <c r="D3453" s="107"/>
      <c r="E3453" s="108"/>
      <c r="F3453" s="109"/>
      <c r="G3453" s="97"/>
      <c r="H3453" s="97"/>
      <c r="I3453" s="97"/>
      <c r="J3453" s="98"/>
      <c r="K3453" s="99"/>
      <c r="L3453" s="98"/>
      <c r="M3453" s="99"/>
      <c r="N3453" s="99"/>
      <c r="O3453" s="18"/>
      <c r="P3453" s="100" t="b">
        <v>0</v>
      </c>
      <c r="Q3453" s="18"/>
      <c r="R3453" s="101" t="str">
        <f t="shared" si="3377"/>
        <v/>
      </c>
      <c r="S3453" s="32"/>
      <c r="T3453" s="102" t="str">
        <f t="shared" si="3378"/>
        <v/>
      </c>
      <c r="U3453" s="18"/>
      <c r="V3453" s="103" t="str">
        <f t="shared" ref="V3453:V3454" si="3551">IF(ISBLANK($D3453), "0",)</f>
        <v>0</v>
      </c>
      <c r="W3453" s="104" t="str">
        <f t="shared" si="2828"/>
        <v>/</v>
      </c>
      <c r="X3453" s="111" t="s">
        <v>2039</v>
      </c>
      <c r="Y3453" s="106"/>
      <c r="Z3453" s="26" t="str">
        <f t="shared" si="5"/>
        <v/>
      </c>
      <c r="AA3453" s="26" t="str">
        <f t="shared" si="6"/>
        <v/>
      </c>
      <c r="AB3453" s="32" t="str">
        <f t="shared" si="7"/>
        <v/>
      </c>
      <c r="AC3453" s="32" t="str">
        <f t="shared" ref="AC3453:AG3453" si="3550">IF(J3453&lt;&gt;"", IF(AND($P3453=FALSE, $A3453=FALSE), -J3453, IF(AND($P3453=FALSE, $A3453=TRUE), 0, IF($P3453=TRUE, (J3453 / $R3453) * 100 * ($S3453 / 100)-J3453, ))), )</f>
        <v/>
      </c>
      <c r="AD3453" s="32" t="str">
        <f t="shared" si="3550"/>
        <v/>
      </c>
      <c r="AE3453" s="32" t="str">
        <f t="shared" si="3550"/>
        <v/>
      </c>
      <c r="AF3453" s="32" t="str">
        <f t="shared" si="3550"/>
        <v/>
      </c>
      <c r="AG3453" s="32" t="str">
        <f t="shared" si="3550"/>
        <v/>
      </c>
      <c r="AH3453" s="33"/>
    </row>
    <row r="3454" hidden="1" outlineLevel="1" collapsed="1">
      <c r="A3454" s="95" t="b">
        <v>0</v>
      </c>
      <c r="B3454" s="96"/>
      <c r="C3454" s="18"/>
      <c r="D3454" s="42">
        <v>45911.0</v>
      </c>
      <c r="E3454" s="20" t="s">
        <v>24</v>
      </c>
      <c r="F3454" s="53" t="s">
        <v>2038</v>
      </c>
      <c r="G3454" s="97">
        <v>2.0</v>
      </c>
      <c r="H3454" s="97"/>
      <c r="I3454" s="97">
        <v>3.0</v>
      </c>
      <c r="J3454" s="98"/>
      <c r="K3454" s="99"/>
      <c r="L3454" s="98"/>
      <c r="M3454" s="99"/>
      <c r="N3454" s="99"/>
      <c r="O3454" s="18"/>
      <c r="P3454" s="100" t="b">
        <v>0</v>
      </c>
      <c r="Q3454" s="18"/>
      <c r="R3454" s="101">
        <f t="shared" si="3377"/>
        <v>5</v>
      </c>
      <c r="S3454" s="32">
        <v>10.6</v>
      </c>
      <c r="T3454" s="102" t="str">
        <f t="shared" si="3378"/>
        <v>+112</v>
      </c>
      <c r="U3454" s="18"/>
      <c r="V3454" s="103" t="str">
        <f t="shared" si="3551"/>
        <v/>
      </c>
      <c r="W3454" s="104" t="str">
        <f t="shared" si="2828"/>
        <v/>
      </c>
      <c r="X3454" s="105"/>
      <c r="Y3454" s="106"/>
      <c r="Z3454" s="26">
        <f t="shared" si="5"/>
        <v>-2</v>
      </c>
      <c r="AA3454" s="26">
        <f t="shared" si="6"/>
        <v>-3</v>
      </c>
      <c r="AB3454" s="32" t="str">
        <f t="shared" si="7"/>
        <v/>
      </c>
      <c r="AC3454" s="32" t="str">
        <f t="shared" ref="AC3454:AG3454" si="3552">IF(J3454&lt;&gt;"", IF(AND($P3454=FALSE, $A3454=FALSE), -J3454, IF(AND($P3454=FALSE, $A3454=TRUE), 0, IF($P3454=TRUE, (J3454 / $R3454) * 100 * ($S3454 / 100)-J3454, ))), )</f>
        <v/>
      </c>
      <c r="AD3454" s="32" t="str">
        <f t="shared" si="3552"/>
        <v/>
      </c>
      <c r="AE3454" s="32" t="str">
        <f t="shared" si="3552"/>
        <v/>
      </c>
      <c r="AF3454" s="32" t="str">
        <f t="shared" si="3552"/>
        <v/>
      </c>
      <c r="AG3454" s="32" t="str">
        <f t="shared" si="3552"/>
        <v/>
      </c>
      <c r="AH3454" s="33"/>
    </row>
    <row r="3455" hidden="1" outlineLevel="2">
      <c r="A3455" s="95" t="b">
        <v>0</v>
      </c>
      <c r="B3455" s="96"/>
      <c r="C3455" s="18"/>
      <c r="D3455" s="107"/>
      <c r="E3455" s="108"/>
      <c r="F3455" s="109"/>
      <c r="G3455" s="97"/>
      <c r="H3455" s="97"/>
      <c r="I3455" s="97"/>
      <c r="J3455" s="98"/>
      <c r="K3455" s="99"/>
      <c r="L3455" s="98"/>
      <c r="M3455" s="99"/>
      <c r="N3455" s="99"/>
      <c r="O3455" s="18"/>
      <c r="P3455" s="100" t="b">
        <v>0</v>
      </c>
      <c r="Q3455" s="18"/>
      <c r="R3455" s="101" t="str">
        <f t="shared" si="3377"/>
        <v/>
      </c>
      <c r="S3455" s="32"/>
      <c r="T3455" s="102" t="str">
        <f t="shared" si="3378"/>
        <v/>
      </c>
      <c r="U3455" s="18"/>
      <c r="V3455" s="113">
        <v>31.0</v>
      </c>
      <c r="W3455" s="104" t="str">
        <f t="shared" si="2828"/>
        <v>/</v>
      </c>
      <c r="X3455" s="111" t="s">
        <v>2040</v>
      </c>
      <c r="Y3455" s="106"/>
      <c r="Z3455" s="26" t="str">
        <f t="shared" si="5"/>
        <v/>
      </c>
      <c r="AA3455" s="26" t="str">
        <f t="shared" si="6"/>
        <v/>
      </c>
      <c r="AB3455" s="32" t="str">
        <f t="shared" si="7"/>
        <v/>
      </c>
      <c r="AC3455" s="32" t="str">
        <f t="shared" ref="AC3455:AG3455" si="3553">IF(J3455&lt;&gt;"", IF(AND($P3455=FALSE, $A3455=FALSE), -J3455, IF(AND($P3455=FALSE, $A3455=TRUE), 0, IF($P3455=TRUE, (J3455 / $R3455) * 100 * ($S3455 / 100)-J3455, ))), )</f>
        <v/>
      </c>
      <c r="AD3455" s="32" t="str">
        <f t="shared" si="3553"/>
        <v/>
      </c>
      <c r="AE3455" s="32" t="str">
        <f t="shared" si="3553"/>
        <v/>
      </c>
      <c r="AF3455" s="32" t="str">
        <f t="shared" si="3553"/>
        <v/>
      </c>
      <c r="AG3455" s="32" t="str">
        <f t="shared" si="3553"/>
        <v/>
      </c>
      <c r="AH3455" s="33"/>
    </row>
    <row r="3456" hidden="1" outlineLevel="1">
      <c r="A3456" s="95" t="b">
        <v>0</v>
      </c>
      <c r="B3456" s="96"/>
      <c r="C3456" s="18"/>
      <c r="D3456" s="42">
        <v>45911.0</v>
      </c>
      <c r="E3456" s="20" t="s">
        <v>24</v>
      </c>
      <c r="F3456" s="53" t="s">
        <v>2038</v>
      </c>
      <c r="G3456" s="97">
        <v>1.0</v>
      </c>
      <c r="H3456" s="97"/>
      <c r="I3456" s="97">
        <v>1.5</v>
      </c>
      <c r="J3456" s="98"/>
      <c r="K3456" s="99"/>
      <c r="L3456" s="98"/>
      <c r="M3456" s="99"/>
      <c r="N3456" s="99"/>
      <c r="O3456" s="18"/>
      <c r="P3456" s="100" t="b">
        <v>0</v>
      </c>
      <c r="Q3456" s="18"/>
      <c r="R3456" s="101">
        <f t="shared" si="3377"/>
        <v>2.5</v>
      </c>
      <c r="S3456" s="32">
        <v>14.3</v>
      </c>
      <c r="T3456" s="102" t="str">
        <f t="shared" si="3378"/>
        <v>+472</v>
      </c>
      <c r="U3456" s="18"/>
      <c r="V3456" s="103" t="str">
        <f>IF(ISBLANK($D3456), "0",)</f>
        <v/>
      </c>
      <c r="W3456" s="104" t="str">
        <f t="shared" si="2828"/>
        <v/>
      </c>
      <c r="X3456" s="105"/>
      <c r="Y3456" s="106"/>
      <c r="Z3456" s="26">
        <f t="shared" si="5"/>
        <v>-1</v>
      </c>
      <c r="AA3456" s="26">
        <f t="shared" si="6"/>
        <v>-1.5</v>
      </c>
      <c r="AB3456" s="32" t="str">
        <f t="shared" si="7"/>
        <v/>
      </c>
      <c r="AC3456" s="32" t="str">
        <f t="shared" ref="AC3456:AG3456" si="3554">IF(J3456&lt;&gt;"", IF(AND($P3456=FALSE, $A3456=FALSE), -J3456, IF(AND($P3456=FALSE, $A3456=TRUE), 0, IF($P3456=TRUE, (J3456 / $R3456) * 100 * ($S3456 / 100)-J3456, ))), )</f>
        <v/>
      </c>
      <c r="AD3456" s="32" t="str">
        <f t="shared" si="3554"/>
        <v/>
      </c>
      <c r="AE3456" s="32" t="str">
        <f t="shared" si="3554"/>
        <v/>
      </c>
      <c r="AF3456" s="32" t="str">
        <f t="shared" si="3554"/>
        <v/>
      </c>
      <c r="AG3456" s="32" t="str">
        <f t="shared" si="3554"/>
        <v/>
      </c>
      <c r="AH3456" s="33"/>
    </row>
    <row r="3457" hidden="1" outlineLevel="2">
      <c r="A3457" s="95" t="b">
        <v>0</v>
      </c>
      <c r="B3457" s="96"/>
      <c r="C3457" s="18"/>
      <c r="D3457" s="107"/>
      <c r="E3457" s="108"/>
      <c r="F3457" s="109"/>
      <c r="G3457" s="97"/>
      <c r="H3457" s="97"/>
      <c r="I3457" s="97"/>
      <c r="J3457" s="98"/>
      <c r="K3457" s="99"/>
      <c r="L3457" s="98"/>
      <c r="M3457" s="99"/>
      <c r="N3457" s="99"/>
      <c r="O3457" s="18"/>
      <c r="P3457" s="100" t="b">
        <v>0</v>
      </c>
      <c r="Q3457" s="18"/>
      <c r="R3457" s="101" t="str">
        <f t="shared" si="3377"/>
        <v/>
      </c>
      <c r="S3457" s="32"/>
      <c r="T3457" s="102" t="str">
        <f t="shared" si="3378"/>
        <v/>
      </c>
      <c r="U3457" s="18"/>
      <c r="V3457" s="75" t="s">
        <v>29</v>
      </c>
      <c r="W3457" s="104" t="str">
        <f t="shared" si="2828"/>
        <v>/</v>
      </c>
      <c r="X3457" s="111" t="s">
        <v>2041</v>
      </c>
      <c r="Y3457" s="106"/>
      <c r="Z3457" s="26" t="str">
        <f t="shared" si="5"/>
        <v/>
      </c>
      <c r="AA3457" s="26" t="str">
        <f t="shared" si="6"/>
        <v/>
      </c>
      <c r="AB3457" s="32" t="str">
        <f t="shared" si="7"/>
        <v/>
      </c>
      <c r="AC3457" s="32" t="str">
        <f t="shared" ref="AC3457:AG3457" si="3555">IF(J3457&lt;&gt;"", IF(AND($P3457=FALSE, $A3457=FALSE), -J3457, IF(AND($P3457=FALSE, $A3457=TRUE), 0, IF($P3457=TRUE, (J3457 / $R3457) * 100 * ($S3457 / 100)-J3457, ))), )</f>
        <v/>
      </c>
      <c r="AD3457" s="32" t="str">
        <f t="shared" si="3555"/>
        <v/>
      </c>
      <c r="AE3457" s="32" t="str">
        <f t="shared" si="3555"/>
        <v/>
      </c>
      <c r="AF3457" s="32" t="str">
        <f t="shared" si="3555"/>
        <v/>
      </c>
      <c r="AG3457" s="32" t="str">
        <f t="shared" si="3555"/>
        <v/>
      </c>
      <c r="AH3457" s="33"/>
    </row>
    <row r="3458" hidden="1" outlineLevel="2">
      <c r="A3458" s="95" t="b">
        <v>0</v>
      </c>
      <c r="B3458" s="96"/>
      <c r="C3458" s="18"/>
      <c r="D3458" s="107"/>
      <c r="E3458" s="108"/>
      <c r="F3458" s="109"/>
      <c r="G3458" s="97"/>
      <c r="H3458" s="97"/>
      <c r="I3458" s="97"/>
      <c r="J3458" s="98"/>
      <c r="K3458" s="99"/>
      <c r="L3458" s="98"/>
      <c r="M3458" s="99"/>
      <c r="N3458" s="99"/>
      <c r="O3458" s="18"/>
      <c r="P3458" s="100" t="b">
        <v>0</v>
      </c>
      <c r="Q3458" s="18"/>
      <c r="R3458" s="101" t="str">
        <f t="shared" si="3377"/>
        <v/>
      </c>
      <c r="S3458" s="32"/>
      <c r="T3458" s="102" t="str">
        <f t="shared" si="3378"/>
        <v/>
      </c>
      <c r="U3458" s="18"/>
      <c r="V3458" s="75" t="s">
        <v>29</v>
      </c>
      <c r="W3458" s="104" t="str">
        <f t="shared" si="2828"/>
        <v>/</v>
      </c>
      <c r="X3458" s="111" t="s">
        <v>2042</v>
      </c>
      <c r="Y3458" s="106"/>
      <c r="Z3458" s="26" t="str">
        <f t="shared" si="5"/>
        <v/>
      </c>
      <c r="AA3458" s="26" t="str">
        <f t="shared" si="6"/>
        <v/>
      </c>
      <c r="AB3458" s="32" t="str">
        <f t="shared" si="7"/>
        <v/>
      </c>
      <c r="AC3458" s="32" t="str">
        <f t="shared" ref="AC3458:AG3458" si="3556">IF(J3458&lt;&gt;"", IF(AND($P3458=FALSE, $A3458=FALSE), -J3458, IF(AND($P3458=FALSE, $A3458=TRUE), 0, IF($P3458=TRUE, (J3458 / $R3458) * 100 * ($S3458 / 100)-J3458, ))), )</f>
        <v/>
      </c>
      <c r="AD3458" s="32" t="str">
        <f t="shared" si="3556"/>
        <v/>
      </c>
      <c r="AE3458" s="32" t="str">
        <f t="shared" si="3556"/>
        <v/>
      </c>
      <c r="AF3458" s="32" t="str">
        <f t="shared" si="3556"/>
        <v/>
      </c>
      <c r="AG3458" s="32" t="str">
        <f t="shared" si="3556"/>
        <v/>
      </c>
      <c r="AH3458" s="33"/>
    </row>
    <row r="3459" hidden="1" outlineLevel="2">
      <c r="A3459" s="95" t="b">
        <v>0</v>
      </c>
      <c r="B3459" s="96"/>
      <c r="C3459" s="18"/>
      <c r="D3459" s="107"/>
      <c r="E3459" s="108"/>
      <c r="F3459" s="109"/>
      <c r="G3459" s="97"/>
      <c r="H3459" s="97"/>
      <c r="I3459" s="97"/>
      <c r="J3459" s="98"/>
      <c r="K3459" s="99"/>
      <c r="L3459" s="98"/>
      <c r="M3459" s="99"/>
      <c r="N3459" s="99"/>
      <c r="O3459" s="18"/>
      <c r="P3459" s="100" t="b">
        <v>0</v>
      </c>
      <c r="Q3459" s="18"/>
      <c r="R3459" s="101" t="str">
        <f t="shared" si="3377"/>
        <v/>
      </c>
      <c r="S3459" s="32"/>
      <c r="T3459" s="102" t="str">
        <f t="shared" si="3378"/>
        <v/>
      </c>
      <c r="U3459" s="18"/>
      <c r="V3459" s="103" t="str">
        <f>IF(ISBLANK($D3459), "0",)</f>
        <v>0</v>
      </c>
      <c r="W3459" s="104" t="str">
        <f t="shared" si="2828"/>
        <v>/</v>
      </c>
      <c r="X3459" s="111" t="s">
        <v>1080</v>
      </c>
      <c r="Y3459" s="106"/>
      <c r="Z3459" s="26" t="str">
        <f t="shared" si="5"/>
        <v/>
      </c>
      <c r="AA3459" s="26" t="str">
        <f t="shared" si="6"/>
        <v/>
      </c>
      <c r="AB3459" s="32" t="str">
        <f t="shared" si="7"/>
        <v/>
      </c>
      <c r="AC3459" s="32" t="str">
        <f t="shared" ref="AC3459:AG3459" si="3557">IF(J3459&lt;&gt;"", IF(AND($P3459=FALSE, $A3459=FALSE), -J3459, IF(AND($P3459=FALSE, $A3459=TRUE), 0, IF($P3459=TRUE, (J3459 / $R3459) * 100 * ($S3459 / 100)-J3459, ))), )</f>
        <v/>
      </c>
      <c r="AD3459" s="32" t="str">
        <f t="shared" si="3557"/>
        <v/>
      </c>
      <c r="AE3459" s="32" t="str">
        <f t="shared" si="3557"/>
        <v/>
      </c>
      <c r="AF3459" s="32" t="str">
        <f t="shared" si="3557"/>
        <v/>
      </c>
      <c r="AG3459" s="32" t="str">
        <f t="shared" si="3557"/>
        <v/>
      </c>
      <c r="AH3459" s="33"/>
    </row>
    <row r="3460" hidden="1" outlineLevel="2">
      <c r="A3460" s="95" t="b">
        <v>0</v>
      </c>
      <c r="B3460" s="96"/>
      <c r="C3460" s="18"/>
      <c r="D3460" s="107"/>
      <c r="E3460" s="108"/>
      <c r="F3460" s="109"/>
      <c r="G3460" s="97"/>
      <c r="H3460" s="97"/>
      <c r="I3460" s="97"/>
      <c r="J3460" s="98"/>
      <c r="K3460" s="99"/>
      <c r="L3460" s="98"/>
      <c r="M3460" s="99"/>
      <c r="N3460" s="99"/>
      <c r="O3460" s="18"/>
      <c r="P3460" s="100" t="b">
        <v>0</v>
      </c>
      <c r="Q3460" s="18"/>
      <c r="R3460" s="101" t="str">
        <f t="shared" si="3377"/>
        <v/>
      </c>
      <c r="S3460" s="32"/>
      <c r="T3460" s="102" t="str">
        <f t="shared" si="3378"/>
        <v/>
      </c>
      <c r="U3460" s="18"/>
      <c r="V3460" s="113">
        <v>17.0</v>
      </c>
      <c r="W3460" s="104" t="str">
        <f t="shared" si="2828"/>
        <v>/</v>
      </c>
      <c r="X3460" s="111" t="s">
        <v>2043</v>
      </c>
      <c r="Y3460" s="106"/>
      <c r="Z3460" s="26" t="str">
        <f t="shared" si="5"/>
        <v/>
      </c>
      <c r="AA3460" s="26" t="str">
        <f t="shared" si="6"/>
        <v/>
      </c>
      <c r="AB3460" s="32" t="str">
        <f t="shared" si="7"/>
        <v/>
      </c>
      <c r="AC3460" s="32" t="str">
        <f t="shared" ref="AC3460:AG3460" si="3558">IF(J3460&lt;&gt;"", IF(AND($P3460=FALSE, $A3460=FALSE), -J3460, IF(AND($P3460=FALSE, $A3460=TRUE), 0, IF($P3460=TRUE, (J3460 / $R3460) * 100 * ($S3460 / 100)-J3460, ))), )</f>
        <v/>
      </c>
      <c r="AD3460" s="32" t="str">
        <f t="shared" si="3558"/>
        <v/>
      </c>
      <c r="AE3460" s="32" t="str">
        <f t="shared" si="3558"/>
        <v/>
      </c>
      <c r="AF3460" s="32" t="str">
        <f t="shared" si="3558"/>
        <v/>
      </c>
      <c r="AG3460" s="32" t="str">
        <f t="shared" si="3558"/>
        <v/>
      </c>
      <c r="AH3460" s="33"/>
    </row>
    <row r="3461" hidden="1" outlineLevel="2">
      <c r="A3461" s="95" t="b">
        <v>0</v>
      </c>
      <c r="B3461" s="96"/>
      <c r="C3461" s="18"/>
      <c r="D3461" s="107"/>
      <c r="E3461" s="108"/>
      <c r="F3461" s="109"/>
      <c r="G3461" s="97"/>
      <c r="H3461" s="97"/>
      <c r="I3461" s="97"/>
      <c r="J3461" s="98"/>
      <c r="K3461" s="99"/>
      <c r="L3461" s="98"/>
      <c r="M3461" s="99"/>
      <c r="N3461" s="99"/>
      <c r="O3461" s="18"/>
      <c r="P3461" s="100" t="b">
        <v>0</v>
      </c>
      <c r="Q3461" s="18"/>
      <c r="R3461" s="101" t="str">
        <f t="shared" si="3377"/>
        <v/>
      </c>
      <c r="S3461" s="32"/>
      <c r="T3461" s="102" t="str">
        <f t="shared" si="3378"/>
        <v/>
      </c>
      <c r="U3461" s="18"/>
      <c r="V3461" s="75" t="s">
        <v>29</v>
      </c>
      <c r="W3461" s="104" t="str">
        <f t="shared" si="2828"/>
        <v>/</v>
      </c>
      <c r="X3461" s="111" t="s">
        <v>894</v>
      </c>
      <c r="Y3461" s="106"/>
      <c r="Z3461" s="26" t="str">
        <f t="shared" si="5"/>
        <v/>
      </c>
      <c r="AA3461" s="26" t="str">
        <f t="shared" si="6"/>
        <v/>
      </c>
      <c r="AB3461" s="32" t="str">
        <f t="shared" si="7"/>
        <v/>
      </c>
      <c r="AC3461" s="32" t="str">
        <f t="shared" ref="AC3461:AG3461" si="3559">IF(J3461&lt;&gt;"", IF(AND($P3461=FALSE, $A3461=FALSE), -J3461, IF(AND($P3461=FALSE, $A3461=TRUE), 0, IF($P3461=TRUE, (J3461 / $R3461) * 100 * ($S3461 / 100)-J3461, ))), )</f>
        <v/>
      </c>
      <c r="AD3461" s="32" t="str">
        <f t="shared" si="3559"/>
        <v/>
      </c>
      <c r="AE3461" s="32" t="str">
        <f t="shared" si="3559"/>
        <v/>
      </c>
      <c r="AF3461" s="32" t="str">
        <f t="shared" si="3559"/>
        <v/>
      </c>
      <c r="AG3461" s="32" t="str">
        <f t="shared" si="3559"/>
        <v/>
      </c>
      <c r="AH3461" s="33"/>
    </row>
    <row r="3462" hidden="1" outlineLevel="2">
      <c r="A3462" s="95" t="b">
        <v>0</v>
      </c>
      <c r="B3462" s="96"/>
      <c r="C3462" s="18"/>
      <c r="D3462" s="107"/>
      <c r="E3462" s="108"/>
      <c r="F3462" s="109"/>
      <c r="G3462" s="97"/>
      <c r="H3462" s="97"/>
      <c r="I3462" s="97"/>
      <c r="J3462" s="98"/>
      <c r="K3462" s="99"/>
      <c r="L3462" s="98"/>
      <c r="M3462" s="99"/>
      <c r="N3462" s="99"/>
      <c r="O3462" s="18"/>
      <c r="P3462" s="100" t="b">
        <v>0</v>
      </c>
      <c r="Q3462" s="18"/>
      <c r="R3462" s="101" t="str">
        <f t="shared" si="3377"/>
        <v/>
      </c>
      <c r="S3462" s="32"/>
      <c r="T3462" s="102" t="str">
        <f t="shared" si="3378"/>
        <v/>
      </c>
      <c r="U3462" s="18"/>
      <c r="V3462" s="75" t="s">
        <v>29</v>
      </c>
      <c r="W3462" s="104" t="str">
        <f t="shared" si="2828"/>
        <v>/</v>
      </c>
      <c r="X3462" s="111" t="s">
        <v>2044</v>
      </c>
      <c r="Y3462" s="106"/>
      <c r="Z3462" s="26" t="str">
        <f t="shared" si="5"/>
        <v/>
      </c>
      <c r="AA3462" s="26" t="str">
        <f t="shared" si="6"/>
        <v/>
      </c>
      <c r="AB3462" s="32" t="str">
        <f t="shared" si="7"/>
        <v/>
      </c>
      <c r="AC3462" s="32" t="str">
        <f t="shared" ref="AC3462:AG3462" si="3560">IF(J3462&lt;&gt;"", IF(AND($P3462=FALSE, $A3462=FALSE), -J3462, IF(AND($P3462=FALSE, $A3462=TRUE), 0, IF($P3462=TRUE, (J3462 / $R3462) * 100 * ($S3462 / 100)-J3462, ))), )</f>
        <v/>
      </c>
      <c r="AD3462" s="32" t="str">
        <f t="shared" si="3560"/>
        <v/>
      </c>
      <c r="AE3462" s="32" t="str">
        <f t="shared" si="3560"/>
        <v/>
      </c>
      <c r="AF3462" s="32" t="str">
        <f t="shared" si="3560"/>
        <v/>
      </c>
      <c r="AG3462" s="32" t="str">
        <f t="shared" si="3560"/>
        <v/>
      </c>
      <c r="AH3462" s="33"/>
    </row>
    <row r="3463" collapsed="1">
      <c r="A3463" s="95" t="b">
        <v>0</v>
      </c>
      <c r="B3463" s="96"/>
      <c r="C3463" s="18"/>
      <c r="D3463" s="42">
        <v>45914.0</v>
      </c>
      <c r="E3463" s="20" t="s">
        <v>24</v>
      </c>
      <c r="F3463" s="53" t="s">
        <v>2038</v>
      </c>
      <c r="G3463" s="97">
        <v>1.0</v>
      </c>
      <c r="H3463" s="97"/>
      <c r="I3463" s="97">
        <v>3.0</v>
      </c>
      <c r="J3463" s="98"/>
      <c r="K3463" s="99"/>
      <c r="L3463" s="98"/>
      <c r="M3463" s="99"/>
      <c r="N3463" s="99"/>
      <c r="O3463" s="18"/>
      <c r="P3463" s="100" t="b">
        <v>0</v>
      </c>
      <c r="Q3463" s="18"/>
      <c r="R3463" s="101">
        <f t="shared" si="3377"/>
        <v>4</v>
      </c>
      <c r="S3463" s="32">
        <v>10.16</v>
      </c>
      <c r="T3463" s="102" t="str">
        <f t="shared" si="3378"/>
        <v>+154</v>
      </c>
      <c r="U3463" s="18"/>
      <c r="V3463" s="103" t="str">
        <f>IF(ISBLANK($D3463), "0",)</f>
        <v/>
      </c>
      <c r="W3463" s="104" t="str">
        <f t="shared" si="2828"/>
        <v/>
      </c>
      <c r="X3463" s="105"/>
      <c r="Y3463" s="106"/>
      <c r="Z3463" s="26">
        <f t="shared" si="5"/>
        <v>-1</v>
      </c>
      <c r="AA3463" s="26">
        <f t="shared" si="6"/>
        <v>-3</v>
      </c>
      <c r="AB3463" s="32" t="str">
        <f t="shared" si="7"/>
        <v/>
      </c>
      <c r="AC3463" s="32" t="str">
        <f t="shared" ref="AC3463:AG3463" si="3561">IF(J3463&lt;&gt;"", IF(AND($P3463=FALSE, $A3463=FALSE), -J3463, IF(AND($P3463=FALSE, $A3463=TRUE), 0, IF($P3463=TRUE, (J3463 / $R3463) * 100 * ($S3463 / 100)-J3463, ))), )</f>
        <v/>
      </c>
      <c r="AD3463" s="32" t="str">
        <f t="shared" si="3561"/>
        <v/>
      </c>
      <c r="AE3463" s="32" t="str">
        <f t="shared" si="3561"/>
        <v/>
      </c>
      <c r="AF3463" s="32" t="str">
        <f t="shared" si="3561"/>
        <v/>
      </c>
      <c r="AG3463" s="32" t="str">
        <f t="shared" si="3561"/>
        <v/>
      </c>
      <c r="AH3463" s="33"/>
    </row>
    <row r="3464" hidden="1" outlineLevel="2">
      <c r="A3464" s="95" t="b">
        <v>0</v>
      </c>
      <c r="B3464" s="96"/>
      <c r="C3464" s="18"/>
      <c r="D3464" s="107"/>
      <c r="E3464" s="108"/>
      <c r="F3464" s="109"/>
      <c r="G3464" s="97"/>
      <c r="H3464" s="97"/>
      <c r="I3464" s="97"/>
      <c r="J3464" s="98"/>
      <c r="K3464" s="99"/>
      <c r="L3464" s="98"/>
      <c r="M3464" s="99"/>
      <c r="N3464" s="99"/>
      <c r="O3464" s="18"/>
      <c r="P3464" s="100" t="b">
        <v>0</v>
      </c>
      <c r="Q3464" s="18"/>
      <c r="R3464" s="101" t="str">
        <f t="shared" si="3377"/>
        <v/>
      </c>
      <c r="S3464" s="32"/>
      <c r="T3464" s="102" t="str">
        <f t="shared" si="3378"/>
        <v/>
      </c>
      <c r="U3464" s="18"/>
      <c r="V3464" s="113">
        <f>4</f>
        <v>4</v>
      </c>
      <c r="W3464" s="104" t="str">
        <f t="shared" si="2828"/>
        <v>/</v>
      </c>
      <c r="X3464" s="111" t="s">
        <v>685</v>
      </c>
      <c r="Y3464" s="106"/>
      <c r="Z3464" s="26" t="str">
        <f t="shared" si="5"/>
        <v/>
      </c>
      <c r="AA3464" s="26" t="str">
        <f t="shared" si="6"/>
        <v/>
      </c>
      <c r="AB3464" s="32" t="str">
        <f t="shared" si="7"/>
        <v/>
      </c>
      <c r="AC3464" s="32" t="str">
        <f t="shared" ref="AC3464:AG3464" si="3562">IF(J3464&lt;&gt;"", IF(AND($P3464=FALSE, $A3464=FALSE), -J3464, IF(AND($P3464=FALSE, $A3464=TRUE), 0, IF($P3464=TRUE, (J3464 / $R3464) * 100 * ($S3464 / 100)-J3464, ))), )</f>
        <v/>
      </c>
      <c r="AD3464" s="32" t="str">
        <f t="shared" si="3562"/>
        <v/>
      </c>
      <c r="AE3464" s="32" t="str">
        <f t="shared" si="3562"/>
        <v/>
      </c>
      <c r="AF3464" s="32" t="str">
        <f t="shared" si="3562"/>
        <v/>
      </c>
      <c r="AG3464" s="32" t="str">
        <f t="shared" si="3562"/>
        <v/>
      </c>
      <c r="AH3464" s="33"/>
    </row>
    <row r="3465" hidden="1" outlineLevel="1" collapsed="1">
      <c r="A3465" s="95" t="b">
        <v>0</v>
      </c>
      <c r="B3465" s="96"/>
      <c r="C3465" s="18"/>
      <c r="D3465" s="42">
        <v>45914.0</v>
      </c>
      <c r="E3465" s="20" t="s">
        <v>24</v>
      </c>
      <c r="F3465" s="53" t="s">
        <v>2038</v>
      </c>
      <c r="G3465" s="97">
        <v>3.0</v>
      </c>
      <c r="H3465" s="97"/>
      <c r="I3465" s="97">
        <v>3.0</v>
      </c>
      <c r="J3465" s="98"/>
      <c r="K3465" s="99"/>
      <c r="L3465" s="98"/>
      <c r="M3465" s="99"/>
      <c r="N3465" s="99"/>
      <c r="O3465" s="18"/>
      <c r="P3465" s="100" t="b">
        <v>0</v>
      </c>
      <c r="Q3465" s="18"/>
      <c r="R3465" s="101">
        <f t="shared" si="3377"/>
        <v>6</v>
      </c>
      <c r="S3465" s="32">
        <v>18.15</v>
      </c>
      <c r="T3465" s="102" t="str">
        <f t="shared" si="3378"/>
        <v>+203</v>
      </c>
      <c r="U3465" s="18"/>
      <c r="V3465" s="103" t="str">
        <f t="shared" ref="V3465:V3466" si="3564">IF(ISBLANK($D3465), "0",)</f>
        <v/>
      </c>
      <c r="W3465" s="104" t="str">
        <f t="shared" si="2828"/>
        <v/>
      </c>
      <c r="X3465" s="105"/>
      <c r="Y3465" s="106"/>
      <c r="Z3465" s="26">
        <f t="shared" si="5"/>
        <v>-3</v>
      </c>
      <c r="AA3465" s="26">
        <f t="shared" si="6"/>
        <v>-3</v>
      </c>
      <c r="AB3465" s="32" t="str">
        <f t="shared" si="7"/>
        <v/>
      </c>
      <c r="AC3465" s="32" t="str">
        <f t="shared" ref="AC3465:AG3465" si="3563">IF(J3465&lt;&gt;"", IF(AND($P3465=FALSE, $A3465=FALSE), -J3465, IF(AND($P3465=FALSE, $A3465=TRUE), 0, IF($P3465=TRUE, (J3465 / $R3465) * 100 * ($S3465 / 100)-J3465, ))), )</f>
        <v/>
      </c>
      <c r="AD3465" s="32" t="str">
        <f t="shared" si="3563"/>
        <v/>
      </c>
      <c r="AE3465" s="32" t="str">
        <f t="shared" si="3563"/>
        <v/>
      </c>
      <c r="AF3465" s="32" t="str">
        <f t="shared" si="3563"/>
        <v/>
      </c>
      <c r="AG3465" s="32" t="str">
        <f t="shared" si="3563"/>
        <v/>
      </c>
      <c r="AH3465" s="33"/>
    </row>
    <row r="3466" hidden="1" outlineLevel="2">
      <c r="A3466" s="95" t="b">
        <v>0</v>
      </c>
      <c r="B3466" s="96"/>
      <c r="C3466" s="18"/>
      <c r="D3466" s="107"/>
      <c r="E3466" s="108"/>
      <c r="F3466" s="109"/>
      <c r="G3466" s="97"/>
      <c r="H3466" s="97"/>
      <c r="I3466" s="97"/>
      <c r="J3466" s="98"/>
      <c r="K3466" s="99"/>
      <c r="L3466" s="98"/>
      <c r="M3466" s="99"/>
      <c r="N3466" s="99"/>
      <c r="O3466" s="18"/>
      <c r="P3466" s="100" t="b">
        <v>0</v>
      </c>
      <c r="Q3466" s="18"/>
      <c r="R3466" s="101" t="str">
        <f t="shared" si="3377"/>
        <v/>
      </c>
      <c r="S3466" s="32"/>
      <c r="T3466" s="102" t="str">
        <f t="shared" si="3378"/>
        <v/>
      </c>
      <c r="U3466" s="18"/>
      <c r="V3466" s="103" t="str">
        <f t="shared" si="3564"/>
        <v>0</v>
      </c>
      <c r="W3466" s="104" t="str">
        <f t="shared" si="2828"/>
        <v>/</v>
      </c>
      <c r="X3466" s="111" t="s">
        <v>872</v>
      </c>
      <c r="Y3466" s="106"/>
      <c r="Z3466" s="26" t="str">
        <f t="shared" si="5"/>
        <v/>
      </c>
      <c r="AA3466" s="26" t="str">
        <f t="shared" si="6"/>
        <v/>
      </c>
      <c r="AB3466" s="32" t="str">
        <f t="shared" si="7"/>
        <v/>
      </c>
      <c r="AC3466" s="32" t="str">
        <f t="shared" ref="AC3466:AG3466" si="3565">IF(J3466&lt;&gt;"", IF(AND($P3466=FALSE, $A3466=FALSE), -J3466, IF(AND($P3466=FALSE, $A3466=TRUE), 0, IF($P3466=TRUE, (J3466 / $R3466) * 100 * ($S3466 / 100)-J3466, ))), )</f>
        <v/>
      </c>
      <c r="AD3466" s="32" t="str">
        <f t="shared" si="3565"/>
        <v/>
      </c>
      <c r="AE3466" s="32" t="str">
        <f t="shared" si="3565"/>
        <v/>
      </c>
      <c r="AF3466" s="32" t="str">
        <f t="shared" si="3565"/>
        <v/>
      </c>
      <c r="AG3466" s="32" t="str">
        <f t="shared" si="3565"/>
        <v/>
      </c>
      <c r="AH3466" s="33"/>
    </row>
    <row r="3467" hidden="1" outlineLevel="2">
      <c r="A3467" s="95" t="b">
        <v>0</v>
      </c>
      <c r="B3467" s="96"/>
      <c r="C3467" s="18"/>
      <c r="D3467" s="107"/>
      <c r="E3467" s="108"/>
      <c r="F3467" s="109"/>
      <c r="G3467" s="97"/>
      <c r="H3467" s="97"/>
      <c r="I3467" s="97"/>
      <c r="J3467" s="98"/>
      <c r="K3467" s="99"/>
      <c r="L3467" s="98"/>
      <c r="M3467" s="99"/>
      <c r="N3467" s="99"/>
      <c r="O3467" s="18"/>
      <c r="P3467" s="100" t="b">
        <v>0</v>
      </c>
      <c r="Q3467" s="18"/>
      <c r="R3467" s="101" t="str">
        <f t="shared" si="3377"/>
        <v/>
      </c>
      <c r="S3467" s="32"/>
      <c r="T3467" s="102" t="str">
        <f t="shared" si="3378"/>
        <v/>
      </c>
      <c r="U3467" s="18"/>
      <c r="V3467" s="113">
        <v>199.0</v>
      </c>
      <c r="W3467" s="104" t="str">
        <f t="shared" si="2828"/>
        <v>/</v>
      </c>
      <c r="X3467" s="111" t="s">
        <v>873</v>
      </c>
      <c r="Y3467" s="106"/>
      <c r="Z3467" s="26" t="str">
        <f t="shared" si="5"/>
        <v/>
      </c>
      <c r="AA3467" s="26" t="str">
        <f t="shared" si="6"/>
        <v/>
      </c>
      <c r="AB3467" s="32" t="str">
        <f t="shared" si="7"/>
        <v/>
      </c>
      <c r="AC3467" s="32" t="str">
        <f t="shared" ref="AC3467:AG3467" si="3566">IF(J3467&lt;&gt;"", IF(AND($P3467=FALSE, $A3467=FALSE), -J3467, IF(AND($P3467=FALSE, $A3467=TRUE), 0, IF($P3467=TRUE, (J3467 / $R3467) * 100 * ($S3467 / 100)-J3467, ))), )</f>
        <v/>
      </c>
      <c r="AD3467" s="32" t="str">
        <f t="shared" si="3566"/>
        <v/>
      </c>
      <c r="AE3467" s="32" t="str">
        <f t="shared" si="3566"/>
        <v/>
      </c>
      <c r="AF3467" s="32" t="str">
        <f t="shared" si="3566"/>
        <v/>
      </c>
      <c r="AG3467" s="32" t="str">
        <f t="shared" si="3566"/>
        <v/>
      </c>
      <c r="AH3467" s="33"/>
    </row>
    <row r="3468" hidden="1" outlineLevel="2">
      <c r="A3468" s="95" t="b">
        <v>0</v>
      </c>
      <c r="B3468" s="96"/>
      <c r="C3468" s="18"/>
      <c r="D3468" s="107"/>
      <c r="E3468" s="108"/>
      <c r="F3468" s="109"/>
      <c r="G3468" s="97"/>
      <c r="H3468" s="97"/>
      <c r="I3468" s="97"/>
      <c r="J3468" s="98"/>
      <c r="K3468" s="99"/>
      <c r="L3468" s="98"/>
      <c r="M3468" s="99"/>
      <c r="N3468" s="99"/>
      <c r="O3468" s="18"/>
      <c r="P3468" s="100" t="b">
        <v>0</v>
      </c>
      <c r="Q3468" s="18"/>
      <c r="R3468" s="101" t="str">
        <f t="shared" si="3377"/>
        <v/>
      </c>
      <c r="S3468" s="32"/>
      <c r="T3468" s="102" t="str">
        <f t="shared" si="3378"/>
        <v/>
      </c>
      <c r="U3468" s="18"/>
      <c r="V3468" s="75" t="s">
        <v>29</v>
      </c>
      <c r="W3468" s="104" t="str">
        <f t="shared" si="2828"/>
        <v>/</v>
      </c>
      <c r="X3468" s="111" t="s">
        <v>2045</v>
      </c>
      <c r="Y3468" s="106"/>
      <c r="Z3468" s="26" t="str">
        <f t="shared" si="5"/>
        <v/>
      </c>
      <c r="AA3468" s="26" t="str">
        <f t="shared" si="6"/>
        <v/>
      </c>
      <c r="AB3468" s="32" t="str">
        <f t="shared" si="7"/>
        <v/>
      </c>
      <c r="AC3468" s="32" t="str">
        <f t="shared" ref="AC3468:AG3468" si="3567">IF(J3468&lt;&gt;"", IF(AND($P3468=FALSE, $A3468=FALSE), -J3468, IF(AND($P3468=FALSE, $A3468=TRUE), 0, IF($P3468=TRUE, (J3468 / $R3468) * 100 * ($S3468 / 100)-J3468, ))), )</f>
        <v/>
      </c>
      <c r="AD3468" s="32" t="str">
        <f t="shared" si="3567"/>
        <v/>
      </c>
      <c r="AE3468" s="32" t="str">
        <f t="shared" si="3567"/>
        <v/>
      </c>
      <c r="AF3468" s="32" t="str">
        <f t="shared" si="3567"/>
        <v/>
      </c>
      <c r="AG3468" s="32" t="str">
        <f t="shared" si="3567"/>
        <v/>
      </c>
      <c r="AH3468" s="33"/>
    </row>
    <row r="3469" hidden="1" outlineLevel="1" collapsed="1">
      <c r="A3469" s="95" t="b">
        <v>0</v>
      </c>
      <c r="B3469" s="96"/>
      <c r="C3469" s="18"/>
      <c r="D3469" s="42">
        <v>45914.0</v>
      </c>
      <c r="E3469" s="20" t="s">
        <v>24</v>
      </c>
      <c r="F3469" s="53" t="s">
        <v>2038</v>
      </c>
      <c r="G3469" s="97">
        <v>3.0</v>
      </c>
      <c r="H3469" s="97"/>
      <c r="I3469" s="97">
        <v>3.0</v>
      </c>
      <c r="J3469" s="98"/>
      <c r="K3469" s="99"/>
      <c r="L3469" s="98"/>
      <c r="M3469" s="99"/>
      <c r="N3469" s="99"/>
      <c r="O3469" s="18"/>
      <c r="P3469" s="100" t="b">
        <v>1</v>
      </c>
      <c r="Q3469" s="18"/>
      <c r="R3469" s="101">
        <f t="shared" si="3377"/>
        <v>6</v>
      </c>
      <c r="S3469" s="32">
        <v>14.7</v>
      </c>
      <c r="T3469" s="102" t="str">
        <f t="shared" si="3378"/>
        <v>+145</v>
      </c>
      <c r="U3469" s="18"/>
      <c r="V3469" s="103" t="str">
        <f>IF(ISBLANK($D3469), "0",)</f>
        <v/>
      </c>
      <c r="W3469" s="104" t="str">
        <f t="shared" si="2828"/>
        <v/>
      </c>
      <c r="X3469" s="105"/>
      <c r="Y3469" s="106"/>
      <c r="Z3469" s="26">
        <f t="shared" si="5"/>
        <v>4.35</v>
      </c>
      <c r="AA3469" s="26">
        <f t="shared" si="6"/>
        <v>4.35</v>
      </c>
      <c r="AB3469" s="32" t="str">
        <f t="shared" si="7"/>
        <v/>
      </c>
      <c r="AC3469" s="32" t="str">
        <f t="shared" ref="AC3469:AG3469" si="3568">IF(J3469&lt;&gt;"", IF(AND($P3469=FALSE, $A3469=FALSE), -J3469, IF(AND($P3469=FALSE, $A3469=TRUE), 0, IF($P3469=TRUE, (J3469 / $R3469) * 100 * ($S3469 / 100)-J3469, ))), )</f>
        <v/>
      </c>
      <c r="AD3469" s="32" t="str">
        <f t="shared" si="3568"/>
        <v/>
      </c>
      <c r="AE3469" s="32" t="str">
        <f t="shared" si="3568"/>
        <v/>
      </c>
      <c r="AF3469" s="32" t="str">
        <f t="shared" si="3568"/>
        <v/>
      </c>
      <c r="AG3469" s="32" t="str">
        <f t="shared" si="3568"/>
        <v/>
      </c>
      <c r="AH3469" s="33"/>
    </row>
    <row r="3470" hidden="1" outlineLevel="2">
      <c r="A3470" s="95" t="b">
        <v>0</v>
      </c>
      <c r="B3470" s="96"/>
      <c r="C3470" s="18"/>
      <c r="D3470" s="107"/>
      <c r="E3470" s="108"/>
      <c r="F3470" s="109"/>
      <c r="G3470" s="97"/>
      <c r="H3470" s="97"/>
      <c r="I3470" s="97"/>
      <c r="J3470" s="98"/>
      <c r="K3470" s="99"/>
      <c r="L3470" s="98"/>
      <c r="M3470" s="99"/>
      <c r="N3470" s="99"/>
      <c r="O3470" s="18"/>
      <c r="P3470" s="100" t="b">
        <v>0</v>
      </c>
      <c r="Q3470" s="18"/>
      <c r="R3470" s="101" t="str">
        <f t="shared" si="3377"/>
        <v/>
      </c>
      <c r="S3470" s="32"/>
      <c r="T3470" s="102" t="str">
        <f t="shared" si="3378"/>
        <v/>
      </c>
      <c r="U3470" s="18"/>
      <c r="V3470" s="75" t="s">
        <v>29</v>
      </c>
      <c r="W3470" s="104" t="str">
        <f t="shared" si="2828"/>
        <v>/</v>
      </c>
      <c r="X3470" s="111" t="s">
        <v>2046</v>
      </c>
      <c r="Y3470" s="106"/>
      <c r="Z3470" s="26" t="str">
        <f t="shared" si="5"/>
        <v/>
      </c>
      <c r="AA3470" s="26" t="str">
        <f t="shared" si="6"/>
        <v/>
      </c>
      <c r="AB3470" s="32" t="str">
        <f t="shared" si="7"/>
        <v/>
      </c>
      <c r="AC3470" s="32" t="str">
        <f t="shared" ref="AC3470:AG3470" si="3569">IF(J3470&lt;&gt;"", IF(AND($P3470=FALSE, $A3470=FALSE), -J3470, IF(AND($P3470=FALSE, $A3470=TRUE), 0, IF($P3470=TRUE, (J3470 / $R3470) * 100 * ($S3470 / 100)-J3470, ))), )</f>
        <v/>
      </c>
      <c r="AD3470" s="32" t="str">
        <f t="shared" si="3569"/>
        <v/>
      </c>
      <c r="AE3470" s="32" t="str">
        <f t="shared" si="3569"/>
        <v/>
      </c>
      <c r="AF3470" s="32" t="str">
        <f t="shared" si="3569"/>
        <v/>
      </c>
      <c r="AG3470" s="32" t="str">
        <f t="shared" si="3569"/>
        <v/>
      </c>
      <c r="AH3470" s="33"/>
    </row>
    <row r="3471" hidden="1" outlineLevel="1" collapsed="1">
      <c r="A3471" s="95" t="b">
        <v>0</v>
      </c>
      <c r="B3471" s="96"/>
      <c r="C3471" s="18"/>
      <c r="D3471" s="42">
        <v>45914.0</v>
      </c>
      <c r="E3471" s="20" t="s">
        <v>24</v>
      </c>
      <c r="F3471" s="53" t="s">
        <v>2038</v>
      </c>
      <c r="G3471" s="97">
        <v>3.0</v>
      </c>
      <c r="H3471" s="97"/>
      <c r="I3471" s="97">
        <v>2.0</v>
      </c>
      <c r="J3471" s="98"/>
      <c r="K3471" s="99"/>
      <c r="L3471" s="98"/>
      <c r="M3471" s="99"/>
      <c r="N3471" s="99"/>
      <c r="O3471" s="18"/>
      <c r="P3471" s="100" t="b">
        <v>1</v>
      </c>
      <c r="Q3471" s="18"/>
      <c r="R3471" s="101">
        <f t="shared" si="3377"/>
        <v>5</v>
      </c>
      <c r="S3471" s="32">
        <v>13.58</v>
      </c>
      <c r="T3471" s="102" t="str">
        <f t="shared" si="3378"/>
        <v>+172</v>
      </c>
      <c r="U3471" s="18"/>
      <c r="V3471" s="103" t="str">
        <f>IF(ISBLANK($D3471), "0",)</f>
        <v/>
      </c>
      <c r="W3471" s="104" t="str">
        <f t="shared" si="2828"/>
        <v/>
      </c>
      <c r="X3471" s="105"/>
      <c r="Y3471" s="106"/>
      <c r="Z3471" s="26">
        <f t="shared" si="5"/>
        <v>5.148</v>
      </c>
      <c r="AA3471" s="26">
        <f t="shared" si="6"/>
        <v>3.432</v>
      </c>
      <c r="AB3471" s="32" t="str">
        <f t="shared" si="7"/>
        <v/>
      </c>
      <c r="AC3471" s="32" t="str">
        <f t="shared" ref="AC3471:AG3471" si="3570">IF(J3471&lt;&gt;"", IF(AND($P3471=FALSE, $A3471=FALSE), -J3471, IF(AND($P3471=FALSE, $A3471=TRUE), 0, IF($P3471=TRUE, (J3471 / $R3471) * 100 * ($S3471 / 100)-J3471, ))), )</f>
        <v/>
      </c>
      <c r="AD3471" s="32" t="str">
        <f t="shared" si="3570"/>
        <v/>
      </c>
      <c r="AE3471" s="32" t="str">
        <f t="shared" si="3570"/>
        <v/>
      </c>
      <c r="AF3471" s="32" t="str">
        <f t="shared" si="3570"/>
        <v/>
      </c>
      <c r="AG3471" s="32" t="str">
        <f t="shared" si="3570"/>
        <v/>
      </c>
      <c r="AH3471" s="33"/>
    </row>
    <row r="3472" hidden="1" outlineLevel="2">
      <c r="A3472" s="95" t="b">
        <v>0</v>
      </c>
      <c r="B3472" s="96"/>
      <c r="C3472" s="18"/>
      <c r="D3472" s="107"/>
      <c r="E3472" s="108"/>
      <c r="F3472" s="109"/>
      <c r="G3472" s="97"/>
      <c r="H3472" s="97"/>
      <c r="I3472" s="97"/>
      <c r="J3472" s="98"/>
      <c r="K3472" s="99"/>
      <c r="L3472" s="98"/>
      <c r="M3472" s="99"/>
      <c r="N3472" s="99"/>
      <c r="O3472" s="18"/>
      <c r="P3472" s="100" t="b">
        <v>0</v>
      </c>
      <c r="Q3472" s="18"/>
      <c r="R3472" s="101" t="str">
        <f t="shared" si="3377"/>
        <v/>
      </c>
      <c r="S3472" s="32"/>
      <c r="T3472" s="102" t="str">
        <f t="shared" si="3378"/>
        <v/>
      </c>
      <c r="U3472" s="18"/>
      <c r="V3472" s="75" t="s">
        <v>29</v>
      </c>
      <c r="W3472" s="104" t="str">
        <f t="shared" si="2828"/>
        <v>/</v>
      </c>
      <c r="X3472" s="111" t="s">
        <v>777</v>
      </c>
      <c r="Y3472" s="106"/>
      <c r="Z3472" s="26" t="str">
        <f t="shared" si="5"/>
        <v/>
      </c>
      <c r="AA3472" s="26" t="str">
        <f t="shared" si="6"/>
        <v/>
      </c>
      <c r="AB3472" s="32" t="str">
        <f t="shared" si="7"/>
        <v/>
      </c>
      <c r="AC3472" s="32" t="str">
        <f t="shared" ref="AC3472:AG3472" si="3571">IF(J3472&lt;&gt;"", IF(AND($P3472=FALSE, $A3472=FALSE), -J3472, IF(AND($P3472=FALSE, $A3472=TRUE), 0, IF($P3472=TRUE, (J3472 / $R3472) * 100 * ($S3472 / 100)-J3472, ))), )</f>
        <v/>
      </c>
      <c r="AD3472" s="32" t="str">
        <f t="shared" si="3571"/>
        <v/>
      </c>
      <c r="AE3472" s="32" t="str">
        <f t="shared" si="3571"/>
        <v/>
      </c>
      <c r="AF3472" s="32" t="str">
        <f t="shared" si="3571"/>
        <v/>
      </c>
      <c r="AG3472" s="32" t="str">
        <f t="shared" si="3571"/>
        <v/>
      </c>
      <c r="AH3472" s="33"/>
    </row>
    <row r="3473" hidden="1" outlineLevel="2">
      <c r="A3473" s="95" t="b">
        <v>0</v>
      </c>
      <c r="B3473" s="96"/>
      <c r="C3473" s="18"/>
      <c r="D3473" s="107"/>
      <c r="E3473" s="108"/>
      <c r="F3473" s="109"/>
      <c r="G3473" s="97"/>
      <c r="H3473" s="97"/>
      <c r="I3473" s="97"/>
      <c r="J3473" s="98"/>
      <c r="K3473" s="99"/>
      <c r="L3473" s="98"/>
      <c r="M3473" s="99"/>
      <c r="N3473" s="99"/>
      <c r="O3473" s="18"/>
      <c r="P3473" s="100" t="b">
        <v>0</v>
      </c>
      <c r="Q3473" s="18"/>
      <c r="R3473" s="101" t="str">
        <f t="shared" si="3377"/>
        <v/>
      </c>
      <c r="S3473" s="32"/>
      <c r="T3473" s="102" t="str">
        <f t="shared" si="3378"/>
        <v/>
      </c>
      <c r="U3473" s="18"/>
      <c r="V3473" s="75" t="s">
        <v>29</v>
      </c>
      <c r="W3473" s="104" t="str">
        <f t="shared" si="2828"/>
        <v>/</v>
      </c>
      <c r="X3473" s="111" t="s">
        <v>2047</v>
      </c>
      <c r="Y3473" s="106"/>
      <c r="Z3473" s="26" t="str">
        <f t="shared" si="5"/>
        <v/>
      </c>
      <c r="AA3473" s="26" t="str">
        <f t="shared" si="6"/>
        <v/>
      </c>
      <c r="AB3473" s="32" t="str">
        <f t="shared" si="7"/>
        <v/>
      </c>
      <c r="AC3473" s="32" t="str">
        <f t="shared" ref="AC3473:AG3473" si="3572">IF(J3473&lt;&gt;"", IF(AND($P3473=FALSE, $A3473=FALSE), -J3473, IF(AND($P3473=FALSE, $A3473=TRUE), 0, IF($P3473=TRUE, (J3473 / $R3473) * 100 * ($S3473 / 100)-J3473, ))), )</f>
        <v/>
      </c>
      <c r="AD3473" s="32" t="str">
        <f t="shared" si="3572"/>
        <v/>
      </c>
      <c r="AE3473" s="32" t="str">
        <f t="shared" si="3572"/>
        <v/>
      </c>
      <c r="AF3473" s="32" t="str">
        <f t="shared" si="3572"/>
        <v/>
      </c>
      <c r="AG3473" s="32" t="str">
        <f t="shared" si="3572"/>
        <v/>
      </c>
      <c r="AH3473" s="33"/>
    </row>
    <row r="3474" hidden="1" outlineLevel="1" collapsed="1">
      <c r="A3474" s="95" t="b">
        <v>0</v>
      </c>
      <c r="B3474" s="96"/>
      <c r="C3474" s="18"/>
      <c r="D3474" s="42">
        <v>45914.0</v>
      </c>
      <c r="E3474" s="20" t="s">
        <v>24</v>
      </c>
      <c r="F3474" s="53" t="s">
        <v>2038</v>
      </c>
      <c r="G3474" s="97">
        <v>2.0</v>
      </c>
      <c r="H3474" s="97"/>
      <c r="I3474" s="97">
        <v>2.0</v>
      </c>
      <c r="J3474" s="98"/>
      <c r="K3474" s="99"/>
      <c r="L3474" s="98"/>
      <c r="M3474" s="99"/>
      <c r="N3474" s="99"/>
      <c r="O3474" s="18"/>
      <c r="P3474" s="100" t="b">
        <v>1</v>
      </c>
      <c r="Q3474" s="18"/>
      <c r="R3474" s="101">
        <f t="shared" si="3377"/>
        <v>4</v>
      </c>
      <c r="S3474" s="32">
        <v>14.12</v>
      </c>
      <c r="T3474" s="102" t="str">
        <f t="shared" si="3378"/>
        <v>+253</v>
      </c>
      <c r="U3474" s="18"/>
      <c r="V3474" s="103" t="str">
        <f>IF(ISBLANK($D3474), "0",)</f>
        <v/>
      </c>
      <c r="W3474" s="104" t="str">
        <f t="shared" si="2828"/>
        <v/>
      </c>
      <c r="X3474" s="105"/>
      <c r="Y3474" s="106"/>
      <c r="Z3474" s="26">
        <f t="shared" si="5"/>
        <v>5.06</v>
      </c>
      <c r="AA3474" s="26">
        <f t="shared" si="6"/>
        <v>5.06</v>
      </c>
      <c r="AB3474" s="32" t="str">
        <f t="shared" si="7"/>
        <v/>
      </c>
      <c r="AC3474" s="32" t="str">
        <f t="shared" ref="AC3474:AG3474" si="3573">IF(J3474&lt;&gt;"", IF(AND($P3474=FALSE, $A3474=FALSE), -J3474, IF(AND($P3474=FALSE, $A3474=TRUE), 0, IF($P3474=TRUE, (J3474 / $R3474) * 100 * ($S3474 / 100)-J3474, ))), )</f>
        <v/>
      </c>
      <c r="AD3474" s="32" t="str">
        <f t="shared" si="3573"/>
        <v/>
      </c>
      <c r="AE3474" s="32" t="str">
        <f t="shared" si="3573"/>
        <v/>
      </c>
      <c r="AF3474" s="32" t="str">
        <f t="shared" si="3573"/>
        <v/>
      </c>
      <c r="AG3474" s="32" t="str">
        <f t="shared" si="3573"/>
        <v/>
      </c>
      <c r="AH3474" s="33"/>
    </row>
    <row r="3475" hidden="1" outlineLevel="2">
      <c r="A3475" s="95" t="b">
        <v>0</v>
      </c>
      <c r="B3475" s="96"/>
      <c r="C3475" s="18"/>
      <c r="D3475" s="107"/>
      <c r="E3475" s="108"/>
      <c r="F3475" s="109"/>
      <c r="G3475" s="97"/>
      <c r="H3475" s="97"/>
      <c r="I3475" s="97"/>
      <c r="J3475" s="98"/>
      <c r="K3475" s="99"/>
      <c r="L3475" s="98"/>
      <c r="M3475" s="99"/>
      <c r="N3475" s="99"/>
      <c r="O3475" s="18"/>
      <c r="P3475" s="100" t="b">
        <v>0</v>
      </c>
      <c r="Q3475" s="18"/>
      <c r="R3475" s="101" t="str">
        <f t="shared" si="3377"/>
        <v/>
      </c>
      <c r="S3475" s="32"/>
      <c r="T3475" s="102" t="str">
        <f t="shared" si="3378"/>
        <v/>
      </c>
      <c r="U3475" s="18"/>
      <c r="V3475" s="75" t="s">
        <v>29</v>
      </c>
      <c r="W3475" s="104" t="str">
        <f t="shared" si="2828"/>
        <v>/</v>
      </c>
      <c r="X3475" s="111" t="s">
        <v>2048</v>
      </c>
      <c r="Y3475" s="106"/>
      <c r="Z3475" s="26" t="str">
        <f t="shared" si="5"/>
        <v/>
      </c>
      <c r="AA3475" s="26" t="str">
        <f t="shared" si="6"/>
        <v/>
      </c>
      <c r="AB3475" s="32" t="str">
        <f t="shared" si="7"/>
        <v/>
      </c>
      <c r="AC3475" s="32" t="str">
        <f t="shared" ref="AC3475:AG3475" si="3574">IF(J3475&lt;&gt;"", IF(AND($P3475=FALSE, $A3475=FALSE), -J3475, IF(AND($P3475=FALSE, $A3475=TRUE), 0, IF($P3475=TRUE, (J3475 / $R3475) * 100 * ($S3475 / 100)-J3475, ))), )</f>
        <v/>
      </c>
      <c r="AD3475" s="32" t="str">
        <f t="shared" si="3574"/>
        <v/>
      </c>
      <c r="AE3475" s="32" t="str">
        <f t="shared" si="3574"/>
        <v/>
      </c>
      <c r="AF3475" s="32" t="str">
        <f t="shared" si="3574"/>
        <v/>
      </c>
      <c r="AG3475" s="32" t="str">
        <f t="shared" si="3574"/>
        <v/>
      </c>
      <c r="AH3475" s="33"/>
    </row>
    <row r="3476" hidden="1" outlineLevel="2">
      <c r="A3476" s="95" t="b">
        <v>0</v>
      </c>
      <c r="B3476" s="96"/>
      <c r="C3476" s="18"/>
      <c r="D3476" s="107"/>
      <c r="E3476" s="108"/>
      <c r="F3476" s="109"/>
      <c r="G3476" s="97"/>
      <c r="H3476" s="97"/>
      <c r="I3476" s="97"/>
      <c r="J3476" s="98"/>
      <c r="K3476" s="99"/>
      <c r="L3476" s="98"/>
      <c r="M3476" s="99"/>
      <c r="N3476" s="99"/>
      <c r="O3476" s="18"/>
      <c r="P3476" s="100" t="b">
        <v>0</v>
      </c>
      <c r="Q3476" s="18"/>
      <c r="R3476" s="101" t="str">
        <f t="shared" si="3377"/>
        <v/>
      </c>
      <c r="S3476" s="32">
        <v>29.25</v>
      </c>
      <c r="T3476" s="102" t="str">
        <f t="shared" si="3378"/>
        <v/>
      </c>
      <c r="U3476" s="18"/>
      <c r="V3476" s="75" t="s">
        <v>29</v>
      </c>
      <c r="W3476" s="104" t="str">
        <f t="shared" si="2828"/>
        <v>/</v>
      </c>
      <c r="X3476" s="111" t="s">
        <v>2049</v>
      </c>
      <c r="Y3476" s="106"/>
      <c r="Z3476" s="26" t="str">
        <f t="shared" si="5"/>
        <v/>
      </c>
      <c r="AA3476" s="26" t="str">
        <f t="shared" si="6"/>
        <v/>
      </c>
      <c r="AB3476" s="32" t="str">
        <f t="shared" si="7"/>
        <v/>
      </c>
      <c r="AC3476" s="32" t="str">
        <f t="shared" ref="AC3476:AG3476" si="3575">IF(J3476&lt;&gt;"", IF(AND($P3476=FALSE, $A3476=FALSE), -J3476, IF(AND($P3476=FALSE, $A3476=TRUE), 0, IF($P3476=TRUE, (J3476 / $R3476) * 100 * ($S3476 / 100)-J3476, ))), )</f>
        <v/>
      </c>
      <c r="AD3476" s="32" t="str">
        <f t="shared" si="3575"/>
        <v/>
      </c>
      <c r="AE3476" s="32" t="str">
        <f t="shared" si="3575"/>
        <v/>
      </c>
      <c r="AF3476" s="32" t="str">
        <f t="shared" si="3575"/>
        <v/>
      </c>
      <c r="AG3476" s="32" t="str">
        <f t="shared" si="3575"/>
        <v/>
      </c>
      <c r="AH3476" s="33"/>
    </row>
    <row r="3477" hidden="1" outlineLevel="1" collapsed="1">
      <c r="A3477" s="95" t="b">
        <v>0</v>
      </c>
      <c r="B3477" s="96"/>
      <c r="C3477" s="18"/>
      <c r="D3477" s="42">
        <v>45914.0</v>
      </c>
      <c r="E3477" s="20" t="s">
        <v>24</v>
      </c>
      <c r="F3477" s="53" t="s">
        <v>2038</v>
      </c>
      <c r="G3477" s="97">
        <v>1.0</v>
      </c>
      <c r="H3477" s="97"/>
      <c r="I3477" s="97">
        <v>1.5</v>
      </c>
      <c r="J3477" s="98"/>
      <c r="K3477" s="99"/>
      <c r="L3477" s="98"/>
      <c r="M3477" s="99"/>
      <c r="N3477" s="99"/>
      <c r="O3477" s="18"/>
      <c r="P3477" s="100" t="b">
        <v>0</v>
      </c>
      <c r="Q3477" s="18"/>
      <c r="R3477" s="101">
        <f t="shared" si="3377"/>
        <v>2.5</v>
      </c>
      <c r="S3477" s="32"/>
      <c r="T3477" s="102">
        <f t="shared" si="3378"/>
        <v>100</v>
      </c>
      <c r="U3477" s="18"/>
      <c r="V3477" s="103" t="str">
        <f>IF(ISBLANK($D3477), "0",)</f>
        <v/>
      </c>
      <c r="W3477" s="104" t="str">
        <f t="shared" si="2828"/>
        <v/>
      </c>
      <c r="X3477" s="105"/>
      <c r="Y3477" s="106"/>
      <c r="Z3477" s="26">
        <f t="shared" si="5"/>
        <v>-1</v>
      </c>
      <c r="AA3477" s="26">
        <f t="shared" si="6"/>
        <v>-1.5</v>
      </c>
      <c r="AB3477" s="32" t="str">
        <f t="shared" si="7"/>
        <v/>
      </c>
      <c r="AC3477" s="32" t="str">
        <f t="shared" ref="AC3477:AG3477" si="3576">IF(J3477&lt;&gt;"", IF(AND($P3477=FALSE, $A3477=FALSE), -J3477, IF(AND($P3477=FALSE, $A3477=TRUE), 0, IF($P3477=TRUE, (J3477 / $R3477) * 100 * ($S3477 / 100)-J3477, ))), )</f>
        <v/>
      </c>
      <c r="AD3477" s="32" t="str">
        <f t="shared" si="3576"/>
        <v/>
      </c>
      <c r="AE3477" s="32" t="str">
        <f t="shared" si="3576"/>
        <v/>
      </c>
      <c r="AF3477" s="32" t="str">
        <f t="shared" si="3576"/>
        <v/>
      </c>
      <c r="AG3477" s="32" t="str">
        <f t="shared" si="3576"/>
        <v/>
      </c>
      <c r="AH3477" s="33"/>
    </row>
    <row r="3478" hidden="1" outlineLevel="2">
      <c r="A3478" s="95" t="b">
        <v>0</v>
      </c>
      <c r="B3478" s="96"/>
      <c r="C3478" s="18"/>
      <c r="D3478" s="107"/>
      <c r="E3478" s="108"/>
      <c r="F3478" s="109"/>
      <c r="G3478" s="97"/>
      <c r="H3478" s="97"/>
      <c r="I3478" s="97"/>
      <c r="J3478" s="98"/>
      <c r="K3478" s="99"/>
      <c r="L3478" s="98"/>
      <c r="M3478" s="99"/>
      <c r="N3478" s="99"/>
      <c r="O3478" s="18"/>
      <c r="P3478" s="100" t="b">
        <v>0</v>
      </c>
      <c r="Q3478" s="18"/>
      <c r="R3478" s="101" t="str">
        <f t="shared" si="3377"/>
        <v/>
      </c>
      <c r="S3478" s="32"/>
      <c r="T3478" s="102" t="str">
        <f t="shared" si="3378"/>
        <v/>
      </c>
      <c r="U3478" s="18"/>
      <c r="V3478" s="113">
        <v>3.0</v>
      </c>
      <c r="W3478" s="104" t="str">
        <f t="shared" si="2828"/>
        <v>/</v>
      </c>
      <c r="X3478" s="111" t="s">
        <v>2050</v>
      </c>
      <c r="Y3478" s="106"/>
      <c r="Z3478" s="26" t="str">
        <f t="shared" si="5"/>
        <v/>
      </c>
      <c r="AA3478" s="26" t="str">
        <f t="shared" si="6"/>
        <v/>
      </c>
      <c r="AB3478" s="32" t="str">
        <f t="shared" si="7"/>
        <v/>
      </c>
      <c r="AC3478" s="32" t="str">
        <f t="shared" ref="AC3478:AG3478" si="3577">IF(J3478&lt;&gt;"", IF(AND($P3478=FALSE, $A3478=FALSE), -J3478, IF(AND($P3478=FALSE, $A3478=TRUE), 0, IF($P3478=TRUE, (J3478 / $R3478) * 100 * ($S3478 / 100)-J3478, ))), )</f>
        <v/>
      </c>
      <c r="AD3478" s="32" t="str">
        <f t="shared" si="3577"/>
        <v/>
      </c>
      <c r="AE3478" s="32" t="str">
        <f t="shared" si="3577"/>
        <v/>
      </c>
      <c r="AF3478" s="32" t="str">
        <f t="shared" si="3577"/>
        <v/>
      </c>
      <c r="AG3478" s="32" t="str">
        <f t="shared" si="3577"/>
        <v/>
      </c>
      <c r="AH3478" s="33"/>
    </row>
    <row r="3479" hidden="1" outlineLevel="2">
      <c r="A3479" s="95" t="b">
        <v>0</v>
      </c>
      <c r="B3479" s="96"/>
      <c r="C3479" s="18"/>
      <c r="D3479" s="107"/>
      <c r="E3479" s="108"/>
      <c r="F3479" s="109"/>
      <c r="G3479" s="97"/>
      <c r="H3479" s="97"/>
      <c r="I3479" s="97"/>
      <c r="J3479" s="98"/>
      <c r="K3479" s="99"/>
      <c r="L3479" s="98"/>
      <c r="M3479" s="99"/>
      <c r="N3479" s="99"/>
      <c r="O3479" s="18"/>
      <c r="P3479" s="100" t="b">
        <v>0</v>
      </c>
      <c r="Q3479" s="18"/>
      <c r="R3479" s="101" t="str">
        <f t="shared" si="3377"/>
        <v/>
      </c>
      <c r="S3479" s="32"/>
      <c r="T3479" s="102" t="str">
        <f t="shared" si="3378"/>
        <v/>
      </c>
      <c r="U3479" s="18"/>
      <c r="V3479" s="75" t="s">
        <v>29</v>
      </c>
      <c r="W3479" s="104" t="str">
        <f t="shared" si="2828"/>
        <v>/</v>
      </c>
      <c r="X3479" s="111" t="s">
        <v>2051</v>
      </c>
      <c r="Y3479" s="106"/>
      <c r="Z3479" s="26" t="str">
        <f t="shared" si="5"/>
        <v/>
      </c>
      <c r="AA3479" s="26" t="str">
        <f t="shared" si="6"/>
        <v/>
      </c>
      <c r="AB3479" s="32" t="str">
        <f t="shared" si="7"/>
        <v/>
      </c>
      <c r="AC3479" s="32" t="str">
        <f t="shared" ref="AC3479:AG3479" si="3578">IF(J3479&lt;&gt;"", IF(AND($P3479=FALSE, $A3479=FALSE), -J3479, IF(AND($P3479=FALSE, $A3479=TRUE), 0, IF($P3479=TRUE, (J3479 / $R3479) * 100 * ($S3479 / 100)-J3479, ))), )</f>
        <v/>
      </c>
      <c r="AD3479" s="32" t="str">
        <f t="shared" si="3578"/>
        <v/>
      </c>
      <c r="AE3479" s="32" t="str">
        <f t="shared" si="3578"/>
        <v/>
      </c>
      <c r="AF3479" s="32" t="str">
        <f t="shared" si="3578"/>
        <v/>
      </c>
      <c r="AG3479" s="32" t="str">
        <f t="shared" si="3578"/>
        <v/>
      </c>
      <c r="AH3479" s="33"/>
    </row>
    <row r="3480" hidden="1" outlineLevel="2">
      <c r="A3480" s="95" t="b">
        <v>0</v>
      </c>
      <c r="B3480" s="96"/>
      <c r="C3480" s="18"/>
      <c r="D3480" s="107"/>
      <c r="E3480" s="108"/>
      <c r="F3480" s="109"/>
      <c r="G3480" s="97"/>
      <c r="H3480" s="97"/>
      <c r="I3480" s="97"/>
      <c r="J3480" s="98"/>
      <c r="K3480" s="99"/>
      <c r="L3480" s="98"/>
      <c r="M3480" s="99"/>
      <c r="N3480" s="99"/>
      <c r="O3480" s="18"/>
      <c r="P3480" s="100" t="b">
        <v>0</v>
      </c>
      <c r="Q3480" s="18"/>
      <c r="R3480" s="101" t="str">
        <f t="shared" si="3377"/>
        <v/>
      </c>
      <c r="S3480" s="32"/>
      <c r="T3480" s="102" t="str">
        <f t="shared" si="3378"/>
        <v/>
      </c>
      <c r="U3480" s="18"/>
      <c r="V3480" s="113">
        <v>66.0</v>
      </c>
      <c r="W3480" s="104" t="str">
        <f t="shared" si="2828"/>
        <v>/</v>
      </c>
      <c r="X3480" s="111" t="s">
        <v>2052</v>
      </c>
      <c r="Y3480" s="106"/>
      <c r="Z3480" s="26" t="str">
        <f t="shared" si="5"/>
        <v/>
      </c>
      <c r="AA3480" s="26" t="str">
        <f t="shared" si="6"/>
        <v/>
      </c>
      <c r="AB3480" s="32" t="str">
        <f t="shared" si="7"/>
        <v/>
      </c>
      <c r="AC3480" s="32" t="str">
        <f t="shared" ref="AC3480:AG3480" si="3579">IF(J3480&lt;&gt;"", IF(AND($P3480=FALSE, $A3480=FALSE), -J3480, IF(AND($P3480=FALSE, $A3480=TRUE), 0, IF($P3480=TRUE, (J3480 / $R3480) * 100 * ($S3480 / 100)-J3480, ))), )</f>
        <v/>
      </c>
      <c r="AD3480" s="32" t="str">
        <f t="shared" si="3579"/>
        <v/>
      </c>
      <c r="AE3480" s="32" t="str">
        <f t="shared" si="3579"/>
        <v/>
      </c>
      <c r="AF3480" s="32" t="str">
        <f t="shared" si="3579"/>
        <v/>
      </c>
      <c r="AG3480" s="32" t="str">
        <f t="shared" si="3579"/>
        <v/>
      </c>
      <c r="AH3480" s="33"/>
    </row>
    <row r="3481" hidden="1" outlineLevel="2">
      <c r="A3481" s="95" t="b">
        <v>0</v>
      </c>
      <c r="B3481" s="96"/>
      <c r="C3481" s="18"/>
      <c r="D3481" s="107"/>
      <c r="E3481" s="108"/>
      <c r="F3481" s="109"/>
      <c r="G3481" s="97"/>
      <c r="H3481" s="97"/>
      <c r="I3481" s="97"/>
      <c r="J3481" s="98"/>
      <c r="K3481" s="99"/>
      <c r="L3481" s="98"/>
      <c r="M3481" s="99"/>
      <c r="N3481" s="99"/>
      <c r="O3481" s="18"/>
      <c r="P3481" s="100" t="b">
        <v>0</v>
      </c>
      <c r="Q3481" s="18"/>
      <c r="R3481" s="101" t="str">
        <f t="shared" si="3377"/>
        <v/>
      </c>
      <c r="S3481" s="32"/>
      <c r="T3481" s="102" t="str">
        <f t="shared" si="3378"/>
        <v/>
      </c>
      <c r="U3481" s="18"/>
      <c r="V3481" s="113">
        <v>26.0</v>
      </c>
      <c r="W3481" s="104" t="str">
        <f t="shared" si="2828"/>
        <v>/</v>
      </c>
      <c r="X3481" s="111" t="s">
        <v>2053</v>
      </c>
      <c r="Y3481" s="106"/>
      <c r="Z3481" s="26" t="str">
        <f t="shared" si="5"/>
        <v/>
      </c>
      <c r="AA3481" s="26" t="str">
        <f t="shared" si="6"/>
        <v/>
      </c>
      <c r="AB3481" s="32" t="str">
        <f t="shared" si="7"/>
        <v/>
      </c>
      <c r="AC3481" s="32" t="str">
        <f t="shared" ref="AC3481:AG3481" si="3580">IF(J3481&lt;&gt;"", IF(AND($P3481=FALSE, $A3481=FALSE), -J3481, IF(AND($P3481=FALSE, $A3481=TRUE), 0, IF($P3481=TRUE, (J3481 / $R3481) * 100 * ($S3481 / 100)-J3481, ))), )</f>
        <v/>
      </c>
      <c r="AD3481" s="32" t="str">
        <f t="shared" si="3580"/>
        <v/>
      </c>
      <c r="AE3481" s="32" t="str">
        <f t="shared" si="3580"/>
        <v/>
      </c>
      <c r="AF3481" s="32" t="str">
        <f t="shared" si="3580"/>
        <v/>
      </c>
      <c r="AG3481" s="32" t="str">
        <f t="shared" si="3580"/>
        <v/>
      </c>
      <c r="AH3481" s="33"/>
    </row>
    <row r="3482" hidden="1" outlineLevel="1" collapsed="1">
      <c r="A3482" s="95" t="b">
        <v>0</v>
      </c>
      <c r="B3482" s="96"/>
      <c r="C3482" s="18"/>
      <c r="D3482" s="42">
        <v>45914.0</v>
      </c>
      <c r="E3482" s="20" t="s">
        <v>24</v>
      </c>
      <c r="F3482" s="53" t="s">
        <v>2038</v>
      </c>
      <c r="G3482" s="97">
        <v>2.0</v>
      </c>
      <c r="H3482" s="97"/>
      <c r="I3482" s="97">
        <v>3.0</v>
      </c>
      <c r="J3482" s="98"/>
      <c r="K3482" s="99"/>
      <c r="L3482" s="98"/>
      <c r="M3482" s="99"/>
      <c r="N3482" s="99"/>
      <c r="O3482" s="18"/>
      <c r="P3482" s="100" t="b">
        <v>0</v>
      </c>
      <c r="Q3482" s="18"/>
      <c r="R3482" s="101">
        <f t="shared" si="3377"/>
        <v>5</v>
      </c>
      <c r="S3482" s="32">
        <v>8.7</v>
      </c>
      <c r="T3482" s="102">
        <f t="shared" si="3378"/>
        <v>-135</v>
      </c>
      <c r="U3482" s="18"/>
      <c r="V3482" s="103" t="str">
        <f t="shared" ref="V3482:V3486" si="3582">IF(ISBLANK($D3482), "0",)</f>
        <v/>
      </c>
      <c r="W3482" s="104" t="str">
        <f t="shared" si="2828"/>
        <v/>
      </c>
      <c r="X3482" s="105"/>
      <c r="Y3482" s="106"/>
      <c r="Z3482" s="26">
        <f t="shared" si="5"/>
        <v>-2</v>
      </c>
      <c r="AA3482" s="26">
        <f t="shared" si="6"/>
        <v>-3</v>
      </c>
      <c r="AB3482" s="32" t="str">
        <f t="shared" si="7"/>
        <v/>
      </c>
      <c r="AC3482" s="32" t="str">
        <f t="shared" ref="AC3482:AG3482" si="3581">IF(J3482&lt;&gt;"", IF(AND($P3482=FALSE, $A3482=FALSE), -J3482, IF(AND($P3482=FALSE, $A3482=TRUE), 0, IF($P3482=TRUE, (J3482 / $R3482) * 100 * ($S3482 / 100)-J3482, ))), )</f>
        <v/>
      </c>
      <c r="AD3482" s="32" t="str">
        <f t="shared" si="3581"/>
        <v/>
      </c>
      <c r="AE3482" s="32" t="str">
        <f t="shared" si="3581"/>
        <v/>
      </c>
      <c r="AF3482" s="32" t="str">
        <f t="shared" si="3581"/>
        <v/>
      </c>
      <c r="AG3482" s="32" t="str">
        <f t="shared" si="3581"/>
        <v/>
      </c>
      <c r="AH3482" s="33"/>
    </row>
    <row r="3483" hidden="1" outlineLevel="2">
      <c r="A3483" s="95" t="b">
        <v>0</v>
      </c>
      <c r="B3483" s="96"/>
      <c r="C3483" s="18"/>
      <c r="D3483" s="107"/>
      <c r="E3483" s="108"/>
      <c r="F3483" s="109"/>
      <c r="G3483" s="97"/>
      <c r="H3483" s="97"/>
      <c r="I3483" s="97"/>
      <c r="J3483" s="98"/>
      <c r="K3483" s="99"/>
      <c r="L3483" s="98"/>
      <c r="M3483" s="99"/>
      <c r="N3483" s="99"/>
      <c r="O3483" s="18"/>
      <c r="P3483" s="100" t="b">
        <v>0</v>
      </c>
      <c r="Q3483" s="18"/>
      <c r="R3483" s="101" t="str">
        <f t="shared" si="3377"/>
        <v/>
      </c>
      <c r="S3483" s="32"/>
      <c r="T3483" s="102" t="str">
        <f t="shared" si="3378"/>
        <v/>
      </c>
      <c r="U3483" s="18"/>
      <c r="V3483" s="103" t="str">
        <f t="shared" si="3582"/>
        <v>0</v>
      </c>
      <c r="W3483" s="104" t="str">
        <f t="shared" si="2828"/>
        <v>/</v>
      </c>
      <c r="X3483" s="111" t="s">
        <v>2054</v>
      </c>
      <c r="Y3483" s="106"/>
      <c r="Z3483" s="26" t="str">
        <f t="shared" si="5"/>
        <v/>
      </c>
      <c r="AA3483" s="26" t="str">
        <f t="shared" si="6"/>
        <v/>
      </c>
      <c r="AB3483" s="32" t="str">
        <f t="shared" si="7"/>
        <v/>
      </c>
      <c r="AC3483" s="32" t="str">
        <f t="shared" ref="AC3483:AG3483" si="3583">IF(J3483&lt;&gt;"", IF(AND($P3483=FALSE, $A3483=FALSE), -J3483, IF(AND($P3483=FALSE, $A3483=TRUE), 0, IF($P3483=TRUE, (J3483 / $R3483) * 100 * ($S3483 / 100)-J3483, ))), )</f>
        <v/>
      </c>
      <c r="AD3483" s="32" t="str">
        <f t="shared" si="3583"/>
        <v/>
      </c>
      <c r="AE3483" s="32" t="str">
        <f t="shared" si="3583"/>
        <v/>
      </c>
      <c r="AF3483" s="32" t="str">
        <f t="shared" si="3583"/>
        <v/>
      </c>
      <c r="AG3483" s="32" t="str">
        <f t="shared" si="3583"/>
        <v/>
      </c>
      <c r="AH3483" s="33"/>
    </row>
    <row r="3484" hidden="1" outlineLevel="1" collapsed="1">
      <c r="A3484" s="95" t="b">
        <v>0</v>
      </c>
      <c r="B3484" s="96"/>
      <c r="C3484" s="18"/>
      <c r="D3484" s="42">
        <v>45914.0</v>
      </c>
      <c r="E3484" s="20" t="s">
        <v>24</v>
      </c>
      <c r="F3484" s="53" t="s">
        <v>2038</v>
      </c>
      <c r="G3484" s="97">
        <v>2.0</v>
      </c>
      <c r="H3484" s="97"/>
      <c r="I3484" s="97">
        <v>3.0</v>
      </c>
      <c r="J3484" s="98"/>
      <c r="K3484" s="99"/>
      <c r="L3484" s="98"/>
      <c r="M3484" s="99"/>
      <c r="N3484" s="99"/>
      <c r="O3484" s="18"/>
      <c r="P3484" s="100" t="b">
        <v>0</v>
      </c>
      <c r="Q3484" s="18"/>
      <c r="R3484" s="101">
        <f t="shared" si="3377"/>
        <v>5</v>
      </c>
      <c r="S3484" s="32">
        <v>9.46</v>
      </c>
      <c r="T3484" s="102">
        <f t="shared" si="3378"/>
        <v>-112</v>
      </c>
      <c r="U3484" s="18"/>
      <c r="V3484" s="103" t="str">
        <f t="shared" si="3582"/>
        <v/>
      </c>
      <c r="W3484" s="104" t="str">
        <f t="shared" si="2828"/>
        <v/>
      </c>
      <c r="X3484" s="105"/>
      <c r="Y3484" s="106"/>
      <c r="Z3484" s="26">
        <f t="shared" si="5"/>
        <v>-2</v>
      </c>
      <c r="AA3484" s="26">
        <f t="shared" si="6"/>
        <v>-3</v>
      </c>
      <c r="AB3484" s="32" t="str">
        <f t="shared" si="7"/>
        <v/>
      </c>
      <c r="AC3484" s="32" t="str">
        <f t="shared" ref="AC3484:AG3484" si="3584">IF(J3484&lt;&gt;"", IF(AND($P3484=FALSE, $A3484=FALSE), -J3484, IF(AND($P3484=FALSE, $A3484=TRUE), 0, IF($P3484=TRUE, (J3484 / $R3484) * 100 * ($S3484 / 100)-J3484, ))), )</f>
        <v/>
      </c>
      <c r="AD3484" s="32" t="str">
        <f t="shared" si="3584"/>
        <v/>
      </c>
      <c r="AE3484" s="32" t="str">
        <f t="shared" si="3584"/>
        <v/>
      </c>
      <c r="AF3484" s="32" t="str">
        <f t="shared" si="3584"/>
        <v/>
      </c>
      <c r="AG3484" s="32" t="str">
        <f t="shared" si="3584"/>
        <v/>
      </c>
      <c r="AH3484" s="33"/>
    </row>
    <row r="3485" hidden="1" outlineLevel="2">
      <c r="A3485" s="95" t="b">
        <v>0</v>
      </c>
      <c r="B3485" s="96"/>
      <c r="C3485" s="18"/>
      <c r="D3485" s="107"/>
      <c r="E3485" s="108"/>
      <c r="F3485" s="109"/>
      <c r="G3485" s="97"/>
      <c r="H3485" s="97"/>
      <c r="I3485" s="97"/>
      <c r="J3485" s="98"/>
      <c r="K3485" s="99"/>
      <c r="L3485" s="98"/>
      <c r="M3485" s="99"/>
      <c r="N3485" s="99"/>
      <c r="O3485" s="18"/>
      <c r="P3485" s="100" t="b">
        <v>0</v>
      </c>
      <c r="Q3485" s="18"/>
      <c r="R3485" s="101" t="str">
        <f t="shared" si="3377"/>
        <v/>
      </c>
      <c r="S3485" s="32"/>
      <c r="T3485" s="102" t="str">
        <f t="shared" si="3378"/>
        <v/>
      </c>
      <c r="U3485" s="18"/>
      <c r="V3485" s="103" t="str">
        <f t="shared" si="3582"/>
        <v>0</v>
      </c>
      <c r="W3485" s="104" t="str">
        <f t="shared" si="2828"/>
        <v>/</v>
      </c>
      <c r="X3485" s="111" t="s">
        <v>2055</v>
      </c>
      <c r="Y3485" s="106"/>
      <c r="Z3485" s="26" t="str">
        <f t="shared" si="5"/>
        <v/>
      </c>
      <c r="AA3485" s="26" t="str">
        <f t="shared" si="6"/>
        <v/>
      </c>
      <c r="AB3485" s="32" t="str">
        <f t="shared" si="7"/>
        <v/>
      </c>
      <c r="AC3485" s="32" t="str">
        <f t="shared" ref="AC3485:AG3485" si="3585">IF(J3485&lt;&gt;"", IF(AND($P3485=FALSE, $A3485=FALSE), -J3485, IF(AND($P3485=FALSE, $A3485=TRUE), 0, IF($P3485=TRUE, (J3485 / $R3485) * 100 * ($S3485 / 100)-J3485, ))), )</f>
        <v/>
      </c>
      <c r="AD3485" s="32" t="str">
        <f t="shared" si="3585"/>
        <v/>
      </c>
      <c r="AE3485" s="32" t="str">
        <f t="shared" si="3585"/>
        <v/>
      </c>
      <c r="AF3485" s="32" t="str">
        <f t="shared" si="3585"/>
        <v/>
      </c>
      <c r="AG3485" s="32" t="str">
        <f t="shared" si="3585"/>
        <v/>
      </c>
      <c r="AH3485" s="33"/>
    </row>
    <row r="3486" hidden="1" outlineLevel="1">
      <c r="A3486" s="95" t="b">
        <v>0</v>
      </c>
      <c r="B3486" s="96"/>
      <c r="C3486" s="18"/>
      <c r="D3486" s="42">
        <v>45914.0</v>
      </c>
      <c r="E3486" s="20" t="s">
        <v>24</v>
      </c>
      <c r="F3486" s="53" t="s">
        <v>2038</v>
      </c>
      <c r="G3486" s="97">
        <v>3.0</v>
      </c>
      <c r="H3486" s="97"/>
      <c r="I3486" s="97"/>
      <c r="J3486" s="98"/>
      <c r="K3486" s="99"/>
      <c r="L3486" s="98"/>
      <c r="M3486" s="99"/>
      <c r="N3486" s="99"/>
      <c r="O3486" s="18"/>
      <c r="P3486" s="100" t="b">
        <v>0</v>
      </c>
      <c r="Q3486" s="18"/>
      <c r="R3486" s="101">
        <f t="shared" si="3377"/>
        <v>3</v>
      </c>
      <c r="S3486" s="32"/>
      <c r="T3486" s="102">
        <f t="shared" si="3378"/>
        <v>100</v>
      </c>
      <c r="U3486" s="18"/>
      <c r="V3486" s="103" t="str">
        <f t="shared" si="3582"/>
        <v/>
      </c>
      <c r="W3486" s="104" t="str">
        <f t="shared" si="2828"/>
        <v/>
      </c>
      <c r="X3486" s="105"/>
      <c r="Y3486" s="106"/>
      <c r="Z3486" s="26">
        <f t="shared" si="5"/>
        <v>-3</v>
      </c>
      <c r="AA3486" s="26" t="str">
        <f t="shared" si="6"/>
        <v/>
      </c>
      <c r="AB3486" s="32" t="str">
        <f t="shared" si="7"/>
        <v/>
      </c>
      <c r="AC3486" s="32" t="str">
        <f t="shared" ref="AC3486:AG3486" si="3586">IF(J3486&lt;&gt;"", IF(AND($P3486=FALSE, $A3486=FALSE), -J3486, IF(AND($P3486=FALSE, $A3486=TRUE), 0, IF($P3486=TRUE, (J3486 / $R3486) * 100 * ($S3486 / 100)-J3486, ))), )</f>
        <v/>
      </c>
      <c r="AD3486" s="32" t="str">
        <f t="shared" si="3586"/>
        <v/>
      </c>
      <c r="AE3486" s="32" t="str">
        <f t="shared" si="3586"/>
        <v/>
      </c>
      <c r="AF3486" s="32" t="str">
        <f t="shared" si="3586"/>
        <v/>
      </c>
      <c r="AG3486" s="32" t="str">
        <f t="shared" si="3586"/>
        <v/>
      </c>
      <c r="AH3486" s="33"/>
    </row>
    <row r="3487" hidden="1" outlineLevel="2">
      <c r="A3487" s="95" t="b">
        <v>0</v>
      </c>
      <c r="B3487" s="96"/>
      <c r="C3487" s="18"/>
      <c r="D3487" s="107"/>
      <c r="E3487" s="108"/>
      <c r="F3487" s="109"/>
      <c r="G3487" s="97"/>
      <c r="H3487" s="97"/>
      <c r="I3487" s="97"/>
      <c r="J3487" s="98"/>
      <c r="K3487" s="99"/>
      <c r="L3487" s="98"/>
      <c r="M3487" s="99"/>
      <c r="N3487" s="99"/>
      <c r="O3487" s="18"/>
      <c r="P3487" s="100" t="b">
        <v>0</v>
      </c>
      <c r="Q3487" s="18"/>
      <c r="R3487" s="101" t="str">
        <f t="shared" si="3377"/>
        <v/>
      </c>
      <c r="S3487" s="32"/>
      <c r="T3487" s="102" t="str">
        <f t="shared" si="3378"/>
        <v/>
      </c>
      <c r="U3487" s="18"/>
      <c r="V3487" s="113">
        <v>158.0</v>
      </c>
      <c r="W3487" s="104" t="str">
        <f t="shared" si="2828"/>
        <v>/</v>
      </c>
      <c r="X3487" s="111" t="s">
        <v>2056</v>
      </c>
      <c r="Y3487" s="106"/>
      <c r="Z3487" s="26" t="str">
        <f t="shared" si="5"/>
        <v/>
      </c>
      <c r="AA3487" s="26" t="str">
        <f t="shared" si="6"/>
        <v/>
      </c>
      <c r="AB3487" s="32" t="str">
        <f t="shared" si="7"/>
        <v/>
      </c>
      <c r="AC3487" s="32" t="str">
        <f t="shared" ref="AC3487:AG3487" si="3587">IF(J3487&lt;&gt;"", IF(AND($P3487=FALSE, $A3487=FALSE), -J3487, IF(AND($P3487=FALSE, $A3487=TRUE), 0, IF($P3487=TRUE, (J3487 / $R3487) * 100 * ($S3487 / 100)-J3487, ))), )</f>
        <v/>
      </c>
      <c r="AD3487" s="32" t="str">
        <f t="shared" si="3587"/>
        <v/>
      </c>
      <c r="AE3487" s="32" t="str">
        <f t="shared" si="3587"/>
        <v/>
      </c>
      <c r="AF3487" s="32" t="str">
        <f t="shared" si="3587"/>
        <v/>
      </c>
      <c r="AG3487" s="32" t="str">
        <f t="shared" si="3587"/>
        <v/>
      </c>
      <c r="AH3487" s="33"/>
    </row>
    <row r="3488" hidden="1" outlineLevel="2">
      <c r="A3488" s="95" t="b">
        <v>0</v>
      </c>
      <c r="B3488" s="96"/>
      <c r="C3488" s="18"/>
      <c r="D3488" s="107"/>
      <c r="E3488" s="108"/>
      <c r="F3488" s="109"/>
      <c r="G3488" s="97"/>
      <c r="H3488" s="97"/>
      <c r="I3488" s="97"/>
      <c r="J3488" s="98"/>
      <c r="K3488" s="99"/>
      <c r="L3488" s="98"/>
      <c r="M3488" s="99"/>
      <c r="N3488" s="99"/>
      <c r="O3488" s="18"/>
      <c r="P3488" s="100" t="b">
        <v>0</v>
      </c>
      <c r="Q3488" s="18"/>
      <c r="R3488" s="101" t="str">
        <f t="shared" si="3377"/>
        <v/>
      </c>
      <c r="S3488" s="32"/>
      <c r="T3488" s="102" t="str">
        <f t="shared" si="3378"/>
        <v/>
      </c>
      <c r="U3488" s="18"/>
      <c r="V3488" s="103" t="str">
        <f>IF(ISBLANK($D3488), "0",)</f>
        <v>0</v>
      </c>
      <c r="W3488" s="104" t="str">
        <f t="shared" si="2828"/>
        <v>/</v>
      </c>
      <c r="X3488" s="111" t="s">
        <v>2057</v>
      </c>
      <c r="Y3488" s="106"/>
      <c r="Z3488" s="26" t="str">
        <f t="shared" si="5"/>
        <v/>
      </c>
      <c r="AA3488" s="26" t="str">
        <f t="shared" si="6"/>
        <v/>
      </c>
      <c r="AB3488" s="32" t="str">
        <f t="shared" si="7"/>
        <v/>
      </c>
      <c r="AC3488" s="32" t="str">
        <f t="shared" ref="AC3488:AG3488" si="3588">IF(J3488&lt;&gt;"", IF(AND($P3488=FALSE, $A3488=FALSE), -J3488, IF(AND($P3488=FALSE, $A3488=TRUE), 0, IF($P3488=TRUE, (J3488 / $R3488) * 100 * ($S3488 / 100)-J3488, ))), )</f>
        <v/>
      </c>
      <c r="AD3488" s="32" t="str">
        <f t="shared" si="3588"/>
        <v/>
      </c>
      <c r="AE3488" s="32" t="str">
        <f t="shared" si="3588"/>
        <v/>
      </c>
      <c r="AF3488" s="32" t="str">
        <f t="shared" si="3588"/>
        <v/>
      </c>
      <c r="AG3488" s="32" t="str">
        <f t="shared" si="3588"/>
        <v/>
      </c>
      <c r="AH3488" s="33"/>
    </row>
    <row r="3489" hidden="1" outlineLevel="2">
      <c r="A3489" s="95" t="b">
        <v>0</v>
      </c>
      <c r="B3489" s="96"/>
      <c r="C3489" s="18"/>
      <c r="D3489" s="107"/>
      <c r="E3489" s="108"/>
      <c r="F3489" s="109"/>
      <c r="G3489" s="97"/>
      <c r="H3489" s="97"/>
      <c r="I3489" s="97"/>
      <c r="J3489" s="98"/>
      <c r="K3489" s="99"/>
      <c r="L3489" s="98"/>
      <c r="M3489" s="99"/>
      <c r="N3489" s="99"/>
      <c r="O3489" s="18"/>
      <c r="P3489" s="100" t="b">
        <v>0</v>
      </c>
      <c r="Q3489" s="18"/>
      <c r="R3489" s="101" t="str">
        <f t="shared" si="3377"/>
        <v/>
      </c>
      <c r="S3489" s="32"/>
      <c r="T3489" s="102" t="str">
        <f t="shared" si="3378"/>
        <v/>
      </c>
      <c r="U3489" s="18"/>
      <c r="V3489" s="75" t="s">
        <v>29</v>
      </c>
      <c r="W3489" s="104" t="str">
        <f t="shared" si="2828"/>
        <v>/</v>
      </c>
      <c r="X3489" s="111" t="s">
        <v>1845</v>
      </c>
      <c r="Y3489" s="106"/>
      <c r="Z3489" s="26" t="str">
        <f t="shared" si="5"/>
        <v/>
      </c>
      <c r="AA3489" s="26" t="str">
        <f t="shared" si="6"/>
        <v/>
      </c>
      <c r="AB3489" s="32" t="str">
        <f t="shared" si="7"/>
        <v/>
      </c>
      <c r="AC3489" s="32" t="str">
        <f t="shared" ref="AC3489:AG3489" si="3589">IF(J3489&lt;&gt;"", IF(AND($P3489=FALSE, $A3489=FALSE), -J3489, IF(AND($P3489=FALSE, $A3489=TRUE), 0, IF($P3489=TRUE, (J3489 / $R3489) * 100 * ($S3489 / 100)-J3489, ))), )</f>
        <v/>
      </c>
      <c r="AD3489" s="32" t="str">
        <f t="shared" si="3589"/>
        <v/>
      </c>
      <c r="AE3489" s="32" t="str">
        <f t="shared" si="3589"/>
        <v/>
      </c>
      <c r="AF3489" s="32" t="str">
        <f t="shared" si="3589"/>
        <v/>
      </c>
      <c r="AG3489" s="32" t="str">
        <f t="shared" si="3589"/>
        <v/>
      </c>
      <c r="AH3489" s="33"/>
    </row>
    <row r="3490" hidden="1" outlineLevel="2">
      <c r="A3490" s="95" t="b">
        <v>0</v>
      </c>
      <c r="B3490" s="96"/>
      <c r="C3490" s="18"/>
      <c r="D3490" s="107"/>
      <c r="E3490" s="108"/>
      <c r="F3490" s="109"/>
      <c r="G3490" s="97"/>
      <c r="H3490" s="97"/>
      <c r="I3490" s="97"/>
      <c r="J3490" s="98"/>
      <c r="K3490" s="99"/>
      <c r="L3490" s="98"/>
      <c r="M3490" s="99"/>
      <c r="N3490" s="99"/>
      <c r="O3490" s="18"/>
      <c r="P3490" s="100" t="b">
        <v>0</v>
      </c>
      <c r="Q3490" s="18"/>
      <c r="R3490" s="101" t="str">
        <f t="shared" si="3377"/>
        <v/>
      </c>
      <c r="S3490" s="32"/>
      <c r="T3490" s="102" t="str">
        <f t="shared" si="3378"/>
        <v/>
      </c>
      <c r="U3490" s="18"/>
      <c r="V3490" s="75" t="s">
        <v>29</v>
      </c>
      <c r="W3490" s="104" t="str">
        <f t="shared" si="2828"/>
        <v>/</v>
      </c>
      <c r="X3490" s="111" t="s">
        <v>1651</v>
      </c>
      <c r="Y3490" s="106"/>
      <c r="Z3490" s="26" t="str">
        <f t="shared" si="5"/>
        <v/>
      </c>
      <c r="AA3490" s="26" t="str">
        <f t="shared" si="6"/>
        <v/>
      </c>
      <c r="AB3490" s="32" t="str">
        <f t="shared" si="7"/>
        <v/>
      </c>
      <c r="AC3490" s="32" t="str">
        <f t="shared" ref="AC3490:AG3490" si="3590">IF(J3490&lt;&gt;"", IF(AND($P3490=FALSE, $A3490=FALSE), -J3490, IF(AND($P3490=FALSE, $A3490=TRUE), 0, IF($P3490=TRUE, (J3490 / $R3490) * 100 * ($S3490 / 100)-J3490, ))), )</f>
        <v/>
      </c>
      <c r="AD3490" s="32" t="str">
        <f t="shared" si="3590"/>
        <v/>
      </c>
      <c r="AE3490" s="32" t="str">
        <f t="shared" si="3590"/>
        <v/>
      </c>
      <c r="AF3490" s="32" t="str">
        <f t="shared" si="3590"/>
        <v/>
      </c>
      <c r="AG3490" s="32" t="str">
        <f t="shared" si="3590"/>
        <v/>
      </c>
      <c r="AH3490" s="33"/>
    </row>
    <row r="3491" collapsed="1">
      <c r="A3491" s="95" t="b">
        <v>0</v>
      </c>
      <c r="B3491" s="96"/>
      <c r="C3491" s="18"/>
      <c r="D3491" s="42">
        <v>45915.0</v>
      </c>
      <c r="E3491" s="20" t="s">
        <v>24</v>
      </c>
      <c r="F3491" s="53" t="s">
        <v>2038</v>
      </c>
      <c r="G3491" s="97">
        <v>3.0</v>
      </c>
      <c r="H3491" s="97"/>
      <c r="I3491" s="97">
        <v>3.0</v>
      </c>
      <c r="J3491" s="98"/>
      <c r="K3491" s="99"/>
      <c r="L3491" s="98"/>
      <c r="M3491" s="99"/>
      <c r="N3491" s="99"/>
      <c r="O3491" s="18"/>
      <c r="P3491" s="100" t="b">
        <v>1</v>
      </c>
      <c r="Q3491" s="18"/>
      <c r="R3491" s="101">
        <f t="shared" si="3377"/>
        <v>6</v>
      </c>
      <c r="S3491" s="32">
        <v>15.54</v>
      </c>
      <c r="T3491" s="102" t="str">
        <f t="shared" si="3378"/>
        <v>+159</v>
      </c>
      <c r="U3491" s="18"/>
      <c r="V3491" s="103" t="str">
        <f>IF(ISBLANK($D3491), "0",)</f>
        <v/>
      </c>
      <c r="W3491" s="104" t="str">
        <f t="shared" si="2828"/>
        <v/>
      </c>
      <c r="X3491" s="105"/>
      <c r="Y3491" s="106"/>
      <c r="Z3491" s="26">
        <f t="shared" si="5"/>
        <v>4.77</v>
      </c>
      <c r="AA3491" s="26">
        <f t="shared" si="6"/>
        <v>4.77</v>
      </c>
      <c r="AB3491" s="32" t="str">
        <f t="shared" si="7"/>
        <v/>
      </c>
      <c r="AC3491" s="32" t="str">
        <f t="shared" ref="AC3491:AG3491" si="3591">IF(J3491&lt;&gt;"", IF(AND($P3491=FALSE, $A3491=FALSE), -J3491, IF(AND($P3491=FALSE, $A3491=TRUE), 0, IF($P3491=TRUE, (J3491 / $R3491) * 100 * ($S3491 / 100)-J3491, ))), )</f>
        <v/>
      </c>
      <c r="AD3491" s="32" t="str">
        <f t="shared" si="3591"/>
        <v/>
      </c>
      <c r="AE3491" s="32" t="str">
        <f t="shared" si="3591"/>
        <v/>
      </c>
      <c r="AF3491" s="32" t="str">
        <f t="shared" si="3591"/>
        <v/>
      </c>
      <c r="AG3491" s="32" t="str">
        <f t="shared" si="3591"/>
        <v/>
      </c>
      <c r="AH3491" s="33"/>
    </row>
    <row r="3492" hidden="1" outlineLevel="2">
      <c r="A3492" s="95" t="b">
        <v>0</v>
      </c>
      <c r="B3492" s="96"/>
      <c r="C3492" s="18"/>
      <c r="D3492" s="107"/>
      <c r="E3492" s="108"/>
      <c r="F3492" s="109"/>
      <c r="G3492" s="97"/>
      <c r="H3492" s="97"/>
      <c r="I3492" s="97"/>
      <c r="J3492" s="98"/>
      <c r="K3492" s="99"/>
      <c r="L3492" s="98"/>
      <c r="M3492" s="99"/>
      <c r="N3492" s="99"/>
      <c r="O3492" s="18"/>
      <c r="P3492" s="100" t="b">
        <v>0</v>
      </c>
      <c r="Q3492" s="18"/>
      <c r="R3492" s="101" t="str">
        <f t="shared" si="3377"/>
        <v/>
      </c>
      <c r="S3492" s="32"/>
      <c r="T3492" s="102" t="str">
        <f t="shared" si="3378"/>
        <v/>
      </c>
      <c r="U3492" s="18"/>
      <c r="V3492" s="75" t="s">
        <v>29</v>
      </c>
      <c r="W3492" s="104" t="str">
        <f t="shared" si="2828"/>
        <v>/</v>
      </c>
      <c r="X3492" s="111" t="s">
        <v>1599</v>
      </c>
      <c r="Y3492" s="106"/>
      <c r="Z3492" s="26" t="str">
        <f t="shared" si="5"/>
        <v/>
      </c>
      <c r="AA3492" s="26" t="str">
        <f t="shared" si="6"/>
        <v/>
      </c>
      <c r="AB3492" s="32" t="str">
        <f t="shared" si="7"/>
        <v/>
      </c>
      <c r="AC3492" s="32" t="str">
        <f t="shared" ref="AC3492:AG3492" si="3592">IF(J3492&lt;&gt;"", IF(AND($P3492=FALSE, $A3492=FALSE), -J3492, IF(AND($P3492=FALSE, $A3492=TRUE), 0, IF($P3492=TRUE, (J3492 / $R3492) * 100 * ($S3492 / 100)-J3492, ))), )</f>
        <v/>
      </c>
      <c r="AD3492" s="32" t="str">
        <f t="shared" si="3592"/>
        <v/>
      </c>
      <c r="AE3492" s="32" t="str">
        <f t="shared" si="3592"/>
        <v/>
      </c>
      <c r="AF3492" s="32" t="str">
        <f t="shared" si="3592"/>
        <v/>
      </c>
      <c r="AG3492" s="32" t="str">
        <f t="shared" si="3592"/>
        <v/>
      </c>
      <c r="AH3492" s="33"/>
    </row>
    <row r="3493" hidden="1" outlineLevel="1">
      <c r="A3493" s="95" t="b">
        <v>0</v>
      </c>
      <c r="B3493" s="96"/>
      <c r="C3493" s="18"/>
      <c r="D3493" s="42">
        <v>45915.0</v>
      </c>
      <c r="E3493" s="20" t="s">
        <v>24</v>
      </c>
      <c r="F3493" s="53" t="s">
        <v>2038</v>
      </c>
      <c r="G3493" s="97">
        <v>2.0</v>
      </c>
      <c r="H3493" s="97"/>
      <c r="I3493" s="97">
        <v>3.0</v>
      </c>
      <c r="J3493" s="98"/>
      <c r="K3493" s="99"/>
      <c r="L3493" s="98"/>
      <c r="M3493" s="99"/>
      <c r="N3493" s="99"/>
      <c r="O3493" s="18"/>
      <c r="P3493" s="100" t="b">
        <v>1</v>
      </c>
      <c r="Q3493" s="18"/>
      <c r="R3493" s="101">
        <f t="shared" si="3377"/>
        <v>5</v>
      </c>
      <c r="S3493" s="32">
        <v>17.1</v>
      </c>
      <c r="T3493" s="102" t="str">
        <f t="shared" si="3378"/>
        <v>+242</v>
      </c>
      <c r="U3493" s="18"/>
      <c r="V3493" s="103" t="str">
        <f>IF(ISBLANK($D3493), "0",)</f>
        <v/>
      </c>
      <c r="W3493" s="104" t="str">
        <f t="shared" si="2828"/>
        <v/>
      </c>
      <c r="X3493" s="105"/>
      <c r="Y3493" s="106"/>
      <c r="Z3493" s="26">
        <f t="shared" si="5"/>
        <v>4.84</v>
      </c>
      <c r="AA3493" s="26">
        <f t="shared" si="6"/>
        <v>7.26</v>
      </c>
      <c r="AB3493" s="32" t="str">
        <f t="shared" si="7"/>
        <v/>
      </c>
      <c r="AC3493" s="32" t="str">
        <f t="shared" ref="AC3493:AG3493" si="3593">IF(J3493&lt;&gt;"", IF(AND($P3493=FALSE, $A3493=FALSE), -J3493, IF(AND($P3493=FALSE, $A3493=TRUE), 0, IF($P3493=TRUE, (J3493 / $R3493) * 100 * ($S3493 / 100)-J3493, ))), )</f>
        <v/>
      </c>
      <c r="AD3493" s="32" t="str">
        <f t="shared" si="3593"/>
        <v/>
      </c>
      <c r="AE3493" s="32" t="str">
        <f t="shared" si="3593"/>
        <v/>
      </c>
      <c r="AF3493" s="32" t="str">
        <f t="shared" si="3593"/>
        <v/>
      </c>
      <c r="AG3493" s="32" t="str">
        <f t="shared" si="3593"/>
        <v/>
      </c>
      <c r="AH3493" s="33"/>
    </row>
    <row r="3494" hidden="1" outlineLevel="2">
      <c r="A3494" s="95" t="b">
        <v>0</v>
      </c>
      <c r="B3494" s="96"/>
      <c r="C3494" s="18"/>
      <c r="D3494" s="107"/>
      <c r="E3494" s="108"/>
      <c r="F3494" s="109"/>
      <c r="G3494" s="97"/>
      <c r="H3494" s="97"/>
      <c r="I3494" s="97"/>
      <c r="J3494" s="98"/>
      <c r="K3494" s="99"/>
      <c r="L3494" s="98"/>
      <c r="M3494" s="99"/>
      <c r="N3494" s="99"/>
      <c r="O3494" s="18"/>
      <c r="P3494" s="100" t="b">
        <v>0</v>
      </c>
      <c r="Q3494" s="18"/>
      <c r="R3494" s="101" t="str">
        <f t="shared" si="3377"/>
        <v/>
      </c>
      <c r="S3494" s="32"/>
      <c r="T3494" s="102" t="str">
        <f t="shared" si="3378"/>
        <v/>
      </c>
      <c r="U3494" s="18"/>
      <c r="V3494" s="75" t="s">
        <v>29</v>
      </c>
      <c r="W3494" s="104" t="str">
        <f t="shared" si="2828"/>
        <v>/</v>
      </c>
      <c r="X3494" s="111" t="s">
        <v>2058</v>
      </c>
      <c r="Y3494" s="106"/>
      <c r="Z3494" s="26" t="str">
        <f t="shared" si="5"/>
        <v/>
      </c>
      <c r="AA3494" s="26" t="str">
        <f t="shared" si="6"/>
        <v/>
      </c>
      <c r="AB3494" s="32" t="str">
        <f t="shared" si="7"/>
        <v/>
      </c>
      <c r="AC3494" s="32" t="str">
        <f t="shared" ref="AC3494:AG3494" si="3594">IF(J3494&lt;&gt;"", IF(AND($P3494=FALSE, $A3494=FALSE), -J3494, IF(AND($P3494=FALSE, $A3494=TRUE), 0, IF($P3494=TRUE, (J3494 / $R3494) * 100 * ($S3494 / 100)-J3494, ))), )</f>
        <v/>
      </c>
      <c r="AD3494" s="32" t="str">
        <f t="shared" si="3594"/>
        <v/>
      </c>
      <c r="AE3494" s="32" t="str">
        <f t="shared" si="3594"/>
        <v/>
      </c>
      <c r="AF3494" s="32" t="str">
        <f t="shared" si="3594"/>
        <v/>
      </c>
      <c r="AG3494" s="32" t="str">
        <f t="shared" si="3594"/>
        <v/>
      </c>
      <c r="AH3494" s="33"/>
    </row>
    <row r="3495" hidden="1" outlineLevel="1" collapsed="1">
      <c r="A3495" s="95" t="b">
        <v>0</v>
      </c>
      <c r="B3495" s="96"/>
      <c r="C3495" s="18"/>
      <c r="D3495" s="42">
        <v>45915.0</v>
      </c>
      <c r="E3495" s="20" t="s">
        <v>24</v>
      </c>
      <c r="F3495" s="53" t="s">
        <v>2038</v>
      </c>
      <c r="G3495" s="97">
        <v>2.0</v>
      </c>
      <c r="H3495" s="97"/>
      <c r="I3495" s="97">
        <v>3.0</v>
      </c>
      <c r="J3495" s="98"/>
      <c r="K3495" s="99"/>
      <c r="L3495" s="98"/>
      <c r="M3495" s="99"/>
      <c r="N3495" s="99"/>
      <c r="O3495" s="18"/>
      <c r="P3495" s="100" t="b">
        <v>0</v>
      </c>
      <c r="Q3495" s="18"/>
      <c r="R3495" s="101">
        <f t="shared" si="3377"/>
        <v>5</v>
      </c>
      <c r="S3495" s="32">
        <v>14.53</v>
      </c>
      <c r="T3495" s="102" t="str">
        <f t="shared" si="3378"/>
        <v>+191</v>
      </c>
      <c r="U3495" s="18"/>
      <c r="V3495" s="103" t="str">
        <f t="shared" ref="V3495:V3504" si="3596">IF(ISBLANK($D3495), "0",)</f>
        <v/>
      </c>
      <c r="W3495" s="104" t="str">
        <f t="shared" si="2828"/>
        <v/>
      </c>
      <c r="X3495" s="105"/>
      <c r="Y3495" s="106"/>
      <c r="Z3495" s="26">
        <f t="shared" si="5"/>
        <v>-2</v>
      </c>
      <c r="AA3495" s="26">
        <f t="shared" si="6"/>
        <v>-3</v>
      </c>
      <c r="AB3495" s="32" t="str">
        <f t="shared" si="7"/>
        <v/>
      </c>
      <c r="AC3495" s="32" t="str">
        <f t="shared" ref="AC3495:AG3495" si="3595">IF(J3495&lt;&gt;"", IF(AND($P3495=FALSE, $A3495=FALSE), -J3495, IF(AND($P3495=FALSE, $A3495=TRUE), 0, IF($P3495=TRUE, (J3495 / $R3495) * 100 * ($S3495 / 100)-J3495, ))), )</f>
        <v/>
      </c>
      <c r="AD3495" s="32" t="str">
        <f t="shared" si="3595"/>
        <v/>
      </c>
      <c r="AE3495" s="32" t="str">
        <f t="shared" si="3595"/>
        <v/>
      </c>
      <c r="AF3495" s="32" t="str">
        <f t="shared" si="3595"/>
        <v/>
      </c>
      <c r="AG3495" s="32" t="str">
        <f t="shared" si="3595"/>
        <v/>
      </c>
      <c r="AH3495" s="33"/>
    </row>
    <row r="3496" hidden="1" outlineLevel="2">
      <c r="A3496" s="95" t="b">
        <v>0</v>
      </c>
      <c r="B3496" s="96"/>
      <c r="C3496" s="18"/>
      <c r="D3496" s="107"/>
      <c r="E3496" s="108"/>
      <c r="F3496" s="109"/>
      <c r="G3496" s="97"/>
      <c r="H3496" s="97"/>
      <c r="I3496" s="97"/>
      <c r="J3496" s="98"/>
      <c r="K3496" s="99"/>
      <c r="L3496" s="98"/>
      <c r="M3496" s="99"/>
      <c r="N3496" s="99"/>
      <c r="O3496" s="18"/>
      <c r="P3496" s="100" t="b">
        <v>0</v>
      </c>
      <c r="Q3496" s="18"/>
      <c r="R3496" s="101" t="str">
        <f t="shared" si="3377"/>
        <v/>
      </c>
      <c r="S3496" s="32"/>
      <c r="T3496" s="102" t="str">
        <f t="shared" si="3378"/>
        <v/>
      </c>
      <c r="U3496" s="18"/>
      <c r="V3496" s="103" t="str">
        <f t="shared" si="3596"/>
        <v>0</v>
      </c>
      <c r="W3496" s="104" t="str">
        <f t="shared" si="2828"/>
        <v>/</v>
      </c>
      <c r="X3496" s="111" t="s">
        <v>2059</v>
      </c>
      <c r="Y3496" s="106"/>
      <c r="Z3496" s="26" t="str">
        <f t="shared" si="5"/>
        <v/>
      </c>
      <c r="AA3496" s="26" t="str">
        <f t="shared" si="6"/>
        <v/>
      </c>
      <c r="AB3496" s="32" t="str">
        <f t="shared" si="7"/>
        <v/>
      </c>
      <c r="AC3496" s="32" t="str">
        <f t="shared" ref="AC3496:AG3496" si="3597">IF(J3496&lt;&gt;"", IF(AND($P3496=FALSE, $A3496=FALSE), -J3496, IF(AND($P3496=FALSE, $A3496=TRUE), 0, IF($P3496=TRUE, (J3496 / $R3496) * 100 * ($S3496 / 100)-J3496, ))), )</f>
        <v/>
      </c>
      <c r="AD3496" s="32" t="str">
        <f t="shared" si="3597"/>
        <v/>
      </c>
      <c r="AE3496" s="32" t="str">
        <f t="shared" si="3597"/>
        <v/>
      </c>
      <c r="AF3496" s="32" t="str">
        <f t="shared" si="3597"/>
        <v/>
      </c>
      <c r="AG3496" s="32" t="str">
        <f t="shared" si="3597"/>
        <v/>
      </c>
      <c r="AH3496" s="33"/>
    </row>
    <row r="3497" hidden="1" outlineLevel="2">
      <c r="A3497" s="95" t="b">
        <v>0</v>
      </c>
      <c r="B3497" s="96"/>
      <c r="C3497" s="18"/>
      <c r="D3497" s="107"/>
      <c r="E3497" s="108"/>
      <c r="F3497" s="109"/>
      <c r="G3497" s="97"/>
      <c r="H3497" s="97"/>
      <c r="I3497" s="97"/>
      <c r="J3497" s="98"/>
      <c r="K3497" s="99"/>
      <c r="L3497" s="98"/>
      <c r="M3497" s="99"/>
      <c r="N3497" s="99"/>
      <c r="O3497" s="18"/>
      <c r="P3497" s="100" t="b">
        <v>0</v>
      </c>
      <c r="Q3497" s="18"/>
      <c r="R3497" s="101" t="str">
        <f t="shared" si="3377"/>
        <v/>
      </c>
      <c r="S3497" s="32"/>
      <c r="T3497" s="102" t="str">
        <f t="shared" si="3378"/>
        <v/>
      </c>
      <c r="U3497" s="18"/>
      <c r="V3497" s="103" t="str">
        <f t="shared" si="3596"/>
        <v>0</v>
      </c>
      <c r="W3497" s="104" t="str">
        <f t="shared" si="2828"/>
        <v>/</v>
      </c>
      <c r="X3497" s="111" t="s">
        <v>1885</v>
      </c>
      <c r="Y3497" s="106"/>
      <c r="Z3497" s="26" t="str">
        <f t="shared" si="5"/>
        <v/>
      </c>
      <c r="AA3497" s="26" t="str">
        <f t="shared" si="6"/>
        <v/>
      </c>
      <c r="AB3497" s="32" t="str">
        <f t="shared" si="7"/>
        <v/>
      </c>
      <c r="AC3497" s="32" t="str">
        <f t="shared" ref="AC3497:AG3497" si="3598">IF(J3497&lt;&gt;"", IF(AND($P3497=FALSE, $A3497=FALSE), -J3497, IF(AND($P3497=FALSE, $A3497=TRUE), 0, IF($P3497=TRUE, (J3497 / $R3497) * 100 * ($S3497 / 100)-J3497, ))), )</f>
        <v/>
      </c>
      <c r="AD3497" s="32" t="str">
        <f t="shared" si="3598"/>
        <v/>
      </c>
      <c r="AE3497" s="32" t="str">
        <f t="shared" si="3598"/>
        <v/>
      </c>
      <c r="AF3497" s="32" t="str">
        <f t="shared" si="3598"/>
        <v/>
      </c>
      <c r="AG3497" s="32" t="str">
        <f t="shared" si="3598"/>
        <v/>
      </c>
      <c r="AH3497" s="33"/>
    </row>
    <row r="3498" hidden="1" outlineLevel="2">
      <c r="A3498" s="95" t="b">
        <v>0</v>
      </c>
      <c r="B3498" s="96"/>
      <c r="C3498" s="18"/>
      <c r="D3498" s="107"/>
      <c r="E3498" s="108"/>
      <c r="F3498" s="109"/>
      <c r="G3498" s="97"/>
      <c r="H3498" s="97"/>
      <c r="I3498" s="97"/>
      <c r="J3498" s="98"/>
      <c r="K3498" s="99"/>
      <c r="L3498" s="98"/>
      <c r="M3498" s="99"/>
      <c r="N3498" s="99"/>
      <c r="O3498" s="18"/>
      <c r="P3498" s="100" t="b">
        <v>0</v>
      </c>
      <c r="Q3498" s="18"/>
      <c r="R3498" s="101" t="str">
        <f t="shared" si="3377"/>
        <v/>
      </c>
      <c r="S3498" s="32"/>
      <c r="T3498" s="102" t="str">
        <f t="shared" si="3378"/>
        <v/>
      </c>
      <c r="U3498" s="18"/>
      <c r="V3498" s="103" t="str">
        <f t="shared" si="3596"/>
        <v>0</v>
      </c>
      <c r="W3498" s="104" t="str">
        <f t="shared" si="2828"/>
        <v>/</v>
      </c>
      <c r="X3498" s="111" t="s">
        <v>2060</v>
      </c>
      <c r="Y3498" s="106"/>
      <c r="Z3498" s="26" t="str">
        <f t="shared" si="5"/>
        <v/>
      </c>
      <c r="AA3498" s="26" t="str">
        <f t="shared" si="6"/>
        <v/>
      </c>
      <c r="AB3498" s="32" t="str">
        <f t="shared" si="7"/>
        <v/>
      </c>
      <c r="AC3498" s="32" t="str">
        <f t="shared" ref="AC3498:AG3498" si="3599">IF(J3498&lt;&gt;"", IF(AND($P3498=FALSE, $A3498=FALSE), -J3498, IF(AND($P3498=FALSE, $A3498=TRUE), 0, IF($P3498=TRUE, (J3498 / $R3498) * 100 * ($S3498 / 100)-J3498, ))), )</f>
        <v/>
      </c>
      <c r="AD3498" s="32" t="str">
        <f t="shared" si="3599"/>
        <v/>
      </c>
      <c r="AE3498" s="32" t="str">
        <f t="shared" si="3599"/>
        <v/>
      </c>
      <c r="AF3498" s="32" t="str">
        <f t="shared" si="3599"/>
        <v/>
      </c>
      <c r="AG3498" s="32" t="str">
        <f t="shared" si="3599"/>
        <v/>
      </c>
      <c r="AH3498" s="33"/>
    </row>
    <row r="3499" hidden="1" outlineLevel="1">
      <c r="A3499" s="95" t="b">
        <v>0</v>
      </c>
      <c r="B3499" s="96"/>
      <c r="C3499" s="18"/>
      <c r="D3499" s="42">
        <v>45915.0</v>
      </c>
      <c r="E3499" s="20" t="s">
        <v>24</v>
      </c>
      <c r="F3499" s="53" t="s">
        <v>2038</v>
      </c>
      <c r="G3499" s="97">
        <v>2.0</v>
      </c>
      <c r="H3499" s="97"/>
      <c r="I3499" s="97">
        <v>3.0</v>
      </c>
      <c r="J3499" s="98"/>
      <c r="K3499" s="99"/>
      <c r="L3499" s="98"/>
      <c r="M3499" s="99"/>
      <c r="N3499" s="99"/>
      <c r="O3499" s="18"/>
      <c r="P3499" s="100" t="b">
        <v>0</v>
      </c>
      <c r="Q3499" s="18"/>
      <c r="R3499" s="101">
        <f t="shared" si="3377"/>
        <v>5</v>
      </c>
      <c r="S3499" s="32">
        <v>12.55</v>
      </c>
      <c r="T3499" s="102" t="str">
        <f t="shared" si="3378"/>
        <v>+151</v>
      </c>
      <c r="U3499" s="18"/>
      <c r="V3499" s="103" t="str">
        <f t="shared" si="3596"/>
        <v/>
      </c>
      <c r="W3499" s="104" t="str">
        <f t="shared" si="2828"/>
        <v/>
      </c>
      <c r="X3499" s="105"/>
      <c r="Y3499" s="106"/>
      <c r="Z3499" s="26">
        <f t="shared" si="5"/>
        <v>-2</v>
      </c>
      <c r="AA3499" s="26">
        <f t="shared" si="6"/>
        <v>-3</v>
      </c>
      <c r="AB3499" s="32" t="str">
        <f t="shared" si="7"/>
        <v/>
      </c>
      <c r="AC3499" s="32" t="str">
        <f t="shared" ref="AC3499:AG3499" si="3600">IF(J3499&lt;&gt;"", IF(AND($P3499=FALSE, $A3499=FALSE), -J3499, IF(AND($P3499=FALSE, $A3499=TRUE), 0, IF($P3499=TRUE, (J3499 / $R3499) * 100 * ($S3499 / 100)-J3499, ))), )</f>
        <v/>
      </c>
      <c r="AD3499" s="32" t="str">
        <f t="shared" si="3600"/>
        <v/>
      </c>
      <c r="AE3499" s="32" t="str">
        <f t="shared" si="3600"/>
        <v/>
      </c>
      <c r="AF3499" s="32" t="str">
        <f t="shared" si="3600"/>
        <v/>
      </c>
      <c r="AG3499" s="32" t="str">
        <f t="shared" si="3600"/>
        <v/>
      </c>
      <c r="AH3499" s="33"/>
    </row>
    <row r="3500" hidden="1" outlineLevel="2">
      <c r="A3500" s="95" t="b">
        <v>0</v>
      </c>
      <c r="B3500" s="96"/>
      <c r="C3500" s="18"/>
      <c r="D3500" s="107"/>
      <c r="E3500" s="108"/>
      <c r="F3500" s="109"/>
      <c r="G3500" s="97"/>
      <c r="H3500" s="97"/>
      <c r="I3500" s="97"/>
      <c r="J3500" s="98"/>
      <c r="K3500" s="99"/>
      <c r="L3500" s="98"/>
      <c r="M3500" s="99"/>
      <c r="N3500" s="99"/>
      <c r="O3500" s="18"/>
      <c r="P3500" s="100" t="b">
        <v>0</v>
      </c>
      <c r="Q3500" s="18"/>
      <c r="R3500" s="101" t="str">
        <f t="shared" si="3377"/>
        <v/>
      </c>
      <c r="S3500" s="32"/>
      <c r="T3500" s="102" t="str">
        <f t="shared" si="3378"/>
        <v/>
      </c>
      <c r="U3500" s="18"/>
      <c r="V3500" s="103" t="str">
        <f t="shared" si="3596"/>
        <v>0</v>
      </c>
      <c r="W3500" s="104" t="str">
        <f t="shared" si="2828"/>
        <v>/</v>
      </c>
      <c r="X3500" s="111" t="s">
        <v>2061</v>
      </c>
      <c r="Y3500" s="106"/>
      <c r="Z3500" s="26" t="str">
        <f t="shared" si="5"/>
        <v/>
      </c>
      <c r="AA3500" s="26" t="str">
        <f t="shared" si="6"/>
        <v/>
      </c>
      <c r="AB3500" s="32" t="str">
        <f t="shared" si="7"/>
        <v/>
      </c>
      <c r="AC3500" s="32" t="str">
        <f t="shared" ref="AC3500:AG3500" si="3601">IF(J3500&lt;&gt;"", IF(AND($P3500=FALSE, $A3500=FALSE), -J3500, IF(AND($P3500=FALSE, $A3500=TRUE), 0, IF($P3500=TRUE, (J3500 / $R3500) * 100 * ($S3500 / 100)-J3500, ))), )</f>
        <v/>
      </c>
      <c r="AD3500" s="32" t="str">
        <f t="shared" si="3601"/>
        <v/>
      </c>
      <c r="AE3500" s="32" t="str">
        <f t="shared" si="3601"/>
        <v/>
      </c>
      <c r="AF3500" s="32" t="str">
        <f t="shared" si="3601"/>
        <v/>
      </c>
      <c r="AG3500" s="32" t="str">
        <f t="shared" si="3601"/>
        <v/>
      </c>
      <c r="AH3500" s="33"/>
    </row>
    <row r="3501" hidden="1" outlineLevel="2">
      <c r="A3501" s="95" t="b">
        <v>0</v>
      </c>
      <c r="B3501" s="96"/>
      <c r="C3501" s="18"/>
      <c r="D3501" s="107"/>
      <c r="E3501" s="108"/>
      <c r="F3501" s="109"/>
      <c r="G3501" s="97"/>
      <c r="H3501" s="97"/>
      <c r="I3501" s="97"/>
      <c r="J3501" s="98"/>
      <c r="K3501" s="99"/>
      <c r="L3501" s="98"/>
      <c r="M3501" s="99"/>
      <c r="N3501" s="99"/>
      <c r="O3501" s="18"/>
      <c r="P3501" s="100" t="b">
        <v>0</v>
      </c>
      <c r="Q3501" s="18"/>
      <c r="R3501" s="101" t="str">
        <f t="shared" si="3377"/>
        <v/>
      </c>
      <c r="S3501" s="32"/>
      <c r="T3501" s="102" t="str">
        <f t="shared" si="3378"/>
        <v/>
      </c>
      <c r="U3501" s="18"/>
      <c r="V3501" s="103" t="str">
        <f t="shared" si="3596"/>
        <v>0</v>
      </c>
      <c r="W3501" s="104" t="str">
        <f t="shared" si="2828"/>
        <v>/</v>
      </c>
      <c r="X3501" s="111" t="s">
        <v>2062</v>
      </c>
      <c r="Y3501" s="106"/>
      <c r="Z3501" s="26" t="str">
        <f t="shared" si="5"/>
        <v/>
      </c>
      <c r="AA3501" s="26" t="str">
        <f t="shared" si="6"/>
        <v/>
      </c>
      <c r="AB3501" s="32" t="str">
        <f t="shared" si="7"/>
        <v/>
      </c>
      <c r="AC3501" s="32" t="str">
        <f t="shared" ref="AC3501:AG3501" si="3602">IF(J3501&lt;&gt;"", IF(AND($P3501=FALSE, $A3501=FALSE), -J3501, IF(AND($P3501=FALSE, $A3501=TRUE), 0, IF($P3501=TRUE, (J3501 / $R3501) * 100 * ($S3501 / 100)-J3501, ))), )</f>
        <v/>
      </c>
      <c r="AD3501" s="32" t="str">
        <f t="shared" si="3602"/>
        <v/>
      </c>
      <c r="AE3501" s="32" t="str">
        <f t="shared" si="3602"/>
        <v/>
      </c>
      <c r="AF3501" s="32" t="str">
        <f t="shared" si="3602"/>
        <v/>
      </c>
      <c r="AG3501" s="32" t="str">
        <f t="shared" si="3602"/>
        <v/>
      </c>
      <c r="AH3501" s="33"/>
    </row>
    <row r="3502" collapsed="1">
      <c r="A3502" s="95" t="b">
        <v>0</v>
      </c>
      <c r="B3502" s="96"/>
      <c r="C3502" s="18"/>
      <c r="D3502" s="42">
        <v>45918.0</v>
      </c>
      <c r="E3502" s="20" t="s">
        <v>24</v>
      </c>
      <c r="F3502" s="53" t="s">
        <v>2063</v>
      </c>
      <c r="G3502" s="97">
        <v>1.5</v>
      </c>
      <c r="H3502" s="97"/>
      <c r="I3502" s="97">
        <v>2.0</v>
      </c>
      <c r="J3502" s="98"/>
      <c r="K3502" s="99"/>
      <c r="L3502" s="98"/>
      <c r="M3502" s="99"/>
      <c r="N3502" s="99"/>
      <c r="O3502" s="18"/>
      <c r="P3502" s="100" t="b">
        <v>0</v>
      </c>
      <c r="Q3502" s="18"/>
      <c r="R3502" s="101">
        <f t="shared" si="3377"/>
        <v>3.5</v>
      </c>
      <c r="S3502" s="32">
        <v>353.5</v>
      </c>
      <c r="T3502" s="102" t="str">
        <f t="shared" si="3378"/>
        <v>+10000</v>
      </c>
      <c r="U3502" s="18"/>
      <c r="V3502" s="103" t="str">
        <f t="shared" si="3596"/>
        <v/>
      </c>
      <c r="W3502" s="104" t="str">
        <f t="shared" si="2828"/>
        <v/>
      </c>
      <c r="X3502" s="105"/>
      <c r="Y3502" s="106"/>
      <c r="Z3502" s="26">
        <f t="shared" si="5"/>
        <v>-1.5</v>
      </c>
      <c r="AA3502" s="26">
        <f t="shared" si="6"/>
        <v>-2</v>
      </c>
      <c r="AB3502" s="32" t="str">
        <f t="shared" si="7"/>
        <v/>
      </c>
      <c r="AC3502" s="32" t="str">
        <f t="shared" ref="AC3502:AG3502" si="3603">IF(J3502&lt;&gt;"", IF(AND($P3502=FALSE, $A3502=FALSE), -J3502, IF(AND($P3502=FALSE, $A3502=TRUE), 0, IF($P3502=TRUE, (J3502 / $R3502) * 100 * ($S3502 / 100)-J3502, ))), )</f>
        <v/>
      </c>
      <c r="AD3502" s="32" t="str">
        <f t="shared" si="3603"/>
        <v/>
      </c>
      <c r="AE3502" s="32" t="str">
        <f t="shared" si="3603"/>
        <v/>
      </c>
      <c r="AF3502" s="32" t="str">
        <f t="shared" si="3603"/>
        <v/>
      </c>
      <c r="AG3502" s="32" t="str">
        <f t="shared" si="3603"/>
        <v/>
      </c>
      <c r="AH3502" s="33"/>
    </row>
    <row r="3503" hidden="1" outlineLevel="2">
      <c r="A3503" s="95" t="b">
        <v>0</v>
      </c>
      <c r="B3503" s="96"/>
      <c r="C3503" s="18"/>
      <c r="D3503" s="107"/>
      <c r="E3503" s="108"/>
      <c r="F3503" s="109"/>
      <c r="G3503" s="97"/>
      <c r="H3503" s="97"/>
      <c r="I3503" s="97"/>
      <c r="J3503" s="98"/>
      <c r="K3503" s="99"/>
      <c r="L3503" s="98"/>
      <c r="M3503" s="99"/>
      <c r="N3503" s="99"/>
      <c r="O3503" s="18"/>
      <c r="P3503" s="100" t="b">
        <v>0</v>
      </c>
      <c r="Q3503" s="18"/>
      <c r="R3503" s="101" t="str">
        <f t="shared" si="3377"/>
        <v/>
      </c>
      <c r="S3503" s="32"/>
      <c r="T3503" s="102" t="str">
        <f t="shared" si="3378"/>
        <v/>
      </c>
      <c r="U3503" s="18"/>
      <c r="V3503" s="103" t="str">
        <f t="shared" si="3596"/>
        <v>0</v>
      </c>
      <c r="W3503" s="104" t="str">
        <f t="shared" si="2828"/>
        <v>/</v>
      </c>
      <c r="X3503" s="111" t="s">
        <v>2064</v>
      </c>
      <c r="Y3503" s="106"/>
      <c r="Z3503" s="26" t="str">
        <f t="shared" si="5"/>
        <v/>
      </c>
      <c r="AA3503" s="26" t="str">
        <f t="shared" si="6"/>
        <v/>
      </c>
      <c r="AB3503" s="32" t="str">
        <f t="shared" si="7"/>
        <v/>
      </c>
      <c r="AC3503" s="32" t="str">
        <f t="shared" ref="AC3503:AG3503" si="3604">IF(J3503&lt;&gt;"", IF(AND($P3503=FALSE, $A3503=FALSE), -J3503, IF(AND($P3503=FALSE, $A3503=TRUE), 0, IF($P3503=TRUE, (J3503 / $R3503) * 100 * ($S3503 / 100)-J3503, ))), )</f>
        <v/>
      </c>
      <c r="AD3503" s="32" t="str">
        <f t="shared" si="3604"/>
        <v/>
      </c>
      <c r="AE3503" s="32" t="str">
        <f t="shared" si="3604"/>
        <v/>
      </c>
      <c r="AF3503" s="32" t="str">
        <f t="shared" si="3604"/>
        <v/>
      </c>
      <c r="AG3503" s="32" t="str">
        <f t="shared" si="3604"/>
        <v/>
      </c>
      <c r="AH3503" s="33"/>
    </row>
    <row r="3504" hidden="1" outlineLevel="1">
      <c r="A3504" s="95" t="b">
        <v>0</v>
      </c>
      <c r="B3504" s="96"/>
      <c r="C3504" s="18"/>
      <c r="D3504" s="42">
        <v>45918.0</v>
      </c>
      <c r="E3504" s="20" t="s">
        <v>24</v>
      </c>
      <c r="F3504" s="53" t="s">
        <v>2063</v>
      </c>
      <c r="G3504" s="97">
        <v>2.0</v>
      </c>
      <c r="H3504" s="97"/>
      <c r="I3504" s="97">
        <v>3.0</v>
      </c>
      <c r="J3504" s="98"/>
      <c r="K3504" s="99"/>
      <c r="L3504" s="98"/>
      <c r="M3504" s="99"/>
      <c r="N3504" s="99"/>
      <c r="O3504" s="18"/>
      <c r="P3504" s="100" t="b">
        <v>1</v>
      </c>
      <c r="Q3504" s="18"/>
      <c r="R3504" s="101">
        <f t="shared" si="3377"/>
        <v>5</v>
      </c>
      <c r="S3504" s="32">
        <v>23.25</v>
      </c>
      <c r="T3504" s="102" t="str">
        <f t="shared" si="3378"/>
        <v>+365</v>
      </c>
      <c r="U3504" s="18"/>
      <c r="V3504" s="103" t="str">
        <f t="shared" si="3596"/>
        <v/>
      </c>
      <c r="W3504" s="104" t="str">
        <f t="shared" si="2828"/>
        <v/>
      </c>
      <c r="X3504" s="105"/>
      <c r="Y3504" s="106"/>
      <c r="Z3504" s="26">
        <f t="shared" si="5"/>
        <v>7.3</v>
      </c>
      <c r="AA3504" s="26">
        <f t="shared" si="6"/>
        <v>10.95</v>
      </c>
      <c r="AB3504" s="32" t="str">
        <f t="shared" si="7"/>
        <v/>
      </c>
      <c r="AC3504" s="32" t="str">
        <f t="shared" ref="AC3504:AG3504" si="3605">IF(J3504&lt;&gt;"", IF(AND($P3504=FALSE, $A3504=FALSE), -J3504, IF(AND($P3504=FALSE, $A3504=TRUE), 0, IF($P3504=TRUE, (J3504 / $R3504) * 100 * ($S3504 / 100)-J3504, ))), )</f>
        <v/>
      </c>
      <c r="AD3504" s="32" t="str">
        <f t="shared" si="3605"/>
        <v/>
      </c>
      <c r="AE3504" s="32" t="str">
        <f t="shared" si="3605"/>
        <v/>
      </c>
      <c r="AF3504" s="32" t="str">
        <f t="shared" si="3605"/>
        <v/>
      </c>
      <c r="AG3504" s="32" t="str">
        <f t="shared" si="3605"/>
        <v/>
      </c>
      <c r="AH3504" s="33"/>
    </row>
    <row r="3505" hidden="1" outlineLevel="2">
      <c r="A3505" s="95" t="b">
        <v>0</v>
      </c>
      <c r="B3505" s="96"/>
      <c r="C3505" s="18"/>
      <c r="D3505" s="107"/>
      <c r="E3505" s="108"/>
      <c r="F3505" s="109"/>
      <c r="G3505" s="97"/>
      <c r="H3505" s="97"/>
      <c r="I3505" s="97"/>
      <c r="J3505" s="98"/>
      <c r="K3505" s="99"/>
      <c r="L3505" s="98"/>
      <c r="M3505" s="99"/>
      <c r="N3505" s="99"/>
      <c r="O3505" s="18"/>
      <c r="P3505" s="100" t="b">
        <v>0</v>
      </c>
      <c r="Q3505" s="18"/>
      <c r="R3505" s="101" t="str">
        <f t="shared" si="3377"/>
        <v/>
      </c>
      <c r="S3505" s="32"/>
      <c r="T3505" s="102" t="str">
        <f t="shared" si="3378"/>
        <v/>
      </c>
      <c r="U3505" s="18"/>
      <c r="V3505" s="75" t="s">
        <v>29</v>
      </c>
      <c r="W3505" s="104" t="str">
        <f t="shared" si="2828"/>
        <v>/</v>
      </c>
      <c r="X3505" s="111" t="s">
        <v>2065</v>
      </c>
      <c r="Y3505" s="106"/>
      <c r="Z3505" s="26" t="str">
        <f t="shared" si="5"/>
        <v/>
      </c>
      <c r="AA3505" s="26" t="str">
        <f t="shared" si="6"/>
        <v/>
      </c>
      <c r="AB3505" s="32" t="str">
        <f t="shared" si="7"/>
        <v/>
      </c>
      <c r="AC3505" s="32" t="str">
        <f t="shared" ref="AC3505:AG3505" si="3606">IF(J3505&lt;&gt;"", IF(AND($P3505=FALSE, $A3505=FALSE), -J3505, IF(AND($P3505=FALSE, $A3505=TRUE), 0, IF($P3505=TRUE, (J3505 / $R3505) * 100 * ($S3505 / 100)-J3505, ))), )</f>
        <v/>
      </c>
      <c r="AD3505" s="32" t="str">
        <f t="shared" si="3606"/>
        <v/>
      </c>
      <c r="AE3505" s="32" t="str">
        <f t="shared" si="3606"/>
        <v/>
      </c>
      <c r="AF3505" s="32" t="str">
        <f t="shared" si="3606"/>
        <v/>
      </c>
      <c r="AG3505" s="32" t="str">
        <f t="shared" si="3606"/>
        <v/>
      </c>
      <c r="AH3505" s="33"/>
    </row>
    <row r="3506" hidden="1" outlineLevel="2">
      <c r="A3506" s="95" t="b">
        <v>0</v>
      </c>
      <c r="B3506" s="96"/>
      <c r="C3506" s="18"/>
      <c r="D3506" s="107"/>
      <c r="E3506" s="108"/>
      <c r="F3506" s="109"/>
      <c r="G3506" s="97"/>
      <c r="H3506" s="97"/>
      <c r="I3506" s="97"/>
      <c r="J3506" s="98"/>
      <c r="K3506" s="99"/>
      <c r="L3506" s="98"/>
      <c r="M3506" s="99"/>
      <c r="N3506" s="99"/>
      <c r="O3506" s="18"/>
      <c r="P3506" s="100" t="b">
        <v>0</v>
      </c>
      <c r="Q3506" s="18"/>
      <c r="R3506" s="101" t="str">
        <f t="shared" si="3377"/>
        <v/>
      </c>
      <c r="S3506" s="32"/>
      <c r="T3506" s="102" t="str">
        <f t="shared" si="3378"/>
        <v/>
      </c>
      <c r="U3506" s="18"/>
      <c r="V3506" s="75" t="s">
        <v>29</v>
      </c>
      <c r="W3506" s="104" t="str">
        <f t="shared" si="2828"/>
        <v>/</v>
      </c>
      <c r="X3506" s="111" t="s">
        <v>2066</v>
      </c>
      <c r="Y3506" s="106"/>
      <c r="Z3506" s="26" t="str">
        <f t="shared" si="5"/>
        <v/>
      </c>
      <c r="AA3506" s="26" t="str">
        <f t="shared" si="6"/>
        <v/>
      </c>
      <c r="AB3506" s="32" t="str">
        <f t="shared" si="7"/>
        <v/>
      </c>
      <c r="AC3506" s="32" t="str">
        <f t="shared" ref="AC3506:AG3506" si="3607">IF(J3506&lt;&gt;"", IF(AND($P3506=FALSE, $A3506=FALSE), -J3506, IF(AND($P3506=FALSE, $A3506=TRUE), 0, IF($P3506=TRUE, (J3506 / $R3506) * 100 * ($S3506 / 100)-J3506, ))), )</f>
        <v/>
      </c>
      <c r="AD3506" s="32" t="str">
        <f t="shared" si="3607"/>
        <v/>
      </c>
      <c r="AE3506" s="32" t="str">
        <f t="shared" si="3607"/>
        <v/>
      </c>
      <c r="AF3506" s="32" t="str">
        <f t="shared" si="3607"/>
        <v/>
      </c>
      <c r="AG3506" s="32" t="str">
        <f t="shared" si="3607"/>
        <v/>
      </c>
      <c r="AH3506" s="33"/>
    </row>
    <row r="3507" hidden="1" outlineLevel="2">
      <c r="A3507" s="95" t="b">
        <v>0</v>
      </c>
      <c r="B3507" s="96"/>
      <c r="C3507" s="18"/>
      <c r="D3507" s="107"/>
      <c r="E3507" s="108"/>
      <c r="F3507" s="109"/>
      <c r="G3507" s="97"/>
      <c r="H3507" s="97"/>
      <c r="I3507" s="97"/>
      <c r="J3507" s="98"/>
      <c r="K3507" s="99"/>
      <c r="L3507" s="98"/>
      <c r="M3507" s="99"/>
      <c r="N3507" s="99"/>
      <c r="O3507" s="18"/>
      <c r="P3507" s="100" t="b">
        <v>0</v>
      </c>
      <c r="Q3507" s="18"/>
      <c r="R3507" s="101" t="str">
        <f t="shared" si="3377"/>
        <v/>
      </c>
      <c r="S3507" s="32"/>
      <c r="T3507" s="102" t="str">
        <f t="shared" si="3378"/>
        <v/>
      </c>
      <c r="U3507" s="18"/>
      <c r="V3507" s="75" t="s">
        <v>29</v>
      </c>
      <c r="W3507" s="104" t="str">
        <f t="shared" si="2828"/>
        <v>/</v>
      </c>
      <c r="X3507" s="111" t="s">
        <v>2067</v>
      </c>
      <c r="Y3507" s="106"/>
      <c r="Z3507" s="26" t="str">
        <f t="shared" si="5"/>
        <v/>
      </c>
      <c r="AA3507" s="26" t="str">
        <f t="shared" si="6"/>
        <v/>
      </c>
      <c r="AB3507" s="32" t="str">
        <f t="shared" si="7"/>
        <v/>
      </c>
      <c r="AC3507" s="32" t="str">
        <f t="shared" ref="AC3507:AG3507" si="3608">IF(J3507&lt;&gt;"", IF(AND($P3507=FALSE, $A3507=FALSE), -J3507, IF(AND($P3507=FALSE, $A3507=TRUE), 0, IF($P3507=TRUE, (J3507 / $R3507) * 100 * ($S3507 / 100)-J3507, ))), )</f>
        <v/>
      </c>
      <c r="AD3507" s="32" t="str">
        <f t="shared" si="3608"/>
        <v/>
      </c>
      <c r="AE3507" s="32" t="str">
        <f t="shared" si="3608"/>
        <v/>
      </c>
      <c r="AF3507" s="32" t="str">
        <f t="shared" si="3608"/>
        <v/>
      </c>
      <c r="AG3507" s="32" t="str">
        <f t="shared" si="3608"/>
        <v/>
      </c>
      <c r="AH3507" s="33"/>
    </row>
    <row r="3508" hidden="1" outlineLevel="2">
      <c r="A3508" s="95" t="b">
        <v>0</v>
      </c>
      <c r="B3508" s="96"/>
      <c r="C3508" s="18"/>
      <c r="D3508" s="107"/>
      <c r="E3508" s="108"/>
      <c r="F3508" s="109"/>
      <c r="G3508" s="97"/>
      <c r="H3508" s="97"/>
      <c r="I3508" s="97"/>
      <c r="J3508" s="98"/>
      <c r="K3508" s="99"/>
      <c r="L3508" s="98"/>
      <c r="M3508" s="99"/>
      <c r="N3508" s="99"/>
      <c r="O3508" s="18"/>
      <c r="P3508" s="100" t="b">
        <v>0</v>
      </c>
      <c r="Q3508" s="18"/>
      <c r="R3508" s="101" t="str">
        <f t="shared" si="3377"/>
        <v/>
      </c>
      <c r="S3508" s="32"/>
      <c r="T3508" s="102" t="str">
        <f t="shared" si="3378"/>
        <v/>
      </c>
      <c r="U3508" s="18"/>
      <c r="V3508" s="75" t="s">
        <v>29</v>
      </c>
      <c r="W3508" s="104" t="str">
        <f t="shared" si="2828"/>
        <v>/</v>
      </c>
      <c r="X3508" s="111" t="s">
        <v>2068</v>
      </c>
      <c r="Y3508" s="106"/>
      <c r="Z3508" s="26" t="str">
        <f t="shared" si="5"/>
        <v/>
      </c>
      <c r="AA3508" s="26" t="str">
        <f t="shared" si="6"/>
        <v/>
      </c>
      <c r="AB3508" s="32" t="str">
        <f t="shared" si="7"/>
        <v/>
      </c>
      <c r="AC3508" s="32" t="str">
        <f t="shared" ref="AC3508:AG3508" si="3609">IF(J3508&lt;&gt;"", IF(AND($P3508=FALSE, $A3508=FALSE), -J3508, IF(AND($P3508=FALSE, $A3508=TRUE), 0, IF($P3508=TRUE, (J3508 / $R3508) * 100 * ($S3508 / 100)-J3508, ))), )</f>
        <v/>
      </c>
      <c r="AD3508" s="32" t="str">
        <f t="shared" si="3609"/>
        <v/>
      </c>
      <c r="AE3508" s="32" t="str">
        <f t="shared" si="3609"/>
        <v/>
      </c>
      <c r="AF3508" s="32" t="str">
        <f t="shared" si="3609"/>
        <v/>
      </c>
      <c r="AG3508" s="32" t="str">
        <f t="shared" si="3609"/>
        <v/>
      </c>
      <c r="AH3508" s="33"/>
    </row>
    <row r="3509" hidden="1" outlineLevel="1" collapsed="1">
      <c r="A3509" s="95" t="b">
        <v>0</v>
      </c>
      <c r="B3509" s="96"/>
      <c r="C3509" s="18"/>
      <c r="D3509" s="42">
        <v>45918.0</v>
      </c>
      <c r="E3509" s="20" t="s">
        <v>24</v>
      </c>
      <c r="F3509" s="53" t="s">
        <v>2063</v>
      </c>
      <c r="G3509" s="97">
        <v>1.0</v>
      </c>
      <c r="H3509" s="97"/>
      <c r="I3509" s="97">
        <v>5.0</v>
      </c>
      <c r="J3509" s="98"/>
      <c r="K3509" s="99"/>
      <c r="L3509" s="98"/>
      <c r="M3509" s="99"/>
      <c r="N3509" s="99"/>
      <c r="O3509" s="18"/>
      <c r="P3509" s="100" t="b">
        <v>1</v>
      </c>
      <c r="Q3509" s="18"/>
      <c r="R3509" s="101">
        <f t="shared" si="3377"/>
        <v>6</v>
      </c>
      <c r="S3509" s="32">
        <v>11.45</v>
      </c>
      <c r="T3509" s="102">
        <f t="shared" si="3378"/>
        <v>-110</v>
      </c>
      <c r="U3509" s="18"/>
      <c r="V3509" s="103" t="str">
        <f>IF(ISBLANK($D3509), "0",)</f>
        <v/>
      </c>
      <c r="W3509" s="104" t="str">
        <f t="shared" si="2828"/>
        <v/>
      </c>
      <c r="X3509" s="105"/>
      <c r="Y3509" s="106"/>
      <c r="Z3509" s="26">
        <f t="shared" si="5"/>
        <v>0.9083333333</v>
      </c>
      <c r="AA3509" s="26">
        <f t="shared" si="6"/>
        <v>4.541666667</v>
      </c>
      <c r="AB3509" s="32" t="str">
        <f t="shared" si="7"/>
        <v/>
      </c>
      <c r="AC3509" s="32" t="str">
        <f t="shared" ref="AC3509:AG3509" si="3610">IF(J3509&lt;&gt;"", IF(AND($P3509=FALSE, $A3509=FALSE), -J3509, IF(AND($P3509=FALSE, $A3509=TRUE), 0, IF($P3509=TRUE, (J3509 / $R3509) * 100 * ($S3509 / 100)-J3509, ))), )</f>
        <v/>
      </c>
      <c r="AD3509" s="32" t="str">
        <f t="shared" si="3610"/>
        <v/>
      </c>
      <c r="AE3509" s="32" t="str">
        <f t="shared" si="3610"/>
        <v/>
      </c>
      <c r="AF3509" s="32" t="str">
        <f t="shared" si="3610"/>
        <v/>
      </c>
      <c r="AG3509" s="32" t="str">
        <f t="shared" si="3610"/>
        <v/>
      </c>
      <c r="AH3509" s="33"/>
    </row>
    <row r="3510" hidden="1" outlineLevel="2">
      <c r="A3510" s="95" t="b">
        <v>0</v>
      </c>
      <c r="B3510" s="96"/>
      <c r="C3510" s="18"/>
      <c r="D3510" s="107"/>
      <c r="E3510" s="108"/>
      <c r="F3510" s="109"/>
      <c r="G3510" s="97"/>
      <c r="H3510" s="97"/>
      <c r="I3510" s="97"/>
      <c r="J3510" s="98"/>
      <c r="K3510" s="99"/>
      <c r="L3510" s="98"/>
      <c r="M3510" s="99"/>
      <c r="N3510" s="99"/>
      <c r="O3510" s="18"/>
      <c r="P3510" s="100" t="b">
        <v>0</v>
      </c>
      <c r="Q3510" s="18"/>
      <c r="R3510" s="101" t="str">
        <f t="shared" si="3377"/>
        <v/>
      </c>
      <c r="S3510" s="32"/>
      <c r="T3510" s="102" t="str">
        <f t="shared" si="3378"/>
        <v/>
      </c>
      <c r="U3510" s="18"/>
      <c r="V3510" s="75" t="s">
        <v>29</v>
      </c>
      <c r="W3510" s="104" t="str">
        <f t="shared" si="2828"/>
        <v>/</v>
      </c>
      <c r="X3510" s="111" t="s">
        <v>2069</v>
      </c>
      <c r="Y3510" s="106"/>
      <c r="Z3510" s="26" t="str">
        <f t="shared" si="5"/>
        <v/>
      </c>
      <c r="AA3510" s="26" t="str">
        <f t="shared" si="6"/>
        <v/>
      </c>
      <c r="AB3510" s="32" t="str">
        <f t="shared" si="7"/>
        <v/>
      </c>
      <c r="AC3510" s="32" t="str">
        <f t="shared" ref="AC3510:AG3510" si="3611">IF(J3510&lt;&gt;"", IF(AND($P3510=FALSE, $A3510=FALSE), -J3510, IF(AND($P3510=FALSE, $A3510=TRUE), 0, IF($P3510=TRUE, (J3510 / $R3510) * 100 * ($S3510 / 100)-J3510, ))), )</f>
        <v/>
      </c>
      <c r="AD3510" s="32" t="str">
        <f t="shared" si="3611"/>
        <v/>
      </c>
      <c r="AE3510" s="32" t="str">
        <f t="shared" si="3611"/>
        <v/>
      </c>
      <c r="AF3510" s="32" t="str">
        <f t="shared" si="3611"/>
        <v/>
      </c>
      <c r="AG3510" s="32" t="str">
        <f t="shared" si="3611"/>
        <v/>
      </c>
      <c r="AH3510" s="33"/>
    </row>
    <row r="3511" hidden="1" outlineLevel="1">
      <c r="A3511" s="95" t="b">
        <v>0</v>
      </c>
      <c r="B3511" s="96"/>
      <c r="C3511" s="18"/>
      <c r="D3511" s="42">
        <v>45918.0</v>
      </c>
      <c r="E3511" s="20" t="s">
        <v>24</v>
      </c>
      <c r="F3511" s="53" t="s">
        <v>2063</v>
      </c>
      <c r="G3511" s="97">
        <v>2.0</v>
      </c>
      <c r="H3511" s="97"/>
      <c r="I3511" s="97">
        <v>3.0</v>
      </c>
      <c r="J3511" s="98"/>
      <c r="K3511" s="99"/>
      <c r="L3511" s="98"/>
      <c r="M3511" s="99"/>
      <c r="N3511" s="99"/>
      <c r="O3511" s="18"/>
      <c r="P3511" s="100" t="b">
        <v>1</v>
      </c>
      <c r="Q3511" s="18"/>
      <c r="R3511" s="101">
        <f t="shared" si="3377"/>
        <v>5</v>
      </c>
      <c r="S3511" s="32">
        <v>9.63</v>
      </c>
      <c r="T3511" s="102">
        <f t="shared" si="3378"/>
        <v>-108</v>
      </c>
      <c r="U3511" s="18"/>
      <c r="V3511" s="103" t="str">
        <f>IF(ISBLANK($D3511), "0",)</f>
        <v/>
      </c>
      <c r="W3511" s="104" t="str">
        <f t="shared" si="2828"/>
        <v/>
      </c>
      <c r="X3511" s="105"/>
      <c r="Y3511" s="106"/>
      <c r="Z3511" s="26">
        <f t="shared" si="5"/>
        <v>1.852</v>
      </c>
      <c r="AA3511" s="26">
        <f t="shared" si="6"/>
        <v>2.778</v>
      </c>
      <c r="AB3511" s="32" t="str">
        <f t="shared" si="7"/>
        <v/>
      </c>
      <c r="AC3511" s="32" t="str">
        <f t="shared" ref="AC3511:AG3511" si="3612">IF(J3511&lt;&gt;"", IF(AND($P3511=FALSE, $A3511=FALSE), -J3511, IF(AND($P3511=FALSE, $A3511=TRUE), 0, IF($P3511=TRUE, (J3511 / $R3511) * 100 * ($S3511 / 100)-J3511, ))), )</f>
        <v/>
      </c>
      <c r="AD3511" s="32" t="str">
        <f t="shared" si="3612"/>
        <v/>
      </c>
      <c r="AE3511" s="32" t="str">
        <f t="shared" si="3612"/>
        <v/>
      </c>
      <c r="AF3511" s="32" t="str">
        <f t="shared" si="3612"/>
        <v/>
      </c>
      <c r="AG3511" s="32" t="str">
        <f t="shared" si="3612"/>
        <v/>
      </c>
      <c r="AH3511" s="33"/>
    </row>
    <row r="3512" hidden="1" outlineLevel="2">
      <c r="A3512" s="95" t="b">
        <v>0</v>
      </c>
      <c r="B3512" s="96"/>
      <c r="C3512" s="18"/>
      <c r="D3512" s="107"/>
      <c r="E3512" s="108"/>
      <c r="F3512" s="109"/>
      <c r="G3512" s="97"/>
      <c r="H3512" s="97"/>
      <c r="I3512" s="97"/>
      <c r="J3512" s="98"/>
      <c r="K3512" s="99"/>
      <c r="L3512" s="98"/>
      <c r="M3512" s="99"/>
      <c r="N3512" s="99"/>
      <c r="O3512" s="18"/>
      <c r="P3512" s="100" t="b">
        <v>0</v>
      </c>
      <c r="Q3512" s="18"/>
      <c r="R3512" s="101" t="str">
        <f t="shared" si="3377"/>
        <v/>
      </c>
      <c r="S3512" s="32"/>
      <c r="T3512" s="102" t="str">
        <f t="shared" si="3378"/>
        <v/>
      </c>
      <c r="U3512" s="18"/>
      <c r="V3512" s="113">
        <v>12.0</v>
      </c>
      <c r="W3512" s="104" t="str">
        <f t="shared" si="2828"/>
        <v>/</v>
      </c>
      <c r="X3512" s="111" t="s">
        <v>2070</v>
      </c>
      <c r="Y3512" s="106"/>
      <c r="Z3512" s="26" t="str">
        <f t="shared" si="5"/>
        <v/>
      </c>
      <c r="AA3512" s="26" t="str">
        <f t="shared" si="6"/>
        <v/>
      </c>
      <c r="AB3512" s="32" t="str">
        <f t="shared" si="7"/>
        <v/>
      </c>
      <c r="AC3512" s="32" t="str">
        <f t="shared" ref="AC3512:AG3512" si="3613">IF(J3512&lt;&gt;"", IF(AND($P3512=FALSE, $A3512=FALSE), -J3512, IF(AND($P3512=FALSE, $A3512=TRUE), 0, IF($P3512=TRUE, (J3512 / $R3512) * 100 * ($S3512 / 100)-J3512, ))), )</f>
        <v/>
      </c>
      <c r="AD3512" s="32" t="str">
        <f t="shared" si="3613"/>
        <v/>
      </c>
      <c r="AE3512" s="32" t="str">
        <f t="shared" si="3613"/>
        <v/>
      </c>
      <c r="AF3512" s="32" t="str">
        <f t="shared" si="3613"/>
        <v/>
      </c>
      <c r="AG3512" s="32" t="str">
        <f t="shared" si="3613"/>
        <v/>
      </c>
      <c r="AH3512" s="33"/>
    </row>
    <row r="3513" collapsed="1">
      <c r="A3513" s="95" t="b">
        <v>0</v>
      </c>
      <c r="B3513" s="96"/>
      <c r="C3513" s="18"/>
      <c r="D3513" s="42">
        <v>45921.0</v>
      </c>
      <c r="E3513" s="43" t="s">
        <v>24</v>
      </c>
      <c r="F3513" s="82" t="s">
        <v>2063</v>
      </c>
      <c r="G3513" s="97">
        <v>2.0</v>
      </c>
      <c r="H3513" s="97"/>
      <c r="I3513" s="97">
        <v>8.0</v>
      </c>
      <c r="J3513" s="98"/>
      <c r="K3513" s="99"/>
      <c r="L3513" s="98"/>
      <c r="M3513" s="99"/>
      <c r="N3513" s="99"/>
      <c r="O3513" s="18"/>
      <c r="P3513" s="100" t="b">
        <v>0</v>
      </c>
      <c r="Q3513" s="18"/>
      <c r="R3513" s="101">
        <f t="shared" si="3377"/>
        <v>10</v>
      </c>
      <c r="S3513" s="32">
        <v>40.92</v>
      </c>
      <c r="T3513" s="102" t="str">
        <f t="shared" si="3378"/>
        <v>+309</v>
      </c>
      <c r="U3513" s="18"/>
      <c r="V3513" s="103" t="str">
        <f t="shared" ref="V3513:V3515" si="3615">IF(ISBLANK($D3513), "0",)</f>
        <v/>
      </c>
      <c r="W3513" s="104" t="str">
        <f t="shared" si="2828"/>
        <v/>
      </c>
      <c r="X3513" s="105"/>
      <c r="Y3513" s="106"/>
      <c r="Z3513" s="26">
        <f t="shared" si="5"/>
        <v>-2</v>
      </c>
      <c r="AA3513" s="26">
        <f t="shared" si="6"/>
        <v>-8</v>
      </c>
      <c r="AB3513" s="32" t="str">
        <f t="shared" si="7"/>
        <v/>
      </c>
      <c r="AC3513" s="32" t="str">
        <f t="shared" ref="AC3513:AG3513" si="3614">IF(J3513&lt;&gt;"", IF(AND($P3513=FALSE, $A3513=FALSE), -J3513, IF(AND($P3513=FALSE, $A3513=TRUE), 0, IF($P3513=TRUE, (J3513 / $R3513) * 100 * ($S3513 / 100)-J3513, ))), )</f>
        <v/>
      </c>
      <c r="AD3513" s="32" t="str">
        <f t="shared" si="3614"/>
        <v/>
      </c>
      <c r="AE3513" s="32" t="str">
        <f t="shared" si="3614"/>
        <v/>
      </c>
      <c r="AF3513" s="32" t="str">
        <f t="shared" si="3614"/>
        <v/>
      </c>
      <c r="AG3513" s="32" t="str">
        <f t="shared" si="3614"/>
        <v/>
      </c>
      <c r="AH3513" s="33"/>
    </row>
    <row r="3514" hidden="1" outlineLevel="2">
      <c r="A3514" s="95" t="b">
        <v>0</v>
      </c>
      <c r="B3514" s="96"/>
      <c r="C3514" s="18"/>
      <c r="D3514" s="107"/>
      <c r="E3514" s="108"/>
      <c r="F3514" s="109"/>
      <c r="G3514" s="97"/>
      <c r="H3514" s="97"/>
      <c r="I3514" s="97"/>
      <c r="J3514" s="98"/>
      <c r="K3514" s="99"/>
      <c r="L3514" s="98"/>
      <c r="M3514" s="99"/>
      <c r="N3514" s="99"/>
      <c r="O3514" s="18"/>
      <c r="P3514" s="100" t="b">
        <v>0</v>
      </c>
      <c r="Q3514" s="18"/>
      <c r="R3514" s="101" t="str">
        <f t="shared" si="3377"/>
        <v/>
      </c>
      <c r="S3514" s="32"/>
      <c r="T3514" s="102" t="str">
        <f t="shared" si="3378"/>
        <v/>
      </c>
      <c r="U3514" s="18"/>
      <c r="V3514" s="103" t="str">
        <f t="shared" si="3615"/>
        <v>0</v>
      </c>
      <c r="W3514" s="104" t="str">
        <f t="shared" si="2828"/>
        <v>/</v>
      </c>
      <c r="X3514" s="111" t="s">
        <v>2071</v>
      </c>
      <c r="Y3514" s="106"/>
      <c r="Z3514" s="26" t="str">
        <f t="shared" si="5"/>
        <v/>
      </c>
      <c r="AA3514" s="26" t="str">
        <f t="shared" si="6"/>
        <v/>
      </c>
      <c r="AB3514" s="32" t="str">
        <f t="shared" si="7"/>
        <v/>
      </c>
      <c r="AC3514" s="32" t="str">
        <f t="shared" ref="AC3514:AG3514" si="3616">IF(J3514&lt;&gt;"", IF(AND($P3514=FALSE, $A3514=FALSE), -J3514, IF(AND($P3514=FALSE, $A3514=TRUE), 0, IF($P3514=TRUE, (J3514 / $R3514) * 100 * ($S3514 / 100)-J3514, ))), )</f>
        <v/>
      </c>
      <c r="AD3514" s="32" t="str">
        <f t="shared" si="3616"/>
        <v/>
      </c>
      <c r="AE3514" s="32" t="str">
        <f t="shared" si="3616"/>
        <v/>
      </c>
      <c r="AF3514" s="32" t="str">
        <f t="shared" si="3616"/>
        <v/>
      </c>
      <c r="AG3514" s="32" t="str">
        <f t="shared" si="3616"/>
        <v/>
      </c>
      <c r="AH3514" s="33"/>
    </row>
    <row r="3515" hidden="1" outlineLevel="2">
      <c r="A3515" s="95" t="b">
        <v>0</v>
      </c>
      <c r="B3515" s="96"/>
      <c r="C3515" s="18"/>
      <c r="D3515" s="107"/>
      <c r="E3515" s="108"/>
      <c r="F3515" s="109"/>
      <c r="G3515" s="97"/>
      <c r="H3515" s="97"/>
      <c r="I3515" s="97"/>
      <c r="J3515" s="98"/>
      <c r="K3515" s="99"/>
      <c r="L3515" s="98"/>
      <c r="M3515" s="99"/>
      <c r="N3515" s="99"/>
      <c r="O3515" s="18"/>
      <c r="P3515" s="100" t="b">
        <v>0</v>
      </c>
      <c r="Q3515" s="18"/>
      <c r="R3515" s="101" t="str">
        <f t="shared" si="3377"/>
        <v/>
      </c>
      <c r="S3515" s="32"/>
      <c r="T3515" s="102" t="str">
        <f t="shared" si="3378"/>
        <v/>
      </c>
      <c r="U3515" s="18"/>
      <c r="V3515" s="103" t="str">
        <f t="shared" si="3615"/>
        <v>0</v>
      </c>
      <c r="W3515" s="104" t="str">
        <f t="shared" si="2828"/>
        <v>/</v>
      </c>
      <c r="X3515" s="111" t="s">
        <v>791</v>
      </c>
      <c r="Y3515" s="106"/>
      <c r="Z3515" s="26" t="str">
        <f t="shared" si="5"/>
        <v/>
      </c>
      <c r="AA3515" s="26" t="str">
        <f t="shared" si="6"/>
        <v/>
      </c>
      <c r="AB3515" s="32" t="str">
        <f t="shared" si="7"/>
        <v/>
      </c>
      <c r="AC3515" s="32" t="str">
        <f t="shared" ref="AC3515:AG3515" si="3617">IF(J3515&lt;&gt;"", IF(AND($P3515=FALSE, $A3515=FALSE), -J3515, IF(AND($P3515=FALSE, $A3515=TRUE), 0, IF($P3515=TRUE, (J3515 / $R3515) * 100 * ($S3515 / 100)-J3515, ))), )</f>
        <v/>
      </c>
      <c r="AD3515" s="32" t="str">
        <f t="shared" si="3617"/>
        <v/>
      </c>
      <c r="AE3515" s="32" t="str">
        <f t="shared" si="3617"/>
        <v/>
      </c>
      <c r="AF3515" s="32" t="str">
        <f t="shared" si="3617"/>
        <v/>
      </c>
      <c r="AG3515" s="32" t="str">
        <f t="shared" si="3617"/>
        <v/>
      </c>
      <c r="AH3515" s="33"/>
    </row>
    <row r="3516" hidden="1" outlineLevel="2">
      <c r="A3516" s="95" t="b">
        <v>0</v>
      </c>
      <c r="B3516" s="96"/>
      <c r="C3516" s="18"/>
      <c r="D3516" s="107"/>
      <c r="E3516" s="108"/>
      <c r="F3516" s="109"/>
      <c r="G3516" s="97"/>
      <c r="H3516" s="97"/>
      <c r="I3516" s="97"/>
      <c r="J3516" s="98"/>
      <c r="K3516" s="99"/>
      <c r="L3516" s="98"/>
      <c r="M3516" s="99"/>
      <c r="N3516" s="99"/>
      <c r="O3516" s="18"/>
      <c r="P3516" s="100" t="b">
        <v>0</v>
      </c>
      <c r="Q3516" s="18"/>
      <c r="R3516" s="101" t="str">
        <f t="shared" si="3377"/>
        <v/>
      </c>
      <c r="S3516" s="32"/>
      <c r="T3516" s="102" t="str">
        <f t="shared" si="3378"/>
        <v/>
      </c>
      <c r="U3516" s="18"/>
      <c r="V3516" s="75" t="s">
        <v>29</v>
      </c>
      <c r="W3516" s="104" t="str">
        <f t="shared" si="2828"/>
        <v>/</v>
      </c>
      <c r="X3516" s="111" t="s">
        <v>932</v>
      </c>
      <c r="Y3516" s="106"/>
      <c r="Z3516" s="26" t="str">
        <f t="shared" si="5"/>
        <v/>
      </c>
      <c r="AA3516" s="26" t="str">
        <f t="shared" si="6"/>
        <v/>
      </c>
      <c r="AB3516" s="32" t="str">
        <f t="shared" si="7"/>
        <v/>
      </c>
      <c r="AC3516" s="32" t="str">
        <f t="shared" ref="AC3516:AG3516" si="3618">IF(J3516&lt;&gt;"", IF(AND($P3516=FALSE, $A3516=FALSE), -J3516, IF(AND($P3516=FALSE, $A3516=TRUE), 0, IF($P3516=TRUE, (J3516 / $R3516) * 100 * ($S3516 / 100)-J3516, ))), )</f>
        <v/>
      </c>
      <c r="AD3516" s="32" t="str">
        <f t="shared" si="3618"/>
        <v/>
      </c>
      <c r="AE3516" s="32" t="str">
        <f t="shared" si="3618"/>
        <v/>
      </c>
      <c r="AF3516" s="32" t="str">
        <f t="shared" si="3618"/>
        <v/>
      </c>
      <c r="AG3516" s="32" t="str">
        <f t="shared" si="3618"/>
        <v/>
      </c>
      <c r="AH3516" s="33"/>
    </row>
    <row r="3517" hidden="1" outlineLevel="2">
      <c r="A3517" s="95" t="b">
        <v>0</v>
      </c>
      <c r="B3517" s="96"/>
      <c r="C3517" s="18"/>
      <c r="D3517" s="107"/>
      <c r="E3517" s="108"/>
      <c r="F3517" s="109"/>
      <c r="G3517" s="97"/>
      <c r="H3517" s="97"/>
      <c r="I3517" s="97"/>
      <c r="J3517" s="98"/>
      <c r="K3517" s="99"/>
      <c r="L3517" s="98"/>
      <c r="M3517" s="99"/>
      <c r="N3517" s="99"/>
      <c r="O3517" s="18"/>
      <c r="P3517" s="100" t="b">
        <v>0</v>
      </c>
      <c r="Q3517" s="18"/>
      <c r="R3517" s="101" t="str">
        <f t="shared" si="3377"/>
        <v/>
      </c>
      <c r="S3517" s="32"/>
      <c r="T3517" s="102" t="str">
        <f t="shared" si="3378"/>
        <v/>
      </c>
      <c r="U3517" s="18"/>
      <c r="V3517" s="75" t="s">
        <v>29</v>
      </c>
      <c r="W3517" s="104" t="str">
        <f t="shared" si="2828"/>
        <v>/</v>
      </c>
      <c r="X3517" s="111" t="s">
        <v>1599</v>
      </c>
      <c r="Y3517" s="106"/>
      <c r="Z3517" s="26" t="str">
        <f t="shared" si="5"/>
        <v/>
      </c>
      <c r="AA3517" s="26" t="str">
        <f t="shared" si="6"/>
        <v/>
      </c>
      <c r="AB3517" s="32" t="str">
        <f t="shared" si="7"/>
        <v/>
      </c>
      <c r="AC3517" s="32" t="str">
        <f t="shared" ref="AC3517:AG3517" si="3619">IF(J3517&lt;&gt;"", IF(AND($P3517=FALSE, $A3517=FALSE), -J3517, IF(AND($P3517=FALSE, $A3517=TRUE), 0, IF($P3517=TRUE, (J3517 / $R3517) * 100 * ($S3517 / 100)-J3517, ))), )</f>
        <v/>
      </c>
      <c r="AD3517" s="32" t="str">
        <f t="shared" si="3619"/>
        <v/>
      </c>
      <c r="AE3517" s="32" t="str">
        <f t="shared" si="3619"/>
        <v/>
      </c>
      <c r="AF3517" s="32" t="str">
        <f t="shared" si="3619"/>
        <v/>
      </c>
      <c r="AG3517" s="32" t="str">
        <f t="shared" si="3619"/>
        <v/>
      </c>
      <c r="AH3517" s="33"/>
    </row>
    <row r="3518" hidden="1" outlineLevel="1" collapsed="1">
      <c r="A3518" s="95" t="b">
        <v>0</v>
      </c>
      <c r="B3518" s="96"/>
      <c r="C3518" s="18"/>
      <c r="D3518" s="42">
        <v>45921.0</v>
      </c>
      <c r="E3518" s="43" t="s">
        <v>24</v>
      </c>
      <c r="F3518" s="82" t="s">
        <v>2063</v>
      </c>
      <c r="G3518" s="97">
        <v>2.0</v>
      </c>
      <c r="H3518" s="97"/>
      <c r="I3518" s="97">
        <v>3.0</v>
      </c>
      <c r="J3518" s="98"/>
      <c r="K3518" s="99"/>
      <c r="L3518" s="98"/>
      <c r="M3518" s="99"/>
      <c r="N3518" s="99"/>
      <c r="O3518" s="18"/>
      <c r="P3518" s="100" t="b">
        <v>0</v>
      </c>
      <c r="Q3518" s="18"/>
      <c r="R3518" s="101">
        <f t="shared" si="3377"/>
        <v>5</v>
      </c>
      <c r="S3518" s="32">
        <v>11.02</v>
      </c>
      <c r="T3518" s="102" t="str">
        <f t="shared" si="3378"/>
        <v>+120</v>
      </c>
      <c r="U3518" s="18"/>
      <c r="V3518" s="103" t="str">
        <f t="shared" ref="V3518:V3521" si="3621">IF(ISBLANK($D3518), "0",)</f>
        <v/>
      </c>
      <c r="W3518" s="104" t="str">
        <f t="shared" si="2828"/>
        <v/>
      </c>
      <c r="X3518" s="105"/>
      <c r="Y3518" s="106"/>
      <c r="Z3518" s="26">
        <f t="shared" si="5"/>
        <v>-2</v>
      </c>
      <c r="AA3518" s="26">
        <f t="shared" si="6"/>
        <v>-3</v>
      </c>
      <c r="AB3518" s="32" t="str">
        <f t="shared" si="7"/>
        <v/>
      </c>
      <c r="AC3518" s="32" t="str">
        <f t="shared" ref="AC3518:AG3518" si="3620">IF(J3518&lt;&gt;"", IF(AND($P3518=FALSE, $A3518=FALSE), -J3518, IF(AND($P3518=FALSE, $A3518=TRUE), 0, IF($P3518=TRUE, (J3518 / $R3518) * 100 * ($S3518 / 100)-J3518, ))), )</f>
        <v/>
      </c>
      <c r="AD3518" s="32" t="str">
        <f t="shared" si="3620"/>
        <v/>
      </c>
      <c r="AE3518" s="32" t="str">
        <f t="shared" si="3620"/>
        <v/>
      </c>
      <c r="AF3518" s="32" t="str">
        <f t="shared" si="3620"/>
        <v/>
      </c>
      <c r="AG3518" s="32" t="str">
        <f t="shared" si="3620"/>
        <v/>
      </c>
      <c r="AH3518" s="33"/>
    </row>
    <row r="3519" hidden="1" outlineLevel="2">
      <c r="A3519" s="95" t="b">
        <v>0</v>
      </c>
      <c r="B3519" s="96"/>
      <c r="C3519" s="18"/>
      <c r="D3519" s="107"/>
      <c r="E3519" s="108"/>
      <c r="F3519" s="109"/>
      <c r="G3519" s="97"/>
      <c r="H3519" s="97"/>
      <c r="I3519" s="97"/>
      <c r="J3519" s="98"/>
      <c r="K3519" s="99"/>
      <c r="L3519" s="98"/>
      <c r="M3519" s="99"/>
      <c r="N3519" s="99"/>
      <c r="O3519" s="18"/>
      <c r="P3519" s="100" t="b">
        <v>0</v>
      </c>
      <c r="Q3519" s="18"/>
      <c r="R3519" s="101" t="str">
        <f t="shared" si="3377"/>
        <v/>
      </c>
      <c r="S3519" s="32"/>
      <c r="T3519" s="102" t="str">
        <f t="shared" si="3378"/>
        <v/>
      </c>
      <c r="U3519" s="18"/>
      <c r="V3519" s="103" t="str">
        <f t="shared" si="3621"/>
        <v>0</v>
      </c>
      <c r="W3519" s="104" t="str">
        <f t="shared" si="2828"/>
        <v>/</v>
      </c>
      <c r="X3519" s="111" t="s">
        <v>1593</v>
      </c>
      <c r="Y3519" s="106"/>
      <c r="Z3519" s="26" t="str">
        <f t="shared" si="5"/>
        <v/>
      </c>
      <c r="AA3519" s="26" t="str">
        <f t="shared" si="6"/>
        <v/>
      </c>
      <c r="AB3519" s="32" t="str">
        <f t="shared" si="7"/>
        <v/>
      </c>
      <c r="AC3519" s="32" t="str">
        <f t="shared" ref="AC3519:AG3519" si="3622">IF(J3519&lt;&gt;"", IF(AND($P3519=FALSE, $A3519=FALSE), -J3519, IF(AND($P3519=FALSE, $A3519=TRUE), 0, IF($P3519=TRUE, (J3519 / $R3519) * 100 * ($S3519 / 100)-J3519, ))), )</f>
        <v/>
      </c>
      <c r="AD3519" s="32" t="str">
        <f t="shared" si="3622"/>
        <v/>
      </c>
      <c r="AE3519" s="32" t="str">
        <f t="shared" si="3622"/>
        <v/>
      </c>
      <c r="AF3519" s="32" t="str">
        <f t="shared" si="3622"/>
        <v/>
      </c>
      <c r="AG3519" s="32" t="str">
        <f t="shared" si="3622"/>
        <v/>
      </c>
      <c r="AH3519" s="33"/>
    </row>
    <row r="3520" hidden="1" outlineLevel="2">
      <c r="A3520" s="95" t="b">
        <v>0</v>
      </c>
      <c r="B3520" s="96"/>
      <c r="C3520" s="18"/>
      <c r="D3520" s="107"/>
      <c r="E3520" s="108"/>
      <c r="F3520" s="109"/>
      <c r="G3520" s="97"/>
      <c r="H3520" s="97"/>
      <c r="I3520" s="97"/>
      <c r="J3520" s="98"/>
      <c r="K3520" s="99"/>
      <c r="L3520" s="98"/>
      <c r="M3520" s="99"/>
      <c r="N3520" s="99"/>
      <c r="O3520" s="18"/>
      <c r="P3520" s="100" t="b">
        <v>0</v>
      </c>
      <c r="Q3520" s="18"/>
      <c r="R3520" s="101" t="str">
        <f t="shared" si="3377"/>
        <v/>
      </c>
      <c r="S3520" s="32"/>
      <c r="T3520" s="102" t="str">
        <f t="shared" si="3378"/>
        <v/>
      </c>
      <c r="U3520" s="18"/>
      <c r="V3520" s="103" t="str">
        <f t="shared" si="3621"/>
        <v>0</v>
      </c>
      <c r="W3520" s="104" t="str">
        <f t="shared" si="2828"/>
        <v>/</v>
      </c>
      <c r="X3520" s="111" t="s">
        <v>2072</v>
      </c>
      <c r="Y3520" s="106"/>
      <c r="Z3520" s="26" t="str">
        <f t="shared" si="5"/>
        <v/>
      </c>
      <c r="AA3520" s="26" t="str">
        <f t="shared" si="6"/>
        <v/>
      </c>
      <c r="AB3520" s="32" t="str">
        <f t="shared" si="7"/>
        <v/>
      </c>
      <c r="AC3520" s="32" t="str">
        <f t="shared" ref="AC3520:AG3520" si="3623">IF(J3520&lt;&gt;"", IF(AND($P3520=FALSE, $A3520=FALSE), -J3520, IF(AND($P3520=FALSE, $A3520=TRUE), 0, IF($P3520=TRUE, (J3520 / $R3520) * 100 * ($S3520 / 100)-J3520, ))), )</f>
        <v/>
      </c>
      <c r="AD3520" s="32" t="str">
        <f t="shared" si="3623"/>
        <v/>
      </c>
      <c r="AE3520" s="32" t="str">
        <f t="shared" si="3623"/>
        <v/>
      </c>
      <c r="AF3520" s="32" t="str">
        <f t="shared" si="3623"/>
        <v/>
      </c>
      <c r="AG3520" s="32" t="str">
        <f t="shared" si="3623"/>
        <v/>
      </c>
      <c r="AH3520" s="33"/>
    </row>
    <row r="3521" hidden="1" outlineLevel="1" collapsed="1">
      <c r="A3521" s="95" t="b">
        <v>0</v>
      </c>
      <c r="B3521" s="96"/>
      <c r="C3521" s="18"/>
      <c r="D3521" s="42">
        <v>45921.0</v>
      </c>
      <c r="E3521" s="43" t="s">
        <v>24</v>
      </c>
      <c r="F3521" s="82" t="s">
        <v>2063</v>
      </c>
      <c r="G3521" s="97">
        <v>2.0</v>
      </c>
      <c r="H3521" s="97"/>
      <c r="I3521" s="97">
        <v>3.0</v>
      </c>
      <c r="J3521" s="98"/>
      <c r="K3521" s="99"/>
      <c r="L3521" s="98"/>
      <c r="M3521" s="99"/>
      <c r="N3521" s="99"/>
      <c r="O3521" s="18"/>
      <c r="P3521" s="100" t="b">
        <v>0</v>
      </c>
      <c r="Q3521" s="18"/>
      <c r="R3521" s="101">
        <f t="shared" si="3377"/>
        <v>5</v>
      </c>
      <c r="S3521" s="32">
        <v>24.38</v>
      </c>
      <c r="T3521" s="102" t="str">
        <f t="shared" si="3378"/>
        <v>+388</v>
      </c>
      <c r="U3521" s="18"/>
      <c r="V3521" s="103" t="str">
        <f t="shared" si="3621"/>
        <v/>
      </c>
      <c r="W3521" s="104" t="str">
        <f t="shared" si="2828"/>
        <v/>
      </c>
      <c r="X3521" s="105"/>
      <c r="Y3521" s="106"/>
      <c r="Z3521" s="26">
        <f t="shared" si="5"/>
        <v>-2</v>
      </c>
      <c r="AA3521" s="26">
        <f t="shared" si="6"/>
        <v>-3</v>
      </c>
      <c r="AB3521" s="32" t="str">
        <f t="shared" si="7"/>
        <v/>
      </c>
      <c r="AC3521" s="32" t="str">
        <f t="shared" ref="AC3521:AG3521" si="3624">IF(J3521&lt;&gt;"", IF(AND($P3521=FALSE, $A3521=FALSE), -J3521, IF(AND($P3521=FALSE, $A3521=TRUE), 0, IF($P3521=TRUE, (J3521 / $R3521) * 100 * ($S3521 / 100)-J3521, ))), )</f>
        <v/>
      </c>
      <c r="AD3521" s="32" t="str">
        <f t="shared" si="3624"/>
        <v/>
      </c>
      <c r="AE3521" s="32" t="str">
        <f t="shared" si="3624"/>
        <v/>
      </c>
      <c r="AF3521" s="32" t="str">
        <f t="shared" si="3624"/>
        <v/>
      </c>
      <c r="AG3521" s="32" t="str">
        <f t="shared" si="3624"/>
        <v/>
      </c>
      <c r="AH3521" s="33"/>
    </row>
    <row r="3522" hidden="1" outlineLevel="2">
      <c r="A3522" s="95" t="b">
        <v>0</v>
      </c>
      <c r="B3522" s="96"/>
      <c r="C3522" s="18"/>
      <c r="D3522" s="107"/>
      <c r="E3522" s="108"/>
      <c r="F3522" s="109"/>
      <c r="G3522" s="97"/>
      <c r="H3522" s="97"/>
      <c r="I3522" s="97"/>
      <c r="J3522" s="98"/>
      <c r="K3522" s="99"/>
      <c r="L3522" s="98"/>
      <c r="M3522" s="99"/>
      <c r="N3522" s="99"/>
      <c r="O3522" s="18"/>
      <c r="P3522" s="100" t="b">
        <v>0</v>
      </c>
      <c r="Q3522" s="18"/>
      <c r="R3522" s="101" t="str">
        <f t="shared" si="3377"/>
        <v/>
      </c>
      <c r="S3522" s="32"/>
      <c r="T3522" s="102" t="str">
        <f t="shared" si="3378"/>
        <v/>
      </c>
      <c r="U3522" s="18"/>
      <c r="V3522" s="113">
        <v>46.0</v>
      </c>
      <c r="W3522" s="104" t="str">
        <f t="shared" si="2828"/>
        <v>/</v>
      </c>
      <c r="X3522" s="111" t="s">
        <v>1959</v>
      </c>
      <c r="Y3522" s="106"/>
      <c r="Z3522" s="26" t="str">
        <f t="shared" si="5"/>
        <v/>
      </c>
      <c r="AA3522" s="26" t="str">
        <f t="shared" si="6"/>
        <v/>
      </c>
      <c r="AB3522" s="32" t="str">
        <f t="shared" si="7"/>
        <v/>
      </c>
      <c r="AC3522" s="32" t="str">
        <f t="shared" ref="AC3522:AG3522" si="3625">IF(J3522&lt;&gt;"", IF(AND($P3522=FALSE, $A3522=FALSE), -J3522, IF(AND($P3522=FALSE, $A3522=TRUE), 0, IF($P3522=TRUE, (J3522 / $R3522) * 100 * ($S3522 / 100)-J3522, ))), )</f>
        <v/>
      </c>
      <c r="AD3522" s="32" t="str">
        <f t="shared" si="3625"/>
        <v/>
      </c>
      <c r="AE3522" s="32" t="str">
        <f t="shared" si="3625"/>
        <v/>
      </c>
      <c r="AF3522" s="32" t="str">
        <f t="shared" si="3625"/>
        <v/>
      </c>
      <c r="AG3522" s="32" t="str">
        <f t="shared" si="3625"/>
        <v/>
      </c>
      <c r="AH3522" s="33"/>
    </row>
    <row r="3523" hidden="1" outlineLevel="2">
      <c r="A3523" s="95" t="b">
        <v>0</v>
      </c>
      <c r="B3523" s="96"/>
      <c r="C3523" s="18"/>
      <c r="D3523" s="107"/>
      <c r="E3523" s="108"/>
      <c r="F3523" s="109"/>
      <c r="G3523" s="97"/>
      <c r="H3523" s="97"/>
      <c r="I3523" s="97"/>
      <c r="J3523" s="98"/>
      <c r="K3523" s="99"/>
      <c r="L3523" s="98"/>
      <c r="M3523" s="99"/>
      <c r="N3523" s="99"/>
      <c r="O3523" s="18"/>
      <c r="P3523" s="100" t="b">
        <v>0</v>
      </c>
      <c r="Q3523" s="18"/>
      <c r="R3523" s="101" t="str">
        <f t="shared" si="3377"/>
        <v/>
      </c>
      <c r="S3523" s="32"/>
      <c r="T3523" s="102" t="str">
        <f t="shared" si="3378"/>
        <v/>
      </c>
      <c r="U3523" s="18"/>
      <c r="V3523" s="113">
        <v>196.0</v>
      </c>
      <c r="W3523" s="104" t="str">
        <f t="shared" si="2828"/>
        <v>/</v>
      </c>
      <c r="X3523" s="111" t="s">
        <v>890</v>
      </c>
      <c r="Y3523" s="106"/>
      <c r="Z3523" s="26" t="str">
        <f t="shared" si="5"/>
        <v/>
      </c>
      <c r="AA3523" s="26" t="str">
        <f t="shared" si="6"/>
        <v/>
      </c>
      <c r="AB3523" s="32" t="str">
        <f t="shared" si="7"/>
        <v/>
      </c>
      <c r="AC3523" s="32" t="str">
        <f t="shared" ref="AC3523:AG3523" si="3626">IF(J3523&lt;&gt;"", IF(AND($P3523=FALSE, $A3523=FALSE), -J3523, IF(AND($P3523=FALSE, $A3523=TRUE), 0, IF($P3523=TRUE, (J3523 / $R3523) * 100 * ($S3523 / 100)-J3523, ))), )</f>
        <v/>
      </c>
      <c r="AD3523" s="32" t="str">
        <f t="shared" si="3626"/>
        <v/>
      </c>
      <c r="AE3523" s="32" t="str">
        <f t="shared" si="3626"/>
        <v/>
      </c>
      <c r="AF3523" s="32" t="str">
        <f t="shared" si="3626"/>
        <v/>
      </c>
      <c r="AG3523" s="32" t="str">
        <f t="shared" si="3626"/>
        <v/>
      </c>
      <c r="AH3523" s="33"/>
    </row>
    <row r="3524" hidden="1" outlineLevel="2">
      <c r="A3524" s="95" t="b">
        <v>0</v>
      </c>
      <c r="B3524" s="96"/>
      <c r="C3524" s="18"/>
      <c r="D3524" s="107"/>
      <c r="E3524" s="108"/>
      <c r="F3524" s="109"/>
      <c r="G3524" s="97"/>
      <c r="H3524" s="97"/>
      <c r="I3524" s="97"/>
      <c r="J3524" s="98"/>
      <c r="K3524" s="99"/>
      <c r="L3524" s="98"/>
      <c r="M3524" s="99"/>
      <c r="N3524" s="99"/>
      <c r="O3524" s="18"/>
      <c r="P3524" s="100" t="b">
        <v>0</v>
      </c>
      <c r="Q3524" s="18"/>
      <c r="R3524" s="101" t="str">
        <f t="shared" si="3377"/>
        <v/>
      </c>
      <c r="S3524" s="32"/>
      <c r="T3524" s="102" t="str">
        <f t="shared" si="3378"/>
        <v/>
      </c>
      <c r="U3524" s="18"/>
      <c r="V3524" s="75" t="s">
        <v>29</v>
      </c>
      <c r="W3524" s="104" t="str">
        <f t="shared" si="2828"/>
        <v>/</v>
      </c>
      <c r="X3524" s="111" t="s">
        <v>2073</v>
      </c>
      <c r="Y3524" s="106"/>
      <c r="Z3524" s="26" t="str">
        <f t="shared" si="5"/>
        <v/>
      </c>
      <c r="AA3524" s="26" t="str">
        <f t="shared" si="6"/>
        <v/>
      </c>
      <c r="AB3524" s="32" t="str">
        <f t="shared" si="7"/>
        <v/>
      </c>
      <c r="AC3524" s="32" t="str">
        <f t="shared" ref="AC3524:AG3524" si="3627">IF(J3524&lt;&gt;"", IF(AND($P3524=FALSE, $A3524=FALSE), -J3524, IF(AND($P3524=FALSE, $A3524=TRUE), 0, IF($P3524=TRUE, (J3524 / $R3524) * 100 * ($S3524 / 100)-J3524, ))), )</f>
        <v/>
      </c>
      <c r="AD3524" s="32" t="str">
        <f t="shared" si="3627"/>
        <v/>
      </c>
      <c r="AE3524" s="32" t="str">
        <f t="shared" si="3627"/>
        <v/>
      </c>
      <c r="AF3524" s="32" t="str">
        <f t="shared" si="3627"/>
        <v/>
      </c>
      <c r="AG3524" s="32" t="str">
        <f t="shared" si="3627"/>
        <v/>
      </c>
      <c r="AH3524" s="33"/>
    </row>
    <row r="3525" hidden="1" outlineLevel="2">
      <c r="A3525" s="95" t="b">
        <v>0</v>
      </c>
      <c r="B3525" s="96"/>
      <c r="C3525" s="18"/>
      <c r="D3525" s="107"/>
      <c r="E3525" s="108"/>
      <c r="F3525" s="109"/>
      <c r="G3525" s="97"/>
      <c r="H3525" s="97"/>
      <c r="I3525" s="97"/>
      <c r="J3525" s="98"/>
      <c r="K3525" s="99"/>
      <c r="L3525" s="98"/>
      <c r="M3525" s="99"/>
      <c r="N3525" s="99"/>
      <c r="O3525" s="18"/>
      <c r="P3525" s="100" t="b">
        <v>0</v>
      </c>
      <c r="Q3525" s="18"/>
      <c r="R3525" s="101" t="str">
        <f t="shared" si="3377"/>
        <v/>
      </c>
      <c r="S3525" s="32"/>
      <c r="T3525" s="102" t="str">
        <f t="shared" si="3378"/>
        <v/>
      </c>
      <c r="U3525" s="18"/>
      <c r="V3525" s="103" t="str">
        <f t="shared" ref="V3525:V3526" si="3629">IF(ISBLANK($D3525), "0",)</f>
        <v>0</v>
      </c>
      <c r="W3525" s="104" t="str">
        <f t="shared" si="2828"/>
        <v>/</v>
      </c>
      <c r="X3525" s="111" t="s">
        <v>1494</v>
      </c>
      <c r="Y3525" s="106"/>
      <c r="Z3525" s="26" t="str">
        <f t="shared" si="5"/>
        <v/>
      </c>
      <c r="AA3525" s="26" t="str">
        <f t="shared" si="6"/>
        <v/>
      </c>
      <c r="AB3525" s="32" t="str">
        <f t="shared" si="7"/>
        <v/>
      </c>
      <c r="AC3525" s="32" t="str">
        <f t="shared" ref="AC3525:AG3525" si="3628">IF(J3525&lt;&gt;"", IF(AND($P3525=FALSE, $A3525=FALSE), -J3525, IF(AND($P3525=FALSE, $A3525=TRUE), 0, IF($P3525=TRUE, (J3525 / $R3525) * 100 * ($S3525 / 100)-J3525, ))), )</f>
        <v/>
      </c>
      <c r="AD3525" s="32" t="str">
        <f t="shared" si="3628"/>
        <v/>
      </c>
      <c r="AE3525" s="32" t="str">
        <f t="shared" si="3628"/>
        <v/>
      </c>
      <c r="AF3525" s="32" t="str">
        <f t="shared" si="3628"/>
        <v/>
      </c>
      <c r="AG3525" s="32" t="str">
        <f t="shared" si="3628"/>
        <v/>
      </c>
      <c r="AH3525" s="33"/>
    </row>
    <row r="3526" hidden="1" outlineLevel="1" collapsed="1">
      <c r="A3526" s="95" t="b">
        <v>0</v>
      </c>
      <c r="B3526" s="96"/>
      <c r="C3526" s="18"/>
      <c r="D3526" s="42">
        <v>45921.0</v>
      </c>
      <c r="E3526" s="43" t="s">
        <v>24</v>
      </c>
      <c r="F3526" s="82" t="s">
        <v>2063</v>
      </c>
      <c r="G3526" s="97">
        <v>2.0</v>
      </c>
      <c r="H3526" s="97"/>
      <c r="I3526" s="97">
        <v>3.0</v>
      </c>
      <c r="J3526" s="98"/>
      <c r="K3526" s="99"/>
      <c r="L3526" s="98"/>
      <c r="M3526" s="99"/>
      <c r="N3526" s="99"/>
      <c r="O3526" s="18"/>
      <c r="P3526" s="100" t="b">
        <v>0</v>
      </c>
      <c r="Q3526" s="18"/>
      <c r="R3526" s="101">
        <f t="shared" si="3377"/>
        <v>5</v>
      </c>
      <c r="S3526" s="32">
        <v>9.39</v>
      </c>
      <c r="T3526" s="102">
        <f t="shared" si="3378"/>
        <v>-114</v>
      </c>
      <c r="U3526" s="18"/>
      <c r="V3526" s="103" t="str">
        <f t="shared" si="3629"/>
        <v/>
      </c>
      <c r="W3526" s="104" t="str">
        <f t="shared" si="2828"/>
        <v/>
      </c>
      <c r="X3526" s="105"/>
      <c r="Y3526" s="106"/>
      <c r="Z3526" s="26">
        <f t="shared" si="5"/>
        <v>-2</v>
      </c>
      <c r="AA3526" s="26">
        <f t="shared" si="6"/>
        <v>-3</v>
      </c>
      <c r="AB3526" s="32" t="str">
        <f t="shared" si="7"/>
        <v/>
      </c>
      <c r="AC3526" s="32" t="str">
        <f t="shared" ref="AC3526:AG3526" si="3630">IF(J3526&lt;&gt;"", IF(AND($P3526=FALSE, $A3526=FALSE), -J3526, IF(AND($P3526=FALSE, $A3526=TRUE), 0, IF($P3526=TRUE, (J3526 / $R3526) * 100 * ($S3526 / 100)-J3526, ))), )</f>
        <v/>
      </c>
      <c r="AD3526" s="32" t="str">
        <f t="shared" si="3630"/>
        <v/>
      </c>
      <c r="AE3526" s="32" t="str">
        <f t="shared" si="3630"/>
        <v/>
      </c>
      <c r="AF3526" s="32" t="str">
        <f t="shared" si="3630"/>
        <v/>
      </c>
      <c r="AG3526" s="32" t="str">
        <f t="shared" si="3630"/>
        <v/>
      </c>
      <c r="AH3526" s="33"/>
    </row>
    <row r="3527" hidden="1" outlineLevel="2">
      <c r="A3527" s="95" t="b">
        <v>0</v>
      </c>
      <c r="B3527" s="96"/>
      <c r="C3527" s="18"/>
      <c r="D3527" s="107"/>
      <c r="E3527" s="108"/>
      <c r="F3527" s="109"/>
      <c r="G3527" s="97"/>
      <c r="H3527" s="97"/>
      <c r="I3527" s="97"/>
      <c r="J3527" s="98"/>
      <c r="K3527" s="99"/>
      <c r="L3527" s="98"/>
      <c r="M3527" s="99"/>
      <c r="N3527" s="99"/>
      <c r="O3527" s="18"/>
      <c r="P3527" s="100" t="b">
        <v>0</v>
      </c>
      <c r="Q3527" s="18"/>
      <c r="R3527" s="101" t="str">
        <f t="shared" si="3377"/>
        <v/>
      </c>
      <c r="S3527" s="32"/>
      <c r="T3527" s="102" t="str">
        <f t="shared" si="3378"/>
        <v/>
      </c>
      <c r="U3527" s="18"/>
      <c r="V3527" s="113">
        <v>66.0</v>
      </c>
      <c r="W3527" s="104" t="str">
        <f t="shared" si="2828"/>
        <v>/</v>
      </c>
      <c r="X3527" s="111" t="s">
        <v>2074</v>
      </c>
      <c r="Y3527" s="106"/>
      <c r="Z3527" s="26" t="str">
        <f t="shared" si="5"/>
        <v/>
      </c>
      <c r="AA3527" s="26" t="str">
        <f t="shared" si="6"/>
        <v/>
      </c>
      <c r="AB3527" s="32" t="str">
        <f t="shared" si="7"/>
        <v/>
      </c>
      <c r="AC3527" s="32" t="str">
        <f t="shared" ref="AC3527:AG3527" si="3631">IF(J3527&lt;&gt;"", IF(AND($P3527=FALSE, $A3527=FALSE), -J3527, IF(AND($P3527=FALSE, $A3527=TRUE), 0, IF($P3527=TRUE, (J3527 / $R3527) * 100 * ($S3527 / 100)-J3527, ))), )</f>
        <v/>
      </c>
      <c r="AD3527" s="32" t="str">
        <f t="shared" si="3631"/>
        <v/>
      </c>
      <c r="AE3527" s="32" t="str">
        <f t="shared" si="3631"/>
        <v/>
      </c>
      <c r="AF3527" s="32" t="str">
        <f t="shared" si="3631"/>
        <v/>
      </c>
      <c r="AG3527" s="32" t="str">
        <f t="shared" si="3631"/>
        <v/>
      </c>
      <c r="AH3527" s="33"/>
    </row>
    <row r="3528" hidden="1" outlineLevel="1">
      <c r="A3528" s="95" t="b">
        <v>0</v>
      </c>
      <c r="B3528" s="96"/>
      <c r="C3528" s="18"/>
      <c r="D3528" s="42">
        <v>45921.0</v>
      </c>
      <c r="E3528" s="43" t="s">
        <v>24</v>
      </c>
      <c r="F3528" s="82" t="s">
        <v>2063</v>
      </c>
      <c r="G3528" s="97">
        <v>3.0</v>
      </c>
      <c r="H3528" s="97"/>
      <c r="I3528" s="97">
        <v>3.0</v>
      </c>
      <c r="J3528" s="98"/>
      <c r="K3528" s="99"/>
      <c r="L3528" s="98"/>
      <c r="M3528" s="99"/>
      <c r="N3528" s="99"/>
      <c r="O3528" s="18"/>
      <c r="P3528" s="100" t="b">
        <v>0</v>
      </c>
      <c r="Q3528" s="18"/>
      <c r="R3528" s="101">
        <f t="shared" si="3377"/>
        <v>6</v>
      </c>
      <c r="S3528" s="32">
        <v>18.96</v>
      </c>
      <c r="T3528" s="102" t="str">
        <f t="shared" si="3378"/>
        <v>+216</v>
      </c>
      <c r="U3528" s="18"/>
      <c r="V3528" s="103" t="str">
        <f>IF(ISBLANK($D3528), "0",)</f>
        <v/>
      </c>
      <c r="W3528" s="104" t="str">
        <f t="shared" si="2828"/>
        <v/>
      </c>
      <c r="X3528" s="105"/>
      <c r="Y3528" s="106"/>
      <c r="Z3528" s="26">
        <f t="shared" si="5"/>
        <v>-3</v>
      </c>
      <c r="AA3528" s="26">
        <f t="shared" si="6"/>
        <v>-3</v>
      </c>
      <c r="AB3528" s="32" t="str">
        <f t="shared" si="7"/>
        <v/>
      </c>
      <c r="AC3528" s="32" t="str">
        <f t="shared" ref="AC3528:AG3528" si="3632">IF(J3528&lt;&gt;"", IF(AND($P3528=FALSE, $A3528=FALSE), -J3528, IF(AND($P3528=FALSE, $A3528=TRUE), 0, IF($P3528=TRUE, (J3528 / $R3528) * 100 * ($S3528 / 100)-J3528, ))), )</f>
        <v/>
      </c>
      <c r="AD3528" s="32" t="str">
        <f t="shared" si="3632"/>
        <v/>
      </c>
      <c r="AE3528" s="32" t="str">
        <f t="shared" si="3632"/>
        <v/>
      </c>
      <c r="AF3528" s="32" t="str">
        <f t="shared" si="3632"/>
        <v/>
      </c>
      <c r="AG3528" s="32" t="str">
        <f t="shared" si="3632"/>
        <v/>
      </c>
      <c r="AH3528" s="33"/>
    </row>
    <row r="3529" hidden="1" outlineLevel="2">
      <c r="A3529" s="95" t="b">
        <v>0</v>
      </c>
      <c r="B3529" s="96"/>
      <c r="C3529" s="18"/>
      <c r="D3529" s="107"/>
      <c r="E3529" s="108"/>
      <c r="F3529" s="109"/>
      <c r="G3529" s="97"/>
      <c r="H3529" s="97"/>
      <c r="I3529" s="97"/>
      <c r="J3529" s="98"/>
      <c r="K3529" s="99"/>
      <c r="L3529" s="98"/>
      <c r="M3529" s="99"/>
      <c r="N3529" s="99"/>
      <c r="O3529" s="18"/>
      <c r="P3529" s="100" t="b">
        <v>0</v>
      </c>
      <c r="Q3529" s="18"/>
      <c r="R3529" s="101" t="str">
        <f t="shared" si="3377"/>
        <v/>
      </c>
      <c r="S3529" s="32"/>
      <c r="T3529" s="102" t="str">
        <f t="shared" si="3378"/>
        <v/>
      </c>
      <c r="U3529" s="18"/>
      <c r="V3529" s="75" t="s">
        <v>29</v>
      </c>
      <c r="W3529" s="104" t="str">
        <f t="shared" si="2828"/>
        <v>/</v>
      </c>
      <c r="X3529" s="111" t="s">
        <v>2075</v>
      </c>
      <c r="Y3529" s="106"/>
      <c r="Z3529" s="26" t="str">
        <f t="shared" si="5"/>
        <v/>
      </c>
      <c r="AA3529" s="26" t="str">
        <f t="shared" si="6"/>
        <v/>
      </c>
      <c r="AB3529" s="32" t="str">
        <f t="shared" si="7"/>
        <v/>
      </c>
      <c r="AC3529" s="32" t="str">
        <f t="shared" ref="AC3529:AG3529" si="3633">IF(J3529&lt;&gt;"", IF(AND($P3529=FALSE, $A3529=FALSE), -J3529, IF(AND($P3529=FALSE, $A3529=TRUE), 0, IF($P3529=TRUE, (J3529 / $R3529) * 100 * ($S3529 / 100)-J3529, ))), )</f>
        <v/>
      </c>
      <c r="AD3529" s="32" t="str">
        <f t="shared" si="3633"/>
        <v/>
      </c>
      <c r="AE3529" s="32" t="str">
        <f t="shared" si="3633"/>
        <v/>
      </c>
      <c r="AF3529" s="32" t="str">
        <f t="shared" si="3633"/>
        <v/>
      </c>
      <c r="AG3529" s="32" t="str">
        <f t="shared" si="3633"/>
        <v/>
      </c>
      <c r="AH3529" s="33"/>
    </row>
    <row r="3530" hidden="1" outlineLevel="2">
      <c r="A3530" s="95" t="b">
        <v>0</v>
      </c>
      <c r="B3530" s="96"/>
      <c r="C3530" s="18"/>
      <c r="D3530" s="107"/>
      <c r="E3530" s="108"/>
      <c r="F3530" s="109"/>
      <c r="G3530" s="97"/>
      <c r="H3530" s="97"/>
      <c r="I3530" s="97"/>
      <c r="J3530" s="98"/>
      <c r="K3530" s="99"/>
      <c r="L3530" s="98"/>
      <c r="M3530" s="99"/>
      <c r="N3530" s="99"/>
      <c r="O3530" s="18"/>
      <c r="P3530" s="100" t="b">
        <v>0</v>
      </c>
      <c r="Q3530" s="18"/>
      <c r="R3530" s="101" t="str">
        <f t="shared" si="3377"/>
        <v/>
      </c>
      <c r="S3530" s="32"/>
      <c r="T3530" s="102" t="str">
        <f t="shared" si="3378"/>
        <v/>
      </c>
      <c r="U3530" s="18"/>
      <c r="V3530" s="103" t="str">
        <f>IF(ISBLANK($D3530), "0",)</f>
        <v>0</v>
      </c>
      <c r="W3530" s="104" t="str">
        <f t="shared" si="2828"/>
        <v>/</v>
      </c>
      <c r="X3530" s="111" t="s">
        <v>493</v>
      </c>
      <c r="Y3530" s="106"/>
      <c r="Z3530" s="26" t="str">
        <f t="shared" si="5"/>
        <v/>
      </c>
      <c r="AA3530" s="26" t="str">
        <f t="shared" si="6"/>
        <v/>
      </c>
      <c r="AB3530" s="32" t="str">
        <f t="shared" si="7"/>
        <v/>
      </c>
      <c r="AC3530" s="32" t="str">
        <f t="shared" ref="AC3530:AG3530" si="3634">IF(J3530&lt;&gt;"", IF(AND($P3530=FALSE, $A3530=FALSE), -J3530, IF(AND($P3530=FALSE, $A3530=TRUE), 0, IF($P3530=TRUE, (J3530 / $R3530) * 100 * ($S3530 / 100)-J3530, ))), )</f>
        <v/>
      </c>
      <c r="AD3530" s="32" t="str">
        <f t="shared" si="3634"/>
        <v/>
      </c>
      <c r="AE3530" s="32" t="str">
        <f t="shared" si="3634"/>
        <v/>
      </c>
      <c r="AF3530" s="32" t="str">
        <f t="shared" si="3634"/>
        <v/>
      </c>
      <c r="AG3530" s="32" t="str">
        <f t="shared" si="3634"/>
        <v/>
      </c>
      <c r="AH3530" s="33"/>
    </row>
    <row r="3531" hidden="1" outlineLevel="2">
      <c r="A3531" s="95" t="b">
        <v>0</v>
      </c>
      <c r="B3531" s="96"/>
      <c r="C3531" s="18"/>
      <c r="D3531" s="107"/>
      <c r="E3531" s="108"/>
      <c r="F3531" s="109"/>
      <c r="G3531" s="97"/>
      <c r="H3531" s="97"/>
      <c r="I3531" s="97"/>
      <c r="J3531" s="98"/>
      <c r="K3531" s="99"/>
      <c r="L3531" s="98"/>
      <c r="M3531" s="99"/>
      <c r="N3531" s="99"/>
      <c r="O3531" s="18"/>
      <c r="P3531" s="100" t="b">
        <v>0</v>
      </c>
      <c r="Q3531" s="18"/>
      <c r="R3531" s="101" t="str">
        <f t="shared" si="3377"/>
        <v/>
      </c>
      <c r="S3531" s="32"/>
      <c r="T3531" s="102" t="str">
        <f t="shared" si="3378"/>
        <v/>
      </c>
      <c r="U3531" s="18"/>
      <c r="V3531" s="75" t="s">
        <v>29</v>
      </c>
      <c r="W3531" s="104" t="str">
        <f t="shared" si="2828"/>
        <v>/</v>
      </c>
      <c r="X3531" s="111" t="s">
        <v>2076</v>
      </c>
      <c r="Y3531" s="106"/>
      <c r="Z3531" s="26" t="str">
        <f t="shared" si="5"/>
        <v/>
      </c>
      <c r="AA3531" s="26" t="str">
        <f t="shared" si="6"/>
        <v/>
      </c>
      <c r="AB3531" s="32" t="str">
        <f t="shared" si="7"/>
        <v/>
      </c>
      <c r="AC3531" s="32" t="str">
        <f t="shared" ref="AC3531:AG3531" si="3635">IF(J3531&lt;&gt;"", IF(AND($P3531=FALSE, $A3531=FALSE), -J3531, IF(AND($P3531=FALSE, $A3531=TRUE), 0, IF($P3531=TRUE, (J3531 / $R3531) * 100 * ($S3531 / 100)-J3531, ))), )</f>
        <v/>
      </c>
      <c r="AD3531" s="32" t="str">
        <f t="shared" si="3635"/>
        <v/>
      </c>
      <c r="AE3531" s="32" t="str">
        <f t="shared" si="3635"/>
        <v/>
      </c>
      <c r="AF3531" s="32" t="str">
        <f t="shared" si="3635"/>
        <v/>
      </c>
      <c r="AG3531" s="32" t="str">
        <f t="shared" si="3635"/>
        <v/>
      </c>
      <c r="AH3531" s="33"/>
    </row>
    <row r="3532" collapsed="1">
      <c r="A3532" s="95" t="b">
        <v>0</v>
      </c>
      <c r="B3532" s="96"/>
      <c r="C3532" s="18"/>
      <c r="D3532" s="42">
        <v>45925.0</v>
      </c>
      <c r="E3532" s="43" t="s">
        <v>24</v>
      </c>
      <c r="F3532" s="53" t="s">
        <v>2077</v>
      </c>
      <c r="G3532" s="97">
        <v>2.0</v>
      </c>
      <c r="H3532" s="97"/>
      <c r="I3532" s="97">
        <v>3.0</v>
      </c>
      <c r="J3532" s="98"/>
      <c r="K3532" s="99"/>
      <c r="L3532" s="98"/>
      <c r="M3532" s="99"/>
      <c r="N3532" s="99"/>
      <c r="O3532" s="18"/>
      <c r="P3532" s="100" t="b">
        <v>1</v>
      </c>
      <c r="Q3532" s="18"/>
      <c r="R3532" s="101">
        <f t="shared" si="3377"/>
        <v>5</v>
      </c>
      <c r="S3532" s="32">
        <v>11.1</v>
      </c>
      <c r="T3532" s="102" t="str">
        <f t="shared" si="3378"/>
        <v>+122</v>
      </c>
      <c r="U3532" s="18"/>
      <c r="V3532" s="103" t="str">
        <f>IF(ISBLANK($D3532), "0",)</f>
        <v/>
      </c>
      <c r="W3532" s="104" t="str">
        <f t="shared" si="2828"/>
        <v/>
      </c>
      <c r="X3532" s="105"/>
      <c r="Y3532" s="106"/>
      <c r="Z3532" s="26">
        <f t="shared" si="5"/>
        <v>2.44</v>
      </c>
      <c r="AA3532" s="26">
        <f t="shared" si="6"/>
        <v>3.66</v>
      </c>
      <c r="AB3532" s="32" t="str">
        <f t="shared" si="7"/>
        <v/>
      </c>
      <c r="AC3532" s="32" t="str">
        <f t="shared" ref="AC3532:AG3532" si="3636">IF(J3532&lt;&gt;"", IF(AND($P3532=FALSE, $A3532=FALSE), -J3532, IF(AND($P3532=FALSE, $A3532=TRUE), 0, IF($P3532=TRUE, (J3532 / $R3532) * 100 * ($S3532 / 100)-J3532, ))), )</f>
        <v/>
      </c>
      <c r="AD3532" s="32" t="str">
        <f t="shared" si="3636"/>
        <v/>
      </c>
      <c r="AE3532" s="32" t="str">
        <f t="shared" si="3636"/>
        <v/>
      </c>
      <c r="AF3532" s="32" t="str">
        <f t="shared" si="3636"/>
        <v/>
      </c>
      <c r="AG3532" s="32" t="str">
        <f t="shared" si="3636"/>
        <v/>
      </c>
      <c r="AH3532" s="33"/>
    </row>
    <row r="3533" hidden="1" outlineLevel="2">
      <c r="A3533" s="95" t="b">
        <v>0</v>
      </c>
      <c r="B3533" s="96"/>
      <c r="C3533" s="18"/>
      <c r="D3533" s="107"/>
      <c r="E3533" s="108"/>
      <c r="F3533" s="109"/>
      <c r="G3533" s="97"/>
      <c r="H3533" s="97"/>
      <c r="I3533" s="97"/>
      <c r="J3533" s="98"/>
      <c r="K3533" s="99"/>
      <c r="L3533" s="98"/>
      <c r="M3533" s="99"/>
      <c r="N3533" s="99"/>
      <c r="O3533" s="18"/>
      <c r="P3533" s="100" t="b">
        <v>0</v>
      </c>
      <c r="Q3533" s="18"/>
      <c r="R3533" s="101" t="str">
        <f t="shared" si="3377"/>
        <v/>
      </c>
      <c r="S3533" s="32"/>
      <c r="T3533" s="102" t="str">
        <f t="shared" si="3378"/>
        <v/>
      </c>
      <c r="U3533" s="18"/>
      <c r="V3533" s="75" t="s">
        <v>29</v>
      </c>
      <c r="W3533" s="104" t="str">
        <f t="shared" si="2828"/>
        <v>/</v>
      </c>
      <c r="X3533" s="111" t="s">
        <v>2078</v>
      </c>
      <c r="Y3533" s="106"/>
      <c r="Z3533" s="26" t="str">
        <f t="shared" si="5"/>
        <v/>
      </c>
      <c r="AA3533" s="26" t="str">
        <f t="shared" si="6"/>
        <v/>
      </c>
      <c r="AB3533" s="32" t="str">
        <f t="shared" si="7"/>
        <v/>
      </c>
      <c r="AC3533" s="32" t="str">
        <f t="shared" ref="AC3533:AG3533" si="3637">IF(J3533&lt;&gt;"", IF(AND($P3533=FALSE, $A3533=FALSE), -J3533, IF(AND($P3533=FALSE, $A3533=TRUE), 0, IF($P3533=TRUE, (J3533 / $R3533) * 100 * ($S3533 / 100)-J3533, ))), )</f>
        <v/>
      </c>
      <c r="AD3533" s="32" t="str">
        <f t="shared" si="3637"/>
        <v/>
      </c>
      <c r="AE3533" s="32" t="str">
        <f t="shared" si="3637"/>
        <v/>
      </c>
      <c r="AF3533" s="32" t="str">
        <f t="shared" si="3637"/>
        <v/>
      </c>
      <c r="AG3533" s="32" t="str">
        <f t="shared" si="3637"/>
        <v/>
      </c>
      <c r="AH3533" s="33"/>
    </row>
    <row r="3534" hidden="1" outlineLevel="1">
      <c r="A3534" s="95" t="b">
        <v>0</v>
      </c>
      <c r="B3534" s="96"/>
      <c r="C3534" s="18"/>
      <c r="D3534" s="42">
        <v>45925.0</v>
      </c>
      <c r="E3534" s="43" t="s">
        <v>24</v>
      </c>
      <c r="F3534" s="53" t="s">
        <v>2077</v>
      </c>
      <c r="G3534" s="97">
        <v>3.0</v>
      </c>
      <c r="H3534" s="97"/>
      <c r="I3534" s="97">
        <v>3.0</v>
      </c>
      <c r="J3534" s="98"/>
      <c r="K3534" s="99"/>
      <c r="L3534" s="98"/>
      <c r="M3534" s="99"/>
      <c r="N3534" s="99"/>
      <c r="O3534" s="18"/>
      <c r="P3534" s="100" t="b">
        <v>1</v>
      </c>
      <c r="Q3534" s="18"/>
      <c r="R3534" s="101">
        <f t="shared" si="3377"/>
        <v>6</v>
      </c>
      <c r="S3534" s="32">
        <v>16.55</v>
      </c>
      <c r="T3534" s="102" t="str">
        <f t="shared" si="3378"/>
        <v>+176</v>
      </c>
      <c r="U3534" s="18"/>
      <c r="V3534" s="103" t="str">
        <f>IF(ISBLANK($D3534), "0",)</f>
        <v/>
      </c>
      <c r="W3534" s="104" t="str">
        <f t="shared" si="2828"/>
        <v/>
      </c>
      <c r="X3534" s="105"/>
      <c r="Y3534" s="106"/>
      <c r="Z3534" s="26">
        <f t="shared" si="5"/>
        <v>5.275</v>
      </c>
      <c r="AA3534" s="26">
        <f t="shared" si="6"/>
        <v>5.275</v>
      </c>
      <c r="AB3534" s="32" t="str">
        <f t="shared" si="7"/>
        <v/>
      </c>
      <c r="AC3534" s="32" t="str">
        <f t="shared" ref="AC3534:AG3534" si="3638">IF(J3534&lt;&gt;"", IF(AND($P3534=FALSE, $A3534=FALSE), -J3534, IF(AND($P3534=FALSE, $A3534=TRUE), 0, IF($P3534=TRUE, (J3534 / $R3534) * 100 * ($S3534 / 100)-J3534, ))), )</f>
        <v/>
      </c>
      <c r="AD3534" s="32" t="str">
        <f t="shared" si="3638"/>
        <v/>
      </c>
      <c r="AE3534" s="32" t="str">
        <f t="shared" si="3638"/>
        <v/>
      </c>
      <c r="AF3534" s="32" t="str">
        <f t="shared" si="3638"/>
        <v/>
      </c>
      <c r="AG3534" s="32" t="str">
        <f t="shared" si="3638"/>
        <v/>
      </c>
      <c r="AH3534" s="33"/>
    </row>
    <row r="3535" hidden="1" outlineLevel="2">
      <c r="A3535" s="95" t="b">
        <v>0</v>
      </c>
      <c r="B3535" s="96"/>
      <c r="C3535" s="18"/>
      <c r="D3535" s="107"/>
      <c r="E3535" s="108"/>
      <c r="F3535" s="109"/>
      <c r="G3535" s="97"/>
      <c r="H3535" s="97"/>
      <c r="I3535" s="97"/>
      <c r="J3535" s="98"/>
      <c r="K3535" s="99"/>
      <c r="L3535" s="98"/>
      <c r="M3535" s="99"/>
      <c r="N3535" s="99"/>
      <c r="O3535" s="18"/>
      <c r="P3535" s="100" t="b">
        <v>0</v>
      </c>
      <c r="Q3535" s="18"/>
      <c r="R3535" s="101" t="str">
        <f t="shared" si="3377"/>
        <v/>
      </c>
      <c r="S3535" s="32"/>
      <c r="T3535" s="102" t="str">
        <f t="shared" si="3378"/>
        <v/>
      </c>
      <c r="U3535" s="18"/>
      <c r="V3535" s="75" t="s">
        <v>29</v>
      </c>
      <c r="W3535" s="104" t="str">
        <f t="shared" si="2828"/>
        <v>/</v>
      </c>
      <c r="X3535" s="111" t="s">
        <v>2079</v>
      </c>
      <c r="Y3535" s="106"/>
      <c r="Z3535" s="26" t="str">
        <f t="shared" si="5"/>
        <v/>
      </c>
      <c r="AA3535" s="26" t="str">
        <f t="shared" si="6"/>
        <v/>
      </c>
      <c r="AB3535" s="32" t="str">
        <f t="shared" si="7"/>
        <v/>
      </c>
      <c r="AC3535" s="32" t="str">
        <f t="shared" ref="AC3535:AG3535" si="3639">IF(J3535&lt;&gt;"", IF(AND($P3535=FALSE, $A3535=FALSE), -J3535, IF(AND($P3535=FALSE, $A3535=TRUE), 0, IF($P3535=TRUE, (J3535 / $R3535) * 100 * ($S3535 / 100)-J3535, ))), )</f>
        <v/>
      </c>
      <c r="AD3535" s="32" t="str">
        <f t="shared" si="3639"/>
        <v/>
      </c>
      <c r="AE3535" s="32" t="str">
        <f t="shared" si="3639"/>
        <v/>
      </c>
      <c r="AF3535" s="32" t="str">
        <f t="shared" si="3639"/>
        <v/>
      </c>
      <c r="AG3535" s="32" t="str">
        <f t="shared" si="3639"/>
        <v/>
      </c>
      <c r="AH3535" s="33"/>
    </row>
    <row r="3536" hidden="1" outlineLevel="2">
      <c r="A3536" s="95" t="b">
        <v>0</v>
      </c>
      <c r="B3536" s="96"/>
      <c r="C3536" s="18"/>
      <c r="D3536" s="107"/>
      <c r="E3536" s="108"/>
      <c r="F3536" s="109"/>
      <c r="G3536" s="97"/>
      <c r="H3536" s="97"/>
      <c r="I3536" s="97"/>
      <c r="J3536" s="98"/>
      <c r="K3536" s="99"/>
      <c r="L3536" s="98"/>
      <c r="M3536" s="99"/>
      <c r="N3536" s="99"/>
      <c r="O3536" s="18"/>
      <c r="P3536" s="100" t="b">
        <v>0</v>
      </c>
      <c r="Q3536" s="18"/>
      <c r="R3536" s="101" t="str">
        <f t="shared" si="3377"/>
        <v/>
      </c>
      <c r="S3536" s="32"/>
      <c r="T3536" s="102" t="str">
        <f t="shared" si="3378"/>
        <v/>
      </c>
      <c r="U3536" s="18"/>
      <c r="V3536" s="75" t="s">
        <v>29</v>
      </c>
      <c r="W3536" s="104" t="str">
        <f t="shared" si="2828"/>
        <v>/</v>
      </c>
      <c r="X3536" s="111" t="s">
        <v>1602</v>
      </c>
      <c r="Y3536" s="106"/>
      <c r="Z3536" s="26" t="str">
        <f t="shared" si="5"/>
        <v/>
      </c>
      <c r="AA3536" s="26" t="str">
        <f t="shared" si="6"/>
        <v/>
      </c>
      <c r="AB3536" s="32" t="str">
        <f t="shared" si="7"/>
        <v/>
      </c>
      <c r="AC3536" s="32" t="str">
        <f t="shared" ref="AC3536:AG3536" si="3640">IF(J3536&lt;&gt;"", IF(AND($P3536=FALSE, $A3536=FALSE), -J3536, IF(AND($P3536=FALSE, $A3536=TRUE), 0, IF($P3536=TRUE, (J3536 / $R3536) * 100 * ($S3536 / 100)-J3536, ))), )</f>
        <v/>
      </c>
      <c r="AD3536" s="32" t="str">
        <f t="shared" si="3640"/>
        <v/>
      </c>
      <c r="AE3536" s="32" t="str">
        <f t="shared" si="3640"/>
        <v/>
      </c>
      <c r="AF3536" s="32" t="str">
        <f t="shared" si="3640"/>
        <v/>
      </c>
      <c r="AG3536" s="32" t="str">
        <f t="shared" si="3640"/>
        <v/>
      </c>
      <c r="AH3536" s="33"/>
    </row>
    <row r="3537" hidden="1" outlineLevel="2">
      <c r="A3537" s="95" t="b">
        <v>0</v>
      </c>
      <c r="B3537" s="96"/>
      <c r="C3537" s="18"/>
      <c r="D3537" s="107"/>
      <c r="E3537" s="108"/>
      <c r="F3537" s="109"/>
      <c r="G3537" s="97"/>
      <c r="H3537" s="97"/>
      <c r="I3537" s="97"/>
      <c r="J3537" s="98"/>
      <c r="K3537" s="99"/>
      <c r="L3537" s="98"/>
      <c r="M3537" s="99"/>
      <c r="N3537" s="99"/>
      <c r="O3537" s="18"/>
      <c r="P3537" s="100" t="b">
        <v>0</v>
      </c>
      <c r="Q3537" s="18"/>
      <c r="R3537" s="101" t="str">
        <f t="shared" si="3377"/>
        <v/>
      </c>
      <c r="S3537" s="32"/>
      <c r="T3537" s="102" t="str">
        <f t="shared" si="3378"/>
        <v/>
      </c>
      <c r="U3537" s="18"/>
      <c r="V3537" s="75" t="s">
        <v>29</v>
      </c>
      <c r="W3537" s="104" t="str">
        <f t="shared" si="2828"/>
        <v>/</v>
      </c>
      <c r="X3537" s="111" t="s">
        <v>2080</v>
      </c>
      <c r="Y3537" s="106"/>
      <c r="Z3537" s="26" t="str">
        <f t="shared" si="5"/>
        <v/>
      </c>
      <c r="AA3537" s="26" t="str">
        <f t="shared" si="6"/>
        <v/>
      </c>
      <c r="AB3537" s="32" t="str">
        <f t="shared" si="7"/>
        <v/>
      </c>
      <c r="AC3537" s="32" t="str">
        <f t="shared" ref="AC3537:AG3537" si="3641">IF(J3537&lt;&gt;"", IF(AND($P3537=FALSE, $A3537=FALSE), -J3537, IF(AND($P3537=FALSE, $A3537=TRUE), 0, IF($P3537=TRUE, (J3537 / $R3537) * 100 * ($S3537 / 100)-J3537, ))), )</f>
        <v/>
      </c>
      <c r="AD3537" s="32" t="str">
        <f t="shared" si="3641"/>
        <v/>
      </c>
      <c r="AE3537" s="32" t="str">
        <f t="shared" si="3641"/>
        <v/>
      </c>
      <c r="AF3537" s="32" t="str">
        <f t="shared" si="3641"/>
        <v/>
      </c>
      <c r="AG3537" s="32" t="str">
        <f t="shared" si="3641"/>
        <v/>
      </c>
      <c r="AH3537" s="33"/>
    </row>
    <row r="3538" hidden="1" outlineLevel="1">
      <c r="A3538" s="95" t="b">
        <v>0</v>
      </c>
      <c r="B3538" s="96"/>
      <c r="C3538" s="18"/>
      <c r="D3538" s="42">
        <v>45925.0</v>
      </c>
      <c r="E3538" s="43" t="s">
        <v>24</v>
      </c>
      <c r="F3538" s="53" t="s">
        <v>2077</v>
      </c>
      <c r="G3538" s="97">
        <v>2.0</v>
      </c>
      <c r="H3538" s="97"/>
      <c r="I3538" s="97">
        <v>3.0</v>
      </c>
      <c r="J3538" s="98"/>
      <c r="K3538" s="99"/>
      <c r="L3538" s="98"/>
      <c r="M3538" s="99"/>
      <c r="N3538" s="99"/>
      <c r="O3538" s="18"/>
      <c r="P3538" s="100" t="b">
        <v>1</v>
      </c>
      <c r="Q3538" s="18"/>
      <c r="R3538" s="101">
        <f t="shared" si="3377"/>
        <v>5</v>
      </c>
      <c r="S3538" s="32">
        <v>11.7</v>
      </c>
      <c r="T3538" s="102" t="str">
        <f t="shared" si="3378"/>
        <v>+134</v>
      </c>
      <c r="U3538" s="18"/>
      <c r="V3538" s="103" t="str">
        <f>IF(ISBLANK($D3538), "0",)</f>
        <v/>
      </c>
      <c r="W3538" s="104" t="str">
        <f t="shared" si="2828"/>
        <v/>
      </c>
      <c r="X3538" s="105"/>
      <c r="Y3538" s="106"/>
      <c r="Z3538" s="26">
        <f t="shared" si="5"/>
        <v>2.68</v>
      </c>
      <c r="AA3538" s="26">
        <f t="shared" si="6"/>
        <v>4.02</v>
      </c>
      <c r="AB3538" s="32" t="str">
        <f t="shared" si="7"/>
        <v/>
      </c>
      <c r="AC3538" s="32" t="str">
        <f t="shared" ref="AC3538:AG3538" si="3642">IF(J3538&lt;&gt;"", IF(AND($P3538=FALSE, $A3538=FALSE), -J3538, IF(AND($P3538=FALSE, $A3538=TRUE), 0, IF($P3538=TRUE, (J3538 / $R3538) * 100 * ($S3538 / 100)-J3538, ))), )</f>
        <v/>
      </c>
      <c r="AD3538" s="32" t="str">
        <f t="shared" si="3642"/>
        <v/>
      </c>
      <c r="AE3538" s="32" t="str">
        <f t="shared" si="3642"/>
        <v/>
      </c>
      <c r="AF3538" s="32" t="str">
        <f t="shared" si="3642"/>
        <v/>
      </c>
      <c r="AG3538" s="32" t="str">
        <f t="shared" si="3642"/>
        <v/>
      </c>
      <c r="AH3538" s="33"/>
    </row>
    <row r="3539" hidden="1" outlineLevel="2">
      <c r="A3539" s="95" t="b">
        <v>0</v>
      </c>
      <c r="B3539" s="96"/>
      <c r="C3539" s="18"/>
      <c r="D3539" s="107"/>
      <c r="E3539" s="108"/>
      <c r="F3539" s="109"/>
      <c r="G3539" s="97"/>
      <c r="H3539" s="97"/>
      <c r="I3539" s="97"/>
      <c r="J3539" s="98"/>
      <c r="K3539" s="99"/>
      <c r="L3539" s="98"/>
      <c r="M3539" s="99"/>
      <c r="N3539" s="99"/>
      <c r="O3539" s="18"/>
      <c r="P3539" s="100" t="b">
        <v>0</v>
      </c>
      <c r="Q3539" s="18"/>
      <c r="R3539" s="101" t="str">
        <f t="shared" si="3377"/>
        <v/>
      </c>
      <c r="S3539" s="32"/>
      <c r="T3539" s="102" t="str">
        <f t="shared" si="3378"/>
        <v/>
      </c>
      <c r="U3539" s="18"/>
      <c r="V3539" s="75" t="s">
        <v>29</v>
      </c>
      <c r="W3539" s="104" t="str">
        <f t="shared" si="2828"/>
        <v>/</v>
      </c>
      <c r="X3539" s="111" t="s">
        <v>2081</v>
      </c>
      <c r="Y3539" s="106"/>
      <c r="Z3539" s="26" t="str">
        <f t="shared" si="5"/>
        <v/>
      </c>
      <c r="AA3539" s="26" t="str">
        <f t="shared" si="6"/>
        <v/>
      </c>
      <c r="AB3539" s="32" t="str">
        <f t="shared" si="7"/>
        <v/>
      </c>
      <c r="AC3539" s="32" t="str">
        <f t="shared" ref="AC3539:AG3539" si="3643">IF(J3539&lt;&gt;"", IF(AND($P3539=FALSE, $A3539=FALSE), -J3539, IF(AND($P3539=FALSE, $A3539=TRUE), 0, IF($P3539=TRUE, (J3539 / $R3539) * 100 * ($S3539 / 100)-J3539, ))), )</f>
        <v/>
      </c>
      <c r="AD3539" s="32" t="str">
        <f t="shared" si="3643"/>
        <v/>
      </c>
      <c r="AE3539" s="32" t="str">
        <f t="shared" si="3643"/>
        <v/>
      </c>
      <c r="AF3539" s="32" t="str">
        <f t="shared" si="3643"/>
        <v/>
      </c>
      <c r="AG3539" s="32" t="str">
        <f t="shared" si="3643"/>
        <v/>
      </c>
      <c r="AH3539" s="33"/>
    </row>
    <row r="3540" collapsed="1">
      <c r="A3540" s="95" t="b">
        <v>0</v>
      </c>
      <c r="B3540" s="96"/>
      <c r="C3540" s="18"/>
      <c r="D3540" s="42">
        <v>45928.0</v>
      </c>
      <c r="E3540" s="43" t="s">
        <v>24</v>
      </c>
      <c r="F3540" s="53" t="s">
        <v>2077</v>
      </c>
      <c r="G3540" s="97">
        <v>2.0</v>
      </c>
      <c r="H3540" s="97"/>
      <c r="I3540" s="97">
        <v>3.0</v>
      </c>
      <c r="J3540" s="98"/>
      <c r="K3540" s="99"/>
      <c r="L3540" s="98"/>
      <c r="M3540" s="99"/>
      <c r="N3540" s="99"/>
      <c r="O3540" s="18"/>
      <c r="P3540" s="100" t="b">
        <v>0</v>
      </c>
      <c r="Q3540" s="18"/>
      <c r="R3540" s="101">
        <f t="shared" si="3377"/>
        <v>5</v>
      </c>
      <c r="S3540" s="32">
        <v>15.15</v>
      </c>
      <c r="T3540" s="102" t="str">
        <f t="shared" si="3378"/>
        <v>+203</v>
      </c>
      <c r="U3540" s="18"/>
      <c r="V3540" s="103" t="str">
        <f>IF(ISBLANK($D3540), "0",)</f>
        <v/>
      </c>
      <c r="W3540" s="104" t="str">
        <f t="shared" si="2828"/>
        <v/>
      </c>
      <c r="X3540" s="105"/>
      <c r="Y3540" s="106"/>
      <c r="Z3540" s="26">
        <f t="shared" si="5"/>
        <v>-2</v>
      </c>
      <c r="AA3540" s="26">
        <f t="shared" si="6"/>
        <v>-3</v>
      </c>
      <c r="AB3540" s="32" t="str">
        <f t="shared" si="7"/>
        <v/>
      </c>
      <c r="AC3540" s="32" t="str">
        <f t="shared" ref="AC3540:AG3540" si="3644">IF(J3540&lt;&gt;"", IF(AND($P3540=FALSE, $A3540=FALSE), -J3540, IF(AND($P3540=FALSE, $A3540=TRUE), 0, IF($P3540=TRUE, (J3540 / $R3540) * 100 * ($S3540 / 100)-J3540, ))), )</f>
        <v/>
      </c>
      <c r="AD3540" s="32" t="str">
        <f t="shared" si="3644"/>
        <v/>
      </c>
      <c r="AE3540" s="32" t="str">
        <f t="shared" si="3644"/>
        <v/>
      </c>
      <c r="AF3540" s="32" t="str">
        <f t="shared" si="3644"/>
        <v/>
      </c>
      <c r="AG3540" s="32" t="str">
        <f t="shared" si="3644"/>
        <v/>
      </c>
      <c r="AH3540" s="33"/>
    </row>
    <row r="3541" hidden="1" outlineLevel="2">
      <c r="A3541" s="95" t="b">
        <v>0</v>
      </c>
      <c r="B3541" s="96"/>
      <c r="C3541" s="18"/>
      <c r="D3541" s="107"/>
      <c r="E3541" s="108"/>
      <c r="F3541" s="109"/>
      <c r="G3541" s="97"/>
      <c r="H3541" s="97"/>
      <c r="I3541" s="97"/>
      <c r="J3541" s="98"/>
      <c r="K3541" s="99"/>
      <c r="L3541" s="98"/>
      <c r="M3541" s="99"/>
      <c r="N3541" s="99"/>
      <c r="O3541" s="18"/>
      <c r="P3541" s="100" t="b">
        <v>0</v>
      </c>
      <c r="Q3541" s="18"/>
      <c r="R3541" s="101" t="str">
        <f t="shared" si="3377"/>
        <v/>
      </c>
      <c r="S3541" s="32"/>
      <c r="T3541" s="102" t="str">
        <f t="shared" si="3378"/>
        <v/>
      </c>
      <c r="U3541" s="18"/>
      <c r="V3541" s="113">
        <v>37.0</v>
      </c>
      <c r="W3541" s="104" t="str">
        <f t="shared" si="2828"/>
        <v>/</v>
      </c>
      <c r="X3541" s="111" t="s">
        <v>2082</v>
      </c>
      <c r="Y3541" s="106"/>
      <c r="Z3541" s="26" t="str">
        <f t="shared" si="5"/>
        <v/>
      </c>
      <c r="AA3541" s="26" t="str">
        <f t="shared" si="6"/>
        <v/>
      </c>
      <c r="AB3541" s="32" t="str">
        <f t="shared" si="7"/>
        <v/>
      </c>
      <c r="AC3541" s="32" t="str">
        <f t="shared" ref="AC3541:AG3541" si="3645">IF(J3541&lt;&gt;"", IF(AND($P3541=FALSE, $A3541=FALSE), -J3541, IF(AND($P3541=FALSE, $A3541=TRUE), 0, IF($P3541=TRUE, (J3541 / $R3541) * 100 * ($S3541 / 100)-J3541, ))), )</f>
        <v/>
      </c>
      <c r="AD3541" s="32" t="str">
        <f t="shared" si="3645"/>
        <v/>
      </c>
      <c r="AE3541" s="32" t="str">
        <f t="shared" si="3645"/>
        <v/>
      </c>
      <c r="AF3541" s="32" t="str">
        <f t="shared" si="3645"/>
        <v/>
      </c>
      <c r="AG3541" s="32" t="str">
        <f t="shared" si="3645"/>
        <v/>
      </c>
      <c r="AH3541" s="33"/>
    </row>
    <row r="3542" hidden="1" outlineLevel="2">
      <c r="A3542" s="95" t="b">
        <v>0</v>
      </c>
      <c r="B3542" s="96"/>
      <c r="C3542" s="18"/>
      <c r="D3542" s="107"/>
      <c r="E3542" s="108"/>
      <c r="F3542" s="109"/>
      <c r="G3542" s="97"/>
      <c r="H3542" s="97"/>
      <c r="I3542" s="97"/>
      <c r="J3542" s="98"/>
      <c r="K3542" s="99"/>
      <c r="L3542" s="98"/>
      <c r="M3542" s="99"/>
      <c r="N3542" s="99"/>
      <c r="O3542" s="18"/>
      <c r="P3542" s="100" t="b">
        <v>0</v>
      </c>
      <c r="Q3542" s="18"/>
      <c r="R3542" s="101" t="str">
        <f t="shared" si="3377"/>
        <v/>
      </c>
      <c r="S3542" s="32"/>
      <c r="T3542" s="102" t="str">
        <f t="shared" si="3378"/>
        <v/>
      </c>
      <c r="U3542" s="18"/>
      <c r="V3542" s="75" t="s">
        <v>29</v>
      </c>
      <c r="W3542" s="104" t="str">
        <f t="shared" si="2828"/>
        <v>/</v>
      </c>
      <c r="X3542" s="111" t="s">
        <v>2083</v>
      </c>
      <c r="Y3542" s="106"/>
      <c r="Z3542" s="26" t="str">
        <f t="shared" si="5"/>
        <v/>
      </c>
      <c r="AA3542" s="26" t="str">
        <f t="shared" si="6"/>
        <v/>
      </c>
      <c r="AB3542" s="32" t="str">
        <f t="shared" si="7"/>
        <v/>
      </c>
      <c r="AC3542" s="32" t="str">
        <f t="shared" ref="AC3542:AG3542" si="3646">IF(J3542&lt;&gt;"", IF(AND($P3542=FALSE, $A3542=FALSE), -J3542, IF(AND($P3542=FALSE, $A3542=TRUE), 0, IF($P3542=TRUE, (J3542 / $R3542) * 100 * ($S3542 / 100)-J3542, ))), )</f>
        <v/>
      </c>
      <c r="AD3542" s="32" t="str">
        <f t="shared" si="3646"/>
        <v/>
      </c>
      <c r="AE3542" s="32" t="str">
        <f t="shared" si="3646"/>
        <v/>
      </c>
      <c r="AF3542" s="32" t="str">
        <f t="shared" si="3646"/>
        <v/>
      </c>
      <c r="AG3542" s="32" t="str">
        <f t="shared" si="3646"/>
        <v/>
      </c>
      <c r="AH3542" s="33"/>
    </row>
    <row r="3543" hidden="1" outlineLevel="2">
      <c r="A3543" s="95" t="b">
        <v>0</v>
      </c>
      <c r="B3543" s="96"/>
      <c r="C3543" s="18"/>
      <c r="D3543" s="107"/>
      <c r="E3543" s="108"/>
      <c r="F3543" s="109"/>
      <c r="G3543" s="97"/>
      <c r="H3543" s="97"/>
      <c r="I3543" s="97"/>
      <c r="J3543" s="98"/>
      <c r="K3543" s="99"/>
      <c r="L3543" s="98"/>
      <c r="M3543" s="99"/>
      <c r="N3543" s="99"/>
      <c r="O3543" s="18"/>
      <c r="P3543" s="100" t="b">
        <v>0</v>
      </c>
      <c r="Q3543" s="18"/>
      <c r="R3543" s="101" t="str">
        <f t="shared" si="3377"/>
        <v/>
      </c>
      <c r="S3543" s="32"/>
      <c r="T3543" s="102" t="str">
        <f t="shared" si="3378"/>
        <v/>
      </c>
      <c r="U3543" s="18"/>
      <c r="V3543" s="75" t="s">
        <v>29</v>
      </c>
      <c r="W3543" s="104" t="str">
        <f t="shared" si="2828"/>
        <v>/</v>
      </c>
      <c r="X3543" s="111" t="s">
        <v>2084</v>
      </c>
      <c r="Y3543" s="106"/>
      <c r="Z3543" s="26" t="str">
        <f t="shared" si="5"/>
        <v/>
      </c>
      <c r="AA3543" s="26" t="str">
        <f t="shared" si="6"/>
        <v/>
      </c>
      <c r="AB3543" s="32" t="str">
        <f t="shared" si="7"/>
        <v/>
      </c>
      <c r="AC3543" s="32" t="str">
        <f t="shared" ref="AC3543:AG3543" si="3647">IF(J3543&lt;&gt;"", IF(AND($P3543=FALSE, $A3543=FALSE), -J3543, IF(AND($P3543=FALSE, $A3543=TRUE), 0, IF($P3543=TRUE, (J3543 / $R3543) * 100 * ($S3543 / 100)-J3543, ))), )</f>
        <v/>
      </c>
      <c r="AD3543" s="32" t="str">
        <f t="shared" si="3647"/>
        <v/>
      </c>
      <c r="AE3543" s="32" t="str">
        <f t="shared" si="3647"/>
        <v/>
      </c>
      <c r="AF3543" s="32" t="str">
        <f t="shared" si="3647"/>
        <v/>
      </c>
      <c r="AG3543" s="32" t="str">
        <f t="shared" si="3647"/>
        <v/>
      </c>
      <c r="AH3543" s="33"/>
    </row>
    <row r="3544" hidden="1" outlineLevel="1" collapsed="1">
      <c r="A3544" s="95" t="b">
        <v>0</v>
      </c>
      <c r="B3544" s="96"/>
      <c r="C3544" s="18"/>
      <c r="D3544" s="42">
        <v>45928.0</v>
      </c>
      <c r="E3544" s="43" t="s">
        <v>24</v>
      </c>
      <c r="F3544" s="53" t="s">
        <v>2077</v>
      </c>
      <c r="G3544" s="97">
        <v>2.0</v>
      </c>
      <c r="H3544" s="97"/>
      <c r="I3544" s="97">
        <v>3.0</v>
      </c>
      <c r="J3544" s="98"/>
      <c r="K3544" s="99"/>
      <c r="L3544" s="98"/>
      <c r="M3544" s="99"/>
      <c r="N3544" s="99"/>
      <c r="O3544" s="18"/>
      <c r="P3544" s="100" t="b">
        <v>0</v>
      </c>
      <c r="Q3544" s="18"/>
      <c r="R3544" s="101">
        <f t="shared" si="3377"/>
        <v>5</v>
      </c>
      <c r="S3544" s="32">
        <v>23.67</v>
      </c>
      <c r="T3544" s="102" t="str">
        <f t="shared" si="3378"/>
        <v>+373</v>
      </c>
      <c r="U3544" s="18"/>
      <c r="V3544" s="103" t="str">
        <f>IF(ISBLANK($D3544), "0",)</f>
        <v/>
      </c>
      <c r="W3544" s="104" t="str">
        <f t="shared" si="2828"/>
        <v/>
      </c>
      <c r="X3544" s="105"/>
      <c r="Y3544" s="106"/>
      <c r="Z3544" s="26">
        <f t="shared" si="5"/>
        <v>-2</v>
      </c>
      <c r="AA3544" s="26">
        <f t="shared" si="6"/>
        <v>-3</v>
      </c>
      <c r="AB3544" s="32" t="str">
        <f t="shared" si="7"/>
        <v/>
      </c>
      <c r="AC3544" s="32" t="str">
        <f t="shared" ref="AC3544:AG3544" si="3648">IF(J3544&lt;&gt;"", IF(AND($P3544=FALSE, $A3544=FALSE), -J3544, IF(AND($P3544=FALSE, $A3544=TRUE), 0, IF($P3544=TRUE, (J3544 / $R3544) * 100 * ($S3544 / 100)-J3544, ))), )</f>
        <v/>
      </c>
      <c r="AD3544" s="32" t="str">
        <f t="shared" si="3648"/>
        <v/>
      </c>
      <c r="AE3544" s="32" t="str">
        <f t="shared" si="3648"/>
        <v/>
      </c>
      <c r="AF3544" s="32" t="str">
        <f t="shared" si="3648"/>
        <v/>
      </c>
      <c r="AG3544" s="32" t="str">
        <f t="shared" si="3648"/>
        <v/>
      </c>
      <c r="AH3544" s="33"/>
    </row>
    <row r="3545" hidden="1" outlineLevel="2">
      <c r="A3545" s="95" t="b">
        <v>0</v>
      </c>
      <c r="B3545" s="96"/>
      <c r="C3545" s="18"/>
      <c r="D3545" s="107"/>
      <c r="E3545" s="108"/>
      <c r="F3545" s="109"/>
      <c r="G3545" s="97"/>
      <c r="H3545" s="97"/>
      <c r="I3545" s="97"/>
      <c r="J3545" s="98"/>
      <c r="K3545" s="99"/>
      <c r="L3545" s="98"/>
      <c r="M3545" s="99"/>
      <c r="N3545" s="99"/>
      <c r="O3545" s="18"/>
      <c r="P3545" s="100" t="b">
        <v>0</v>
      </c>
      <c r="Q3545" s="18"/>
      <c r="R3545" s="101" t="str">
        <f t="shared" si="3377"/>
        <v/>
      </c>
      <c r="S3545" s="32"/>
      <c r="T3545" s="102" t="str">
        <f t="shared" si="3378"/>
        <v/>
      </c>
      <c r="U3545" s="18"/>
      <c r="V3545" s="113">
        <v>1.0</v>
      </c>
      <c r="W3545" s="104" t="str">
        <f t="shared" si="2828"/>
        <v>/</v>
      </c>
      <c r="X3545" s="111" t="s">
        <v>137</v>
      </c>
      <c r="Y3545" s="106"/>
      <c r="Z3545" s="26" t="str">
        <f t="shared" si="5"/>
        <v/>
      </c>
      <c r="AA3545" s="26" t="str">
        <f t="shared" si="6"/>
        <v/>
      </c>
      <c r="AB3545" s="32" t="str">
        <f t="shared" si="7"/>
        <v/>
      </c>
      <c r="AC3545" s="32" t="str">
        <f t="shared" ref="AC3545:AG3545" si="3649">IF(J3545&lt;&gt;"", IF(AND($P3545=FALSE, $A3545=FALSE), -J3545, IF(AND($P3545=FALSE, $A3545=TRUE), 0, IF($P3545=TRUE, (J3545 / $R3545) * 100 * ($S3545 / 100)-J3545, ))), )</f>
        <v/>
      </c>
      <c r="AD3545" s="32" t="str">
        <f t="shared" si="3649"/>
        <v/>
      </c>
      <c r="AE3545" s="32" t="str">
        <f t="shared" si="3649"/>
        <v/>
      </c>
      <c r="AF3545" s="32" t="str">
        <f t="shared" si="3649"/>
        <v/>
      </c>
      <c r="AG3545" s="32" t="str">
        <f t="shared" si="3649"/>
        <v/>
      </c>
      <c r="AH3545" s="33"/>
    </row>
    <row r="3546" hidden="1" outlineLevel="2">
      <c r="A3546" s="95" t="b">
        <v>0</v>
      </c>
      <c r="B3546" s="96"/>
      <c r="C3546" s="18"/>
      <c r="D3546" s="107"/>
      <c r="E3546" s="108"/>
      <c r="F3546" s="109"/>
      <c r="G3546" s="97"/>
      <c r="H3546" s="97"/>
      <c r="I3546" s="97"/>
      <c r="J3546" s="98"/>
      <c r="K3546" s="99"/>
      <c r="L3546" s="98"/>
      <c r="M3546" s="99"/>
      <c r="N3546" s="99"/>
      <c r="O3546" s="18"/>
      <c r="P3546" s="100" t="b">
        <v>0</v>
      </c>
      <c r="Q3546" s="18"/>
      <c r="R3546" s="101" t="str">
        <f t="shared" si="3377"/>
        <v/>
      </c>
      <c r="S3546" s="32"/>
      <c r="T3546" s="102" t="str">
        <f t="shared" si="3378"/>
        <v/>
      </c>
      <c r="U3546" s="18"/>
      <c r="V3546" s="75" t="s">
        <v>29</v>
      </c>
      <c r="W3546" s="104" t="str">
        <f t="shared" si="2828"/>
        <v>/</v>
      </c>
      <c r="X3546" s="111" t="s">
        <v>2085</v>
      </c>
      <c r="Y3546" s="106"/>
      <c r="Z3546" s="26" t="str">
        <f t="shared" si="5"/>
        <v/>
      </c>
      <c r="AA3546" s="26" t="str">
        <f t="shared" si="6"/>
        <v/>
      </c>
      <c r="AB3546" s="32" t="str">
        <f t="shared" si="7"/>
        <v/>
      </c>
      <c r="AC3546" s="32" t="str">
        <f t="shared" ref="AC3546:AG3546" si="3650">IF(J3546&lt;&gt;"", IF(AND($P3546=FALSE, $A3546=FALSE), -J3546, IF(AND($P3546=FALSE, $A3546=TRUE), 0, IF($P3546=TRUE, (J3546 / $R3546) * 100 * ($S3546 / 100)-J3546, ))), )</f>
        <v/>
      </c>
      <c r="AD3546" s="32" t="str">
        <f t="shared" si="3650"/>
        <v/>
      </c>
      <c r="AE3546" s="32" t="str">
        <f t="shared" si="3650"/>
        <v/>
      </c>
      <c r="AF3546" s="32" t="str">
        <f t="shared" si="3650"/>
        <v/>
      </c>
      <c r="AG3546" s="32" t="str">
        <f t="shared" si="3650"/>
        <v/>
      </c>
      <c r="AH3546" s="33"/>
    </row>
    <row r="3547" hidden="1" outlineLevel="2">
      <c r="A3547" s="95" t="b">
        <v>0</v>
      </c>
      <c r="B3547" s="96"/>
      <c r="C3547" s="18"/>
      <c r="D3547" s="107"/>
      <c r="E3547" s="108"/>
      <c r="F3547" s="109"/>
      <c r="G3547" s="97"/>
      <c r="H3547" s="97"/>
      <c r="I3547" s="97"/>
      <c r="J3547" s="98"/>
      <c r="K3547" s="99"/>
      <c r="L3547" s="98"/>
      <c r="M3547" s="99"/>
      <c r="N3547" s="99"/>
      <c r="O3547" s="18"/>
      <c r="P3547" s="100" t="b">
        <v>0</v>
      </c>
      <c r="Q3547" s="18"/>
      <c r="R3547" s="101" t="str">
        <f t="shared" si="3377"/>
        <v/>
      </c>
      <c r="S3547" s="32"/>
      <c r="T3547" s="102" t="str">
        <f t="shared" si="3378"/>
        <v/>
      </c>
      <c r="U3547" s="18"/>
      <c r="V3547" s="75" t="s">
        <v>29</v>
      </c>
      <c r="W3547" s="104" t="str">
        <f t="shared" si="2828"/>
        <v>/</v>
      </c>
      <c r="X3547" s="111" t="s">
        <v>2076</v>
      </c>
      <c r="Y3547" s="106"/>
      <c r="Z3547" s="26" t="str">
        <f t="shared" si="5"/>
        <v/>
      </c>
      <c r="AA3547" s="26" t="str">
        <f t="shared" si="6"/>
        <v/>
      </c>
      <c r="AB3547" s="32" t="str">
        <f t="shared" si="7"/>
        <v/>
      </c>
      <c r="AC3547" s="32" t="str">
        <f t="shared" ref="AC3547:AG3547" si="3651">IF(J3547&lt;&gt;"", IF(AND($P3547=FALSE, $A3547=FALSE), -J3547, IF(AND($P3547=FALSE, $A3547=TRUE), 0, IF($P3547=TRUE, (J3547 / $R3547) * 100 * ($S3547 / 100)-J3547, ))), )</f>
        <v/>
      </c>
      <c r="AD3547" s="32" t="str">
        <f t="shared" si="3651"/>
        <v/>
      </c>
      <c r="AE3547" s="32" t="str">
        <f t="shared" si="3651"/>
        <v/>
      </c>
      <c r="AF3547" s="32" t="str">
        <f t="shared" si="3651"/>
        <v/>
      </c>
      <c r="AG3547" s="32" t="str">
        <f t="shared" si="3651"/>
        <v/>
      </c>
      <c r="AH3547" s="33"/>
    </row>
    <row r="3548" hidden="1" outlineLevel="1" collapsed="1">
      <c r="A3548" s="95" t="b">
        <v>0</v>
      </c>
      <c r="B3548" s="96"/>
      <c r="C3548" s="18"/>
      <c r="D3548" s="42">
        <v>45928.0</v>
      </c>
      <c r="E3548" s="43" t="s">
        <v>24</v>
      </c>
      <c r="F3548" s="53" t="s">
        <v>2077</v>
      </c>
      <c r="G3548" s="97">
        <v>2.0</v>
      </c>
      <c r="H3548" s="97"/>
      <c r="I3548" s="97">
        <v>3.0</v>
      </c>
      <c r="J3548" s="98"/>
      <c r="K3548" s="99"/>
      <c r="L3548" s="98"/>
      <c r="M3548" s="99"/>
      <c r="N3548" s="99"/>
      <c r="O3548" s="18"/>
      <c r="P3548" s="100" t="b">
        <v>0</v>
      </c>
      <c r="Q3548" s="18"/>
      <c r="R3548" s="101">
        <f t="shared" si="3377"/>
        <v>5</v>
      </c>
      <c r="S3548" s="32">
        <v>9.39</v>
      </c>
      <c r="T3548" s="102">
        <f t="shared" si="3378"/>
        <v>-114</v>
      </c>
      <c r="U3548" s="18"/>
      <c r="V3548" s="103" t="str">
        <f>IF(ISBLANK($D3548), "0",)</f>
        <v/>
      </c>
      <c r="W3548" s="104" t="str">
        <f t="shared" si="2828"/>
        <v/>
      </c>
      <c r="X3548" s="105"/>
      <c r="Y3548" s="106"/>
      <c r="Z3548" s="26">
        <f t="shared" si="5"/>
        <v>-2</v>
      </c>
      <c r="AA3548" s="26">
        <f t="shared" si="6"/>
        <v>-3</v>
      </c>
      <c r="AB3548" s="32" t="str">
        <f t="shared" si="7"/>
        <v/>
      </c>
      <c r="AC3548" s="32" t="str">
        <f t="shared" ref="AC3548:AG3548" si="3652">IF(J3548&lt;&gt;"", IF(AND($P3548=FALSE, $A3548=FALSE), -J3548, IF(AND($P3548=FALSE, $A3548=TRUE), 0, IF($P3548=TRUE, (J3548 / $R3548) * 100 * ($S3548 / 100)-J3548, ))), )</f>
        <v/>
      </c>
      <c r="AD3548" s="32" t="str">
        <f t="shared" si="3652"/>
        <v/>
      </c>
      <c r="AE3548" s="32" t="str">
        <f t="shared" si="3652"/>
        <v/>
      </c>
      <c r="AF3548" s="32" t="str">
        <f t="shared" si="3652"/>
        <v/>
      </c>
      <c r="AG3548" s="32" t="str">
        <f t="shared" si="3652"/>
        <v/>
      </c>
      <c r="AH3548" s="33"/>
    </row>
    <row r="3549" hidden="1" outlineLevel="2">
      <c r="A3549" s="95" t="b">
        <v>0</v>
      </c>
      <c r="B3549" s="96"/>
      <c r="C3549" s="18"/>
      <c r="D3549" s="107"/>
      <c r="E3549" s="108"/>
      <c r="F3549" s="109"/>
      <c r="G3549" s="97"/>
      <c r="H3549" s="97"/>
      <c r="I3549" s="97"/>
      <c r="J3549" s="98"/>
      <c r="K3549" s="99"/>
      <c r="L3549" s="98"/>
      <c r="M3549" s="99"/>
      <c r="N3549" s="99"/>
      <c r="O3549" s="18"/>
      <c r="P3549" s="100" t="b">
        <v>0</v>
      </c>
      <c r="Q3549" s="18"/>
      <c r="R3549" s="101" t="str">
        <f t="shared" si="3377"/>
        <v/>
      </c>
      <c r="S3549" s="32"/>
      <c r="T3549" s="102" t="str">
        <f t="shared" si="3378"/>
        <v/>
      </c>
      <c r="U3549" s="18"/>
      <c r="V3549" s="113">
        <v>13.0</v>
      </c>
      <c r="W3549" s="104" t="str">
        <f t="shared" si="2828"/>
        <v>/</v>
      </c>
      <c r="X3549" s="111" t="s">
        <v>2086</v>
      </c>
      <c r="Y3549" s="106"/>
      <c r="Z3549" s="26" t="str">
        <f t="shared" si="5"/>
        <v/>
      </c>
      <c r="AA3549" s="26" t="str">
        <f t="shared" si="6"/>
        <v/>
      </c>
      <c r="AB3549" s="32" t="str">
        <f t="shared" si="7"/>
        <v/>
      </c>
      <c r="AC3549" s="32" t="str">
        <f t="shared" ref="AC3549:AG3549" si="3653">IF(J3549&lt;&gt;"", IF(AND($P3549=FALSE, $A3549=FALSE), -J3549, IF(AND($P3549=FALSE, $A3549=TRUE), 0, IF($P3549=TRUE, (J3549 / $R3549) * 100 * ($S3549 / 100)-J3549, ))), )</f>
        <v/>
      </c>
      <c r="AD3549" s="32" t="str">
        <f t="shared" si="3653"/>
        <v/>
      </c>
      <c r="AE3549" s="32" t="str">
        <f t="shared" si="3653"/>
        <v/>
      </c>
      <c r="AF3549" s="32" t="str">
        <f t="shared" si="3653"/>
        <v/>
      </c>
      <c r="AG3549" s="32" t="str">
        <f t="shared" si="3653"/>
        <v/>
      </c>
      <c r="AH3549" s="33"/>
    </row>
    <row r="3550" hidden="1" outlineLevel="1" collapsed="1">
      <c r="A3550" s="95" t="b">
        <v>0</v>
      </c>
      <c r="B3550" s="96"/>
      <c r="C3550" s="18"/>
      <c r="D3550" s="42">
        <v>45928.0</v>
      </c>
      <c r="E3550" s="43" t="s">
        <v>24</v>
      </c>
      <c r="F3550" s="53" t="s">
        <v>2077</v>
      </c>
      <c r="G3550" s="97">
        <v>2.0</v>
      </c>
      <c r="H3550" s="97"/>
      <c r="I3550" s="97"/>
      <c r="J3550" s="98"/>
      <c r="K3550" s="99"/>
      <c r="L3550" s="98"/>
      <c r="M3550" s="99"/>
      <c r="N3550" s="99"/>
      <c r="O3550" s="18"/>
      <c r="P3550" s="100" t="b">
        <v>0</v>
      </c>
      <c r="Q3550" s="18"/>
      <c r="R3550" s="101">
        <f t="shared" si="3377"/>
        <v>2</v>
      </c>
      <c r="S3550" s="32">
        <v>7.05</v>
      </c>
      <c r="T3550" s="102" t="str">
        <f t="shared" si="3378"/>
        <v>+253</v>
      </c>
      <c r="U3550" s="18"/>
      <c r="V3550" s="103" t="str">
        <f>IF(ISBLANK($D3550), "0",)</f>
        <v/>
      </c>
      <c r="W3550" s="104" t="str">
        <f t="shared" si="2828"/>
        <v/>
      </c>
      <c r="X3550" s="105"/>
      <c r="Y3550" s="106"/>
      <c r="Z3550" s="26">
        <f t="shared" si="5"/>
        <v>-2</v>
      </c>
      <c r="AA3550" s="26" t="str">
        <f t="shared" si="6"/>
        <v/>
      </c>
      <c r="AB3550" s="32" t="str">
        <f t="shared" si="7"/>
        <v/>
      </c>
      <c r="AC3550" s="32" t="str">
        <f t="shared" ref="AC3550:AG3550" si="3654">IF(J3550&lt;&gt;"", IF(AND($P3550=FALSE, $A3550=FALSE), -J3550, IF(AND($P3550=FALSE, $A3550=TRUE), 0, IF($P3550=TRUE, (J3550 / $R3550) * 100 * ($S3550 / 100)-J3550, ))), )</f>
        <v/>
      </c>
      <c r="AD3550" s="32" t="str">
        <f t="shared" si="3654"/>
        <v/>
      </c>
      <c r="AE3550" s="32" t="str">
        <f t="shared" si="3654"/>
        <v/>
      </c>
      <c r="AF3550" s="32" t="str">
        <f t="shared" si="3654"/>
        <v/>
      </c>
      <c r="AG3550" s="32" t="str">
        <f t="shared" si="3654"/>
        <v/>
      </c>
      <c r="AH3550" s="33"/>
    </row>
    <row r="3551" hidden="1" outlineLevel="2">
      <c r="A3551" s="95" t="b">
        <v>0</v>
      </c>
      <c r="B3551" s="96"/>
      <c r="C3551" s="18"/>
      <c r="D3551" s="107"/>
      <c r="E3551" s="108"/>
      <c r="F3551" s="109"/>
      <c r="G3551" s="97"/>
      <c r="H3551" s="97"/>
      <c r="I3551" s="97"/>
      <c r="J3551" s="98"/>
      <c r="K3551" s="99"/>
      <c r="L3551" s="98"/>
      <c r="M3551" s="99"/>
      <c r="N3551" s="99"/>
      <c r="O3551" s="18"/>
      <c r="P3551" s="100" t="b">
        <v>0</v>
      </c>
      <c r="Q3551" s="18"/>
      <c r="R3551" s="101" t="str">
        <f t="shared" si="3377"/>
        <v/>
      </c>
      <c r="S3551" s="32"/>
      <c r="T3551" s="102" t="str">
        <f t="shared" si="3378"/>
        <v/>
      </c>
      <c r="U3551" s="18"/>
      <c r="V3551" s="113">
        <v>126.0</v>
      </c>
      <c r="W3551" s="104" t="str">
        <f t="shared" si="2828"/>
        <v>/</v>
      </c>
      <c r="X3551" s="111" t="s">
        <v>2087</v>
      </c>
      <c r="Y3551" s="106"/>
      <c r="Z3551" s="26" t="str">
        <f t="shared" si="5"/>
        <v/>
      </c>
      <c r="AA3551" s="26" t="str">
        <f t="shared" si="6"/>
        <v/>
      </c>
      <c r="AB3551" s="32" t="str">
        <f t="shared" si="7"/>
        <v/>
      </c>
      <c r="AC3551" s="32" t="str">
        <f t="shared" ref="AC3551:AG3551" si="3655">IF(J3551&lt;&gt;"", IF(AND($P3551=FALSE, $A3551=FALSE), -J3551, IF(AND($P3551=FALSE, $A3551=TRUE), 0, IF($P3551=TRUE, (J3551 / $R3551) * 100 * ($S3551 / 100)-J3551, ))), )</f>
        <v/>
      </c>
      <c r="AD3551" s="32" t="str">
        <f t="shared" si="3655"/>
        <v/>
      </c>
      <c r="AE3551" s="32" t="str">
        <f t="shared" si="3655"/>
        <v/>
      </c>
      <c r="AF3551" s="32" t="str">
        <f t="shared" si="3655"/>
        <v/>
      </c>
      <c r="AG3551" s="32" t="str">
        <f t="shared" si="3655"/>
        <v/>
      </c>
      <c r="AH3551" s="33"/>
    </row>
    <row r="3552" hidden="1" outlineLevel="2">
      <c r="A3552" s="95" t="b">
        <v>0</v>
      </c>
      <c r="B3552" s="96"/>
      <c r="C3552" s="18"/>
      <c r="D3552" s="107"/>
      <c r="E3552" s="108"/>
      <c r="F3552" s="109"/>
      <c r="G3552" s="97"/>
      <c r="H3552" s="97"/>
      <c r="I3552" s="97"/>
      <c r="J3552" s="98"/>
      <c r="K3552" s="99"/>
      <c r="L3552" s="98"/>
      <c r="M3552" s="99"/>
      <c r="N3552" s="99"/>
      <c r="O3552" s="18"/>
      <c r="P3552" s="100" t="b">
        <v>0</v>
      </c>
      <c r="Q3552" s="18"/>
      <c r="R3552" s="101" t="str">
        <f t="shared" si="3377"/>
        <v/>
      </c>
      <c r="S3552" s="32"/>
      <c r="T3552" s="102" t="str">
        <f t="shared" si="3378"/>
        <v/>
      </c>
      <c r="U3552" s="18"/>
      <c r="V3552" s="75" t="s">
        <v>29</v>
      </c>
      <c r="W3552" s="104" t="str">
        <f t="shared" si="2828"/>
        <v>/</v>
      </c>
      <c r="X3552" s="111" t="s">
        <v>2088</v>
      </c>
      <c r="Y3552" s="106"/>
      <c r="Z3552" s="26" t="str">
        <f t="shared" si="5"/>
        <v/>
      </c>
      <c r="AA3552" s="26" t="str">
        <f t="shared" si="6"/>
        <v/>
      </c>
      <c r="AB3552" s="32" t="str">
        <f t="shared" si="7"/>
        <v/>
      </c>
      <c r="AC3552" s="32" t="str">
        <f t="shared" ref="AC3552:AG3552" si="3656">IF(J3552&lt;&gt;"", IF(AND($P3552=FALSE, $A3552=FALSE), -J3552, IF(AND($P3552=FALSE, $A3552=TRUE), 0, IF($P3552=TRUE, (J3552 / $R3552) * 100 * ($S3552 / 100)-J3552, ))), )</f>
        <v/>
      </c>
      <c r="AD3552" s="32" t="str">
        <f t="shared" si="3656"/>
        <v/>
      </c>
      <c r="AE3552" s="32" t="str">
        <f t="shared" si="3656"/>
        <v/>
      </c>
      <c r="AF3552" s="32" t="str">
        <f t="shared" si="3656"/>
        <v/>
      </c>
      <c r="AG3552" s="32" t="str">
        <f t="shared" si="3656"/>
        <v/>
      </c>
      <c r="AH3552" s="33"/>
    </row>
    <row r="3553" hidden="1" outlineLevel="1" collapsed="1">
      <c r="A3553" s="95" t="b">
        <v>0</v>
      </c>
      <c r="B3553" s="96"/>
      <c r="C3553" s="18"/>
      <c r="D3553" s="42">
        <v>45928.0</v>
      </c>
      <c r="E3553" s="43" t="s">
        <v>24</v>
      </c>
      <c r="F3553" s="53" t="s">
        <v>2077</v>
      </c>
      <c r="G3553" s="97">
        <v>2.0</v>
      </c>
      <c r="H3553" s="97"/>
      <c r="I3553" s="97">
        <v>3.0</v>
      </c>
      <c r="J3553" s="98"/>
      <c r="K3553" s="99"/>
      <c r="L3553" s="98"/>
      <c r="M3553" s="99"/>
      <c r="N3553" s="99"/>
      <c r="O3553" s="18"/>
      <c r="P3553" s="100" t="b">
        <v>1</v>
      </c>
      <c r="Q3553" s="18"/>
      <c r="R3553" s="101">
        <f t="shared" si="3377"/>
        <v>5</v>
      </c>
      <c r="S3553" s="32">
        <v>12.0</v>
      </c>
      <c r="T3553" s="102" t="str">
        <f t="shared" si="3378"/>
        <v>+140</v>
      </c>
      <c r="U3553" s="18"/>
      <c r="V3553" s="103" t="str">
        <f>IF(ISBLANK($D3553), "0",)</f>
        <v/>
      </c>
      <c r="W3553" s="104" t="str">
        <f t="shared" si="2828"/>
        <v/>
      </c>
      <c r="X3553" s="105"/>
      <c r="Y3553" s="106"/>
      <c r="Z3553" s="26">
        <f t="shared" si="5"/>
        <v>2.8</v>
      </c>
      <c r="AA3553" s="26">
        <f t="shared" si="6"/>
        <v>4.2</v>
      </c>
      <c r="AB3553" s="32" t="str">
        <f t="shared" si="7"/>
        <v/>
      </c>
      <c r="AC3553" s="32" t="str">
        <f t="shared" ref="AC3553:AG3553" si="3657">IF(J3553&lt;&gt;"", IF(AND($P3553=FALSE, $A3553=FALSE), -J3553, IF(AND($P3553=FALSE, $A3553=TRUE), 0, IF($P3553=TRUE, (J3553 / $R3553) * 100 * ($S3553 / 100)-J3553, ))), )</f>
        <v/>
      </c>
      <c r="AD3553" s="32" t="str">
        <f t="shared" si="3657"/>
        <v/>
      </c>
      <c r="AE3553" s="32" t="str">
        <f t="shared" si="3657"/>
        <v/>
      </c>
      <c r="AF3553" s="32" t="str">
        <f t="shared" si="3657"/>
        <v/>
      </c>
      <c r="AG3553" s="32" t="str">
        <f t="shared" si="3657"/>
        <v/>
      </c>
      <c r="AH3553" s="33"/>
    </row>
    <row r="3554" hidden="1" outlineLevel="2">
      <c r="A3554" s="95" t="b">
        <v>0</v>
      </c>
      <c r="B3554" s="96"/>
      <c r="C3554" s="18"/>
      <c r="D3554" s="107"/>
      <c r="E3554" s="108"/>
      <c r="F3554" s="109"/>
      <c r="G3554" s="97"/>
      <c r="H3554" s="97"/>
      <c r="I3554" s="97"/>
      <c r="J3554" s="98"/>
      <c r="K3554" s="99"/>
      <c r="L3554" s="98"/>
      <c r="M3554" s="99"/>
      <c r="N3554" s="99"/>
      <c r="O3554" s="18"/>
      <c r="P3554" s="100" t="b">
        <v>0</v>
      </c>
      <c r="Q3554" s="18"/>
      <c r="R3554" s="101" t="str">
        <f t="shared" si="3377"/>
        <v/>
      </c>
      <c r="S3554" s="32"/>
      <c r="T3554" s="102" t="str">
        <f t="shared" si="3378"/>
        <v/>
      </c>
      <c r="U3554" s="18"/>
      <c r="V3554" s="75" t="s">
        <v>29</v>
      </c>
      <c r="W3554" s="104" t="str">
        <f t="shared" si="2828"/>
        <v>/</v>
      </c>
      <c r="X3554" s="111" t="s">
        <v>2089</v>
      </c>
      <c r="Y3554" s="106"/>
      <c r="Z3554" s="26" t="str">
        <f t="shared" si="5"/>
        <v/>
      </c>
      <c r="AA3554" s="26" t="str">
        <f t="shared" si="6"/>
        <v/>
      </c>
      <c r="AB3554" s="32" t="str">
        <f t="shared" si="7"/>
        <v/>
      </c>
      <c r="AC3554" s="32" t="str">
        <f t="shared" ref="AC3554:AG3554" si="3658">IF(J3554&lt;&gt;"", IF(AND($P3554=FALSE, $A3554=FALSE), -J3554, IF(AND($P3554=FALSE, $A3554=TRUE), 0, IF($P3554=TRUE, (J3554 / $R3554) * 100 * ($S3554 / 100)-J3554, ))), )</f>
        <v/>
      </c>
      <c r="AD3554" s="32" t="str">
        <f t="shared" si="3658"/>
        <v/>
      </c>
      <c r="AE3554" s="32" t="str">
        <f t="shared" si="3658"/>
        <v/>
      </c>
      <c r="AF3554" s="32" t="str">
        <f t="shared" si="3658"/>
        <v/>
      </c>
      <c r="AG3554" s="32" t="str">
        <f t="shared" si="3658"/>
        <v/>
      </c>
      <c r="AH3554" s="33"/>
    </row>
    <row r="3555" hidden="1" outlineLevel="1" collapsed="1">
      <c r="A3555" s="95" t="b">
        <v>0</v>
      </c>
      <c r="B3555" s="96"/>
      <c r="C3555" s="18"/>
      <c r="D3555" s="42">
        <v>45928.0</v>
      </c>
      <c r="E3555" s="43" t="s">
        <v>24</v>
      </c>
      <c r="F3555" s="53" t="s">
        <v>2077</v>
      </c>
      <c r="G3555" s="97">
        <v>3.0</v>
      </c>
      <c r="H3555" s="97"/>
      <c r="I3555" s="97">
        <v>7.0</v>
      </c>
      <c r="J3555" s="98"/>
      <c r="K3555" s="99"/>
      <c r="L3555" s="98"/>
      <c r="M3555" s="99"/>
      <c r="N3555" s="99"/>
      <c r="O3555" s="18"/>
      <c r="P3555" s="100" t="b">
        <v>1</v>
      </c>
      <c r="Q3555" s="18"/>
      <c r="R3555" s="101">
        <f t="shared" si="3377"/>
        <v>10</v>
      </c>
      <c r="S3555" s="32">
        <v>18.0</v>
      </c>
      <c r="T3555" s="102">
        <f t="shared" si="3378"/>
        <v>-125</v>
      </c>
      <c r="U3555" s="18"/>
      <c r="V3555" s="103" t="str">
        <f>IF(ISBLANK($D3555), "0",)</f>
        <v/>
      </c>
      <c r="W3555" s="104" t="str">
        <f t="shared" si="2828"/>
        <v/>
      </c>
      <c r="X3555" s="105"/>
      <c r="Y3555" s="106"/>
      <c r="Z3555" s="26">
        <f t="shared" si="5"/>
        <v>2.4</v>
      </c>
      <c r="AA3555" s="26">
        <f t="shared" si="6"/>
        <v>5.6</v>
      </c>
      <c r="AB3555" s="32" t="str">
        <f t="shared" si="7"/>
        <v/>
      </c>
      <c r="AC3555" s="32" t="str">
        <f t="shared" ref="AC3555:AG3555" si="3659">IF(J3555&lt;&gt;"", IF(AND($P3555=FALSE, $A3555=FALSE), -J3555, IF(AND($P3555=FALSE, $A3555=TRUE), 0, IF($P3555=TRUE, (J3555 / $R3555) * 100 * ($S3555 / 100)-J3555, ))), )</f>
        <v/>
      </c>
      <c r="AD3555" s="32" t="str">
        <f t="shared" si="3659"/>
        <v/>
      </c>
      <c r="AE3555" s="32" t="str">
        <f t="shared" si="3659"/>
        <v/>
      </c>
      <c r="AF3555" s="32" t="str">
        <f t="shared" si="3659"/>
        <v/>
      </c>
      <c r="AG3555" s="32" t="str">
        <f t="shared" si="3659"/>
        <v/>
      </c>
      <c r="AH3555" s="33"/>
    </row>
    <row r="3556" hidden="1" outlineLevel="2">
      <c r="A3556" s="95" t="b">
        <v>0</v>
      </c>
      <c r="B3556" s="96"/>
      <c r="C3556" s="18"/>
      <c r="D3556" s="107"/>
      <c r="E3556" s="108"/>
      <c r="F3556" s="109"/>
      <c r="G3556" s="97"/>
      <c r="H3556" s="97"/>
      <c r="I3556" s="97"/>
      <c r="J3556" s="98"/>
      <c r="K3556" s="99"/>
      <c r="L3556" s="98"/>
      <c r="M3556" s="99"/>
      <c r="N3556" s="99"/>
      <c r="O3556" s="18"/>
      <c r="P3556" s="100" t="b">
        <v>0</v>
      </c>
      <c r="Q3556" s="18"/>
      <c r="R3556" s="101" t="str">
        <f t="shared" si="3377"/>
        <v/>
      </c>
      <c r="S3556" s="32"/>
      <c r="T3556" s="102" t="str">
        <f t="shared" si="3378"/>
        <v/>
      </c>
      <c r="U3556" s="18"/>
      <c r="V3556" s="75" t="s">
        <v>29</v>
      </c>
      <c r="W3556" s="104" t="str">
        <f t="shared" si="2828"/>
        <v>/</v>
      </c>
      <c r="X3556" s="111" t="s">
        <v>2090</v>
      </c>
      <c r="Y3556" s="106"/>
      <c r="Z3556" s="26" t="str">
        <f t="shared" si="5"/>
        <v/>
      </c>
      <c r="AA3556" s="26" t="str">
        <f t="shared" si="6"/>
        <v/>
      </c>
      <c r="AB3556" s="32" t="str">
        <f t="shared" si="7"/>
        <v/>
      </c>
      <c r="AC3556" s="32" t="str">
        <f t="shared" ref="AC3556:AG3556" si="3660">IF(J3556&lt;&gt;"", IF(AND($P3556=FALSE, $A3556=FALSE), -J3556, IF(AND($P3556=FALSE, $A3556=TRUE), 0, IF($P3556=TRUE, (J3556 / $R3556) * 100 * ($S3556 / 100)-J3556, ))), )</f>
        <v/>
      </c>
      <c r="AD3556" s="32" t="str">
        <f t="shared" si="3660"/>
        <v/>
      </c>
      <c r="AE3556" s="32" t="str">
        <f t="shared" si="3660"/>
        <v/>
      </c>
      <c r="AF3556" s="32" t="str">
        <f t="shared" si="3660"/>
        <v/>
      </c>
      <c r="AG3556" s="32" t="str">
        <f t="shared" si="3660"/>
        <v/>
      </c>
      <c r="AH3556" s="33"/>
    </row>
    <row r="3557" hidden="1" outlineLevel="1">
      <c r="A3557" s="95" t="b">
        <v>0</v>
      </c>
      <c r="B3557" s="96"/>
      <c r="C3557" s="18"/>
      <c r="D3557" s="42">
        <v>45928.0</v>
      </c>
      <c r="E3557" s="43" t="s">
        <v>24</v>
      </c>
      <c r="F3557" s="53" t="s">
        <v>2077</v>
      </c>
      <c r="G3557" s="97">
        <v>3.0</v>
      </c>
      <c r="H3557" s="97"/>
      <c r="I3557" s="97">
        <v>3.0</v>
      </c>
      <c r="J3557" s="98"/>
      <c r="K3557" s="99"/>
      <c r="L3557" s="98"/>
      <c r="M3557" s="99"/>
      <c r="N3557" s="99"/>
      <c r="O3557" s="18"/>
      <c r="P3557" s="100" t="b">
        <v>1</v>
      </c>
      <c r="Q3557" s="18"/>
      <c r="R3557" s="101">
        <f t="shared" si="3377"/>
        <v>6</v>
      </c>
      <c r="S3557" s="32">
        <v>30.91</v>
      </c>
      <c r="T3557" s="102" t="str">
        <f t="shared" si="3378"/>
        <v>+415</v>
      </c>
      <c r="U3557" s="18"/>
      <c r="V3557" s="103" t="str">
        <f>IF(ISBLANK($D3557), "0",)</f>
        <v/>
      </c>
      <c r="W3557" s="104" t="str">
        <f t="shared" si="2828"/>
        <v/>
      </c>
      <c r="X3557" s="105"/>
      <c r="Y3557" s="106"/>
      <c r="Z3557" s="26">
        <f t="shared" si="5"/>
        <v>12.455</v>
      </c>
      <c r="AA3557" s="26">
        <f t="shared" si="6"/>
        <v>12.455</v>
      </c>
      <c r="AB3557" s="32" t="str">
        <f t="shared" si="7"/>
        <v/>
      </c>
      <c r="AC3557" s="32" t="str">
        <f t="shared" ref="AC3557:AG3557" si="3661">IF(J3557&lt;&gt;"", IF(AND($P3557=FALSE, $A3557=FALSE), -J3557, IF(AND($P3557=FALSE, $A3557=TRUE), 0, IF($P3557=TRUE, (J3557 / $R3557) * 100 * ($S3557 / 100)-J3557, ))), )</f>
        <v/>
      </c>
      <c r="AD3557" s="32" t="str">
        <f t="shared" si="3661"/>
        <v/>
      </c>
      <c r="AE3557" s="32" t="str">
        <f t="shared" si="3661"/>
        <v/>
      </c>
      <c r="AF3557" s="32" t="str">
        <f t="shared" si="3661"/>
        <v/>
      </c>
      <c r="AG3557" s="32" t="str">
        <f t="shared" si="3661"/>
        <v/>
      </c>
      <c r="AH3557" s="33"/>
    </row>
    <row r="3558" hidden="1" outlineLevel="2">
      <c r="A3558" s="95" t="b">
        <v>0</v>
      </c>
      <c r="B3558" s="96"/>
      <c r="C3558" s="18"/>
      <c r="D3558" s="107"/>
      <c r="E3558" s="108"/>
      <c r="F3558" s="109"/>
      <c r="G3558" s="97"/>
      <c r="H3558" s="97"/>
      <c r="I3558" s="97"/>
      <c r="J3558" s="98"/>
      <c r="K3558" s="99"/>
      <c r="L3558" s="98"/>
      <c r="M3558" s="99"/>
      <c r="N3558" s="99"/>
      <c r="O3558" s="18"/>
      <c r="P3558" s="100" t="b">
        <v>0</v>
      </c>
      <c r="Q3558" s="18"/>
      <c r="R3558" s="101" t="str">
        <f t="shared" si="3377"/>
        <v/>
      </c>
      <c r="S3558" s="32"/>
      <c r="T3558" s="102" t="str">
        <f t="shared" si="3378"/>
        <v/>
      </c>
      <c r="U3558" s="18"/>
      <c r="V3558" s="75" t="s">
        <v>29</v>
      </c>
      <c r="W3558" s="104" t="str">
        <f t="shared" si="2828"/>
        <v>/</v>
      </c>
      <c r="X3558" s="111" t="s">
        <v>2091</v>
      </c>
      <c r="Y3558" s="106"/>
      <c r="Z3558" s="26" t="str">
        <f t="shared" si="5"/>
        <v/>
      </c>
      <c r="AA3558" s="26" t="str">
        <f t="shared" si="6"/>
        <v/>
      </c>
      <c r="AB3558" s="32" t="str">
        <f t="shared" si="7"/>
        <v/>
      </c>
      <c r="AC3558" s="32" t="str">
        <f t="shared" ref="AC3558:AG3558" si="3662">IF(J3558&lt;&gt;"", IF(AND($P3558=FALSE, $A3558=FALSE), -J3558, IF(AND($P3558=FALSE, $A3558=TRUE), 0, IF($P3558=TRUE, (J3558 / $R3558) * 100 * ($S3558 / 100)-J3558, ))), )</f>
        <v/>
      </c>
      <c r="AD3558" s="32" t="str">
        <f t="shared" si="3662"/>
        <v/>
      </c>
      <c r="AE3558" s="32" t="str">
        <f t="shared" si="3662"/>
        <v/>
      </c>
      <c r="AF3558" s="32" t="str">
        <f t="shared" si="3662"/>
        <v/>
      </c>
      <c r="AG3558" s="32" t="str">
        <f t="shared" si="3662"/>
        <v/>
      </c>
      <c r="AH3558" s="33"/>
    </row>
    <row r="3559" hidden="1" outlineLevel="2">
      <c r="A3559" s="95" t="b">
        <v>0</v>
      </c>
      <c r="B3559" s="96"/>
      <c r="C3559" s="18"/>
      <c r="D3559" s="107"/>
      <c r="E3559" s="108"/>
      <c r="F3559" s="109"/>
      <c r="G3559" s="97"/>
      <c r="H3559" s="97"/>
      <c r="I3559" s="97"/>
      <c r="J3559" s="98"/>
      <c r="K3559" s="99"/>
      <c r="L3559" s="98"/>
      <c r="M3559" s="99"/>
      <c r="N3559" s="99"/>
      <c r="O3559" s="18"/>
      <c r="P3559" s="100" t="b">
        <v>0</v>
      </c>
      <c r="Q3559" s="18"/>
      <c r="R3559" s="101" t="str">
        <f t="shared" si="3377"/>
        <v/>
      </c>
      <c r="S3559" s="32"/>
      <c r="T3559" s="102" t="str">
        <f t="shared" si="3378"/>
        <v/>
      </c>
      <c r="U3559" s="18"/>
      <c r="V3559" s="75" t="s">
        <v>29</v>
      </c>
      <c r="W3559" s="104" t="str">
        <f t="shared" si="2828"/>
        <v>/</v>
      </c>
      <c r="X3559" s="111" t="s">
        <v>2092</v>
      </c>
      <c r="Y3559" s="106"/>
      <c r="Z3559" s="26" t="str">
        <f t="shared" si="5"/>
        <v/>
      </c>
      <c r="AA3559" s="26" t="str">
        <f t="shared" si="6"/>
        <v/>
      </c>
      <c r="AB3559" s="32" t="str">
        <f t="shared" si="7"/>
        <v/>
      </c>
      <c r="AC3559" s="32" t="str">
        <f t="shared" ref="AC3559:AG3559" si="3663">IF(J3559&lt;&gt;"", IF(AND($P3559=FALSE, $A3559=FALSE), -J3559, IF(AND($P3559=FALSE, $A3559=TRUE), 0, IF($P3559=TRUE, (J3559 / $R3559) * 100 * ($S3559 / 100)-J3559, ))), )</f>
        <v/>
      </c>
      <c r="AD3559" s="32" t="str">
        <f t="shared" si="3663"/>
        <v/>
      </c>
      <c r="AE3559" s="32" t="str">
        <f t="shared" si="3663"/>
        <v/>
      </c>
      <c r="AF3559" s="32" t="str">
        <f t="shared" si="3663"/>
        <v/>
      </c>
      <c r="AG3559" s="32" t="str">
        <f t="shared" si="3663"/>
        <v/>
      </c>
      <c r="AH3559" s="33"/>
    </row>
    <row r="3560" hidden="1" outlineLevel="2">
      <c r="A3560" s="95" t="b">
        <v>0</v>
      </c>
      <c r="B3560" s="96"/>
      <c r="C3560" s="18"/>
      <c r="D3560" s="107"/>
      <c r="E3560" s="108"/>
      <c r="F3560" s="109"/>
      <c r="G3560" s="97"/>
      <c r="H3560" s="97"/>
      <c r="I3560" s="97"/>
      <c r="J3560" s="98"/>
      <c r="K3560" s="99"/>
      <c r="L3560" s="98"/>
      <c r="M3560" s="99"/>
      <c r="N3560" s="99"/>
      <c r="O3560" s="18"/>
      <c r="P3560" s="100" t="b">
        <v>0</v>
      </c>
      <c r="Q3560" s="18"/>
      <c r="R3560" s="101" t="str">
        <f t="shared" si="3377"/>
        <v/>
      </c>
      <c r="S3560" s="32"/>
      <c r="T3560" s="102" t="str">
        <f t="shared" si="3378"/>
        <v/>
      </c>
      <c r="U3560" s="18"/>
      <c r="V3560" s="75" t="s">
        <v>29</v>
      </c>
      <c r="W3560" s="104" t="str">
        <f t="shared" si="2828"/>
        <v>/</v>
      </c>
      <c r="X3560" s="111" t="s">
        <v>1742</v>
      </c>
      <c r="Y3560" s="106"/>
      <c r="Z3560" s="26" t="str">
        <f t="shared" si="5"/>
        <v/>
      </c>
      <c r="AA3560" s="26" t="str">
        <f t="shared" si="6"/>
        <v/>
      </c>
      <c r="AB3560" s="32" t="str">
        <f t="shared" si="7"/>
        <v/>
      </c>
      <c r="AC3560" s="32" t="str">
        <f t="shared" ref="AC3560:AG3560" si="3664">IF(J3560&lt;&gt;"", IF(AND($P3560=FALSE, $A3560=FALSE), -J3560, IF(AND($P3560=FALSE, $A3560=TRUE), 0, IF($P3560=TRUE, (J3560 / $R3560) * 100 * ($S3560 / 100)-J3560, ))), )</f>
        <v/>
      </c>
      <c r="AD3560" s="32" t="str">
        <f t="shared" si="3664"/>
        <v/>
      </c>
      <c r="AE3560" s="32" t="str">
        <f t="shared" si="3664"/>
        <v/>
      </c>
      <c r="AF3560" s="32" t="str">
        <f t="shared" si="3664"/>
        <v/>
      </c>
      <c r="AG3560" s="32" t="str">
        <f t="shared" si="3664"/>
        <v/>
      </c>
      <c r="AH3560" s="33"/>
    </row>
    <row r="3561" collapsed="1">
      <c r="A3561" s="95" t="b">
        <v>0</v>
      </c>
      <c r="B3561" s="96"/>
      <c r="C3561" s="18"/>
      <c r="D3561" s="42">
        <v>45929.0</v>
      </c>
      <c r="E3561" s="43" t="s">
        <v>24</v>
      </c>
      <c r="F3561" s="82" t="s">
        <v>2077</v>
      </c>
      <c r="G3561" s="97">
        <v>2.0</v>
      </c>
      <c r="H3561" s="97"/>
      <c r="I3561" s="97">
        <v>3.0</v>
      </c>
      <c r="J3561" s="98"/>
      <c r="K3561" s="99"/>
      <c r="L3561" s="98"/>
      <c r="M3561" s="99"/>
      <c r="N3561" s="99"/>
      <c r="O3561" s="18"/>
      <c r="P3561" s="100" t="b">
        <v>0</v>
      </c>
      <c r="Q3561" s="18"/>
      <c r="R3561" s="101">
        <f t="shared" si="3377"/>
        <v>5</v>
      </c>
      <c r="S3561" s="32">
        <v>10.35</v>
      </c>
      <c r="T3561" s="102" t="str">
        <f t="shared" si="3378"/>
        <v>+107</v>
      </c>
      <c r="U3561" s="18"/>
      <c r="V3561" s="103" t="str">
        <f>IF(ISBLANK($D3561), "0",)</f>
        <v/>
      </c>
      <c r="W3561" s="104" t="str">
        <f t="shared" si="2828"/>
        <v/>
      </c>
      <c r="X3561" s="105"/>
      <c r="Y3561" s="106"/>
      <c r="Z3561" s="26">
        <f t="shared" si="5"/>
        <v>-2</v>
      </c>
      <c r="AA3561" s="26">
        <f t="shared" si="6"/>
        <v>-3</v>
      </c>
      <c r="AB3561" s="32" t="str">
        <f t="shared" si="7"/>
        <v/>
      </c>
      <c r="AC3561" s="32" t="str">
        <f t="shared" ref="AC3561:AG3561" si="3665">IF(J3561&lt;&gt;"", IF(AND($P3561=FALSE, $A3561=FALSE), -J3561, IF(AND($P3561=FALSE, $A3561=TRUE), 0, IF($P3561=TRUE, (J3561 / $R3561) * 100 * ($S3561 / 100)-J3561, ))), )</f>
        <v/>
      </c>
      <c r="AD3561" s="32" t="str">
        <f t="shared" si="3665"/>
        <v/>
      </c>
      <c r="AE3561" s="32" t="str">
        <f t="shared" si="3665"/>
        <v/>
      </c>
      <c r="AF3561" s="32" t="str">
        <f t="shared" si="3665"/>
        <v/>
      </c>
      <c r="AG3561" s="32" t="str">
        <f t="shared" si="3665"/>
        <v/>
      </c>
      <c r="AH3561" s="33"/>
    </row>
    <row r="3562" hidden="1" outlineLevel="2">
      <c r="A3562" s="95" t="b">
        <v>0</v>
      </c>
      <c r="B3562" s="96"/>
      <c r="C3562" s="18"/>
      <c r="D3562" s="107"/>
      <c r="E3562" s="108"/>
      <c r="F3562" s="109"/>
      <c r="G3562" s="97"/>
      <c r="H3562" s="97"/>
      <c r="I3562" s="97"/>
      <c r="J3562" s="98"/>
      <c r="K3562" s="99"/>
      <c r="L3562" s="98"/>
      <c r="M3562" s="99"/>
      <c r="N3562" s="99"/>
      <c r="O3562" s="18"/>
      <c r="P3562" s="100" t="b">
        <v>0</v>
      </c>
      <c r="Q3562" s="18"/>
      <c r="R3562" s="101" t="str">
        <f t="shared" si="3377"/>
        <v/>
      </c>
      <c r="S3562" s="32"/>
      <c r="T3562" s="102" t="str">
        <f t="shared" si="3378"/>
        <v/>
      </c>
      <c r="U3562" s="18"/>
      <c r="V3562" s="113">
        <v>7.0</v>
      </c>
      <c r="W3562" s="104" t="str">
        <f t="shared" si="2828"/>
        <v>/</v>
      </c>
      <c r="X3562" s="111" t="s">
        <v>2093</v>
      </c>
      <c r="Y3562" s="106"/>
      <c r="Z3562" s="26" t="str">
        <f t="shared" si="5"/>
        <v/>
      </c>
      <c r="AA3562" s="26" t="str">
        <f t="shared" si="6"/>
        <v/>
      </c>
      <c r="AB3562" s="32" t="str">
        <f t="shared" si="7"/>
        <v/>
      </c>
      <c r="AC3562" s="32" t="str">
        <f t="shared" ref="AC3562:AG3562" si="3666">IF(J3562&lt;&gt;"", IF(AND($P3562=FALSE, $A3562=FALSE), -J3562, IF(AND($P3562=FALSE, $A3562=TRUE), 0, IF($P3562=TRUE, (J3562 / $R3562) * 100 * ($S3562 / 100)-J3562, ))), )</f>
        <v/>
      </c>
      <c r="AD3562" s="32" t="str">
        <f t="shared" si="3666"/>
        <v/>
      </c>
      <c r="AE3562" s="32" t="str">
        <f t="shared" si="3666"/>
        <v/>
      </c>
      <c r="AF3562" s="32" t="str">
        <f t="shared" si="3666"/>
        <v/>
      </c>
      <c r="AG3562" s="32" t="str">
        <f t="shared" si="3666"/>
        <v/>
      </c>
      <c r="AH3562" s="33"/>
    </row>
    <row r="3563" hidden="1" outlineLevel="1" collapsed="1">
      <c r="A3563" s="95" t="b">
        <v>0</v>
      </c>
      <c r="B3563" s="96"/>
      <c r="C3563" s="18"/>
      <c r="D3563" s="42">
        <v>45929.0</v>
      </c>
      <c r="E3563" s="43" t="s">
        <v>24</v>
      </c>
      <c r="F3563" s="82" t="s">
        <v>2077</v>
      </c>
      <c r="G3563" s="97">
        <v>2.0</v>
      </c>
      <c r="H3563" s="97"/>
      <c r="I3563" s="97">
        <v>3.0</v>
      </c>
      <c r="J3563" s="98"/>
      <c r="K3563" s="99"/>
      <c r="L3563" s="98"/>
      <c r="M3563" s="99"/>
      <c r="N3563" s="99"/>
      <c r="O3563" s="18"/>
      <c r="P3563" s="100" t="b">
        <v>1</v>
      </c>
      <c r="Q3563" s="18"/>
      <c r="R3563" s="101">
        <f t="shared" si="3377"/>
        <v>5</v>
      </c>
      <c r="S3563" s="32">
        <v>10.45</v>
      </c>
      <c r="T3563" s="102" t="str">
        <f t="shared" si="3378"/>
        <v>+109</v>
      </c>
      <c r="U3563" s="18"/>
      <c r="V3563" s="103" t="str">
        <f t="shared" ref="V3563:V3565" si="3668">IF(ISBLANK($D3563), "0",)</f>
        <v/>
      </c>
      <c r="W3563" s="104" t="str">
        <f t="shared" si="2828"/>
        <v/>
      </c>
      <c r="X3563" s="105"/>
      <c r="Y3563" s="106"/>
      <c r="Z3563" s="26">
        <f t="shared" si="5"/>
        <v>2.18</v>
      </c>
      <c r="AA3563" s="26">
        <f t="shared" si="6"/>
        <v>3.27</v>
      </c>
      <c r="AB3563" s="32" t="str">
        <f t="shared" si="7"/>
        <v/>
      </c>
      <c r="AC3563" s="32" t="str">
        <f t="shared" ref="AC3563:AG3563" si="3667">IF(J3563&lt;&gt;"", IF(AND($P3563=FALSE, $A3563=FALSE), -J3563, IF(AND($P3563=FALSE, $A3563=TRUE), 0, IF($P3563=TRUE, (J3563 / $R3563) * 100 * ($S3563 / 100)-J3563, ))), )</f>
        <v/>
      </c>
      <c r="AD3563" s="32" t="str">
        <f t="shared" si="3667"/>
        <v/>
      </c>
      <c r="AE3563" s="32" t="str">
        <f t="shared" si="3667"/>
        <v/>
      </c>
      <c r="AF3563" s="32" t="str">
        <f t="shared" si="3667"/>
        <v/>
      </c>
      <c r="AG3563" s="32" t="str">
        <f t="shared" si="3667"/>
        <v/>
      </c>
      <c r="AH3563" s="33"/>
    </row>
    <row r="3564" hidden="1" outlineLevel="2">
      <c r="A3564" s="95" t="b">
        <v>0</v>
      </c>
      <c r="B3564" s="96"/>
      <c r="C3564" s="18"/>
      <c r="D3564" s="107"/>
      <c r="E3564" s="108"/>
      <c r="F3564" s="109"/>
      <c r="G3564" s="97"/>
      <c r="H3564" s="97"/>
      <c r="I3564" s="97"/>
      <c r="J3564" s="98"/>
      <c r="K3564" s="99"/>
      <c r="L3564" s="98"/>
      <c r="M3564" s="99"/>
      <c r="N3564" s="99"/>
      <c r="O3564" s="18"/>
      <c r="P3564" s="100" t="b">
        <v>0</v>
      </c>
      <c r="Q3564" s="18"/>
      <c r="R3564" s="101" t="str">
        <f t="shared" si="3377"/>
        <v/>
      </c>
      <c r="S3564" s="32"/>
      <c r="T3564" s="102" t="str">
        <f t="shared" si="3378"/>
        <v/>
      </c>
      <c r="U3564" s="18"/>
      <c r="V3564" s="103" t="str">
        <f t="shared" si="3668"/>
        <v>0</v>
      </c>
      <c r="W3564" s="104" t="str">
        <f t="shared" si="2828"/>
        <v>/</v>
      </c>
      <c r="X3564" s="111" t="s">
        <v>2094</v>
      </c>
      <c r="Y3564" s="106"/>
      <c r="Z3564" s="26" t="str">
        <f t="shared" si="5"/>
        <v/>
      </c>
      <c r="AA3564" s="26" t="str">
        <f t="shared" si="6"/>
        <v/>
      </c>
      <c r="AB3564" s="32" t="str">
        <f t="shared" si="7"/>
        <v/>
      </c>
      <c r="AC3564" s="32" t="str">
        <f t="shared" ref="AC3564:AG3564" si="3669">IF(J3564&lt;&gt;"", IF(AND($P3564=FALSE, $A3564=FALSE), -J3564, IF(AND($P3564=FALSE, $A3564=TRUE), 0, IF($P3564=TRUE, (J3564 / $R3564) * 100 * ($S3564 / 100)-J3564, ))), )</f>
        <v/>
      </c>
      <c r="AD3564" s="32" t="str">
        <f t="shared" si="3669"/>
        <v/>
      </c>
      <c r="AE3564" s="32" t="str">
        <f t="shared" si="3669"/>
        <v/>
      </c>
      <c r="AF3564" s="32" t="str">
        <f t="shared" si="3669"/>
        <v/>
      </c>
      <c r="AG3564" s="32" t="str">
        <f t="shared" si="3669"/>
        <v/>
      </c>
      <c r="AH3564" s="33"/>
    </row>
    <row r="3565" hidden="1" outlineLevel="1">
      <c r="A3565" s="95" t="b">
        <v>0</v>
      </c>
      <c r="B3565" s="96"/>
      <c r="C3565" s="18"/>
      <c r="D3565" s="42">
        <v>45929.0</v>
      </c>
      <c r="E3565" s="43" t="s">
        <v>24</v>
      </c>
      <c r="F3565" s="82" t="s">
        <v>2077</v>
      </c>
      <c r="G3565" s="97">
        <v>2.0</v>
      </c>
      <c r="H3565" s="97"/>
      <c r="I3565" s="97">
        <v>3.0</v>
      </c>
      <c r="J3565" s="98"/>
      <c r="K3565" s="99"/>
      <c r="L3565" s="98"/>
      <c r="M3565" s="99"/>
      <c r="N3565" s="99"/>
      <c r="O3565" s="18"/>
      <c r="P3565" s="100" t="b">
        <v>0</v>
      </c>
      <c r="Q3565" s="18"/>
      <c r="R3565" s="101">
        <f t="shared" si="3377"/>
        <v>5</v>
      </c>
      <c r="S3565" s="32">
        <v>21.6</v>
      </c>
      <c r="T3565" s="102" t="str">
        <f t="shared" si="3378"/>
        <v>+332</v>
      </c>
      <c r="U3565" s="18"/>
      <c r="V3565" s="103" t="str">
        <f t="shared" si="3668"/>
        <v/>
      </c>
      <c r="W3565" s="104" t="str">
        <f t="shared" si="2828"/>
        <v/>
      </c>
      <c r="X3565" s="105"/>
      <c r="Y3565" s="106"/>
      <c r="Z3565" s="26">
        <f t="shared" si="5"/>
        <v>-2</v>
      </c>
      <c r="AA3565" s="26">
        <f t="shared" si="6"/>
        <v>-3</v>
      </c>
      <c r="AB3565" s="32" t="str">
        <f t="shared" si="7"/>
        <v/>
      </c>
      <c r="AC3565" s="32" t="str">
        <f t="shared" ref="AC3565:AG3565" si="3670">IF(J3565&lt;&gt;"", IF(AND($P3565=FALSE, $A3565=FALSE), -J3565, IF(AND($P3565=FALSE, $A3565=TRUE), 0, IF($P3565=TRUE, (J3565 / $R3565) * 100 * ($S3565 / 100)-J3565, ))), )</f>
        <v/>
      </c>
      <c r="AD3565" s="32" t="str">
        <f t="shared" si="3670"/>
        <v/>
      </c>
      <c r="AE3565" s="32" t="str">
        <f t="shared" si="3670"/>
        <v/>
      </c>
      <c r="AF3565" s="32" t="str">
        <f t="shared" si="3670"/>
        <v/>
      </c>
      <c r="AG3565" s="32" t="str">
        <f t="shared" si="3670"/>
        <v/>
      </c>
      <c r="AH3565" s="33"/>
    </row>
    <row r="3566" hidden="1" outlineLevel="2">
      <c r="A3566" s="95" t="b">
        <v>0</v>
      </c>
      <c r="B3566" s="96"/>
      <c r="C3566" s="18"/>
      <c r="D3566" s="107"/>
      <c r="E3566" s="108"/>
      <c r="F3566" s="109"/>
      <c r="G3566" s="97"/>
      <c r="H3566" s="97"/>
      <c r="I3566" s="97"/>
      <c r="J3566" s="98"/>
      <c r="K3566" s="99"/>
      <c r="L3566" s="98"/>
      <c r="M3566" s="99"/>
      <c r="N3566" s="99"/>
      <c r="O3566" s="18"/>
      <c r="P3566" s="100" t="b">
        <v>0</v>
      </c>
      <c r="Q3566" s="18"/>
      <c r="R3566" s="101" t="str">
        <f t="shared" si="3377"/>
        <v/>
      </c>
      <c r="S3566" s="32"/>
      <c r="T3566" s="102" t="str">
        <f t="shared" si="3378"/>
        <v/>
      </c>
      <c r="U3566" s="18"/>
      <c r="V3566" s="113">
        <v>1.0</v>
      </c>
      <c r="W3566" s="104" t="str">
        <f t="shared" si="2828"/>
        <v>/</v>
      </c>
      <c r="X3566" s="111" t="s">
        <v>2095</v>
      </c>
      <c r="Y3566" s="106"/>
      <c r="Z3566" s="26" t="str">
        <f t="shared" si="5"/>
        <v/>
      </c>
      <c r="AA3566" s="26" t="str">
        <f t="shared" si="6"/>
        <v/>
      </c>
      <c r="AB3566" s="32" t="str">
        <f t="shared" si="7"/>
        <v/>
      </c>
      <c r="AC3566" s="32" t="str">
        <f t="shared" ref="AC3566:AG3566" si="3671">IF(J3566&lt;&gt;"", IF(AND($P3566=FALSE, $A3566=FALSE), -J3566, IF(AND($P3566=FALSE, $A3566=TRUE), 0, IF($P3566=TRUE, (J3566 / $R3566) * 100 * ($S3566 / 100)-J3566, ))), )</f>
        <v/>
      </c>
      <c r="AD3566" s="32" t="str">
        <f t="shared" si="3671"/>
        <v/>
      </c>
      <c r="AE3566" s="32" t="str">
        <f t="shared" si="3671"/>
        <v/>
      </c>
      <c r="AF3566" s="32" t="str">
        <f t="shared" si="3671"/>
        <v/>
      </c>
      <c r="AG3566" s="32" t="str">
        <f t="shared" si="3671"/>
        <v/>
      </c>
      <c r="AH3566" s="33"/>
    </row>
    <row r="3567" hidden="1" outlineLevel="2">
      <c r="A3567" s="95" t="b">
        <v>0</v>
      </c>
      <c r="B3567" s="96"/>
      <c r="C3567" s="18"/>
      <c r="D3567" s="107"/>
      <c r="E3567" s="108"/>
      <c r="F3567" s="109"/>
      <c r="G3567" s="97"/>
      <c r="H3567" s="97"/>
      <c r="I3567" s="97"/>
      <c r="J3567" s="98"/>
      <c r="K3567" s="99"/>
      <c r="L3567" s="98"/>
      <c r="M3567" s="99"/>
      <c r="N3567" s="99"/>
      <c r="O3567" s="18"/>
      <c r="P3567" s="100" t="b">
        <v>0</v>
      </c>
      <c r="Q3567" s="18"/>
      <c r="R3567" s="101" t="str">
        <f t="shared" si="3377"/>
        <v/>
      </c>
      <c r="S3567" s="32"/>
      <c r="T3567" s="102" t="str">
        <f t="shared" si="3378"/>
        <v/>
      </c>
      <c r="U3567" s="18"/>
      <c r="V3567" s="75" t="s">
        <v>29</v>
      </c>
      <c r="W3567" s="104" t="str">
        <f t="shared" si="2828"/>
        <v>/</v>
      </c>
      <c r="X3567" s="111" t="s">
        <v>658</v>
      </c>
      <c r="Y3567" s="106"/>
      <c r="Z3567" s="26" t="str">
        <f t="shared" si="5"/>
        <v/>
      </c>
      <c r="AA3567" s="26" t="str">
        <f t="shared" si="6"/>
        <v/>
      </c>
      <c r="AB3567" s="32" t="str">
        <f t="shared" si="7"/>
        <v/>
      </c>
      <c r="AC3567" s="32" t="str">
        <f t="shared" ref="AC3567:AG3567" si="3672">IF(J3567&lt;&gt;"", IF(AND($P3567=FALSE, $A3567=FALSE), -J3567, IF(AND($P3567=FALSE, $A3567=TRUE), 0, IF($P3567=TRUE, (J3567 / $R3567) * 100 * ($S3567 / 100)-J3567, ))), )</f>
        <v/>
      </c>
      <c r="AD3567" s="32" t="str">
        <f t="shared" si="3672"/>
        <v/>
      </c>
      <c r="AE3567" s="32" t="str">
        <f t="shared" si="3672"/>
        <v/>
      </c>
      <c r="AF3567" s="32" t="str">
        <f t="shared" si="3672"/>
        <v/>
      </c>
      <c r="AG3567" s="32" t="str">
        <f t="shared" si="3672"/>
        <v/>
      </c>
      <c r="AH3567" s="33"/>
    </row>
    <row r="3568" hidden="1" outlineLevel="2">
      <c r="A3568" s="95" t="b">
        <v>0</v>
      </c>
      <c r="B3568" s="96"/>
      <c r="C3568" s="18"/>
      <c r="D3568" s="107"/>
      <c r="E3568" s="108"/>
      <c r="F3568" s="109"/>
      <c r="G3568" s="97"/>
      <c r="H3568" s="97"/>
      <c r="I3568" s="97"/>
      <c r="J3568" s="98"/>
      <c r="K3568" s="99"/>
      <c r="L3568" s="98"/>
      <c r="M3568" s="99"/>
      <c r="N3568" s="99"/>
      <c r="O3568" s="18"/>
      <c r="P3568" s="100" t="b">
        <v>0</v>
      </c>
      <c r="Q3568" s="18"/>
      <c r="R3568" s="101" t="str">
        <f t="shared" si="3377"/>
        <v/>
      </c>
      <c r="S3568" s="32"/>
      <c r="T3568" s="102" t="str">
        <f t="shared" si="3378"/>
        <v/>
      </c>
      <c r="U3568" s="18"/>
      <c r="V3568" s="113">
        <v>5.0</v>
      </c>
      <c r="W3568" s="104" t="str">
        <f t="shared" si="2828"/>
        <v>/</v>
      </c>
      <c r="X3568" s="111" t="s">
        <v>2096</v>
      </c>
      <c r="Y3568" s="106"/>
      <c r="Z3568" s="26" t="str">
        <f t="shared" si="5"/>
        <v/>
      </c>
      <c r="AA3568" s="26" t="str">
        <f t="shared" si="6"/>
        <v/>
      </c>
      <c r="AB3568" s="32" t="str">
        <f t="shared" si="7"/>
        <v/>
      </c>
      <c r="AC3568" s="32" t="str">
        <f t="shared" ref="AC3568:AG3568" si="3673">IF(J3568&lt;&gt;"", IF(AND($P3568=FALSE, $A3568=FALSE), -J3568, IF(AND($P3568=FALSE, $A3568=TRUE), 0, IF($P3568=TRUE, (J3568 / $R3568) * 100 * ($S3568 / 100)-J3568, ))), )</f>
        <v/>
      </c>
      <c r="AD3568" s="32" t="str">
        <f t="shared" si="3673"/>
        <v/>
      </c>
      <c r="AE3568" s="32" t="str">
        <f t="shared" si="3673"/>
        <v/>
      </c>
      <c r="AF3568" s="32" t="str">
        <f t="shared" si="3673"/>
        <v/>
      </c>
      <c r="AG3568" s="32" t="str">
        <f t="shared" si="3673"/>
        <v/>
      </c>
      <c r="AH3568" s="33"/>
    </row>
    <row r="3569" hidden="1" outlineLevel="1">
      <c r="A3569" s="95" t="b">
        <v>0</v>
      </c>
      <c r="B3569" s="96"/>
      <c r="C3569" s="18"/>
      <c r="D3569" s="42">
        <v>45929.0</v>
      </c>
      <c r="E3569" s="43" t="s">
        <v>24</v>
      </c>
      <c r="F3569" s="82" t="s">
        <v>2077</v>
      </c>
      <c r="G3569" s="97">
        <v>1.0</v>
      </c>
      <c r="H3569" s="97"/>
      <c r="I3569" s="97">
        <v>5.0</v>
      </c>
      <c r="J3569" s="98"/>
      <c r="K3569" s="99"/>
      <c r="L3569" s="98"/>
      <c r="M3569" s="99"/>
      <c r="N3569" s="99"/>
      <c r="O3569" s="18"/>
      <c r="P3569" s="100" t="b">
        <v>0</v>
      </c>
      <c r="Q3569" s="18"/>
      <c r="R3569" s="101">
        <f t="shared" si="3377"/>
        <v>6</v>
      </c>
      <c r="S3569" s="32">
        <v>13.8</v>
      </c>
      <c r="T3569" s="102" t="str">
        <f t="shared" si="3378"/>
        <v>+130</v>
      </c>
      <c r="U3569" s="18"/>
      <c r="V3569" s="103" t="str">
        <f t="shared" ref="V3569:V3571" si="3675">IF(ISBLANK($D3569), "0",)</f>
        <v/>
      </c>
      <c r="W3569" s="104" t="str">
        <f t="shared" si="2828"/>
        <v/>
      </c>
      <c r="X3569" s="105"/>
      <c r="Y3569" s="106"/>
      <c r="Z3569" s="26">
        <f t="shared" si="5"/>
        <v>-1</v>
      </c>
      <c r="AA3569" s="26">
        <f t="shared" si="6"/>
        <v>-5</v>
      </c>
      <c r="AB3569" s="32" t="str">
        <f t="shared" si="7"/>
        <v/>
      </c>
      <c r="AC3569" s="32" t="str">
        <f t="shared" ref="AC3569:AG3569" si="3674">IF(J3569&lt;&gt;"", IF(AND($P3569=FALSE, $A3569=FALSE), -J3569, IF(AND($P3569=FALSE, $A3569=TRUE), 0, IF($P3569=TRUE, (J3569 / $R3569) * 100 * ($S3569 / 100)-J3569, ))), )</f>
        <v/>
      </c>
      <c r="AD3569" s="32" t="str">
        <f t="shared" si="3674"/>
        <v/>
      </c>
      <c r="AE3569" s="32" t="str">
        <f t="shared" si="3674"/>
        <v/>
      </c>
      <c r="AF3569" s="32" t="str">
        <f t="shared" si="3674"/>
        <v/>
      </c>
      <c r="AG3569" s="32" t="str">
        <f t="shared" si="3674"/>
        <v/>
      </c>
      <c r="AH3569" s="33"/>
    </row>
    <row r="3570" hidden="1" outlineLevel="2">
      <c r="A3570" s="95" t="b">
        <v>0</v>
      </c>
      <c r="B3570" s="96"/>
      <c r="C3570" s="18"/>
      <c r="D3570" s="107"/>
      <c r="E3570" s="108"/>
      <c r="F3570" s="109"/>
      <c r="G3570" s="97"/>
      <c r="H3570" s="97"/>
      <c r="I3570" s="97"/>
      <c r="J3570" s="98"/>
      <c r="K3570" s="99"/>
      <c r="L3570" s="98"/>
      <c r="M3570" s="99"/>
      <c r="N3570" s="99"/>
      <c r="O3570" s="18"/>
      <c r="P3570" s="100" t="b">
        <v>0</v>
      </c>
      <c r="Q3570" s="18"/>
      <c r="R3570" s="101" t="str">
        <f t="shared" si="3377"/>
        <v/>
      </c>
      <c r="S3570" s="32"/>
      <c r="T3570" s="102" t="str">
        <f t="shared" si="3378"/>
        <v/>
      </c>
      <c r="U3570" s="18"/>
      <c r="V3570" s="103" t="str">
        <f t="shared" si="3675"/>
        <v>0</v>
      </c>
      <c r="W3570" s="104" t="str">
        <f t="shared" si="2828"/>
        <v>/</v>
      </c>
      <c r="X3570" s="111" t="s">
        <v>2097</v>
      </c>
      <c r="Y3570" s="106"/>
      <c r="Z3570" s="26" t="str">
        <f t="shared" si="5"/>
        <v/>
      </c>
      <c r="AA3570" s="26" t="str">
        <f t="shared" si="6"/>
        <v/>
      </c>
      <c r="AB3570" s="32" t="str">
        <f t="shared" si="7"/>
        <v/>
      </c>
      <c r="AC3570" s="32" t="str">
        <f t="shared" ref="AC3570:AG3570" si="3676">IF(J3570&lt;&gt;"", IF(AND($P3570=FALSE, $A3570=FALSE), -J3570, IF(AND($P3570=FALSE, $A3570=TRUE), 0, IF($P3570=TRUE, (J3570 / $R3570) * 100 * ($S3570 / 100)-J3570, ))), )</f>
        <v/>
      </c>
      <c r="AD3570" s="32" t="str">
        <f t="shared" si="3676"/>
        <v/>
      </c>
      <c r="AE3570" s="32" t="str">
        <f t="shared" si="3676"/>
        <v/>
      </c>
      <c r="AF3570" s="32" t="str">
        <f t="shared" si="3676"/>
        <v/>
      </c>
      <c r="AG3570" s="32" t="str">
        <f t="shared" si="3676"/>
        <v/>
      </c>
      <c r="AH3570" s="33"/>
    </row>
    <row r="3571" collapsed="1">
      <c r="A3571" s="95" t="b">
        <v>0</v>
      </c>
      <c r="B3571" s="96"/>
      <c r="C3571" s="18"/>
      <c r="D3571" s="42">
        <v>45932.0</v>
      </c>
      <c r="E3571" s="43" t="s">
        <v>24</v>
      </c>
      <c r="F3571" s="53" t="s">
        <v>2098</v>
      </c>
      <c r="G3571" s="97">
        <v>3.0</v>
      </c>
      <c r="H3571" s="97"/>
      <c r="I3571" s="97">
        <v>7.0</v>
      </c>
      <c r="J3571" s="98"/>
      <c r="K3571" s="99"/>
      <c r="L3571" s="98"/>
      <c r="M3571" s="99"/>
      <c r="N3571" s="99"/>
      <c r="O3571" s="18"/>
      <c r="P3571" s="100" t="b">
        <v>1</v>
      </c>
      <c r="Q3571" s="18"/>
      <c r="R3571" s="101">
        <f t="shared" si="3377"/>
        <v>10</v>
      </c>
      <c r="S3571" s="32">
        <v>18.7</v>
      </c>
      <c r="T3571" s="102">
        <f t="shared" si="3378"/>
        <v>-115</v>
      </c>
      <c r="U3571" s="18"/>
      <c r="V3571" s="103" t="str">
        <f t="shared" si="3675"/>
        <v/>
      </c>
      <c r="W3571" s="104" t="str">
        <f t="shared" si="2828"/>
        <v/>
      </c>
      <c r="X3571" s="105"/>
      <c r="Y3571" s="106"/>
      <c r="Z3571" s="26">
        <f t="shared" si="5"/>
        <v>2.61</v>
      </c>
      <c r="AA3571" s="26">
        <f t="shared" si="6"/>
        <v>6.09</v>
      </c>
      <c r="AB3571" s="32" t="str">
        <f t="shared" si="7"/>
        <v/>
      </c>
      <c r="AC3571" s="32" t="str">
        <f t="shared" ref="AC3571:AG3571" si="3677">IF(J3571&lt;&gt;"", IF(AND($P3571=FALSE, $A3571=FALSE), -J3571, IF(AND($P3571=FALSE, $A3571=TRUE), 0, IF($P3571=TRUE, (J3571 / $R3571) * 100 * ($S3571 / 100)-J3571, ))), )</f>
        <v/>
      </c>
      <c r="AD3571" s="32" t="str">
        <f t="shared" si="3677"/>
        <v/>
      </c>
      <c r="AE3571" s="32" t="str">
        <f t="shared" si="3677"/>
        <v/>
      </c>
      <c r="AF3571" s="32" t="str">
        <f t="shared" si="3677"/>
        <v/>
      </c>
      <c r="AG3571" s="32" t="str">
        <f t="shared" si="3677"/>
        <v/>
      </c>
      <c r="AH3571" s="33"/>
    </row>
    <row r="3572" hidden="1" outlineLevel="2">
      <c r="A3572" s="95" t="b">
        <v>0</v>
      </c>
      <c r="B3572" s="96"/>
      <c r="C3572" s="18"/>
      <c r="D3572" s="107"/>
      <c r="E3572" s="108"/>
      <c r="F3572" s="109"/>
      <c r="G3572" s="97"/>
      <c r="H3572" s="97"/>
      <c r="I3572" s="97"/>
      <c r="J3572" s="98"/>
      <c r="K3572" s="99"/>
      <c r="L3572" s="98"/>
      <c r="M3572" s="99"/>
      <c r="N3572" s="99"/>
      <c r="O3572" s="18"/>
      <c r="P3572" s="100" t="b">
        <v>0</v>
      </c>
      <c r="Q3572" s="18"/>
      <c r="R3572" s="101" t="str">
        <f t="shared" si="3377"/>
        <v/>
      </c>
      <c r="S3572" s="32"/>
      <c r="T3572" s="102" t="str">
        <f t="shared" si="3378"/>
        <v/>
      </c>
      <c r="U3572" s="18"/>
      <c r="V3572" s="75" t="s">
        <v>29</v>
      </c>
      <c r="W3572" s="104" t="str">
        <f t="shared" si="2828"/>
        <v>/</v>
      </c>
      <c r="X3572" s="111" t="s">
        <v>2099</v>
      </c>
      <c r="Y3572" s="106"/>
      <c r="Z3572" s="26" t="str">
        <f t="shared" si="5"/>
        <v/>
      </c>
      <c r="AA3572" s="26" t="str">
        <f t="shared" si="6"/>
        <v/>
      </c>
      <c r="AB3572" s="32" t="str">
        <f t="shared" si="7"/>
        <v/>
      </c>
      <c r="AC3572" s="32" t="str">
        <f t="shared" ref="AC3572:AG3572" si="3678">IF(J3572&lt;&gt;"", IF(AND($P3572=FALSE, $A3572=FALSE), -J3572, IF(AND($P3572=FALSE, $A3572=TRUE), 0, IF($P3572=TRUE, (J3572 / $R3572) * 100 * ($S3572 / 100)-J3572, ))), )</f>
        <v/>
      </c>
      <c r="AD3572" s="32" t="str">
        <f t="shared" si="3678"/>
        <v/>
      </c>
      <c r="AE3572" s="32" t="str">
        <f t="shared" si="3678"/>
        <v/>
      </c>
      <c r="AF3572" s="32" t="str">
        <f t="shared" si="3678"/>
        <v/>
      </c>
      <c r="AG3572" s="32" t="str">
        <f t="shared" si="3678"/>
        <v/>
      </c>
      <c r="AH3572" s="33"/>
    </row>
    <row r="3573" hidden="1" outlineLevel="1" collapsed="1">
      <c r="A3573" s="95" t="b">
        <v>0</v>
      </c>
      <c r="B3573" s="96"/>
      <c r="C3573" s="18"/>
      <c r="D3573" s="42">
        <v>45932.0</v>
      </c>
      <c r="E3573" s="43" t="s">
        <v>24</v>
      </c>
      <c r="F3573" s="53" t="s">
        <v>2098</v>
      </c>
      <c r="G3573" s="97">
        <v>2.0</v>
      </c>
      <c r="H3573" s="97"/>
      <c r="I3573" s="97">
        <v>3.0</v>
      </c>
      <c r="J3573" s="98"/>
      <c r="K3573" s="99"/>
      <c r="L3573" s="98"/>
      <c r="M3573" s="99"/>
      <c r="N3573" s="99"/>
      <c r="O3573" s="18"/>
      <c r="P3573" s="100" t="b">
        <v>1</v>
      </c>
      <c r="Q3573" s="18"/>
      <c r="R3573" s="101">
        <f t="shared" si="3377"/>
        <v>5</v>
      </c>
      <c r="S3573" s="32">
        <v>9.46</v>
      </c>
      <c r="T3573" s="102">
        <f t="shared" si="3378"/>
        <v>-112</v>
      </c>
      <c r="U3573" s="18"/>
      <c r="V3573" s="103" t="str">
        <f>IF(ISBLANK($D3573), "0",)</f>
        <v/>
      </c>
      <c r="W3573" s="104" t="str">
        <f t="shared" si="2828"/>
        <v/>
      </c>
      <c r="X3573" s="105"/>
      <c r="Y3573" s="106"/>
      <c r="Z3573" s="26">
        <f t="shared" si="5"/>
        <v>1.784</v>
      </c>
      <c r="AA3573" s="26">
        <f t="shared" si="6"/>
        <v>2.676</v>
      </c>
      <c r="AB3573" s="32" t="str">
        <f t="shared" si="7"/>
        <v/>
      </c>
      <c r="AC3573" s="32" t="str">
        <f t="shared" ref="AC3573:AG3573" si="3679">IF(J3573&lt;&gt;"", IF(AND($P3573=FALSE, $A3573=FALSE), -J3573, IF(AND($P3573=FALSE, $A3573=TRUE), 0, IF($P3573=TRUE, (J3573 / $R3573) * 100 * ($S3573 / 100)-J3573, ))), )</f>
        <v/>
      </c>
      <c r="AD3573" s="32" t="str">
        <f t="shared" si="3679"/>
        <v/>
      </c>
      <c r="AE3573" s="32" t="str">
        <f t="shared" si="3679"/>
        <v/>
      </c>
      <c r="AF3573" s="32" t="str">
        <f t="shared" si="3679"/>
        <v/>
      </c>
      <c r="AG3573" s="32" t="str">
        <f t="shared" si="3679"/>
        <v/>
      </c>
      <c r="AH3573" s="33"/>
    </row>
    <row r="3574" hidden="1" outlineLevel="2">
      <c r="A3574" s="95" t="b">
        <v>0</v>
      </c>
      <c r="B3574" s="96"/>
      <c r="C3574" s="18"/>
      <c r="D3574" s="107"/>
      <c r="E3574" s="108"/>
      <c r="F3574" s="109"/>
      <c r="G3574" s="97"/>
      <c r="H3574" s="97"/>
      <c r="I3574" s="97"/>
      <c r="J3574" s="98"/>
      <c r="K3574" s="99"/>
      <c r="L3574" s="98"/>
      <c r="M3574" s="99"/>
      <c r="N3574" s="99"/>
      <c r="O3574" s="18"/>
      <c r="P3574" s="100" t="b">
        <v>0</v>
      </c>
      <c r="Q3574" s="18"/>
      <c r="R3574" s="101" t="str">
        <f t="shared" si="3377"/>
        <v/>
      </c>
      <c r="S3574" s="32"/>
      <c r="T3574" s="102" t="str">
        <f t="shared" si="3378"/>
        <v/>
      </c>
      <c r="U3574" s="18"/>
      <c r="V3574" s="75" t="s">
        <v>29</v>
      </c>
      <c r="W3574" s="104" t="str">
        <f t="shared" si="2828"/>
        <v>/</v>
      </c>
      <c r="X3574" s="111" t="s">
        <v>2100</v>
      </c>
      <c r="Y3574" s="106"/>
      <c r="Z3574" s="26" t="str">
        <f t="shared" si="5"/>
        <v/>
      </c>
      <c r="AA3574" s="26" t="str">
        <f t="shared" si="6"/>
        <v/>
      </c>
      <c r="AB3574" s="32" t="str">
        <f t="shared" si="7"/>
        <v/>
      </c>
      <c r="AC3574" s="32" t="str">
        <f t="shared" ref="AC3574:AG3574" si="3680">IF(J3574&lt;&gt;"", IF(AND($P3574=FALSE, $A3574=FALSE), -J3574, IF(AND($P3574=FALSE, $A3574=TRUE), 0, IF($P3574=TRUE, (J3574 / $R3574) * 100 * ($S3574 / 100)-J3574, ))), )</f>
        <v/>
      </c>
      <c r="AD3574" s="32" t="str">
        <f t="shared" si="3680"/>
        <v/>
      </c>
      <c r="AE3574" s="32" t="str">
        <f t="shared" si="3680"/>
        <v/>
      </c>
      <c r="AF3574" s="32" t="str">
        <f t="shared" si="3680"/>
        <v/>
      </c>
      <c r="AG3574" s="32" t="str">
        <f t="shared" si="3680"/>
        <v/>
      </c>
      <c r="AH3574" s="33"/>
    </row>
    <row r="3575" hidden="1" outlineLevel="1">
      <c r="A3575" s="95" t="b">
        <v>0</v>
      </c>
      <c r="B3575" s="96"/>
      <c r="C3575" s="18"/>
      <c r="D3575" s="42">
        <v>45932.0</v>
      </c>
      <c r="E3575" s="43" t="s">
        <v>24</v>
      </c>
      <c r="F3575" s="53" t="s">
        <v>2098</v>
      </c>
      <c r="G3575" s="97">
        <v>2.0</v>
      </c>
      <c r="H3575" s="97"/>
      <c r="I3575" s="97">
        <v>3.0</v>
      </c>
      <c r="J3575" s="98"/>
      <c r="K3575" s="99"/>
      <c r="L3575" s="98"/>
      <c r="M3575" s="99"/>
      <c r="N3575" s="99"/>
      <c r="O3575" s="18"/>
      <c r="P3575" s="100" t="b">
        <v>1</v>
      </c>
      <c r="Q3575" s="18"/>
      <c r="R3575" s="101">
        <f t="shared" si="3377"/>
        <v>5</v>
      </c>
      <c r="S3575" s="32">
        <v>11.64</v>
      </c>
      <c r="T3575" s="102" t="str">
        <f t="shared" si="3378"/>
        <v>+133</v>
      </c>
      <c r="U3575" s="18"/>
      <c r="V3575" s="103" t="str">
        <f>IF(ISBLANK($D3575), "0",)</f>
        <v/>
      </c>
      <c r="W3575" s="104" t="str">
        <f t="shared" si="2828"/>
        <v/>
      </c>
      <c r="X3575" s="105"/>
      <c r="Y3575" s="106"/>
      <c r="Z3575" s="26">
        <f t="shared" si="5"/>
        <v>2.656</v>
      </c>
      <c r="AA3575" s="26">
        <f t="shared" si="6"/>
        <v>3.984</v>
      </c>
      <c r="AB3575" s="32" t="str">
        <f t="shared" si="7"/>
        <v/>
      </c>
      <c r="AC3575" s="32" t="str">
        <f t="shared" ref="AC3575:AG3575" si="3681">IF(J3575&lt;&gt;"", IF(AND($P3575=FALSE, $A3575=FALSE), -J3575, IF(AND($P3575=FALSE, $A3575=TRUE), 0, IF($P3575=TRUE, (J3575 / $R3575) * 100 * ($S3575 / 100)-J3575, ))), )</f>
        <v/>
      </c>
      <c r="AD3575" s="32" t="str">
        <f t="shared" si="3681"/>
        <v/>
      </c>
      <c r="AE3575" s="32" t="str">
        <f t="shared" si="3681"/>
        <v/>
      </c>
      <c r="AF3575" s="32" t="str">
        <f t="shared" si="3681"/>
        <v/>
      </c>
      <c r="AG3575" s="32" t="str">
        <f t="shared" si="3681"/>
        <v/>
      </c>
      <c r="AH3575" s="33"/>
    </row>
    <row r="3576" hidden="1" outlineLevel="2">
      <c r="A3576" s="95" t="b">
        <v>0</v>
      </c>
      <c r="B3576" s="96"/>
      <c r="C3576" s="18"/>
      <c r="D3576" s="107"/>
      <c r="E3576" s="108"/>
      <c r="F3576" s="109"/>
      <c r="G3576" s="97"/>
      <c r="H3576" s="97"/>
      <c r="I3576" s="97"/>
      <c r="J3576" s="98"/>
      <c r="K3576" s="99"/>
      <c r="L3576" s="98"/>
      <c r="M3576" s="99"/>
      <c r="N3576" s="99"/>
      <c r="O3576" s="18"/>
      <c r="P3576" s="100" t="b">
        <v>0</v>
      </c>
      <c r="Q3576" s="18"/>
      <c r="R3576" s="101" t="str">
        <f t="shared" si="3377"/>
        <v/>
      </c>
      <c r="S3576" s="32"/>
      <c r="T3576" s="102" t="str">
        <f t="shared" si="3378"/>
        <v/>
      </c>
      <c r="U3576" s="18"/>
      <c r="V3576" s="75" t="s">
        <v>29</v>
      </c>
      <c r="W3576" s="104" t="str">
        <f t="shared" si="2828"/>
        <v>/</v>
      </c>
      <c r="X3576" s="111" t="s">
        <v>2101</v>
      </c>
      <c r="Y3576" s="106"/>
      <c r="Z3576" s="26" t="str">
        <f t="shared" si="5"/>
        <v/>
      </c>
      <c r="AA3576" s="26" t="str">
        <f t="shared" si="6"/>
        <v/>
      </c>
      <c r="AB3576" s="32" t="str">
        <f t="shared" si="7"/>
        <v/>
      </c>
      <c r="AC3576" s="32" t="str">
        <f t="shared" ref="AC3576:AG3576" si="3682">IF(J3576&lt;&gt;"", IF(AND($P3576=FALSE, $A3576=FALSE), -J3576, IF(AND($P3576=FALSE, $A3576=TRUE), 0, IF($P3576=TRUE, (J3576 / $R3576) * 100 * ($S3576 / 100)-J3576, ))), )</f>
        <v/>
      </c>
      <c r="AD3576" s="32" t="str">
        <f t="shared" si="3682"/>
        <v/>
      </c>
      <c r="AE3576" s="32" t="str">
        <f t="shared" si="3682"/>
        <v/>
      </c>
      <c r="AF3576" s="32" t="str">
        <f t="shared" si="3682"/>
        <v/>
      </c>
      <c r="AG3576" s="32" t="str">
        <f t="shared" si="3682"/>
        <v/>
      </c>
      <c r="AH3576" s="33"/>
    </row>
    <row r="3577" hidden="1" outlineLevel="2">
      <c r="A3577" s="95" t="b">
        <v>0</v>
      </c>
      <c r="B3577" s="96"/>
      <c r="C3577" s="18"/>
      <c r="D3577" s="107"/>
      <c r="E3577" s="108"/>
      <c r="F3577" s="109"/>
      <c r="G3577" s="97"/>
      <c r="H3577" s="97"/>
      <c r="I3577" s="97"/>
      <c r="J3577" s="98"/>
      <c r="K3577" s="99"/>
      <c r="L3577" s="98"/>
      <c r="M3577" s="99"/>
      <c r="N3577" s="99"/>
      <c r="O3577" s="18"/>
      <c r="P3577" s="100" t="b">
        <v>0</v>
      </c>
      <c r="Q3577" s="18"/>
      <c r="R3577" s="101" t="str">
        <f t="shared" si="3377"/>
        <v/>
      </c>
      <c r="S3577" s="32"/>
      <c r="T3577" s="102" t="str">
        <f t="shared" si="3378"/>
        <v/>
      </c>
      <c r="U3577" s="18"/>
      <c r="V3577" s="75" t="s">
        <v>29</v>
      </c>
      <c r="W3577" s="104" t="str">
        <f t="shared" si="2828"/>
        <v>/</v>
      </c>
      <c r="X3577" s="111" t="s">
        <v>2102</v>
      </c>
      <c r="Y3577" s="106"/>
      <c r="Z3577" s="26" t="str">
        <f t="shared" si="5"/>
        <v/>
      </c>
      <c r="AA3577" s="26" t="str">
        <f t="shared" si="6"/>
        <v/>
      </c>
      <c r="AB3577" s="32" t="str">
        <f t="shared" si="7"/>
        <v/>
      </c>
      <c r="AC3577" s="32" t="str">
        <f t="shared" ref="AC3577:AG3577" si="3683">IF(J3577&lt;&gt;"", IF(AND($P3577=FALSE, $A3577=FALSE), -J3577, IF(AND($P3577=FALSE, $A3577=TRUE), 0, IF($P3577=TRUE, (J3577 / $R3577) * 100 * ($S3577 / 100)-J3577, ))), )</f>
        <v/>
      </c>
      <c r="AD3577" s="32" t="str">
        <f t="shared" si="3683"/>
        <v/>
      </c>
      <c r="AE3577" s="32" t="str">
        <f t="shared" si="3683"/>
        <v/>
      </c>
      <c r="AF3577" s="32" t="str">
        <f t="shared" si="3683"/>
        <v/>
      </c>
      <c r="AG3577" s="32" t="str">
        <f t="shared" si="3683"/>
        <v/>
      </c>
      <c r="AH3577" s="33"/>
    </row>
    <row r="3578" hidden="1" outlineLevel="1" collapsed="1">
      <c r="A3578" s="95" t="b">
        <v>0</v>
      </c>
      <c r="B3578" s="96"/>
      <c r="C3578" s="18"/>
      <c r="D3578" s="42">
        <v>45932.0</v>
      </c>
      <c r="E3578" s="43" t="s">
        <v>24</v>
      </c>
      <c r="F3578" s="53" t="s">
        <v>2098</v>
      </c>
      <c r="G3578" s="97">
        <v>2.0</v>
      </c>
      <c r="H3578" s="97"/>
      <c r="I3578" s="97">
        <v>3.0</v>
      </c>
      <c r="J3578" s="98"/>
      <c r="K3578" s="99"/>
      <c r="L3578" s="98"/>
      <c r="M3578" s="99"/>
      <c r="N3578" s="99"/>
      <c r="O3578" s="18"/>
      <c r="P3578" s="100" t="b">
        <v>0</v>
      </c>
      <c r="Q3578" s="18"/>
      <c r="R3578" s="101">
        <f t="shared" si="3377"/>
        <v>5</v>
      </c>
      <c r="S3578" s="32">
        <v>22.49</v>
      </c>
      <c r="T3578" s="102" t="str">
        <f t="shared" si="3378"/>
        <v>+350</v>
      </c>
      <c r="U3578" s="18"/>
      <c r="V3578" s="103" t="str">
        <f t="shared" ref="V3578:V3580" si="3685">IF(ISBLANK($D3578), "0",)</f>
        <v/>
      </c>
      <c r="W3578" s="104" t="str">
        <f t="shared" si="2828"/>
        <v/>
      </c>
      <c r="X3578" s="105"/>
      <c r="Y3578" s="106"/>
      <c r="Z3578" s="26">
        <f t="shared" si="5"/>
        <v>-2</v>
      </c>
      <c r="AA3578" s="26">
        <f t="shared" si="6"/>
        <v>-3</v>
      </c>
      <c r="AB3578" s="32" t="str">
        <f t="shared" si="7"/>
        <v/>
      </c>
      <c r="AC3578" s="32" t="str">
        <f t="shared" ref="AC3578:AG3578" si="3684">IF(J3578&lt;&gt;"", IF(AND($P3578=FALSE, $A3578=FALSE), -J3578, IF(AND($P3578=FALSE, $A3578=TRUE), 0, IF($P3578=TRUE, (J3578 / $R3578) * 100 * ($S3578 / 100)-J3578, ))), )</f>
        <v/>
      </c>
      <c r="AD3578" s="32" t="str">
        <f t="shared" si="3684"/>
        <v/>
      </c>
      <c r="AE3578" s="32" t="str">
        <f t="shared" si="3684"/>
        <v/>
      </c>
      <c r="AF3578" s="32" t="str">
        <f t="shared" si="3684"/>
        <v/>
      </c>
      <c r="AG3578" s="32" t="str">
        <f t="shared" si="3684"/>
        <v/>
      </c>
      <c r="AH3578" s="33"/>
    </row>
    <row r="3579" hidden="1" outlineLevel="2">
      <c r="A3579" s="95" t="b">
        <v>0</v>
      </c>
      <c r="B3579" s="96"/>
      <c r="C3579" s="18"/>
      <c r="D3579" s="107"/>
      <c r="E3579" s="108"/>
      <c r="F3579" s="109"/>
      <c r="G3579" s="97"/>
      <c r="H3579" s="97"/>
      <c r="I3579" s="97"/>
      <c r="J3579" s="98"/>
      <c r="K3579" s="99"/>
      <c r="L3579" s="98"/>
      <c r="M3579" s="99"/>
      <c r="N3579" s="99"/>
      <c r="O3579" s="18"/>
      <c r="P3579" s="100" t="b">
        <v>0</v>
      </c>
      <c r="Q3579" s="18"/>
      <c r="R3579" s="101" t="str">
        <f t="shared" si="3377"/>
        <v/>
      </c>
      <c r="S3579" s="32"/>
      <c r="T3579" s="102" t="str">
        <f t="shared" si="3378"/>
        <v/>
      </c>
      <c r="U3579" s="18"/>
      <c r="V3579" s="103" t="str">
        <f t="shared" si="3685"/>
        <v>0</v>
      </c>
      <c r="W3579" s="104" t="str">
        <f t="shared" si="2828"/>
        <v>/</v>
      </c>
      <c r="X3579" s="111" t="s">
        <v>2103</v>
      </c>
      <c r="Y3579" s="106"/>
      <c r="Z3579" s="26" t="str">
        <f t="shared" si="5"/>
        <v/>
      </c>
      <c r="AA3579" s="26" t="str">
        <f t="shared" si="6"/>
        <v/>
      </c>
      <c r="AB3579" s="32" t="str">
        <f t="shared" si="7"/>
        <v/>
      </c>
      <c r="AC3579" s="32" t="str">
        <f t="shared" ref="AC3579:AG3579" si="3686">IF(J3579&lt;&gt;"", IF(AND($P3579=FALSE, $A3579=FALSE), -J3579, IF(AND($P3579=FALSE, $A3579=TRUE), 0, IF($P3579=TRUE, (J3579 / $R3579) * 100 * ($S3579 / 100)-J3579, ))), )</f>
        <v/>
      </c>
      <c r="AD3579" s="32" t="str">
        <f t="shared" si="3686"/>
        <v/>
      </c>
      <c r="AE3579" s="32" t="str">
        <f t="shared" si="3686"/>
        <v/>
      </c>
      <c r="AF3579" s="32" t="str">
        <f t="shared" si="3686"/>
        <v/>
      </c>
      <c r="AG3579" s="32" t="str">
        <f t="shared" si="3686"/>
        <v/>
      </c>
      <c r="AH3579" s="33"/>
    </row>
    <row r="3580" hidden="1" outlineLevel="1" collapsed="1">
      <c r="A3580" s="95" t="b">
        <v>0</v>
      </c>
      <c r="B3580" s="96"/>
      <c r="C3580" s="18"/>
      <c r="D3580" s="42">
        <v>45932.0</v>
      </c>
      <c r="E3580" s="43" t="s">
        <v>24</v>
      </c>
      <c r="F3580" s="53" t="s">
        <v>2098</v>
      </c>
      <c r="G3580" s="97">
        <v>3.0</v>
      </c>
      <c r="H3580" s="97"/>
      <c r="I3580" s="97">
        <v>3.0</v>
      </c>
      <c r="J3580" s="98"/>
      <c r="K3580" s="99"/>
      <c r="L3580" s="98"/>
      <c r="M3580" s="99"/>
      <c r="N3580" s="99"/>
      <c r="O3580" s="18"/>
      <c r="P3580" s="100" t="b">
        <v>0</v>
      </c>
      <c r="Q3580" s="18"/>
      <c r="R3580" s="101">
        <f t="shared" si="3377"/>
        <v>6</v>
      </c>
      <c r="S3580" s="32">
        <v>12.96</v>
      </c>
      <c r="T3580" s="102" t="str">
        <f t="shared" si="3378"/>
        <v>+116</v>
      </c>
      <c r="U3580" s="18"/>
      <c r="V3580" s="103" t="str">
        <f t="shared" si="3685"/>
        <v/>
      </c>
      <c r="W3580" s="104" t="str">
        <f t="shared" si="2828"/>
        <v/>
      </c>
      <c r="X3580" s="105"/>
      <c r="Y3580" s="106"/>
      <c r="Z3580" s="26">
        <f t="shared" si="5"/>
        <v>-3</v>
      </c>
      <c r="AA3580" s="26">
        <f t="shared" si="6"/>
        <v>-3</v>
      </c>
      <c r="AB3580" s="32" t="str">
        <f t="shared" si="7"/>
        <v/>
      </c>
      <c r="AC3580" s="32" t="str">
        <f t="shared" ref="AC3580:AG3580" si="3687">IF(J3580&lt;&gt;"", IF(AND($P3580=FALSE, $A3580=FALSE), -J3580, IF(AND($P3580=FALSE, $A3580=TRUE), 0, IF($P3580=TRUE, (J3580 / $R3580) * 100 * ($S3580 / 100)-J3580, ))), )</f>
        <v/>
      </c>
      <c r="AD3580" s="32" t="str">
        <f t="shared" si="3687"/>
        <v/>
      </c>
      <c r="AE3580" s="32" t="str">
        <f t="shared" si="3687"/>
        <v/>
      </c>
      <c r="AF3580" s="32" t="str">
        <f t="shared" si="3687"/>
        <v/>
      </c>
      <c r="AG3580" s="32" t="str">
        <f t="shared" si="3687"/>
        <v/>
      </c>
      <c r="AH3580" s="33"/>
    </row>
    <row r="3581" hidden="1" outlineLevel="2">
      <c r="A3581" s="95" t="b">
        <v>0</v>
      </c>
      <c r="B3581" s="96"/>
      <c r="C3581" s="18"/>
      <c r="D3581" s="107"/>
      <c r="E3581" s="108"/>
      <c r="F3581" s="109"/>
      <c r="G3581" s="97"/>
      <c r="H3581" s="97"/>
      <c r="I3581" s="97"/>
      <c r="J3581" s="98"/>
      <c r="K3581" s="99"/>
      <c r="L3581" s="98"/>
      <c r="M3581" s="99"/>
      <c r="N3581" s="99"/>
      <c r="O3581" s="18"/>
      <c r="P3581" s="100" t="b">
        <v>0</v>
      </c>
      <c r="Q3581" s="18"/>
      <c r="R3581" s="101" t="str">
        <f t="shared" si="3377"/>
        <v/>
      </c>
      <c r="S3581" s="32"/>
      <c r="T3581" s="102" t="str">
        <f t="shared" si="3378"/>
        <v/>
      </c>
      <c r="U3581" s="18"/>
      <c r="V3581" s="113">
        <v>2.0</v>
      </c>
      <c r="W3581" s="104" t="str">
        <f t="shared" si="2828"/>
        <v>/</v>
      </c>
      <c r="X3581" s="111" t="s">
        <v>2104</v>
      </c>
      <c r="Y3581" s="106"/>
      <c r="Z3581" s="26" t="str">
        <f t="shared" si="5"/>
        <v/>
      </c>
      <c r="AA3581" s="26" t="str">
        <f t="shared" si="6"/>
        <v/>
      </c>
      <c r="AB3581" s="32" t="str">
        <f t="shared" si="7"/>
        <v/>
      </c>
      <c r="AC3581" s="32" t="str">
        <f t="shared" ref="AC3581:AG3581" si="3688">IF(J3581&lt;&gt;"", IF(AND($P3581=FALSE, $A3581=FALSE), -J3581, IF(AND($P3581=FALSE, $A3581=TRUE), 0, IF($P3581=TRUE, (J3581 / $R3581) * 100 * ($S3581 / 100)-J3581, ))), )</f>
        <v/>
      </c>
      <c r="AD3581" s="32" t="str">
        <f t="shared" si="3688"/>
        <v/>
      </c>
      <c r="AE3581" s="32" t="str">
        <f t="shared" si="3688"/>
        <v/>
      </c>
      <c r="AF3581" s="32" t="str">
        <f t="shared" si="3688"/>
        <v/>
      </c>
      <c r="AG3581" s="32" t="str">
        <f t="shared" si="3688"/>
        <v/>
      </c>
      <c r="AH3581" s="33"/>
    </row>
    <row r="3582" hidden="1" outlineLevel="1">
      <c r="A3582" s="95" t="b">
        <v>0</v>
      </c>
      <c r="B3582" s="96"/>
      <c r="C3582" s="18"/>
      <c r="D3582" s="42">
        <v>45932.0</v>
      </c>
      <c r="E3582" s="43" t="s">
        <v>24</v>
      </c>
      <c r="F3582" s="53" t="s">
        <v>2098</v>
      </c>
      <c r="G3582" s="97">
        <v>1.0</v>
      </c>
      <c r="H3582" s="97"/>
      <c r="I3582" s="97"/>
      <c r="J3582" s="98"/>
      <c r="K3582" s="99"/>
      <c r="L3582" s="98"/>
      <c r="M3582" s="99"/>
      <c r="N3582" s="99"/>
      <c r="O3582" s="18"/>
      <c r="P3582" s="100" t="b">
        <v>0</v>
      </c>
      <c r="Q3582" s="18"/>
      <c r="R3582" s="101">
        <f t="shared" si="3377"/>
        <v>1</v>
      </c>
      <c r="S3582" s="32">
        <v>9.5</v>
      </c>
      <c r="T3582" s="102" t="str">
        <f t="shared" si="3378"/>
        <v>+850</v>
      </c>
      <c r="U3582" s="18"/>
      <c r="V3582" s="103" t="str">
        <f>IF(ISBLANK($D3582), "0",)</f>
        <v/>
      </c>
      <c r="W3582" s="104" t="str">
        <f t="shared" si="2828"/>
        <v/>
      </c>
      <c r="X3582" s="105"/>
      <c r="Y3582" s="106"/>
      <c r="Z3582" s="26">
        <f t="shared" si="5"/>
        <v>-1</v>
      </c>
      <c r="AA3582" s="26" t="str">
        <f t="shared" si="6"/>
        <v/>
      </c>
      <c r="AB3582" s="32" t="str">
        <f t="shared" si="7"/>
        <v/>
      </c>
      <c r="AC3582" s="32" t="str">
        <f t="shared" ref="AC3582:AG3582" si="3689">IF(J3582&lt;&gt;"", IF(AND($P3582=FALSE, $A3582=FALSE), -J3582, IF(AND($P3582=FALSE, $A3582=TRUE), 0, IF($P3582=TRUE, (J3582 / $R3582) * 100 * ($S3582 / 100)-J3582, ))), )</f>
        <v/>
      </c>
      <c r="AD3582" s="32" t="str">
        <f t="shared" si="3689"/>
        <v/>
      </c>
      <c r="AE3582" s="32" t="str">
        <f t="shared" si="3689"/>
        <v/>
      </c>
      <c r="AF3582" s="32" t="str">
        <f t="shared" si="3689"/>
        <v/>
      </c>
      <c r="AG3582" s="32" t="str">
        <f t="shared" si="3689"/>
        <v/>
      </c>
      <c r="AH3582" s="33"/>
    </row>
    <row r="3583" hidden="1" outlineLevel="2">
      <c r="A3583" s="95" t="b">
        <v>0</v>
      </c>
      <c r="B3583" s="96"/>
      <c r="C3583" s="18"/>
      <c r="D3583" s="107"/>
      <c r="E3583" s="108"/>
      <c r="F3583" s="109"/>
      <c r="G3583" s="97"/>
      <c r="H3583" s="97"/>
      <c r="I3583" s="97"/>
      <c r="J3583" s="98"/>
      <c r="K3583" s="99"/>
      <c r="L3583" s="98"/>
      <c r="M3583" s="99"/>
      <c r="N3583" s="99"/>
      <c r="O3583" s="18"/>
      <c r="P3583" s="100" t="b">
        <v>0</v>
      </c>
      <c r="Q3583" s="18"/>
      <c r="R3583" s="101" t="str">
        <f t="shared" si="3377"/>
        <v/>
      </c>
      <c r="S3583" s="32"/>
      <c r="T3583" s="102" t="str">
        <f t="shared" si="3378"/>
        <v/>
      </c>
      <c r="U3583" s="18"/>
      <c r="V3583" s="113">
        <v>2.0</v>
      </c>
      <c r="W3583" s="104" t="str">
        <f t="shared" si="2828"/>
        <v>/</v>
      </c>
      <c r="X3583" s="111" t="s">
        <v>2105</v>
      </c>
      <c r="Y3583" s="106"/>
      <c r="Z3583" s="26" t="str">
        <f t="shared" si="5"/>
        <v/>
      </c>
      <c r="AA3583" s="26" t="str">
        <f t="shared" si="6"/>
        <v/>
      </c>
      <c r="AB3583" s="32" t="str">
        <f t="shared" si="7"/>
        <v/>
      </c>
      <c r="AC3583" s="32" t="str">
        <f t="shared" ref="AC3583:AG3583" si="3690">IF(J3583&lt;&gt;"", IF(AND($P3583=FALSE, $A3583=FALSE), -J3583, IF(AND($P3583=FALSE, $A3583=TRUE), 0, IF($P3583=TRUE, (J3583 / $R3583) * 100 * ($S3583 / 100)-J3583, ))), )</f>
        <v/>
      </c>
      <c r="AD3583" s="32" t="str">
        <f t="shared" si="3690"/>
        <v/>
      </c>
      <c r="AE3583" s="32" t="str">
        <f t="shared" si="3690"/>
        <v/>
      </c>
      <c r="AF3583" s="32" t="str">
        <f t="shared" si="3690"/>
        <v/>
      </c>
      <c r="AG3583" s="32" t="str">
        <f t="shared" si="3690"/>
        <v/>
      </c>
      <c r="AH3583" s="33"/>
    </row>
    <row r="3584" collapsed="1">
      <c r="A3584" s="95" t="b">
        <v>0</v>
      </c>
      <c r="B3584" s="96"/>
      <c r="C3584" s="18"/>
      <c r="D3584" s="42">
        <v>45935.0</v>
      </c>
      <c r="E3584" s="43" t="s">
        <v>24</v>
      </c>
      <c r="F3584" s="53" t="s">
        <v>2098</v>
      </c>
      <c r="G3584" s="97">
        <v>2.0</v>
      </c>
      <c r="H3584" s="97"/>
      <c r="I3584" s="97">
        <v>3.0</v>
      </c>
      <c r="J3584" s="98"/>
      <c r="K3584" s="99"/>
      <c r="L3584" s="98"/>
      <c r="M3584" s="99"/>
      <c r="N3584" s="99"/>
      <c r="O3584" s="18"/>
      <c r="P3584" s="100" t="b">
        <v>0</v>
      </c>
      <c r="Q3584" s="18"/>
      <c r="R3584" s="101">
        <f t="shared" si="3377"/>
        <v>5</v>
      </c>
      <c r="S3584" s="32">
        <v>14.71</v>
      </c>
      <c r="T3584" s="102" t="str">
        <f t="shared" si="3378"/>
        <v>+194</v>
      </c>
      <c r="U3584" s="18"/>
      <c r="V3584" s="103" t="str">
        <f>IF(ISBLANK($D3584), "0",)</f>
        <v/>
      </c>
      <c r="W3584" s="104" t="str">
        <f t="shared" si="2828"/>
        <v/>
      </c>
      <c r="X3584" s="105"/>
      <c r="Y3584" s="106"/>
      <c r="Z3584" s="26">
        <f t="shared" si="5"/>
        <v>-2</v>
      </c>
      <c r="AA3584" s="26">
        <f t="shared" si="6"/>
        <v>-3</v>
      </c>
      <c r="AB3584" s="32" t="str">
        <f t="shared" si="7"/>
        <v/>
      </c>
      <c r="AC3584" s="32" t="str">
        <f t="shared" ref="AC3584:AG3584" si="3691">IF(J3584&lt;&gt;"", IF(AND($P3584=FALSE, $A3584=FALSE), -J3584, IF(AND($P3584=FALSE, $A3584=TRUE), 0, IF($P3584=TRUE, (J3584 / $R3584) * 100 * ($S3584 / 100)-J3584, ))), )</f>
        <v/>
      </c>
      <c r="AD3584" s="32" t="str">
        <f t="shared" si="3691"/>
        <v/>
      </c>
      <c r="AE3584" s="32" t="str">
        <f t="shared" si="3691"/>
        <v/>
      </c>
      <c r="AF3584" s="32" t="str">
        <f t="shared" si="3691"/>
        <v/>
      </c>
      <c r="AG3584" s="32" t="str">
        <f t="shared" si="3691"/>
        <v/>
      </c>
      <c r="AH3584" s="33"/>
    </row>
    <row r="3585" hidden="1" outlineLevel="2">
      <c r="A3585" s="95" t="b">
        <v>0</v>
      </c>
      <c r="B3585" s="96"/>
      <c r="C3585" s="18"/>
      <c r="D3585" s="107"/>
      <c r="E3585" s="108"/>
      <c r="F3585" s="109"/>
      <c r="G3585" s="97"/>
      <c r="H3585" s="97"/>
      <c r="I3585" s="97"/>
      <c r="J3585" s="98"/>
      <c r="K3585" s="99"/>
      <c r="L3585" s="98"/>
      <c r="M3585" s="99"/>
      <c r="N3585" s="99"/>
      <c r="O3585" s="18"/>
      <c r="P3585" s="100" t="b">
        <v>0</v>
      </c>
      <c r="Q3585" s="18"/>
      <c r="R3585" s="101" t="str">
        <f t="shared" si="3377"/>
        <v/>
      </c>
      <c r="S3585" s="32"/>
      <c r="T3585" s="102" t="str">
        <f t="shared" si="3378"/>
        <v/>
      </c>
      <c r="U3585" s="18"/>
      <c r="V3585" s="113">
        <v>212.0</v>
      </c>
      <c r="W3585" s="104" t="str">
        <f t="shared" si="2828"/>
        <v>/</v>
      </c>
      <c r="X3585" s="111" t="s">
        <v>2106</v>
      </c>
      <c r="Y3585" s="106"/>
      <c r="Z3585" s="26" t="str">
        <f t="shared" si="5"/>
        <v/>
      </c>
      <c r="AA3585" s="26" t="str">
        <f t="shared" si="6"/>
        <v/>
      </c>
      <c r="AB3585" s="32" t="str">
        <f t="shared" si="7"/>
        <v/>
      </c>
      <c r="AC3585" s="32" t="str">
        <f t="shared" ref="AC3585:AG3585" si="3692">IF(J3585&lt;&gt;"", IF(AND($P3585=FALSE, $A3585=FALSE), -J3585, IF(AND($P3585=FALSE, $A3585=TRUE), 0, IF($P3585=TRUE, (J3585 / $R3585) * 100 * ($S3585 / 100)-J3585, ))), )</f>
        <v/>
      </c>
      <c r="AD3585" s="32" t="str">
        <f t="shared" si="3692"/>
        <v/>
      </c>
      <c r="AE3585" s="32" t="str">
        <f t="shared" si="3692"/>
        <v/>
      </c>
      <c r="AF3585" s="32" t="str">
        <f t="shared" si="3692"/>
        <v/>
      </c>
      <c r="AG3585" s="32" t="str">
        <f t="shared" si="3692"/>
        <v/>
      </c>
      <c r="AH3585" s="33"/>
    </row>
    <row r="3586" hidden="1" outlineLevel="2">
      <c r="A3586" s="95" t="b">
        <v>0</v>
      </c>
      <c r="B3586" s="96"/>
      <c r="C3586" s="18"/>
      <c r="D3586" s="107"/>
      <c r="E3586" s="108"/>
      <c r="F3586" s="109"/>
      <c r="G3586" s="97"/>
      <c r="H3586" s="97"/>
      <c r="I3586" s="97"/>
      <c r="J3586" s="98"/>
      <c r="K3586" s="99"/>
      <c r="L3586" s="98"/>
      <c r="M3586" s="99"/>
      <c r="N3586" s="99"/>
      <c r="O3586" s="18"/>
      <c r="P3586" s="100" t="b">
        <v>0</v>
      </c>
      <c r="Q3586" s="18"/>
      <c r="R3586" s="101" t="str">
        <f t="shared" si="3377"/>
        <v/>
      </c>
      <c r="S3586" s="32"/>
      <c r="T3586" s="102" t="str">
        <f t="shared" si="3378"/>
        <v/>
      </c>
      <c r="U3586" s="18"/>
      <c r="V3586" s="113">
        <v>166.0</v>
      </c>
      <c r="W3586" s="104" t="str">
        <f t="shared" si="2828"/>
        <v>/</v>
      </c>
      <c r="X3586" s="111" t="s">
        <v>647</v>
      </c>
      <c r="Y3586" s="106"/>
      <c r="Z3586" s="26" t="str">
        <f t="shared" si="5"/>
        <v/>
      </c>
      <c r="AA3586" s="26" t="str">
        <f t="shared" si="6"/>
        <v/>
      </c>
      <c r="AB3586" s="32" t="str">
        <f t="shared" si="7"/>
        <v/>
      </c>
      <c r="AC3586" s="32" t="str">
        <f t="shared" ref="AC3586:AG3586" si="3693">IF(J3586&lt;&gt;"", IF(AND($P3586=FALSE, $A3586=FALSE), -J3586, IF(AND($P3586=FALSE, $A3586=TRUE), 0, IF($P3586=TRUE, (J3586 / $R3586) * 100 * ($S3586 / 100)-J3586, ))), )</f>
        <v/>
      </c>
      <c r="AD3586" s="32" t="str">
        <f t="shared" si="3693"/>
        <v/>
      </c>
      <c r="AE3586" s="32" t="str">
        <f t="shared" si="3693"/>
        <v/>
      </c>
      <c r="AF3586" s="32" t="str">
        <f t="shared" si="3693"/>
        <v/>
      </c>
      <c r="AG3586" s="32" t="str">
        <f t="shared" si="3693"/>
        <v/>
      </c>
      <c r="AH3586" s="33"/>
    </row>
    <row r="3587" hidden="1" outlineLevel="2">
      <c r="A3587" s="95" t="b">
        <v>0</v>
      </c>
      <c r="B3587" s="96"/>
      <c r="C3587" s="18"/>
      <c r="D3587" s="107"/>
      <c r="E3587" s="108"/>
      <c r="F3587" s="109"/>
      <c r="G3587" s="97"/>
      <c r="H3587" s="97"/>
      <c r="I3587" s="97"/>
      <c r="J3587" s="98"/>
      <c r="K3587" s="99"/>
      <c r="L3587" s="98"/>
      <c r="M3587" s="99"/>
      <c r="N3587" s="99"/>
      <c r="O3587" s="18"/>
      <c r="P3587" s="100" t="b">
        <v>0</v>
      </c>
      <c r="Q3587" s="18"/>
      <c r="R3587" s="101" t="str">
        <f t="shared" si="3377"/>
        <v/>
      </c>
      <c r="S3587" s="32"/>
      <c r="T3587" s="102" t="str">
        <f t="shared" si="3378"/>
        <v/>
      </c>
      <c r="U3587" s="18"/>
      <c r="V3587" s="103" t="str">
        <f t="shared" ref="V3587:V3588" si="3695">IF(ISBLANK($D3587), "0",)</f>
        <v>0</v>
      </c>
      <c r="W3587" s="104" t="str">
        <f t="shared" si="2828"/>
        <v>/</v>
      </c>
      <c r="X3587" s="111" t="s">
        <v>2107</v>
      </c>
      <c r="Y3587" s="106"/>
      <c r="Z3587" s="26" t="str">
        <f t="shared" si="5"/>
        <v/>
      </c>
      <c r="AA3587" s="26" t="str">
        <f t="shared" si="6"/>
        <v/>
      </c>
      <c r="AB3587" s="32" t="str">
        <f t="shared" si="7"/>
        <v/>
      </c>
      <c r="AC3587" s="32" t="str">
        <f t="shared" ref="AC3587:AG3587" si="3694">IF(J3587&lt;&gt;"", IF(AND($P3587=FALSE, $A3587=FALSE), -J3587, IF(AND($P3587=FALSE, $A3587=TRUE), 0, IF($P3587=TRUE, (J3587 / $R3587) * 100 * ($S3587 / 100)-J3587, ))), )</f>
        <v/>
      </c>
      <c r="AD3587" s="32" t="str">
        <f t="shared" si="3694"/>
        <v/>
      </c>
      <c r="AE3587" s="32" t="str">
        <f t="shared" si="3694"/>
        <v/>
      </c>
      <c r="AF3587" s="32" t="str">
        <f t="shared" si="3694"/>
        <v/>
      </c>
      <c r="AG3587" s="32" t="str">
        <f t="shared" si="3694"/>
        <v/>
      </c>
      <c r="AH3587" s="33"/>
    </row>
    <row r="3588" hidden="1" outlineLevel="1" collapsed="1">
      <c r="A3588" s="121" t="b">
        <v>0</v>
      </c>
      <c r="B3588" s="122"/>
      <c r="C3588" s="123"/>
      <c r="D3588" s="67">
        <v>45935.0</v>
      </c>
      <c r="E3588" s="43" t="s">
        <v>24</v>
      </c>
      <c r="F3588" s="82" t="s">
        <v>2098</v>
      </c>
      <c r="G3588" s="124">
        <v>3.0</v>
      </c>
      <c r="H3588" s="125"/>
      <c r="I3588" s="124">
        <v>3.0</v>
      </c>
      <c r="J3588" s="126"/>
      <c r="K3588" s="125"/>
      <c r="L3588" s="126"/>
      <c r="M3588" s="125"/>
      <c r="N3588" s="125"/>
      <c r="O3588" s="123"/>
      <c r="P3588" s="127" t="b">
        <v>1</v>
      </c>
      <c r="Q3588" s="123"/>
      <c r="R3588" s="128">
        <f t="shared" si="3377"/>
        <v>6</v>
      </c>
      <c r="S3588" s="124">
        <v>11.77</v>
      </c>
      <c r="T3588" s="129">
        <f t="shared" si="3378"/>
        <v>-104</v>
      </c>
      <c r="U3588" s="123"/>
      <c r="V3588" s="130" t="str">
        <f t="shared" si="3695"/>
        <v/>
      </c>
      <c r="W3588" s="131" t="str">
        <f t="shared" si="2828"/>
        <v/>
      </c>
      <c r="X3588" s="131"/>
      <c r="Y3588" s="132"/>
      <c r="Z3588" s="26">
        <f t="shared" si="5"/>
        <v>2.885</v>
      </c>
      <c r="AA3588" s="26">
        <f t="shared" si="6"/>
        <v>2.885</v>
      </c>
      <c r="AB3588" s="32" t="str">
        <f t="shared" si="7"/>
        <v/>
      </c>
      <c r="AC3588" s="32" t="str">
        <f t="shared" ref="AC3588:AG3588" si="3696">IF(J3588&lt;&gt;"", IF(AND($P3588=FALSE, $A3588=FALSE), -J3588, IF(AND($P3588=FALSE, $A3588=TRUE), 0, IF($P3588=TRUE, (J3588 / $R3588) * 100 * ($S3588 / 100)-J3588, ))), )</f>
        <v/>
      </c>
      <c r="AD3588" s="32" t="str">
        <f t="shared" si="3696"/>
        <v/>
      </c>
      <c r="AE3588" s="32" t="str">
        <f t="shared" si="3696"/>
        <v/>
      </c>
      <c r="AF3588" s="32" t="str">
        <f t="shared" si="3696"/>
        <v/>
      </c>
      <c r="AG3588" s="32" t="str">
        <f t="shared" si="3696"/>
        <v/>
      </c>
      <c r="AH3588" s="133"/>
    </row>
    <row r="3589" hidden="1" outlineLevel="2">
      <c r="A3589" s="134" t="b">
        <v>0</v>
      </c>
      <c r="B3589" s="122"/>
      <c r="C3589" s="123"/>
      <c r="D3589" s="135"/>
      <c r="E3589" s="136"/>
      <c r="F3589" s="137"/>
      <c r="G3589" s="125"/>
      <c r="H3589" s="125"/>
      <c r="I3589" s="125"/>
      <c r="J3589" s="126"/>
      <c r="K3589" s="125"/>
      <c r="L3589" s="126"/>
      <c r="M3589" s="125"/>
      <c r="N3589" s="125"/>
      <c r="O3589" s="123"/>
      <c r="P3589" s="138" t="b">
        <v>0</v>
      </c>
      <c r="Q3589" s="123"/>
      <c r="R3589" s="125" t="str">
        <f t="shared" si="3377"/>
        <v/>
      </c>
      <c r="S3589" s="125"/>
      <c r="T3589" s="139" t="str">
        <f t="shared" si="3378"/>
        <v/>
      </c>
      <c r="U3589" s="123"/>
      <c r="V3589" s="140" t="s">
        <v>29</v>
      </c>
      <c r="W3589" s="141" t="str">
        <f t="shared" si="2828"/>
        <v>/</v>
      </c>
      <c r="X3589" s="114" t="s">
        <v>2108</v>
      </c>
      <c r="Y3589" s="132"/>
      <c r="Z3589" s="26" t="str">
        <f t="shared" si="5"/>
        <v/>
      </c>
      <c r="AA3589" s="26" t="str">
        <f t="shared" si="6"/>
        <v/>
      </c>
      <c r="AB3589" s="32" t="str">
        <f t="shared" si="7"/>
        <v/>
      </c>
      <c r="AC3589" s="32" t="str">
        <f t="shared" ref="AC3589:AG3589" si="3697">IF(J3589&lt;&gt;"", IF(AND($P3589=FALSE, $A3589=FALSE), -J3589, IF(AND($P3589=FALSE, $A3589=TRUE), 0, IF($P3589=TRUE, (J3589 / $R3589) * 100 * ($S3589 / 100)-J3589, ))), )</f>
        <v/>
      </c>
      <c r="AD3589" s="32" t="str">
        <f t="shared" si="3697"/>
        <v/>
      </c>
      <c r="AE3589" s="32" t="str">
        <f t="shared" si="3697"/>
        <v/>
      </c>
      <c r="AF3589" s="32" t="str">
        <f t="shared" si="3697"/>
        <v/>
      </c>
      <c r="AG3589" s="32" t="str">
        <f t="shared" si="3697"/>
        <v/>
      </c>
      <c r="AH3589" s="133"/>
    </row>
    <row r="3590" hidden="1" outlineLevel="1" collapsed="1">
      <c r="A3590" s="95" t="b">
        <v>0</v>
      </c>
      <c r="B3590" s="96"/>
      <c r="C3590" s="18"/>
      <c r="D3590" s="42">
        <v>45935.0</v>
      </c>
      <c r="E3590" s="43" t="s">
        <v>24</v>
      </c>
      <c r="F3590" s="53" t="s">
        <v>2098</v>
      </c>
      <c r="G3590" s="97">
        <v>2.0</v>
      </c>
      <c r="H3590" s="97"/>
      <c r="I3590" s="97">
        <v>3.0</v>
      </c>
      <c r="J3590" s="98"/>
      <c r="K3590" s="99"/>
      <c r="L3590" s="98"/>
      <c r="M3590" s="99"/>
      <c r="N3590" s="99"/>
      <c r="O3590" s="18"/>
      <c r="P3590" s="100" t="b">
        <v>1</v>
      </c>
      <c r="Q3590" s="18"/>
      <c r="R3590" s="101">
        <f t="shared" si="3377"/>
        <v>5</v>
      </c>
      <c r="S3590" s="32">
        <v>12.35</v>
      </c>
      <c r="T3590" s="102" t="str">
        <f t="shared" si="3378"/>
        <v>+147</v>
      </c>
      <c r="U3590" s="18"/>
      <c r="V3590" s="103" t="str">
        <f>IF(ISBLANK($D3590), "0",)</f>
        <v/>
      </c>
      <c r="W3590" s="104" t="str">
        <f t="shared" si="2828"/>
        <v/>
      </c>
      <c r="X3590" s="105"/>
      <c r="Y3590" s="106"/>
      <c r="Z3590" s="26">
        <f t="shared" si="5"/>
        <v>2.94</v>
      </c>
      <c r="AA3590" s="26">
        <f t="shared" si="6"/>
        <v>4.41</v>
      </c>
      <c r="AB3590" s="32" t="str">
        <f t="shared" si="7"/>
        <v/>
      </c>
      <c r="AC3590" s="32" t="str">
        <f t="shared" ref="AC3590:AG3590" si="3698">IF(J3590&lt;&gt;"", IF(AND($P3590=FALSE, $A3590=FALSE), -J3590, IF(AND($P3590=FALSE, $A3590=TRUE), 0, IF($P3590=TRUE, (J3590 / $R3590) * 100 * ($S3590 / 100)-J3590, ))), )</f>
        <v/>
      </c>
      <c r="AD3590" s="32" t="str">
        <f t="shared" si="3698"/>
        <v/>
      </c>
      <c r="AE3590" s="32" t="str">
        <f t="shared" si="3698"/>
        <v/>
      </c>
      <c r="AF3590" s="32" t="str">
        <f t="shared" si="3698"/>
        <v/>
      </c>
      <c r="AG3590" s="32" t="str">
        <f t="shared" si="3698"/>
        <v/>
      </c>
      <c r="AH3590" s="33"/>
    </row>
    <row r="3591" hidden="1" outlineLevel="2">
      <c r="A3591" s="95" t="b">
        <v>0</v>
      </c>
      <c r="B3591" s="96"/>
      <c r="C3591" s="18"/>
      <c r="D3591" s="107"/>
      <c r="E3591" s="108"/>
      <c r="F3591" s="109"/>
      <c r="G3591" s="97"/>
      <c r="H3591" s="97"/>
      <c r="I3591" s="97"/>
      <c r="J3591" s="98"/>
      <c r="K3591" s="99"/>
      <c r="L3591" s="98"/>
      <c r="M3591" s="99"/>
      <c r="N3591" s="99"/>
      <c r="O3591" s="18"/>
      <c r="P3591" s="100" t="b">
        <v>0</v>
      </c>
      <c r="Q3591" s="18"/>
      <c r="R3591" s="101" t="str">
        <f t="shared" si="3377"/>
        <v/>
      </c>
      <c r="S3591" s="32"/>
      <c r="T3591" s="102" t="str">
        <f t="shared" si="3378"/>
        <v/>
      </c>
      <c r="U3591" s="18"/>
      <c r="V3591" s="75" t="s">
        <v>29</v>
      </c>
      <c r="W3591" s="104" t="str">
        <f t="shared" si="2828"/>
        <v>/</v>
      </c>
      <c r="X3591" s="111" t="s">
        <v>2109</v>
      </c>
      <c r="Y3591" s="106"/>
      <c r="Z3591" s="26" t="str">
        <f t="shared" si="5"/>
        <v/>
      </c>
      <c r="AA3591" s="26" t="str">
        <f t="shared" si="6"/>
        <v/>
      </c>
      <c r="AB3591" s="32" t="str">
        <f t="shared" si="7"/>
        <v/>
      </c>
      <c r="AC3591" s="32" t="str">
        <f t="shared" ref="AC3591:AG3591" si="3699">IF(J3591&lt;&gt;"", IF(AND($P3591=FALSE, $A3591=FALSE), -J3591, IF(AND($P3591=FALSE, $A3591=TRUE), 0, IF($P3591=TRUE, (J3591 / $R3591) * 100 * ($S3591 / 100)-J3591, ))), )</f>
        <v/>
      </c>
      <c r="AD3591" s="32" t="str">
        <f t="shared" si="3699"/>
        <v/>
      </c>
      <c r="AE3591" s="32" t="str">
        <f t="shared" si="3699"/>
        <v/>
      </c>
      <c r="AF3591" s="32" t="str">
        <f t="shared" si="3699"/>
        <v/>
      </c>
      <c r="AG3591" s="32" t="str">
        <f t="shared" si="3699"/>
        <v/>
      </c>
      <c r="AH3591" s="33"/>
    </row>
    <row r="3592" hidden="1" outlineLevel="2">
      <c r="A3592" s="95" t="b">
        <v>0</v>
      </c>
      <c r="B3592" s="96"/>
      <c r="C3592" s="18"/>
      <c r="D3592" s="107"/>
      <c r="E3592" s="108"/>
      <c r="F3592" s="109"/>
      <c r="G3592" s="97"/>
      <c r="H3592" s="97"/>
      <c r="I3592" s="97"/>
      <c r="J3592" s="98"/>
      <c r="K3592" s="99"/>
      <c r="L3592" s="98"/>
      <c r="M3592" s="99"/>
      <c r="N3592" s="99"/>
      <c r="O3592" s="18"/>
      <c r="P3592" s="100" t="b">
        <v>0</v>
      </c>
      <c r="Q3592" s="18"/>
      <c r="R3592" s="101" t="str">
        <f t="shared" si="3377"/>
        <v/>
      </c>
      <c r="S3592" s="32"/>
      <c r="T3592" s="102" t="str">
        <f t="shared" si="3378"/>
        <v/>
      </c>
      <c r="U3592" s="18"/>
      <c r="V3592" s="75" t="s">
        <v>29</v>
      </c>
      <c r="W3592" s="104" t="str">
        <f t="shared" si="2828"/>
        <v>/</v>
      </c>
      <c r="X3592" s="111" t="s">
        <v>2110</v>
      </c>
      <c r="Y3592" s="106"/>
      <c r="Z3592" s="26" t="str">
        <f t="shared" si="5"/>
        <v/>
      </c>
      <c r="AA3592" s="26" t="str">
        <f t="shared" si="6"/>
        <v/>
      </c>
      <c r="AB3592" s="32" t="str">
        <f t="shared" si="7"/>
        <v/>
      </c>
      <c r="AC3592" s="32" t="str">
        <f t="shared" ref="AC3592:AG3592" si="3700">IF(J3592&lt;&gt;"", IF(AND($P3592=FALSE, $A3592=FALSE), -J3592, IF(AND($P3592=FALSE, $A3592=TRUE), 0, IF($P3592=TRUE, (J3592 / $R3592) * 100 * ($S3592 / 100)-J3592, ))), )</f>
        <v/>
      </c>
      <c r="AD3592" s="32" t="str">
        <f t="shared" si="3700"/>
        <v/>
      </c>
      <c r="AE3592" s="32" t="str">
        <f t="shared" si="3700"/>
        <v/>
      </c>
      <c r="AF3592" s="32" t="str">
        <f t="shared" si="3700"/>
        <v/>
      </c>
      <c r="AG3592" s="32" t="str">
        <f t="shared" si="3700"/>
        <v/>
      </c>
      <c r="AH3592" s="33"/>
    </row>
    <row r="3593" hidden="1" outlineLevel="2">
      <c r="A3593" s="95" t="b">
        <v>0</v>
      </c>
      <c r="B3593" s="96"/>
      <c r="C3593" s="18"/>
      <c r="D3593" s="107"/>
      <c r="E3593" s="108"/>
      <c r="F3593" s="109"/>
      <c r="G3593" s="97"/>
      <c r="H3593" s="97"/>
      <c r="I3593" s="97"/>
      <c r="J3593" s="98"/>
      <c r="K3593" s="99"/>
      <c r="L3593" s="98"/>
      <c r="M3593" s="99"/>
      <c r="N3593" s="99"/>
      <c r="O3593" s="18"/>
      <c r="P3593" s="100" t="b">
        <v>0</v>
      </c>
      <c r="Q3593" s="18"/>
      <c r="R3593" s="101" t="str">
        <f t="shared" si="3377"/>
        <v/>
      </c>
      <c r="S3593" s="32"/>
      <c r="T3593" s="102" t="str">
        <f t="shared" si="3378"/>
        <v/>
      </c>
      <c r="U3593" s="18"/>
      <c r="V3593" s="75" t="s">
        <v>29</v>
      </c>
      <c r="W3593" s="104" t="str">
        <f t="shared" si="2828"/>
        <v>/</v>
      </c>
      <c r="X3593" s="111" t="s">
        <v>2111</v>
      </c>
      <c r="Y3593" s="106"/>
      <c r="Z3593" s="26" t="str">
        <f t="shared" si="5"/>
        <v/>
      </c>
      <c r="AA3593" s="26" t="str">
        <f t="shared" si="6"/>
        <v/>
      </c>
      <c r="AB3593" s="32" t="str">
        <f t="shared" si="7"/>
        <v/>
      </c>
      <c r="AC3593" s="32" t="str">
        <f t="shared" ref="AC3593:AG3593" si="3701">IF(J3593&lt;&gt;"", IF(AND($P3593=FALSE, $A3593=FALSE), -J3593, IF(AND($P3593=FALSE, $A3593=TRUE), 0, IF($P3593=TRUE, (J3593 / $R3593) * 100 * ($S3593 / 100)-J3593, ))), )</f>
        <v/>
      </c>
      <c r="AD3593" s="32" t="str">
        <f t="shared" si="3701"/>
        <v/>
      </c>
      <c r="AE3593" s="32" t="str">
        <f t="shared" si="3701"/>
        <v/>
      </c>
      <c r="AF3593" s="32" t="str">
        <f t="shared" si="3701"/>
        <v/>
      </c>
      <c r="AG3593" s="32" t="str">
        <f t="shared" si="3701"/>
        <v/>
      </c>
      <c r="AH3593" s="33"/>
    </row>
    <row r="3594" hidden="1" outlineLevel="1" collapsed="1">
      <c r="A3594" s="95" t="b">
        <v>0</v>
      </c>
      <c r="B3594" s="96"/>
      <c r="C3594" s="18"/>
      <c r="D3594" s="42">
        <v>45935.0</v>
      </c>
      <c r="E3594" s="43" t="s">
        <v>24</v>
      </c>
      <c r="F3594" s="53" t="s">
        <v>2098</v>
      </c>
      <c r="G3594" s="97">
        <v>1.0</v>
      </c>
      <c r="H3594" s="97"/>
      <c r="I3594" s="97">
        <v>2.0</v>
      </c>
      <c r="J3594" s="98"/>
      <c r="K3594" s="99"/>
      <c r="L3594" s="98"/>
      <c r="M3594" s="99"/>
      <c r="N3594" s="99"/>
      <c r="O3594" s="18"/>
      <c r="P3594" s="100" t="b">
        <v>1</v>
      </c>
      <c r="Q3594" s="18"/>
      <c r="R3594" s="101">
        <f t="shared" si="3377"/>
        <v>3</v>
      </c>
      <c r="S3594" s="32">
        <v>6.96</v>
      </c>
      <c r="T3594" s="102" t="str">
        <f t="shared" si="3378"/>
        <v>+132</v>
      </c>
      <c r="U3594" s="18"/>
      <c r="V3594" s="103" t="str">
        <f>IF(ISBLANK($D3594), "0",)</f>
        <v/>
      </c>
      <c r="W3594" s="104" t="str">
        <f t="shared" si="2828"/>
        <v/>
      </c>
      <c r="X3594" s="105"/>
      <c r="Y3594" s="106"/>
      <c r="Z3594" s="26">
        <f t="shared" si="5"/>
        <v>1.32</v>
      </c>
      <c r="AA3594" s="26">
        <f t="shared" si="6"/>
        <v>2.64</v>
      </c>
      <c r="AB3594" s="32" t="str">
        <f t="shared" si="7"/>
        <v/>
      </c>
      <c r="AC3594" s="32" t="str">
        <f t="shared" ref="AC3594:AG3594" si="3702">IF(J3594&lt;&gt;"", IF(AND($P3594=FALSE, $A3594=FALSE), -J3594, IF(AND($P3594=FALSE, $A3594=TRUE), 0, IF($P3594=TRUE, (J3594 / $R3594) * 100 * ($S3594 / 100)-J3594, ))), )</f>
        <v/>
      </c>
      <c r="AD3594" s="32" t="str">
        <f t="shared" si="3702"/>
        <v/>
      </c>
      <c r="AE3594" s="32" t="str">
        <f t="shared" si="3702"/>
        <v/>
      </c>
      <c r="AF3594" s="32" t="str">
        <f t="shared" si="3702"/>
        <v/>
      </c>
      <c r="AG3594" s="32" t="str">
        <f t="shared" si="3702"/>
        <v/>
      </c>
      <c r="AH3594" s="33"/>
    </row>
    <row r="3595" hidden="1" outlineLevel="2">
      <c r="A3595" s="95" t="b">
        <v>0</v>
      </c>
      <c r="B3595" s="96"/>
      <c r="C3595" s="18"/>
      <c r="D3595" s="107"/>
      <c r="E3595" s="108"/>
      <c r="F3595" s="109"/>
      <c r="G3595" s="97"/>
      <c r="H3595" s="97"/>
      <c r="I3595" s="97"/>
      <c r="J3595" s="98"/>
      <c r="K3595" s="99"/>
      <c r="L3595" s="98"/>
      <c r="M3595" s="99"/>
      <c r="N3595" s="99"/>
      <c r="O3595" s="18"/>
      <c r="P3595" s="100" t="b">
        <v>0</v>
      </c>
      <c r="Q3595" s="18"/>
      <c r="R3595" s="101" t="str">
        <f t="shared" si="3377"/>
        <v/>
      </c>
      <c r="S3595" s="32"/>
      <c r="T3595" s="102" t="str">
        <f t="shared" si="3378"/>
        <v/>
      </c>
      <c r="U3595" s="18"/>
      <c r="V3595" s="75" t="s">
        <v>29</v>
      </c>
      <c r="W3595" s="104" t="str">
        <f t="shared" si="2828"/>
        <v>/</v>
      </c>
      <c r="X3595" s="111" t="s">
        <v>2112</v>
      </c>
      <c r="Y3595" s="106"/>
      <c r="Z3595" s="26" t="str">
        <f t="shared" si="5"/>
        <v/>
      </c>
      <c r="AA3595" s="26" t="str">
        <f t="shared" si="6"/>
        <v/>
      </c>
      <c r="AB3595" s="32" t="str">
        <f t="shared" si="7"/>
        <v/>
      </c>
      <c r="AC3595" s="32" t="str">
        <f t="shared" ref="AC3595:AG3595" si="3703">IF(J3595&lt;&gt;"", IF(AND($P3595=FALSE, $A3595=FALSE), -J3595, IF(AND($P3595=FALSE, $A3595=TRUE), 0, IF($P3595=TRUE, (J3595 / $R3595) * 100 * ($S3595 / 100)-J3595, ))), )</f>
        <v/>
      </c>
      <c r="AD3595" s="32" t="str">
        <f t="shared" si="3703"/>
        <v/>
      </c>
      <c r="AE3595" s="32" t="str">
        <f t="shared" si="3703"/>
        <v/>
      </c>
      <c r="AF3595" s="32" t="str">
        <f t="shared" si="3703"/>
        <v/>
      </c>
      <c r="AG3595" s="32" t="str">
        <f t="shared" si="3703"/>
        <v/>
      </c>
      <c r="AH3595" s="33"/>
    </row>
    <row r="3596" hidden="1" outlineLevel="1" collapsed="1">
      <c r="A3596" s="95" t="b">
        <v>0</v>
      </c>
      <c r="B3596" s="96"/>
      <c r="C3596" s="18"/>
      <c r="D3596" s="42">
        <v>45935.0</v>
      </c>
      <c r="E3596" s="43" t="s">
        <v>24</v>
      </c>
      <c r="F3596" s="53" t="s">
        <v>2098</v>
      </c>
      <c r="G3596" s="97">
        <v>3.0</v>
      </c>
      <c r="H3596" s="97"/>
      <c r="I3596" s="97">
        <v>3.0</v>
      </c>
      <c r="J3596" s="98"/>
      <c r="K3596" s="99"/>
      <c r="L3596" s="98"/>
      <c r="M3596" s="99"/>
      <c r="N3596" s="99"/>
      <c r="O3596" s="18"/>
      <c r="P3596" s="100" t="b">
        <v>0</v>
      </c>
      <c r="Q3596" s="18"/>
      <c r="R3596" s="101">
        <f t="shared" si="3377"/>
        <v>6</v>
      </c>
      <c r="S3596" s="32">
        <v>12.72</v>
      </c>
      <c r="T3596" s="102" t="str">
        <f t="shared" si="3378"/>
        <v>+112</v>
      </c>
      <c r="U3596" s="18"/>
      <c r="V3596" s="103" t="str">
        <f>IF(ISBLANK($D3596), "0",)</f>
        <v/>
      </c>
      <c r="W3596" s="104" t="str">
        <f t="shared" si="2828"/>
        <v/>
      </c>
      <c r="X3596" s="105"/>
      <c r="Y3596" s="106"/>
      <c r="Z3596" s="26">
        <f t="shared" si="5"/>
        <v>-3</v>
      </c>
      <c r="AA3596" s="26">
        <f t="shared" si="6"/>
        <v>-3</v>
      </c>
      <c r="AB3596" s="32" t="str">
        <f t="shared" si="7"/>
        <v/>
      </c>
      <c r="AC3596" s="32" t="str">
        <f t="shared" ref="AC3596:AG3596" si="3704">IF(J3596&lt;&gt;"", IF(AND($P3596=FALSE, $A3596=FALSE), -J3596, IF(AND($P3596=FALSE, $A3596=TRUE), 0, IF($P3596=TRUE, (J3596 / $R3596) * 100 * ($S3596 / 100)-J3596, ))), )</f>
        <v/>
      </c>
      <c r="AD3596" s="32" t="str">
        <f t="shared" si="3704"/>
        <v/>
      </c>
      <c r="AE3596" s="32" t="str">
        <f t="shared" si="3704"/>
        <v/>
      </c>
      <c r="AF3596" s="32" t="str">
        <f t="shared" si="3704"/>
        <v/>
      </c>
      <c r="AG3596" s="32" t="str">
        <f t="shared" si="3704"/>
        <v/>
      </c>
      <c r="AH3596" s="33"/>
    </row>
    <row r="3597" hidden="1" outlineLevel="2">
      <c r="A3597" s="95" t="b">
        <v>0</v>
      </c>
      <c r="B3597" s="96"/>
      <c r="C3597" s="18"/>
      <c r="D3597" s="107"/>
      <c r="E3597" s="108"/>
      <c r="F3597" s="109"/>
      <c r="G3597" s="97"/>
      <c r="H3597" s="97"/>
      <c r="I3597" s="97"/>
      <c r="J3597" s="98"/>
      <c r="K3597" s="99"/>
      <c r="L3597" s="98"/>
      <c r="M3597" s="99"/>
      <c r="N3597" s="99"/>
      <c r="O3597" s="18"/>
      <c r="P3597" s="100" t="b">
        <v>0</v>
      </c>
      <c r="Q3597" s="18"/>
      <c r="R3597" s="101" t="str">
        <f t="shared" si="3377"/>
        <v/>
      </c>
      <c r="S3597" s="32"/>
      <c r="T3597" s="102" t="str">
        <f t="shared" si="3378"/>
        <v/>
      </c>
      <c r="U3597" s="18"/>
      <c r="V3597" s="113">
        <v>2.0</v>
      </c>
      <c r="W3597" s="104" t="str">
        <f t="shared" si="2828"/>
        <v>/</v>
      </c>
      <c r="X3597" s="111" t="s">
        <v>2113</v>
      </c>
      <c r="Y3597" s="106"/>
      <c r="Z3597" s="26" t="str">
        <f t="shared" si="5"/>
        <v/>
      </c>
      <c r="AA3597" s="26" t="str">
        <f t="shared" si="6"/>
        <v/>
      </c>
      <c r="AB3597" s="32" t="str">
        <f t="shared" si="7"/>
        <v/>
      </c>
      <c r="AC3597" s="32" t="str">
        <f t="shared" ref="AC3597:AG3597" si="3705">IF(J3597&lt;&gt;"", IF(AND($P3597=FALSE, $A3597=FALSE), -J3597, IF(AND($P3597=FALSE, $A3597=TRUE), 0, IF($P3597=TRUE, (J3597 / $R3597) * 100 * ($S3597 / 100)-J3597, ))), )</f>
        <v/>
      </c>
      <c r="AD3597" s="32" t="str">
        <f t="shared" si="3705"/>
        <v/>
      </c>
      <c r="AE3597" s="32" t="str">
        <f t="shared" si="3705"/>
        <v/>
      </c>
      <c r="AF3597" s="32" t="str">
        <f t="shared" si="3705"/>
        <v/>
      </c>
      <c r="AG3597" s="32" t="str">
        <f t="shared" si="3705"/>
        <v/>
      </c>
      <c r="AH3597" s="33"/>
    </row>
    <row r="3598" hidden="1" outlineLevel="1" collapsed="1">
      <c r="A3598" s="95" t="b">
        <v>0</v>
      </c>
      <c r="B3598" s="96"/>
      <c r="C3598" s="18"/>
      <c r="D3598" s="42">
        <v>45935.0</v>
      </c>
      <c r="E3598" s="43" t="s">
        <v>24</v>
      </c>
      <c r="F3598" s="53" t="s">
        <v>2098</v>
      </c>
      <c r="G3598" s="97">
        <v>2.0</v>
      </c>
      <c r="H3598" s="97"/>
      <c r="I3598" s="97">
        <v>3.0</v>
      </c>
      <c r="J3598" s="98"/>
      <c r="K3598" s="99"/>
      <c r="L3598" s="98"/>
      <c r="M3598" s="99"/>
      <c r="N3598" s="99"/>
      <c r="O3598" s="18"/>
      <c r="P3598" s="100" t="b">
        <v>1</v>
      </c>
      <c r="Q3598" s="18"/>
      <c r="R3598" s="101">
        <f t="shared" si="3377"/>
        <v>5</v>
      </c>
      <c r="S3598" s="32">
        <v>10.8</v>
      </c>
      <c r="T3598" s="102" t="str">
        <f t="shared" si="3378"/>
        <v>+116</v>
      </c>
      <c r="U3598" s="18"/>
      <c r="V3598" s="103" t="str">
        <f>IF(ISBLANK($D3598), "0",)</f>
        <v/>
      </c>
      <c r="W3598" s="104" t="str">
        <f t="shared" si="2828"/>
        <v/>
      </c>
      <c r="X3598" s="105"/>
      <c r="Y3598" s="106"/>
      <c r="Z3598" s="26">
        <f t="shared" si="5"/>
        <v>2.32</v>
      </c>
      <c r="AA3598" s="26">
        <f t="shared" si="6"/>
        <v>3.48</v>
      </c>
      <c r="AB3598" s="32" t="str">
        <f t="shared" si="7"/>
        <v/>
      </c>
      <c r="AC3598" s="32" t="str">
        <f t="shared" ref="AC3598:AG3598" si="3706">IF(J3598&lt;&gt;"", IF(AND($P3598=FALSE, $A3598=FALSE), -J3598, IF(AND($P3598=FALSE, $A3598=TRUE), 0, IF($P3598=TRUE, (J3598 / $R3598) * 100 * ($S3598 / 100)-J3598, ))), )</f>
        <v/>
      </c>
      <c r="AD3598" s="32" t="str">
        <f t="shared" si="3706"/>
        <v/>
      </c>
      <c r="AE3598" s="32" t="str">
        <f t="shared" si="3706"/>
        <v/>
      </c>
      <c r="AF3598" s="32" t="str">
        <f t="shared" si="3706"/>
        <v/>
      </c>
      <c r="AG3598" s="32" t="str">
        <f t="shared" si="3706"/>
        <v/>
      </c>
      <c r="AH3598" s="33"/>
    </row>
    <row r="3599" hidden="1" outlineLevel="2">
      <c r="A3599" s="95" t="b">
        <v>0</v>
      </c>
      <c r="B3599" s="96"/>
      <c r="C3599" s="18"/>
      <c r="D3599" s="107"/>
      <c r="E3599" s="108"/>
      <c r="F3599" s="109"/>
      <c r="G3599" s="97"/>
      <c r="H3599" s="97"/>
      <c r="I3599" s="97"/>
      <c r="J3599" s="98"/>
      <c r="K3599" s="99"/>
      <c r="L3599" s="98"/>
      <c r="M3599" s="99"/>
      <c r="N3599" s="99"/>
      <c r="O3599" s="18"/>
      <c r="P3599" s="100" t="b">
        <v>0</v>
      </c>
      <c r="Q3599" s="18"/>
      <c r="R3599" s="101" t="str">
        <f t="shared" si="3377"/>
        <v/>
      </c>
      <c r="S3599" s="32"/>
      <c r="T3599" s="102" t="str">
        <f t="shared" si="3378"/>
        <v/>
      </c>
      <c r="U3599" s="18"/>
      <c r="V3599" s="75" t="s">
        <v>29</v>
      </c>
      <c r="W3599" s="104" t="str">
        <f t="shared" si="2828"/>
        <v>/</v>
      </c>
      <c r="X3599" s="111" t="s">
        <v>2114</v>
      </c>
      <c r="Y3599" s="106"/>
      <c r="Z3599" s="26" t="str">
        <f t="shared" si="5"/>
        <v/>
      </c>
      <c r="AA3599" s="26" t="str">
        <f t="shared" si="6"/>
        <v/>
      </c>
      <c r="AB3599" s="32" t="str">
        <f t="shared" si="7"/>
        <v/>
      </c>
      <c r="AC3599" s="32" t="str">
        <f t="shared" ref="AC3599:AG3599" si="3707">IF(J3599&lt;&gt;"", IF(AND($P3599=FALSE, $A3599=FALSE), -J3599, IF(AND($P3599=FALSE, $A3599=TRUE), 0, IF($P3599=TRUE, (J3599 / $R3599) * 100 * ($S3599 / 100)-J3599, ))), )</f>
        <v/>
      </c>
      <c r="AD3599" s="32" t="str">
        <f t="shared" si="3707"/>
        <v/>
      </c>
      <c r="AE3599" s="32" t="str">
        <f t="shared" si="3707"/>
        <v/>
      </c>
      <c r="AF3599" s="32" t="str">
        <f t="shared" si="3707"/>
        <v/>
      </c>
      <c r="AG3599" s="32" t="str">
        <f t="shared" si="3707"/>
        <v/>
      </c>
      <c r="AH3599" s="33"/>
    </row>
    <row r="3600" hidden="1" outlineLevel="1" collapsed="1">
      <c r="A3600" s="95" t="b">
        <v>0</v>
      </c>
      <c r="B3600" s="96"/>
      <c r="C3600" s="18"/>
      <c r="D3600" s="42">
        <v>45935.0</v>
      </c>
      <c r="E3600" s="43" t="s">
        <v>24</v>
      </c>
      <c r="F3600" s="53" t="s">
        <v>2098</v>
      </c>
      <c r="G3600" s="97">
        <v>2.0</v>
      </c>
      <c r="H3600" s="97"/>
      <c r="I3600" s="97">
        <v>3.0</v>
      </c>
      <c r="J3600" s="98"/>
      <c r="K3600" s="99"/>
      <c r="L3600" s="98"/>
      <c r="M3600" s="99"/>
      <c r="N3600" s="99"/>
      <c r="O3600" s="18"/>
      <c r="P3600" s="100" t="b">
        <v>0</v>
      </c>
      <c r="Q3600" s="18"/>
      <c r="R3600" s="101">
        <f t="shared" si="3377"/>
        <v>5</v>
      </c>
      <c r="S3600" s="32">
        <v>9.55</v>
      </c>
      <c r="T3600" s="102">
        <f t="shared" si="3378"/>
        <v>-110</v>
      </c>
      <c r="U3600" s="18"/>
      <c r="V3600" s="103" t="str">
        <f>IF(ISBLANK($D3600), "0",)</f>
        <v/>
      </c>
      <c r="W3600" s="104" t="str">
        <f t="shared" si="2828"/>
        <v/>
      </c>
      <c r="X3600" s="105"/>
      <c r="Y3600" s="106"/>
      <c r="Z3600" s="26">
        <f t="shared" si="5"/>
        <v>-2</v>
      </c>
      <c r="AA3600" s="26">
        <f t="shared" si="6"/>
        <v>-3</v>
      </c>
      <c r="AB3600" s="32" t="str">
        <f t="shared" si="7"/>
        <v/>
      </c>
      <c r="AC3600" s="32" t="str">
        <f t="shared" ref="AC3600:AG3600" si="3708">IF(J3600&lt;&gt;"", IF(AND($P3600=FALSE, $A3600=FALSE), -J3600, IF(AND($P3600=FALSE, $A3600=TRUE), 0, IF($P3600=TRUE, (J3600 / $R3600) * 100 * ($S3600 / 100)-J3600, ))), )</f>
        <v/>
      </c>
      <c r="AD3600" s="32" t="str">
        <f t="shared" si="3708"/>
        <v/>
      </c>
      <c r="AE3600" s="32" t="str">
        <f t="shared" si="3708"/>
        <v/>
      </c>
      <c r="AF3600" s="32" t="str">
        <f t="shared" si="3708"/>
        <v/>
      </c>
      <c r="AG3600" s="32" t="str">
        <f t="shared" si="3708"/>
        <v/>
      </c>
      <c r="AH3600" s="33"/>
    </row>
    <row r="3601" hidden="1" outlineLevel="2">
      <c r="A3601" s="95" t="b">
        <v>0</v>
      </c>
      <c r="B3601" s="96"/>
      <c r="C3601" s="18"/>
      <c r="D3601" s="107"/>
      <c r="E3601" s="108"/>
      <c r="F3601" s="109"/>
      <c r="G3601" s="97"/>
      <c r="H3601" s="97"/>
      <c r="I3601" s="97"/>
      <c r="J3601" s="98"/>
      <c r="K3601" s="99"/>
      <c r="L3601" s="98"/>
      <c r="M3601" s="99"/>
      <c r="N3601" s="99"/>
      <c r="O3601" s="18"/>
      <c r="P3601" s="100" t="b">
        <v>0</v>
      </c>
      <c r="Q3601" s="18"/>
      <c r="R3601" s="101" t="str">
        <f t="shared" si="3377"/>
        <v/>
      </c>
      <c r="S3601" s="32"/>
      <c r="T3601" s="102" t="str">
        <f t="shared" si="3378"/>
        <v/>
      </c>
      <c r="U3601" s="18"/>
      <c r="V3601" s="113">
        <v>44.0</v>
      </c>
      <c r="W3601" s="104" t="str">
        <f t="shared" si="2828"/>
        <v>/</v>
      </c>
      <c r="X3601" s="111" t="s">
        <v>2115</v>
      </c>
      <c r="Y3601" s="106"/>
      <c r="Z3601" s="26" t="str">
        <f t="shared" si="5"/>
        <v/>
      </c>
      <c r="AA3601" s="26" t="str">
        <f t="shared" si="6"/>
        <v/>
      </c>
      <c r="AB3601" s="32" t="str">
        <f t="shared" si="7"/>
        <v/>
      </c>
      <c r="AC3601" s="32" t="str">
        <f t="shared" ref="AC3601:AG3601" si="3709">IF(J3601&lt;&gt;"", IF(AND($P3601=FALSE, $A3601=FALSE), -J3601, IF(AND($P3601=FALSE, $A3601=TRUE), 0, IF($P3601=TRUE, (J3601 / $R3601) * 100 * ($S3601 / 100)-J3601, ))), )</f>
        <v/>
      </c>
      <c r="AD3601" s="32" t="str">
        <f t="shared" si="3709"/>
        <v/>
      </c>
      <c r="AE3601" s="32" t="str">
        <f t="shared" si="3709"/>
        <v/>
      </c>
      <c r="AF3601" s="32" t="str">
        <f t="shared" si="3709"/>
        <v/>
      </c>
      <c r="AG3601" s="32" t="str">
        <f t="shared" si="3709"/>
        <v/>
      </c>
      <c r="AH3601" s="33"/>
    </row>
    <row r="3602" hidden="1" outlineLevel="2">
      <c r="A3602" s="95" t="b">
        <v>0</v>
      </c>
      <c r="B3602" s="96"/>
      <c r="C3602" s="18"/>
      <c r="D3602" s="107"/>
      <c r="E3602" s="108"/>
      <c r="F3602" s="109"/>
      <c r="G3602" s="97"/>
      <c r="H3602" s="97"/>
      <c r="I3602" s="97"/>
      <c r="J3602" s="98"/>
      <c r="K3602" s="99"/>
      <c r="L3602" s="98"/>
      <c r="M3602" s="99"/>
      <c r="N3602" s="99"/>
      <c r="O3602" s="18"/>
      <c r="P3602" s="100" t="b">
        <v>0</v>
      </c>
      <c r="Q3602" s="18"/>
      <c r="R3602" s="101" t="str">
        <f t="shared" si="3377"/>
        <v/>
      </c>
      <c r="S3602" s="32"/>
      <c r="T3602" s="102" t="str">
        <f t="shared" si="3378"/>
        <v/>
      </c>
      <c r="U3602" s="18"/>
      <c r="V3602" s="113">
        <v>66.0</v>
      </c>
      <c r="W3602" s="104" t="str">
        <f t="shared" si="2828"/>
        <v>/</v>
      </c>
      <c r="X3602" s="111" t="s">
        <v>2116</v>
      </c>
      <c r="Y3602" s="106"/>
      <c r="Z3602" s="26" t="str">
        <f t="shared" si="5"/>
        <v/>
      </c>
      <c r="AA3602" s="26" t="str">
        <f t="shared" si="6"/>
        <v/>
      </c>
      <c r="AB3602" s="32" t="str">
        <f t="shared" si="7"/>
        <v/>
      </c>
      <c r="AC3602" s="32" t="str">
        <f t="shared" ref="AC3602:AG3602" si="3710">IF(J3602&lt;&gt;"", IF(AND($P3602=FALSE, $A3602=FALSE), -J3602, IF(AND($P3602=FALSE, $A3602=TRUE), 0, IF($P3602=TRUE, (J3602 / $R3602) * 100 * ($S3602 / 100)-J3602, ))), )</f>
        <v/>
      </c>
      <c r="AD3602" s="32" t="str">
        <f t="shared" si="3710"/>
        <v/>
      </c>
      <c r="AE3602" s="32" t="str">
        <f t="shared" si="3710"/>
        <v/>
      </c>
      <c r="AF3602" s="32" t="str">
        <f t="shared" si="3710"/>
        <v/>
      </c>
      <c r="AG3602" s="32" t="str">
        <f t="shared" si="3710"/>
        <v/>
      </c>
      <c r="AH3602" s="33"/>
    </row>
    <row r="3603" hidden="1" outlineLevel="1" collapsed="1">
      <c r="A3603" s="95" t="b">
        <v>0</v>
      </c>
      <c r="B3603" s="96"/>
      <c r="C3603" s="18"/>
      <c r="D3603" s="42">
        <v>45935.0</v>
      </c>
      <c r="E3603" s="43" t="s">
        <v>24</v>
      </c>
      <c r="F3603" s="53" t="s">
        <v>2098</v>
      </c>
      <c r="G3603" s="97">
        <v>2.0</v>
      </c>
      <c r="H3603" s="97"/>
      <c r="I3603" s="97">
        <v>2.0</v>
      </c>
      <c r="J3603" s="98"/>
      <c r="K3603" s="99"/>
      <c r="L3603" s="98"/>
      <c r="M3603" s="99"/>
      <c r="N3603" s="99"/>
      <c r="O3603" s="18"/>
      <c r="P3603" s="100" t="b">
        <v>0</v>
      </c>
      <c r="Q3603" s="18"/>
      <c r="R3603" s="101">
        <f t="shared" si="3377"/>
        <v>4</v>
      </c>
      <c r="S3603" s="32">
        <v>15.2</v>
      </c>
      <c r="T3603" s="102" t="str">
        <f t="shared" si="3378"/>
        <v>+280</v>
      </c>
      <c r="U3603" s="18"/>
      <c r="V3603" s="103" t="str">
        <f t="shared" ref="V3603:V3605" si="3712">IF(ISBLANK($D3603), "0",)</f>
        <v/>
      </c>
      <c r="W3603" s="104" t="str">
        <f t="shared" si="2828"/>
        <v/>
      </c>
      <c r="X3603" s="105"/>
      <c r="Y3603" s="106"/>
      <c r="Z3603" s="26">
        <f t="shared" si="5"/>
        <v>-2</v>
      </c>
      <c r="AA3603" s="26">
        <f t="shared" si="6"/>
        <v>-2</v>
      </c>
      <c r="AB3603" s="32" t="str">
        <f t="shared" si="7"/>
        <v/>
      </c>
      <c r="AC3603" s="32" t="str">
        <f t="shared" ref="AC3603:AG3603" si="3711">IF(J3603&lt;&gt;"", IF(AND($P3603=FALSE, $A3603=FALSE), -J3603, IF(AND($P3603=FALSE, $A3603=TRUE), 0, IF($P3603=TRUE, (J3603 / $R3603) * 100 * ($S3603 / 100)-J3603, ))), )</f>
        <v/>
      </c>
      <c r="AD3603" s="32" t="str">
        <f t="shared" si="3711"/>
        <v/>
      </c>
      <c r="AE3603" s="32" t="str">
        <f t="shared" si="3711"/>
        <v/>
      </c>
      <c r="AF3603" s="32" t="str">
        <f t="shared" si="3711"/>
        <v/>
      </c>
      <c r="AG3603" s="32" t="str">
        <f t="shared" si="3711"/>
        <v/>
      </c>
      <c r="AH3603" s="33"/>
    </row>
    <row r="3604" hidden="1" outlineLevel="2">
      <c r="A3604" s="95" t="b">
        <v>0</v>
      </c>
      <c r="B3604" s="96"/>
      <c r="C3604" s="18"/>
      <c r="D3604" s="107"/>
      <c r="E3604" s="108"/>
      <c r="F3604" s="109"/>
      <c r="G3604" s="97"/>
      <c r="H3604" s="97"/>
      <c r="I3604" s="97"/>
      <c r="J3604" s="98"/>
      <c r="K3604" s="99"/>
      <c r="L3604" s="98"/>
      <c r="M3604" s="99"/>
      <c r="N3604" s="99"/>
      <c r="O3604" s="18"/>
      <c r="P3604" s="100" t="b">
        <v>0</v>
      </c>
      <c r="Q3604" s="18"/>
      <c r="R3604" s="101" t="str">
        <f t="shared" si="3377"/>
        <v/>
      </c>
      <c r="S3604" s="32"/>
      <c r="T3604" s="102" t="str">
        <f t="shared" si="3378"/>
        <v/>
      </c>
      <c r="U3604" s="18"/>
      <c r="V3604" s="103" t="str">
        <f t="shared" si="3712"/>
        <v>0</v>
      </c>
      <c r="W3604" s="104" t="str">
        <f t="shared" si="2828"/>
        <v>/</v>
      </c>
      <c r="X3604" s="111" t="s">
        <v>2117</v>
      </c>
      <c r="Y3604" s="106"/>
      <c r="Z3604" s="26" t="str">
        <f t="shared" si="5"/>
        <v/>
      </c>
      <c r="AA3604" s="26" t="str">
        <f t="shared" si="6"/>
        <v/>
      </c>
      <c r="AB3604" s="32" t="str">
        <f t="shared" si="7"/>
        <v/>
      </c>
      <c r="AC3604" s="32" t="str">
        <f t="shared" ref="AC3604:AG3604" si="3713">IF(J3604&lt;&gt;"", IF(AND($P3604=FALSE, $A3604=FALSE), -J3604, IF(AND($P3604=FALSE, $A3604=TRUE), 0, IF($P3604=TRUE, (J3604 / $R3604) * 100 * ($S3604 / 100)-J3604, ))), )</f>
        <v/>
      </c>
      <c r="AD3604" s="32" t="str">
        <f t="shared" si="3713"/>
        <v/>
      </c>
      <c r="AE3604" s="32" t="str">
        <f t="shared" si="3713"/>
        <v/>
      </c>
      <c r="AF3604" s="32" t="str">
        <f t="shared" si="3713"/>
        <v/>
      </c>
      <c r="AG3604" s="32" t="str">
        <f t="shared" si="3713"/>
        <v/>
      </c>
      <c r="AH3604" s="33"/>
    </row>
    <row r="3605" hidden="1" outlineLevel="1" collapsed="1">
      <c r="A3605" s="95" t="b">
        <v>0</v>
      </c>
      <c r="B3605" s="96"/>
      <c r="C3605" s="18"/>
      <c r="D3605" s="42">
        <v>45935.0</v>
      </c>
      <c r="E3605" s="43" t="s">
        <v>24</v>
      </c>
      <c r="F3605" s="53" t="s">
        <v>2098</v>
      </c>
      <c r="G3605" s="97">
        <v>2.0</v>
      </c>
      <c r="H3605" s="97"/>
      <c r="I3605" s="97">
        <v>3.0</v>
      </c>
      <c r="J3605" s="98"/>
      <c r="K3605" s="99"/>
      <c r="L3605" s="98"/>
      <c r="M3605" s="99"/>
      <c r="N3605" s="99"/>
      <c r="O3605" s="18"/>
      <c r="P3605" s="100" t="b">
        <v>0</v>
      </c>
      <c r="Q3605" s="18"/>
      <c r="R3605" s="101">
        <f t="shared" si="3377"/>
        <v>5</v>
      </c>
      <c r="S3605" s="32">
        <v>15.51</v>
      </c>
      <c r="T3605" s="102" t="str">
        <f t="shared" si="3378"/>
        <v>+210</v>
      </c>
      <c r="U3605" s="18"/>
      <c r="V3605" s="103" t="str">
        <f t="shared" si="3712"/>
        <v/>
      </c>
      <c r="W3605" s="104" t="str">
        <f t="shared" si="2828"/>
        <v/>
      </c>
      <c r="X3605" s="105"/>
      <c r="Y3605" s="106"/>
      <c r="Z3605" s="26">
        <f t="shared" si="5"/>
        <v>-2</v>
      </c>
      <c r="AA3605" s="26">
        <f t="shared" si="6"/>
        <v>-3</v>
      </c>
      <c r="AB3605" s="32" t="str">
        <f t="shared" si="7"/>
        <v/>
      </c>
      <c r="AC3605" s="32" t="str">
        <f t="shared" ref="AC3605:AG3605" si="3714">IF(J3605&lt;&gt;"", IF(AND($P3605=FALSE, $A3605=FALSE), -J3605, IF(AND($P3605=FALSE, $A3605=TRUE), 0, IF($P3605=TRUE, (J3605 / $R3605) * 100 * ($S3605 / 100)-J3605, ))), )</f>
        <v/>
      </c>
      <c r="AD3605" s="32" t="str">
        <f t="shared" si="3714"/>
        <v/>
      </c>
      <c r="AE3605" s="32" t="str">
        <f t="shared" si="3714"/>
        <v/>
      </c>
      <c r="AF3605" s="32" t="str">
        <f t="shared" si="3714"/>
        <v/>
      </c>
      <c r="AG3605" s="32" t="str">
        <f t="shared" si="3714"/>
        <v/>
      </c>
      <c r="AH3605" s="33"/>
    </row>
    <row r="3606" hidden="1" outlineLevel="2">
      <c r="A3606" s="95" t="b">
        <v>0</v>
      </c>
      <c r="B3606" s="96"/>
      <c r="C3606" s="18"/>
      <c r="D3606" s="107"/>
      <c r="E3606" s="108"/>
      <c r="F3606" s="109"/>
      <c r="G3606" s="97"/>
      <c r="H3606" s="97"/>
      <c r="I3606" s="97"/>
      <c r="J3606" s="98"/>
      <c r="K3606" s="99"/>
      <c r="L3606" s="98"/>
      <c r="M3606" s="99"/>
      <c r="N3606" s="99"/>
      <c r="O3606" s="18"/>
      <c r="P3606" s="100" t="b">
        <v>0</v>
      </c>
      <c r="Q3606" s="18"/>
      <c r="R3606" s="101" t="str">
        <f t="shared" si="3377"/>
        <v/>
      </c>
      <c r="S3606" s="32"/>
      <c r="T3606" s="102" t="str">
        <f t="shared" si="3378"/>
        <v/>
      </c>
      <c r="U3606" s="18"/>
      <c r="V3606" s="75" t="s">
        <v>29</v>
      </c>
      <c r="W3606" s="104" t="str">
        <f t="shared" si="2828"/>
        <v>/</v>
      </c>
      <c r="X3606" s="111" t="s">
        <v>1162</v>
      </c>
      <c r="Y3606" s="106"/>
      <c r="Z3606" s="26" t="str">
        <f t="shared" si="5"/>
        <v/>
      </c>
      <c r="AA3606" s="26" t="str">
        <f t="shared" si="6"/>
        <v/>
      </c>
      <c r="AB3606" s="32" t="str">
        <f t="shared" si="7"/>
        <v/>
      </c>
      <c r="AC3606" s="32" t="str">
        <f t="shared" ref="AC3606:AG3606" si="3715">IF(J3606&lt;&gt;"", IF(AND($P3606=FALSE, $A3606=FALSE), -J3606, IF(AND($P3606=FALSE, $A3606=TRUE), 0, IF($P3606=TRUE, (J3606 / $R3606) * 100 * ($S3606 / 100)-J3606, ))), )</f>
        <v/>
      </c>
      <c r="AD3606" s="32" t="str">
        <f t="shared" si="3715"/>
        <v/>
      </c>
      <c r="AE3606" s="32" t="str">
        <f t="shared" si="3715"/>
        <v/>
      </c>
      <c r="AF3606" s="32" t="str">
        <f t="shared" si="3715"/>
        <v/>
      </c>
      <c r="AG3606" s="32" t="str">
        <f t="shared" si="3715"/>
        <v/>
      </c>
      <c r="AH3606" s="33"/>
    </row>
    <row r="3607" hidden="1" outlineLevel="2">
      <c r="A3607" s="95" t="b">
        <v>0</v>
      </c>
      <c r="B3607" s="96"/>
      <c r="C3607" s="18"/>
      <c r="D3607" s="107"/>
      <c r="E3607" s="108"/>
      <c r="F3607" s="109"/>
      <c r="G3607" s="97"/>
      <c r="H3607" s="97"/>
      <c r="I3607" s="97"/>
      <c r="J3607" s="98"/>
      <c r="K3607" s="99"/>
      <c r="L3607" s="98"/>
      <c r="M3607" s="99"/>
      <c r="N3607" s="99"/>
      <c r="O3607" s="18"/>
      <c r="P3607" s="100" t="b">
        <v>0</v>
      </c>
      <c r="Q3607" s="18"/>
      <c r="R3607" s="101" t="str">
        <f t="shared" si="3377"/>
        <v/>
      </c>
      <c r="S3607" s="32"/>
      <c r="T3607" s="102" t="str">
        <f t="shared" si="3378"/>
        <v/>
      </c>
      <c r="U3607" s="18"/>
      <c r="V3607" s="103" t="str">
        <f>IF(ISBLANK($D3607), "0",)</f>
        <v>0</v>
      </c>
      <c r="W3607" s="104" t="str">
        <f t="shared" si="2828"/>
        <v>/</v>
      </c>
      <c r="X3607" s="111" t="s">
        <v>2118</v>
      </c>
      <c r="Y3607" s="106"/>
      <c r="Z3607" s="26" t="str">
        <f t="shared" si="5"/>
        <v/>
      </c>
      <c r="AA3607" s="26" t="str">
        <f t="shared" si="6"/>
        <v/>
      </c>
      <c r="AB3607" s="32" t="str">
        <f t="shared" si="7"/>
        <v/>
      </c>
      <c r="AC3607" s="32" t="str">
        <f t="shared" ref="AC3607:AG3607" si="3716">IF(J3607&lt;&gt;"", IF(AND($P3607=FALSE, $A3607=FALSE), -J3607, IF(AND($P3607=FALSE, $A3607=TRUE), 0, IF($P3607=TRUE, (J3607 / $R3607) * 100 * ($S3607 / 100)-J3607, ))), )</f>
        <v/>
      </c>
      <c r="AD3607" s="32" t="str">
        <f t="shared" si="3716"/>
        <v/>
      </c>
      <c r="AE3607" s="32" t="str">
        <f t="shared" si="3716"/>
        <v/>
      </c>
      <c r="AF3607" s="32" t="str">
        <f t="shared" si="3716"/>
        <v/>
      </c>
      <c r="AG3607" s="32" t="str">
        <f t="shared" si="3716"/>
        <v/>
      </c>
      <c r="AH3607" s="33"/>
    </row>
    <row r="3608" hidden="1" outlineLevel="2">
      <c r="A3608" s="95" t="b">
        <v>0</v>
      </c>
      <c r="B3608" s="96"/>
      <c r="C3608" s="18"/>
      <c r="D3608" s="107"/>
      <c r="E3608" s="108"/>
      <c r="F3608" s="109"/>
      <c r="G3608" s="97"/>
      <c r="H3608" s="97"/>
      <c r="I3608" s="97"/>
      <c r="J3608" s="98"/>
      <c r="K3608" s="99"/>
      <c r="L3608" s="98"/>
      <c r="M3608" s="99"/>
      <c r="N3608" s="99"/>
      <c r="O3608" s="18"/>
      <c r="P3608" s="100" t="b">
        <v>0</v>
      </c>
      <c r="Q3608" s="18"/>
      <c r="R3608" s="101" t="str">
        <f t="shared" si="3377"/>
        <v/>
      </c>
      <c r="S3608" s="32"/>
      <c r="T3608" s="102" t="str">
        <f t="shared" si="3378"/>
        <v/>
      </c>
      <c r="U3608" s="18"/>
      <c r="V3608" s="75" t="s">
        <v>29</v>
      </c>
      <c r="W3608" s="104" t="str">
        <f t="shared" si="2828"/>
        <v>/</v>
      </c>
      <c r="X3608" s="111" t="s">
        <v>2119</v>
      </c>
      <c r="Y3608" s="106"/>
      <c r="Z3608" s="26" t="str">
        <f t="shared" si="5"/>
        <v/>
      </c>
      <c r="AA3608" s="26" t="str">
        <f t="shared" si="6"/>
        <v/>
      </c>
      <c r="AB3608" s="32" t="str">
        <f t="shared" si="7"/>
        <v/>
      </c>
      <c r="AC3608" s="32" t="str">
        <f t="shared" ref="AC3608:AG3608" si="3717">IF(J3608&lt;&gt;"", IF(AND($P3608=FALSE, $A3608=FALSE), -J3608, IF(AND($P3608=FALSE, $A3608=TRUE), 0, IF($P3608=TRUE, (J3608 / $R3608) * 100 * ($S3608 / 100)-J3608, ))), )</f>
        <v/>
      </c>
      <c r="AD3608" s="32" t="str">
        <f t="shared" si="3717"/>
        <v/>
      </c>
      <c r="AE3608" s="32" t="str">
        <f t="shared" si="3717"/>
        <v/>
      </c>
      <c r="AF3608" s="32" t="str">
        <f t="shared" si="3717"/>
        <v/>
      </c>
      <c r="AG3608" s="32" t="str">
        <f t="shared" si="3717"/>
        <v/>
      </c>
      <c r="AH3608" s="33"/>
    </row>
    <row r="3609" hidden="1" outlineLevel="1" collapsed="1">
      <c r="A3609" s="95" t="b">
        <v>0</v>
      </c>
      <c r="B3609" s="96"/>
      <c r="C3609" s="18"/>
      <c r="D3609" s="42">
        <v>45935.0</v>
      </c>
      <c r="E3609" s="43" t="s">
        <v>24</v>
      </c>
      <c r="F3609" s="53" t="s">
        <v>2098</v>
      </c>
      <c r="G3609" s="97">
        <v>3.0</v>
      </c>
      <c r="H3609" s="97"/>
      <c r="I3609" s="97">
        <v>3.0</v>
      </c>
      <c r="J3609" s="98"/>
      <c r="K3609" s="99"/>
      <c r="L3609" s="98"/>
      <c r="M3609" s="99"/>
      <c r="N3609" s="99"/>
      <c r="O3609" s="18"/>
      <c r="P3609" s="100" t="b">
        <v>1</v>
      </c>
      <c r="Q3609" s="18"/>
      <c r="R3609" s="101">
        <f t="shared" si="3377"/>
        <v>6</v>
      </c>
      <c r="S3609" s="32">
        <v>10.69</v>
      </c>
      <c r="T3609" s="102">
        <f t="shared" si="3378"/>
        <v>-128</v>
      </c>
      <c r="U3609" s="18"/>
      <c r="V3609" s="103" t="str">
        <f>IF(ISBLANK($D3609), "0",)</f>
        <v/>
      </c>
      <c r="W3609" s="104" t="str">
        <f t="shared" si="2828"/>
        <v/>
      </c>
      <c r="X3609" s="105"/>
      <c r="Y3609" s="106"/>
      <c r="Z3609" s="26">
        <f t="shared" si="5"/>
        <v>2.345</v>
      </c>
      <c r="AA3609" s="26">
        <f t="shared" si="6"/>
        <v>2.345</v>
      </c>
      <c r="AB3609" s="32" t="str">
        <f t="shared" si="7"/>
        <v/>
      </c>
      <c r="AC3609" s="32" t="str">
        <f t="shared" ref="AC3609:AG3609" si="3718">IF(J3609&lt;&gt;"", IF(AND($P3609=FALSE, $A3609=FALSE), -J3609, IF(AND($P3609=FALSE, $A3609=TRUE), 0, IF($P3609=TRUE, (J3609 / $R3609) * 100 * ($S3609 / 100)-J3609, ))), )</f>
        <v/>
      </c>
      <c r="AD3609" s="32" t="str">
        <f t="shared" si="3718"/>
        <v/>
      </c>
      <c r="AE3609" s="32" t="str">
        <f t="shared" si="3718"/>
        <v/>
      </c>
      <c r="AF3609" s="32" t="str">
        <f t="shared" si="3718"/>
        <v/>
      </c>
      <c r="AG3609" s="32" t="str">
        <f t="shared" si="3718"/>
        <v/>
      </c>
      <c r="AH3609" s="33"/>
    </row>
    <row r="3610" hidden="1" outlineLevel="2">
      <c r="A3610" s="95" t="b">
        <v>0</v>
      </c>
      <c r="B3610" s="96"/>
      <c r="C3610" s="18"/>
      <c r="D3610" s="107"/>
      <c r="E3610" s="108"/>
      <c r="F3610" s="109"/>
      <c r="G3610" s="97"/>
      <c r="H3610" s="97"/>
      <c r="I3610" s="97"/>
      <c r="J3610" s="98"/>
      <c r="K3610" s="99"/>
      <c r="L3610" s="98"/>
      <c r="M3610" s="99"/>
      <c r="N3610" s="99"/>
      <c r="O3610" s="18"/>
      <c r="P3610" s="100" t="b">
        <v>0</v>
      </c>
      <c r="Q3610" s="18"/>
      <c r="R3610" s="101" t="str">
        <f t="shared" si="3377"/>
        <v/>
      </c>
      <c r="S3610" s="32"/>
      <c r="T3610" s="102" t="str">
        <f t="shared" si="3378"/>
        <v/>
      </c>
      <c r="U3610" s="18"/>
      <c r="V3610" s="75" t="s">
        <v>29</v>
      </c>
      <c r="W3610" s="104" t="str">
        <f t="shared" si="2828"/>
        <v>/</v>
      </c>
      <c r="X3610" s="111" t="s">
        <v>147</v>
      </c>
      <c r="Y3610" s="106"/>
      <c r="Z3610" s="26" t="str">
        <f t="shared" si="5"/>
        <v/>
      </c>
      <c r="AA3610" s="26" t="str">
        <f t="shared" si="6"/>
        <v/>
      </c>
      <c r="AB3610" s="32" t="str">
        <f t="shared" si="7"/>
        <v/>
      </c>
      <c r="AC3610" s="32" t="str">
        <f t="shared" ref="AC3610:AG3610" si="3719">IF(J3610&lt;&gt;"", IF(AND($P3610=FALSE, $A3610=FALSE), -J3610, IF(AND($P3610=FALSE, $A3610=TRUE), 0, IF($P3610=TRUE, (J3610 / $R3610) * 100 * ($S3610 / 100)-J3610, ))), )</f>
        <v/>
      </c>
      <c r="AD3610" s="32" t="str">
        <f t="shared" si="3719"/>
        <v/>
      </c>
      <c r="AE3610" s="32" t="str">
        <f t="shared" si="3719"/>
        <v/>
      </c>
      <c r="AF3610" s="32" t="str">
        <f t="shared" si="3719"/>
        <v/>
      </c>
      <c r="AG3610" s="32" t="str">
        <f t="shared" si="3719"/>
        <v/>
      </c>
      <c r="AH3610" s="33"/>
    </row>
    <row r="3611" hidden="1" outlineLevel="1" collapsed="1">
      <c r="A3611" s="95" t="b">
        <v>0</v>
      </c>
      <c r="B3611" s="96"/>
      <c r="C3611" s="18"/>
      <c r="D3611" s="42">
        <v>45935.0</v>
      </c>
      <c r="E3611" s="43" t="s">
        <v>24</v>
      </c>
      <c r="F3611" s="53" t="s">
        <v>2098</v>
      </c>
      <c r="G3611" s="97">
        <v>2.0</v>
      </c>
      <c r="H3611" s="97"/>
      <c r="I3611" s="97">
        <v>3.0</v>
      </c>
      <c r="J3611" s="98"/>
      <c r="K3611" s="99"/>
      <c r="L3611" s="98"/>
      <c r="M3611" s="99"/>
      <c r="N3611" s="99"/>
      <c r="O3611" s="18"/>
      <c r="P3611" s="100" t="b">
        <v>0</v>
      </c>
      <c r="Q3611" s="18"/>
      <c r="R3611" s="101">
        <f t="shared" si="3377"/>
        <v>5</v>
      </c>
      <c r="S3611" s="32">
        <v>17.5</v>
      </c>
      <c r="T3611" s="102" t="str">
        <f t="shared" si="3378"/>
        <v>+250</v>
      </c>
      <c r="U3611" s="18"/>
      <c r="V3611" s="103" t="str">
        <f t="shared" ref="V3611:V3613" si="3721">IF(ISBLANK($D3611), "0",)</f>
        <v/>
      </c>
      <c r="W3611" s="104" t="str">
        <f t="shared" si="2828"/>
        <v/>
      </c>
      <c r="X3611" s="105"/>
      <c r="Y3611" s="106"/>
      <c r="Z3611" s="26">
        <f t="shared" si="5"/>
        <v>-2</v>
      </c>
      <c r="AA3611" s="26">
        <f t="shared" si="6"/>
        <v>-3</v>
      </c>
      <c r="AB3611" s="32" t="str">
        <f t="shared" si="7"/>
        <v/>
      </c>
      <c r="AC3611" s="32" t="str">
        <f t="shared" ref="AC3611:AG3611" si="3720">IF(J3611&lt;&gt;"", IF(AND($P3611=FALSE, $A3611=FALSE), -J3611, IF(AND($P3611=FALSE, $A3611=TRUE), 0, IF($P3611=TRUE, (J3611 / $R3611) * 100 * ($S3611 / 100)-J3611, ))), )</f>
        <v/>
      </c>
      <c r="AD3611" s="32" t="str">
        <f t="shared" si="3720"/>
        <v/>
      </c>
      <c r="AE3611" s="32" t="str">
        <f t="shared" si="3720"/>
        <v/>
      </c>
      <c r="AF3611" s="32" t="str">
        <f t="shared" si="3720"/>
        <v/>
      </c>
      <c r="AG3611" s="32" t="str">
        <f t="shared" si="3720"/>
        <v/>
      </c>
      <c r="AH3611" s="33"/>
    </row>
    <row r="3612" hidden="1" outlineLevel="2">
      <c r="A3612" s="95" t="b">
        <v>0</v>
      </c>
      <c r="B3612" s="96"/>
      <c r="C3612" s="18"/>
      <c r="D3612" s="107"/>
      <c r="E3612" s="108"/>
      <c r="F3612" s="109"/>
      <c r="G3612" s="97"/>
      <c r="H3612" s="97"/>
      <c r="I3612" s="97"/>
      <c r="J3612" s="98"/>
      <c r="K3612" s="99"/>
      <c r="L3612" s="98"/>
      <c r="M3612" s="99"/>
      <c r="N3612" s="99"/>
      <c r="O3612" s="18"/>
      <c r="P3612" s="100" t="b">
        <v>0</v>
      </c>
      <c r="Q3612" s="18"/>
      <c r="R3612" s="101" t="str">
        <f t="shared" si="3377"/>
        <v/>
      </c>
      <c r="S3612" s="32"/>
      <c r="T3612" s="102" t="str">
        <f t="shared" si="3378"/>
        <v/>
      </c>
      <c r="U3612" s="18"/>
      <c r="V3612" s="103" t="str">
        <f t="shared" si="3721"/>
        <v>0</v>
      </c>
      <c r="W3612" s="104" t="str">
        <f t="shared" si="2828"/>
        <v>/</v>
      </c>
      <c r="X3612" s="111" t="s">
        <v>2120</v>
      </c>
      <c r="Y3612" s="106"/>
      <c r="Z3612" s="26" t="str">
        <f t="shared" si="5"/>
        <v/>
      </c>
      <c r="AA3612" s="26" t="str">
        <f t="shared" si="6"/>
        <v/>
      </c>
      <c r="AB3612" s="32" t="str">
        <f t="shared" si="7"/>
        <v/>
      </c>
      <c r="AC3612" s="32" t="str">
        <f t="shared" ref="AC3612:AG3612" si="3722">IF(J3612&lt;&gt;"", IF(AND($P3612=FALSE, $A3612=FALSE), -J3612, IF(AND($P3612=FALSE, $A3612=TRUE), 0, IF($P3612=TRUE, (J3612 / $R3612) * 100 * ($S3612 / 100)-J3612, ))), )</f>
        <v/>
      </c>
      <c r="AD3612" s="32" t="str">
        <f t="shared" si="3722"/>
        <v/>
      </c>
      <c r="AE3612" s="32" t="str">
        <f t="shared" si="3722"/>
        <v/>
      </c>
      <c r="AF3612" s="32" t="str">
        <f t="shared" si="3722"/>
        <v/>
      </c>
      <c r="AG3612" s="32" t="str">
        <f t="shared" si="3722"/>
        <v/>
      </c>
      <c r="AH3612" s="33"/>
    </row>
    <row r="3613" hidden="1" outlineLevel="1">
      <c r="A3613" s="95" t="b">
        <v>0</v>
      </c>
      <c r="B3613" s="96"/>
      <c r="C3613" s="18"/>
      <c r="D3613" s="42">
        <v>45935.0</v>
      </c>
      <c r="E3613" s="43" t="s">
        <v>24</v>
      </c>
      <c r="F3613" s="53" t="s">
        <v>2098</v>
      </c>
      <c r="G3613" s="97">
        <v>2.0</v>
      </c>
      <c r="H3613" s="97"/>
      <c r="I3613" s="97">
        <v>3.0</v>
      </c>
      <c r="J3613" s="98"/>
      <c r="K3613" s="99"/>
      <c r="L3613" s="98"/>
      <c r="M3613" s="99"/>
      <c r="N3613" s="99"/>
      <c r="O3613" s="18"/>
      <c r="P3613" s="100" t="b">
        <v>1</v>
      </c>
      <c r="Q3613" s="18"/>
      <c r="R3613" s="101">
        <f t="shared" si="3377"/>
        <v>5</v>
      </c>
      <c r="S3613" s="32">
        <v>11.68</v>
      </c>
      <c r="T3613" s="102" t="str">
        <f t="shared" si="3378"/>
        <v>+134</v>
      </c>
      <c r="U3613" s="18"/>
      <c r="V3613" s="103" t="str">
        <f t="shared" si="3721"/>
        <v/>
      </c>
      <c r="W3613" s="104" t="str">
        <f t="shared" si="2828"/>
        <v/>
      </c>
      <c r="X3613" s="105"/>
      <c r="Y3613" s="106"/>
      <c r="Z3613" s="26">
        <f t="shared" si="5"/>
        <v>2.672</v>
      </c>
      <c r="AA3613" s="26">
        <f t="shared" si="6"/>
        <v>4.008</v>
      </c>
      <c r="AB3613" s="32" t="str">
        <f t="shared" si="7"/>
        <v/>
      </c>
      <c r="AC3613" s="32" t="str">
        <f t="shared" ref="AC3613:AG3613" si="3723">IF(J3613&lt;&gt;"", IF(AND($P3613=FALSE, $A3613=FALSE), -J3613, IF(AND($P3613=FALSE, $A3613=TRUE), 0, IF($P3613=TRUE, (J3613 / $R3613) * 100 * ($S3613 / 100)-J3613, ))), )</f>
        <v/>
      </c>
      <c r="AD3613" s="32" t="str">
        <f t="shared" si="3723"/>
        <v/>
      </c>
      <c r="AE3613" s="32" t="str">
        <f t="shared" si="3723"/>
        <v/>
      </c>
      <c r="AF3613" s="32" t="str">
        <f t="shared" si="3723"/>
        <v/>
      </c>
      <c r="AG3613" s="32" t="str">
        <f t="shared" si="3723"/>
        <v/>
      </c>
      <c r="AH3613" s="33"/>
    </row>
    <row r="3614" hidden="1" outlineLevel="2">
      <c r="A3614" s="95" t="b">
        <v>0</v>
      </c>
      <c r="B3614" s="96"/>
      <c r="C3614" s="18"/>
      <c r="D3614" s="107"/>
      <c r="E3614" s="108"/>
      <c r="F3614" s="109"/>
      <c r="G3614" s="97"/>
      <c r="H3614" s="97"/>
      <c r="I3614" s="97"/>
      <c r="J3614" s="98"/>
      <c r="K3614" s="99"/>
      <c r="L3614" s="98"/>
      <c r="M3614" s="99"/>
      <c r="N3614" s="99"/>
      <c r="O3614" s="18"/>
      <c r="P3614" s="100" t="b">
        <v>0</v>
      </c>
      <c r="Q3614" s="18"/>
      <c r="R3614" s="101" t="str">
        <f t="shared" si="3377"/>
        <v/>
      </c>
      <c r="S3614" s="32"/>
      <c r="T3614" s="102" t="str">
        <f t="shared" si="3378"/>
        <v/>
      </c>
      <c r="U3614" s="18"/>
      <c r="V3614" s="75" t="s">
        <v>29</v>
      </c>
      <c r="W3614" s="104" t="str">
        <f t="shared" si="2828"/>
        <v>/</v>
      </c>
      <c r="X3614" s="111" t="s">
        <v>783</v>
      </c>
      <c r="Y3614" s="106"/>
      <c r="Z3614" s="26" t="str">
        <f t="shared" si="5"/>
        <v/>
      </c>
      <c r="AA3614" s="26" t="str">
        <f t="shared" si="6"/>
        <v/>
      </c>
      <c r="AB3614" s="32" t="str">
        <f t="shared" si="7"/>
        <v/>
      </c>
      <c r="AC3614" s="32" t="str">
        <f t="shared" ref="AC3614:AG3614" si="3724">IF(J3614&lt;&gt;"", IF(AND($P3614=FALSE, $A3614=FALSE), -J3614, IF(AND($P3614=FALSE, $A3614=TRUE), 0, IF($P3614=TRUE, (J3614 / $R3614) * 100 * ($S3614 / 100)-J3614, ))), )</f>
        <v/>
      </c>
      <c r="AD3614" s="32" t="str">
        <f t="shared" si="3724"/>
        <v/>
      </c>
      <c r="AE3614" s="32" t="str">
        <f t="shared" si="3724"/>
        <v/>
      </c>
      <c r="AF3614" s="32" t="str">
        <f t="shared" si="3724"/>
        <v/>
      </c>
      <c r="AG3614" s="32" t="str">
        <f t="shared" si="3724"/>
        <v/>
      </c>
      <c r="AH3614" s="33"/>
    </row>
    <row r="3615" hidden="1" outlineLevel="2">
      <c r="A3615" s="95" t="b">
        <v>0</v>
      </c>
      <c r="B3615" s="96"/>
      <c r="C3615" s="18"/>
      <c r="D3615" s="107"/>
      <c r="E3615" s="108"/>
      <c r="F3615" s="109"/>
      <c r="G3615" s="97"/>
      <c r="H3615" s="97"/>
      <c r="I3615" s="97"/>
      <c r="J3615" s="98"/>
      <c r="K3615" s="99"/>
      <c r="L3615" s="98"/>
      <c r="M3615" s="99"/>
      <c r="N3615" s="99"/>
      <c r="O3615" s="18"/>
      <c r="P3615" s="100" t="b">
        <v>0</v>
      </c>
      <c r="Q3615" s="18"/>
      <c r="R3615" s="101" t="str">
        <f t="shared" si="3377"/>
        <v/>
      </c>
      <c r="S3615" s="32"/>
      <c r="T3615" s="102" t="str">
        <f t="shared" si="3378"/>
        <v/>
      </c>
      <c r="U3615" s="18"/>
      <c r="V3615" s="75" t="s">
        <v>29</v>
      </c>
      <c r="W3615" s="104" t="str">
        <f t="shared" si="2828"/>
        <v>/</v>
      </c>
      <c r="X3615" s="111" t="s">
        <v>2107</v>
      </c>
      <c r="Y3615" s="106"/>
      <c r="Z3615" s="26" t="str">
        <f t="shared" si="5"/>
        <v/>
      </c>
      <c r="AA3615" s="26" t="str">
        <f t="shared" si="6"/>
        <v/>
      </c>
      <c r="AB3615" s="32" t="str">
        <f t="shared" si="7"/>
        <v/>
      </c>
      <c r="AC3615" s="32" t="str">
        <f t="shared" ref="AC3615:AG3615" si="3725">IF(J3615&lt;&gt;"", IF(AND($P3615=FALSE, $A3615=FALSE), -J3615, IF(AND($P3615=FALSE, $A3615=TRUE), 0, IF($P3615=TRUE, (J3615 / $R3615) * 100 * ($S3615 / 100)-J3615, ))), )</f>
        <v/>
      </c>
      <c r="AD3615" s="32" t="str">
        <f t="shared" si="3725"/>
        <v/>
      </c>
      <c r="AE3615" s="32" t="str">
        <f t="shared" si="3725"/>
        <v/>
      </c>
      <c r="AF3615" s="32" t="str">
        <f t="shared" si="3725"/>
        <v/>
      </c>
      <c r="AG3615" s="32" t="str">
        <f t="shared" si="3725"/>
        <v/>
      </c>
      <c r="AH3615" s="33"/>
    </row>
    <row r="3616" hidden="1" outlineLevel="2">
      <c r="A3616" s="95" t="b">
        <v>0</v>
      </c>
      <c r="B3616" s="96"/>
      <c r="C3616" s="18"/>
      <c r="D3616" s="107"/>
      <c r="E3616" s="108"/>
      <c r="F3616" s="109"/>
      <c r="G3616" s="97"/>
      <c r="H3616" s="97"/>
      <c r="I3616" s="97"/>
      <c r="J3616" s="98"/>
      <c r="K3616" s="99"/>
      <c r="L3616" s="98"/>
      <c r="M3616" s="99"/>
      <c r="N3616" s="99"/>
      <c r="O3616" s="18"/>
      <c r="P3616" s="100" t="b">
        <v>0</v>
      </c>
      <c r="Q3616" s="18"/>
      <c r="R3616" s="101" t="str">
        <f t="shared" si="3377"/>
        <v/>
      </c>
      <c r="S3616" s="32"/>
      <c r="T3616" s="102" t="str">
        <f t="shared" si="3378"/>
        <v/>
      </c>
      <c r="U3616" s="18"/>
      <c r="V3616" s="75" t="s">
        <v>29</v>
      </c>
      <c r="W3616" s="104" t="str">
        <f t="shared" si="2828"/>
        <v>/</v>
      </c>
      <c r="X3616" s="111" t="s">
        <v>2121</v>
      </c>
      <c r="Y3616" s="106"/>
      <c r="Z3616" s="26" t="str">
        <f t="shared" si="5"/>
        <v/>
      </c>
      <c r="AA3616" s="26" t="str">
        <f t="shared" si="6"/>
        <v/>
      </c>
      <c r="AB3616" s="32" t="str">
        <f t="shared" si="7"/>
        <v/>
      </c>
      <c r="AC3616" s="32" t="str">
        <f t="shared" ref="AC3616:AG3616" si="3726">IF(J3616&lt;&gt;"", IF(AND($P3616=FALSE, $A3616=FALSE), -J3616, IF(AND($P3616=FALSE, $A3616=TRUE), 0, IF($P3616=TRUE, (J3616 / $R3616) * 100 * ($S3616 / 100)-J3616, ))), )</f>
        <v/>
      </c>
      <c r="AD3616" s="32" t="str">
        <f t="shared" si="3726"/>
        <v/>
      </c>
      <c r="AE3616" s="32" t="str">
        <f t="shared" si="3726"/>
        <v/>
      </c>
      <c r="AF3616" s="32" t="str">
        <f t="shared" si="3726"/>
        <v/>
      </c>
      <c r="AG3616" s="32" t="str">
        <f t="shared" si="3726"/>
        <v/>
      </c>
      <c r="AH3616" s="33"/>
    </row>
    <row r="3617" collapsed="1">
      <c r="A3617" s="95" t="b">
        <v>0</v>
      </c>
      <c r="B3617" s="96"/>
      <c r="C3617" s="18"/>
      <c r="D3617" s="42">
        <v>45936.0</v>
      </c>
      <c r="E3617" s="43" t="s">
        <v>24</v>
      </c>
      <c r="F3617" s="53" t="s">
        <v>2098</v>
      </c>
      <c r="G3617" s="97">
        <v>3.0</v>
      </c>
      <c r="H3617" s="97"/>
      <c r="I3617" s="97">
        <v>3.0</v>
      </c>
      <c r="J3617" s="98"/>
      <c r="K3617" s="99"/>
      <c r="L3617" s="98"/>
      <c r="M3617" s="99"/>
      <c r="N3617" s="99"/>
      <c r="O3617" s="18"/>
      <c r="P3617" s="100" t="b">
        <v>0</v>
      </c>
      <c r="Q3617" s="18"/>
      <c r="R3617" s="101">
        <f t="shared" si="3377"/>
        <v>6</v>
      </c>
      <c r="S3617" s="32">
        <v>13.02</v>
      </c>
      <c r="T3617" s="102" t="str">
        <f t="shared" si="3378"/>
        <v>+117</v>
      </c>
      <c r="U3617" s="18"/>
      <c r="V3617" s="103" t="str">
        <f>IF(ISBLANK($D3617), "0",)</f>
        <v/>
      </c>
      <c r="W3617" s="104" t="str">
        <f t="shared" si="2828"/>
        <v/>
      </c>
      <c r="X3617" s="105"/>
      <c r="Y3617" s="106"/>
      <c r="Z3617" s="26">
        <f t="shared" si="5"/>
        <v>-3</v>
      </c>
      <c r="AA3617" s="26">
        <f t="shared" si="6"/>
        <v>-3</v>
      </c>
      <c r="AB3617" s="32" t="str">
        <f t="shared" si="7"/>
        <v/>
      </c>
      <c r="AC3617" s="32" t="str">
        <f t="shared" ref="AC3617:AG3617" si="3727">IF(J3617&lt;&gt;"", IF(AND($P3617=FALSE, $A3617=FALSE), -J3617, IF(AND($P3617=FALSE, $A3617=TRUE), 0, IF($P3617=TRUE, (J3617 / $R3617) * 100 * ($S3617 / 100)-J3617, ))), )</f>
        <v/>
      </c>
      <c r="AD3617" s="32" t="str">
        <f t="shared" si="3727"/>
        <v/>
      </c>
      <c r="AE3617" s="32" t="str">
        <f t="shared" si="3727"/>
        <v/>
      </c>
      <c r="AF3617" s="32" t="str">
        <f t="shared" si="3727"/>
        <v/>
      </c>
      <c r="AG3617" s="32" t="str">
        <f t="shared" si="3727"/>
        <v/>
      </c>
      <c r="AH3617" s="33"/>
    </row>
    <row r="3618" hidden="1" outlineLevel="2">
      <c r="A3618" s="95" t="b">
        <v>0</v>
      </c>
      <c r="B3618" s="96"/>
      <c r="C3618" s="18"/>
      <c r="D3618" s="107"/>
      <c r="E3618" s="108"/>
      <c r="F3618" s="109"/>
      <c r="G3618" s="97"/>
      <c r="H3618" s="97"/>
      <c r="I3618" s="97"/>
      <c r="J3618" s="98"/>
      <c r="K3618" s="99"/>
      <c r="L3618" s="98"/>
      <c r="M3618" s="99"/>
      <c r="N3618" s="99"/>
      <c r="O3618" s="18"/>
      <c r="P3618" s="100" t="b">
        <v>0</v>
      </c>
      <c r="Q3618" s="18"/>
      <c r="R3618" s="101" t="str">
        <f t="shared" si="3377"/>
        <v/>
      </c>
      <c r="S3618" s="32"/>
      <c r="T3618" s="102" t="str">
        <f t="shared" si="3378"/>
        <v/>
      </c>
      <c r="U3618" s="18"/>
      <c r="V3618" s="113">
        <v>49.0</v>
      </c>
      <c r="W3618" s="104" t="str">
        <f t="shared" si="2828"/>
        <v>/</v>
      </c>
      <c r="X3618" s="111" t="s">
        <v>2122</v>
      </c>
      <c r="Y3618" s="106"/>
      <c r="Z3618" s="26" t="str">
        <f t="shared" si="5"/>
        <v/>
      </c>
      <c r="AA3618" s="26" t="str">
        <f t="shared" si="6"/>
        <v/>
      </c>
      <c r="AB3618" s="32" t="str">
        <f t="shared" si="7"/>
        <v/>
      </c>
      <c r="AC3618" s="32" t="str">
        <f t="shared" ref="AC3618:AG3618" si="3728">IF(J3618&lt;&gt;"", IF(AND($P3618=FALSE, $A3618=FALSE), -J3618, IF(AND($P3618=FALSE, $A3618=TRUE), 0, IF($P3618=TRUE, (J3618 / $R3618) * 100 * ($S3618 / 100)-J3618, ))), )</f>
        <v/>
      </c>
      <c r="AD3618" s="32" t="str">
        <f t="shared" si="3728"/>
        <v/>
      </c>
      <c r="AE3618" s="32" t="str">
        <f t="shared" si="3728"/>
        <v/>
      </c>
      <c r="AF3618" s="32" t="str">
        <f t="shared" si="3728"/>
        <v/>
      </c>
      <c r="AG3618" s="32" t="str">
        <f t="shared" si="3728"/>
        <v/>
      </c>
      <c r="AH3618" s="33"/>
    </row>
    <row r="3619" hidden="1" outlineLevel="1" collapsed="1">
      <c r="A3619" s="95" t="b">
        <v>0</v>
      </c>
      <c r="B3619" s="96"/>
      <c r="C3619" s="18"/>
      <c r="D3619" s="42">
        <v>45936.0</v>
      </c>
      <c r="E3619" s="43" t="s">
        <v>24</v>
      </c>
      <c r="F3619" s="53" t="s">
        <v>2098</v>
      </c>
      <c r="G3619" s="97">
        <v>2.0</v>
      </c>
      <c r="H3619" s="97"/>
      <c r="I3619" s="97">
        <v>3.0</v>
      </c>
      <c r="J3619" s="98"/>
      <c r="K3619" s="99"/>
      <c r="L3619" s="98"/>
      <c r="M3619" s="99"/>
      <c r="N3619" s="99"/>
      <c r="O3619" s="18"/>
      <c r="P3619" s="100" t="b">
        <v>0</v>
      </c>
      <c r="Q3619" s="18"/>
      <c r="R3619" s="101">
        <f t="shared" si="3377"/>
        <v>5</v>
      </c>
      <c r="S3619" s="32">
        <v>10.91</v>
      </c>
      <c r="T3619" s="102" t="str">
        <f t="shared" si="3378"/>
        <v>+118</v>
      </c>
      <c r="U3619" s="18"/>
      <c r="V3619" s="103" t="str">
        <f>IF(ISBLANK($D3619), "0",)</f>
        <v/>
      </c>
      <c r="W3619" s="104" t="str">
        <f t="shared" si="2828"/>
        <v/>
      </c>
      <c r="X3619" s="105"/>
      <c r="Y3619" s="106"/>
      <c r="Z3619" s="26">
        <f t="shared" si="5"/>
        <v>-2</v>
      </c>
      <c r="AA3619" s="26">
        <f t="shared" si="6"/>
        <v>-3</v>
      </c>
      <c r="AB3619" s="32" t="str">
        <f t="shared" si="7"/>
        <v/>
      </c>
      <c r="AC3619" s="32" t="str">
        <f t="shared" ref="AC3619:AG3619" si="3729">IF(J3619&lt;&gt;"", IF(AND($P3619=FALSE, $A3619=FALSE), -J3619, IF(AND($P3619=FALSE, $A3619=TRUE), 0, IF($P3619=TRUE, (J3619 / $R3619) * 100 * ($S3619 / 100)-J3619, ))), )</f>
        <v/>
      </c>
      <c r="AD3619" s="32" t="str">
        <f t="shared" si="3729"/>
        <v/>
      </c>
      <c r="AE3619" s="32" t="str">
        <f t="shared" si="3729"/>
        <v/>
      </c>
      <c r="AF3619" s="32" t="str">
        <f t="shared" si="3729"/>
        <v/>
      </c>
      <c r="AG3619" s="32" t="str">
        <f t="shared" si="3729"/>
        <v/>
      </c>
      <c r="AH3619" s="33"/>
    </row>
    <row r="3620" hidden="1" outlineLevel="2">
      <c r="A3620" s="95" t="b">
        <v>0</v>
      </c>
      <c r="B3620" s="96"/>
      <c r="C3620" s="18"/>
      <c r="D3620" s="107"/>
      <c r="E3620" s="108"/>
      <c r="F3620" s="109"/>
      <c r="G3620" s="97"/>
      <c r="H3620" s="97"/>
      <c r="I3620" s="97"/>
      <c r="J3620" s="98"/>
      <c r="K3620" s="99"/>
      <c r="L3620" s="98"/>
      <c r="M3620" s="99"/>
      <c r="N3620" s="99"/>
      <c r="O3620" s="18"/>
      <c r="P3620" s="100" t="b">
        <v>0</v>
      </c>
      <c r="Q3620" s="18"/>
      <c r="R3620" s="101" t="str">
        <f t="shared" si="3377"/>
        <v/>
      </c>
      <c r="S3620" s="32"/>
      <c r="T3620" s="102" t="str">
        <f t="shared" si="3378"/>
        <v/>
      </c>
      <c r="U3620" s="18"/>
      <c r="V3620" s="75" t="s">
        <v>29</v>
      </c>
      <c r="W3620" s="104" t="str">
        <f t="shared" si="2828"/>
        <v>/</v>
      </c>
      <c r="X3620" s="111" t="s">
        <v>2123</v>
      </c>
      <c r="Y3620" s="106"/>
      <c r="Z3620" s="26" t="str">
        <f t="shared" si="5"/>
        <v/>
      </c>
      <c r="AA3620" s="26" t="str">
        <f t="shared" si="6"/>
        <v/>
      </c>
      <c r="AB3620" s="32" t="str">
        <f t="shared" si="7"/>
        <v/>
      </c>
      <c r="AC3620" s="32" t="str">
        <f t="shared" ref="AC3620:AG3620" si="3730">IF(J3620&lt;&gt;"", IF(AND($P3620=FALSE, $A3620=FALSE), -J3620, IF(AND($P3620=FALSE, $A3620=TRUE), 0, IF($P3620=TRUE, (J3620 / $R3620) * 100 * ($S3620 / 100)-J3620, ))), )</f>
        <v/>
      </c>
      <c r="AD3620" s="32" t="str">
        <f t="shared" si="3730"/>
        <v/>
      </c>
      <c r="AE3620" s="32" t="str">
        <f t="shared" si="3730"/>
        <v/>
      </c>
      <c r="AF3620" s="32" t="str">
        <f t="shared" si="3730"/>
        <v/>
      </c>
      <c r="AG3620" s="32" t="str">
        <f t="shared" si="3730"/>
        <v/>
      </c>
      <c r="AH3620" s="33"/>
    </row>
    <row r="3621" hidden="1" outlineLevel="2">
      <c r="A3621" s="95" t="b">
        <v>0</v>
      </c>
      <c r="B3621" s="96"/>
      <c r="C3621" s="18"/>
      <c r="D3621" s="107"/>
      <c r="E3621" s="108"/>
      <c r="F3621" s="109"/>
      <c r="G3621" s="97"/>
      <c r="H3621" s="97"/>
      <c r="I3621" s="97"/>
      <c r="J3621" s="98"/>
      <c r="K3621" s="99"/>
      <c r="L3621" s="98"/>
      <c r="M3621" s="99"/>
      <c r="N3621" s="99"/>
      <c r="O3621" s="18"/>
      <c r="P3621" s="100" t="b">
        <v>0</v>
      </c>
      <c r="Q3621" s="18"/>
      <c r="R3621" s="101" t="str">
        <f t="shared" si="3377"/>
        <v/>
      </c>
      <c r="S3621" s="32"/>
      <c r="T3621" s="102" t="str">
        <f t="shared" si="3378"/>
        <v/>
      </c>
      <c r="U3621" s="18"/>
      <c r="V3621" s="113">
        <v>22.0</v>
      </c>
      <c r="W3621" s="104" t="str">
        <f t="shared" si="2828"/>
        <v>/</v>
      </c>
      <c r="X3621" s="111" t="s">
        <v>2124</v>
      </c>
      <c r="Y3621" s="106"/>
      <c r="Z3621" s="26" t="str">
        <f t="shared" si="5"/>
        <v/>
      </c>
      <c r="AA3621" s="26" t="str">
        <f t="shared" si="6"/>
        <v/>
      </c>
      <c r="AB3621" s="32" t="str">
        <f t="shared" si="7"/>
        <v/>
      </c>
      <c r="AC3621" s="32" t="str">
        <f t="shared" ref="AC3621:AG3621" si="3731">IF(J3621&lt;&gt;"", IF(AND($P3621=FALSE, $A3621=FALSE), -J3621, IF(AND($P3621=FALSE, $A3621=TRUE), 0, IF($P3621=TRUE, (J3621 / $R3621) * 100 * ($S3621 / 100)-J3621, ))), )</f>
        <v/>
      </c>
      <c r="AD3621" s="32" t="str">
        <f t="shared" si="3731"/>
        <v/>
      </c>
      <c r="AE3621" s="32" t="str">
        <f t="shared" si="3731"/>
        <v/>
      </c>
      <c r="AF3621" s="32" t="str">
        <f t="shared" si="3731"/>
        <v/>
      </c>
      <c r="AG3621" s="32" t="str">
        <f t="shared" si="3731"/>
        <v/>
      </c>
      <c r="AH3621" s="33"/>
    </row>
    <row r="3622" hidden="1" outlineLevel="2">
      <c r="A3622" s="95" t="b">
        <v>0</v>
      </c>
      <c r="B3622" s="96"/>
      <c r="C3622" s="18"/>
      <c r="D3622" s="107"/>
      <c r="E3622" s="108"/>
      <c r="F3622" s="109"/>
      <c r="G3622" s="97"/>
      <c r="H3622" s="97"/>
      <c r="I3622" s="97"/>
      <c r="J3622" s="98"/>
      <c r="K3622" s="99"/>
      <c r="L3622" s="98"/>
      <c r="M3622" s="99"/>
      <c r="N3622" s="99"/>
      <c r="O3622" s="18"/>
      <c r="P3622" s="100" t="b">
        <v>0</v>
      </c>
      <c r="Q3622" s="18"/>
      <c r="R3622" s="101" t="str">
        <f t="shared" si="3377"/>
        <v/>
      </c>
      <c r="S3622" s="32"/>
      <c r="T3622" s="102" t="str">
        <f t="shared" si="3378"/>
        <v/>
      </c>
      <c r="U3622" s="18"/>
      <c r="V3622" s="113">
        <v>1.0</v>
      </c>
      <c r="W3622" s="104" t="str">
        <f t="shared" si="2828"/>
        <v>/</v>
      </c>
      <c r="X3622" s="111" t="s">
        <v>2125</v>
      </c>
      <c r="Y3622" s="106"/>
      <c r="Z3622" s="26" t="str">
        <f t="shared" si="5"/>
        <v/>
      </c>
      <c r="AA3622" s="26" t="str">
        <f t="shared" si="6"/>
        <v/>
      </c>
      <c r="AB3622" s="32" t="str">
        <f t="shared" si="7"/>
        <v/>
      </c>
      <c r="AC3622" s="32" t="str">
        <f t="shared" ref="AC3622:AG3622" si="3732">IF(J3622&lt;&gt;"", IF(AND($P3622=FALSE, $A3622=FALSE), -J3622, IF(AND($P3622=FALSE, $A3622=TRUE), 0, IF($P3622=TRUE, (J3622 / $R3622) * 100 * ($S3622 / 100)-J3622, ))), )</f>
        <v/>
      </c>
      <c r="AD3622" s="32" t="str">
        <f t="shared" si="3732"/>
        <v/>
      </c>
      <c r="AE3622" s="32" t="str">
        <f t="shared" si="3732"/>
        <v/>
      </c>
      <c r="AF3622" s="32" t="str">
        <f t="shared" si="3732"/>
        <v/>
      </c>
      <c r="AG3622" s="32" t="str">
        <f t="shared" si="3732"/>
        <v/>
      </c>
      <c r="AH3622" s="33"/>
    </row>
    <row r="3623" hidden="1" outlineLevel="1" collapsed="1">
      <c r="A3623" s="95" t="b">
        <v>0</v>
      </c>
      <c r="B3623" s="96"/>
      <c r="C3623" s="18"/>
      <c r="D3623" s="42">
        <v>45936.0</v>
      </c>
      <c r="E3623" s="43" t="s">
        <v>24</v>
      </c>
      <c r="F3623" s="53" t="s">
        <v>2098</v>
      </c>
      <c r="G3623" s="97">
        <v>2.0</v>
      </c>
      <c r="H3623" s="97"/>
      <c r="I3623" s="97">
        <v>4.0</v>
      </c>
      <c r="J3623" s="98"/>
      <c r="K3623" s="99"/>
      <c r="L3623" s="98"/>
      <c r="M3623" s="99"/>
      <c r="N3623" s="99"/>
      <c r="O3623" s="18"/>
      <c r="P3623" s="100" t="b">
        <v>0</v>
      </c>
      <c r="Q3623" s="18"/>
      <c r="R3623" s="101">
        <f t="shared" si="3377"/>
        <v>6</v>
      </c>
      <c r="S3623" s="32">
        <v>12.24</v>
      </c>
      <c r="T3623" s="102" t="str">
        <f t="shared" si="3378"/>
        <v>+104</v>
      </c>
      <c r="U3623" s="18"/>
      <c r="V3623" s="103" t="str">
        <f t="shared" ref="V3623:V3625" si="3734">IF(ISBLANK($D3623), "0",)</f>
        <v/>
      </c>
      <c r="W3623" s="104" t="str">
        <f t="shared" si="2828"/>
        <v/>
      </c>
      <c r="X3623" s="105"/>
      <c r="Y3623" s="106"/>
      <c r="Z3623" s="26">
        <f t="shared" si="5"/>
        <v>-2</v>
      </c>
      <c r="AA3623" s="26">
        <f t="shared" si="6"/>
        <v>-4</v>
      </c>
      <c r="AB3623" s="32" t="str">
        <f t="shared" si="7"/>
        <v/>
      </c>
      <c r="AC3623" s="32" t="str">
        <f t="shared" ref="AC3623:AG3623" si="3733">IF(J3623&lt;&gt;"", IF(AND($P3623=FALSE, $A3623=FALSE), -J3623, IF(AND($P3623=FALSE, $A3623=TRUE), 0, IF($P3623=TRUE, (J3623 / $R3623) * 100 * ($S3623 / 100)-J3623, ))), )</f>
        <v/>
      </c>
      <c r="AD3623" s="32" t="str">
        <f t="shared" si="3733"/>
        <v/>
      </c>
      <c r="AE3623" s="32" t="str">
        <f t="shared" si="3733"/>
        <v/>
      </c>
      <c r="AF3623" s="32" t="str">
        <f t="shared" si="3733"/>
        <v/>
      </c>
      <c r="AG3623" s="32" t="str">
        <f t="shared" si="3733"/>
        <v/>
      </c>
      <c r="AH3623" s="33"/>
    </row>
    <row r="3624" hidden="1" outlineLevel="2">
      <c r="A3624" s="95" t="b">
        <v>0</v>
      </c>
      <c r="B3624" s="96"/>
      <c r="C3624" s="18"/>
      <c r="D3624" s="107"/>
      <c r="E3624" s="108"/>
      <c r="F3624" s="109"/>
      <c r="G3624" s="97"/>
      <c r="H3624" s="97"/>
      <c r="I3624" s="97"/>
      <c r="J3624" s="98"/>
      <c r="K3624" s="99"/>
      <c r="L3624" s="98"/>
      <c r="M3624" s="99"/>
      <c r="N3624" s="99"/>
      <c r="O3624" s="18"/>
      <c r="P3624" s="100" t="b">
        <v>0</v>
      </c>
      <c r="Q3624" s="18"/>
      <c r="R3624" s="101" t="str">
        <f t="shared" si="3377"/>
        <v/>
      </c>
      <c r="S3624" s="32"/>
      <c r="T3624" s="102" t="str">
        <f t="shared" si="3378"/>
        <v/>
      </c>
      <c r="U3624" s="18"/>
      <c r="V3624" s="103" t="str">
        <f t="shared" si="3734"/>
        <v>0</v>
      </c>
      <c r="W3624" s="104" t="str">
        <f t="shared" si="2828"/>
        <v>/</v>
      </c>
      <c r="X3624" s="111" t="s">
        <v>2126</v>
      </c>
      <c r="Y3624" s="106"/>
      <c r="Z3624" s="26" t="str">
        <f t="shared" si="5"/>
        <v/>
      </c>
      <c r="AA3624" s="26" t="str">
        <f t="shared" si="6"/>
        <v/>
      </c>
      <c r="AB3624" s="32" t="str">
        <f t="shared" si="7"/>
        <v/>
      </c>
      <c r="AC3624" s="32" t="str">
        <f t="shared" ref="AC3624:AG3624" si="3735">IF(J3624&lt;&gt;"", IF(AND($P3624=FALSE, $A3624=FALSE), -J3624, IF(AND($P3624=FALSE, $A3624=TRUE), 0, IF($P3624=TRUE, (J3624 / $R3624) * 100 * ($S3624 / 100)-J3624, ))), )</f>
        <v/>
      </c>
      <c r="AD3624" s="32" t="str">
        <f t="shared" si="3735"/>
        <v/>
      </c>
      <c r="AE3624" s="32" t="str">
        <f t="shared" si="3735"/>
        <v/>
      </c>
      <c r="AF3624" s="32" t="str">
        <f t="shared" si="3735"/>
        <v/>
      </c>
      <c r="AG3624" s="32" t="str">
        <f t="shared" si="3735"/>
        <v/>
      </c>
      <c r="AH3624" s="33"/>
    </row>
    <row r="3625" hidden="1" outlineLevel="1" collapsed="1">
      <c r="A3625" s="95" t="b">
        <v>0</v>
      </c>
      <c r="B3625" s="96"/>
      <c r="C3625" s="18"/>
      <c r="D3625" s="42">
        <v>45936.0</v>
      </c>
      <c r="E3625" s="43" t="s">
        <v>24</v>
      </c>
      <c r="F3625" s="53" t="s">
        <v>2098</v>
      </c>
      <c r="G3625" s="97">
        <v>2.0</v>
      </c>
      <c r="H3625" s="97"/>
      <c r="I3625" s="97">
        <v>4.0</v>
      </c>
      <c r="J3625" s="98"/>
      <c r="K3625" s="99"/>
      <c r="L3625" s="98"/>
      <c r="M3625" s="99"/>
      <c r="N3625" s="99"/>
      <c r="O3625" s="18"/>
      <c r="P3625" s="100" t="b">
        <v>1</v>
      </c>
      <c r="Q3625" s="18"/>
      <c r="R3625" s="101">
        <f t="shared" si="3377"/>
        <v>6</v>
      </c>
      <c r="S3625" s="32">
        <v>11.88</v>
      </c>
      <c r="T3625" s="102">
        <f t="shared" si="3378"/>
        <v>-102</v>
      </c>
      <c r="U3625" s="18"/>
      <c r="V3625" s="103" t="str">
        <f t="shared" si="3734"/>
        <v/>
      </c>
      <c r="W3625" s="104" t="str">
        <f t="shared" si="2828"/>
        <v/>
      </c>
      <c r="X3625" s="105"/>
      <c r="Y3625" s="106"/>
      <c r="Z3625" s="26">
        <f t="shared" si="5"/>
        <v>1.96</v>
      </c>
      <c r="AA3625" s="26">
        <f t="shared" si="6"/>
        <v>3.92</v>
      </c>
      <c r="AB3625" s="32" t="str">
        <f t="shared" si="7"/>
        <v/>
      </c>
      <c r="AC3625" s="32" t="str">
        <f t="shared" ref="AC3625:AG3625" si="3736">IF(J3625&lt;&gt;"", IF(AND($P3625=FALSE, $A3625=FALSE), -J3625, IF(AND($P3625=FALSE, $A3625=TRUE), 0, IF($P3625=TRUE, (J3625 / $R3625) * 100 * ($S3625 / 100)-J3625, ))), )</f>
        <v/>
      </c>
      <c r="AD3625" s="32" t="str">
        <f t="shared" si="3736"/>
        <v/>
      </c>
      <c r="AE3625" s="32" t="str">
        <f t="shared" si="3736"/>
        <v/>
      </c>
      <c r="AF3625" s="32" t="str">
        <f t="shared" si="3736"/>
        <v/>
      </c>
      <c r="AG3625" s="32" t="str">
        <f t="shared" si="3736"/>
        <v/>
      </c>
      <c r="AH3625" s="33"/>
    </row>
    <row r="3626" hidden="1" outlineLevel="2">
      <c r="A3626" s="95" t="b">
        <v>0</v>
      </c>
      <c r="B3626" s="96"/>
      <c r="C3626" s="18"/>
      <c r="D3626" s="107"/>
      <c r="E3626" s="108"/>
      <c r="F3626" s="109"/>
      <c r="G3626" s="97"/>
      <c r="H3626" s="97"/>
      <c r="I3626" s="97"/>
      <c r="J3626" s="98"/>
      <c r="K3626" s="99"/>
      <c r="L3626" s="98"/>
      <c r="M3626" s="99"/>
      <c r="N3626" s="99"/>
      <c r="O3626" s="18"/>
      <c r="P3626" s="100" t="b">
        <v>0</v>
      </c>
      <c r="Q3626" s="18"/>
      <c r="R3626" s="101" t="str">
        <f t="shared" si="3377"/>
        <v/>
      </c>
      <c r="S3626" s="32"/>
      <c r="T3626" s="102" t="str">
        <f t="shared" si="3378"/>
        <v/>
      </c>
      <c r="U3626" s="18"/>
      <c r="V3626" s="75" t="s">
        <v>29</v>
      </c>
      <c r="W3626" s="104" t="str">
        <f t="shared" si="2828"/>
        <v>/</v>
      </c>
      <c r="X3626" s="111" t="s">
        <v>2127</v>
      </c>
      <c r="Y3626" s="106"/>
      <c r="Z3626" s="26" t="str">
        <f t="shared" si="5"/>
        <v/>
      </c>
      <c r="AA3626" s="26" t="str">
        <f t="shared" si="6"/>
        <v/>
      </c>
      <c r="AB3626" s="32" t="str">
        <f t="shared" si="7"/>
        <v/>
      </c>
      <c r="AC3626" s="32" t="str">
        <f t="shared" ref="AC3626:AG3626" si="3737">IF(J3626&lt;&gt;"", IF(AND($P3626=FALSE, $A3626=FALSE), -J3626, IF(AND($P3626=FALSE, $A3626=TRUE), 0, IF($P3626=TRUE, (J3626 / $R3626) * 100 * ($S3626 / 100)-J3626, ))), )</f>
        <v/>
      </c>
      <c r="AD3626" s="32" t="str">
        <f t="shared" si="3737"/>
        <v/>
      </c>
      <c r="AE3626" s="32" t="str">
        <f t="shared" si="3737"/>
        <v/>
      </c>
      <c r="AF3626" s="32" t="str">
        <f t="shared" si="3737"/>
        <v/>
      </c>
      <c r="AG3626" s="32" t="str">
        <f t="shared" si="3737"/>
        <v/>
      </c>
      <c r="AH3626" s="33"/>
    </row>
    <row r="3627" hidden="1" outlineLevel="1" collapsed="1">
      <c r="A3627" s="95" t="b">
        <v>0</v>
      </c>
      <c r="B3627" s="96"/>
      <c r="C3627" s="18"/>
      <c r="D3627" s="42">
        <v>45936.0</v>
      </c>
      <c r="E3627" s="43" t="s">
        <v>24</v>
      </c>
      <c r="F3627" s="53" t="s">
        <v>2098</v>
      </c>
      <c r="G3627" s="97">
        <v>1.0</v>
      </c>
      <c r="H3627" s="97"/>
      <c r="I3627" s="97">
        <v>2.0</v>
      </c>
      <c r="J3627" s="98"/>
      <c r="K3627" s="99"/>
      <c r="L3627" s="98"/>
      <c r="M3627" s="99"/>
      <c r="N3627" s="99"/>
      <c r="O3627" s="18"/>
      <c r="P3627" s="100" t="b">
        <v>0</v>
      </c>
      <c r="Q3627" s="18"/>
      <c r="R3627" s="101">
        <f t="shared" si="3377"/>
        <v>3</v>
      </c>
      <c r="S3627" s="32">
        <v>7.95</v>
      </c>
      <c r="T3627" s="102" t="str">
        <f t="shared" si="3378"/>
        <v>+165</v>
      </c>
      <c r="U3627" s="18"/>
      <c r="V3627" s="103" t="str">
        <f t="shared" ref="V3627:V3629" si="3739">IF(ISBLANK($D3627), "0",)</f>
        <v/>
      </c>
      <c r="W3627" s="104" t="str">
        <f t="shared" si="2828"/>
        <v/>
      </c>
      <c r="X3627" s="105"/>
      <c r="Y3627" s="106"/>
      <c r="Z3627" s="26">
        <f t="shared" si="5"/>
        <v>-1</v>
      </c>
      <c r="AA3627" s="26">
        <f t="shared" si="6"/>
        <v>-2</v>
      </c>
      <c r="AB3627" s="32" t="str">
        <f t="shared" si="7"/>
        <v/>
      </c>
      <c r="AC3627" s="32" t="str">
        <f t="shared" ref="AC3627:AG3627" si="3738">IF(J3627&lt;&gt;"", IF(AND($P3627=FALSE, $A3627=FALSE), -J3627, IF(AND($P3627=FALSE, $A3627=TRUE), 0, IF($P3627=TRUE, (J3627 / $R3627) * 100 * ($S3627 / 100)-J3627, ))), )</f>
        <v/>
      </c>
      <c r="AD3627" s="32" t="str">
        <f t="shared" si="3738"/>
        <v/>
      </c>
      <c r="AE3627" s="32" t="str">
        <f t="shared" si="3738"/>
        <v/>
      </c>
      <c r="AF3627" s="32" t="str">
        <f t="shared" si="3738"/>
        <v/>
      </c>
      <c r="AG3627" s="32" t="str">
        <f t="shared" si="3738"/>
        <v/>
      </c>
      <c r="AH3627" s="33"/>
    </row>
    <row r="3628" hidden="1" outlineLevel="2">
      <c r="A3628" s="95" t="b">
        <v>0</v>
      </c>
      <c r="B3628" s="96"/>
      <c r="C3628" s="18"/>
      <c r="D3628" s="107"/>
      <c r="E3628" s="108"/>
      <c r="F3628" s="109"/>
      <c r="G3628" s="97"/>
      <c r="H3628" s="97"/>
      <c r="I3628" s="97"/>
      <c r="J3628" s="98"/>
      <c r="K3628" s="99"/>
      <c r="L3628" s="98"/>
      <c r="M3628" s="99"/>
      <c r="N3628" s="99"/>
      <c r="O3628" s="18"/>
      <c r="P3628" s="100" t="b">
        <v>0</v>
      </c>
      <c r="Q3628" s="18"/>
      <c r="R3628" s="101" t="str">
        <f t="shared" si="3377"/>
        <v/>
      </c>
      <c r="S3628" s="32"/>
      <c r="T3628" s="102" t="str">
        <f t="shared" si="3378"/>
        <v/>
      </c>
      <c r="U3628" s="18"/>
      <c r="V3628" s="103" t="str">
        <f t="shared" si="3739"/>
        <v>0</v>
      </c>
      <c r="W3628" s="104" t="str">
        <f t="shared" si="2828"/>
        <v>/</v>
      </c>
      <c r="X3628" s="111" t="s">
        <v>2128</v>
      </c>
      <c r="Y3628" s="106"/>
      <c r="Z3628" s="26" t="str">
        <f t="shared" si="5"/>
        <v/>
      </c>
      <c r="AA3628" s="26" t="str">
        <f t="shared" si="6"/>
        <v/>
      </c>
      <c r="AB3628" s="32" t="str">
        <f t="shared" si="7"/>
        <v/>
      </c>
      <c r="AC3628" s="32" t="str">
        <f t="shared" ref="AC3628:AG3628" si="3740">IF(J3628&lt;&gt;"", IF(AND($P3628=FALSE, $A3628=FALSE), -J3628, IF(AND($P3628=FALSE, $A3628=TRUE), 0, IF($P3628=TRUE, (J3628 / $R3628) * 100 * ($S3628 / 100)-J3628, ))), )</f>
        <v/>
      </c>
      <c r="AD3628" s="32" t="str">
        <f t="shared" si="3740"/>
        <v/>
      </c>
      <c r="AE3628" s="32" t="str">
        <f t="shared" si="3740"/>
        <v/>
      </c>
      <c r="AF3628" s="32" t="str">
        <f t="shared" si="3740"/>
        <v/>
      </c>
      <c r="AG3628" s="32" t="str">
        <f t="shared" si="3740"/>
        <v/>
      </c>
      <c r="AH3628" s="33"/>
    </row>
    <row r="3629" hidden="1" outlineLevel="1">
      <c r="A3629" s="95" t="b">
        <v>0</v>
      </c>
      <c r="B3629" s="96"/>
      <c r="C3629" s="18"/>
      <c r="D3629" s="42">
        <v>45936.0</v>
      </c>
      <c r="E3629" s="43" t="s">
        <v>24</v>
      </c>
      <c r="F3629" s="53" t="s">
        <v>2098</v>
      </c>
      <c r="G3629" s="97">
        <v>2.0</v>
      </c>
      <c r="H3629" s="97"/>
      <c r="I3629" s="97">
        <v>4.0</v>
      </c>
      <c r="J3629" s="98"/>
      <c r="K3629" s="99"/>
      <c r="L3629" s="98"/>
      <c r="M3629" s="99"/>
      <c r="N3629" s="99"/>
      <c r="O3629" s="18"/>
      <c r="P3629" s="100" t="b">
        <v>0</v>
      </c>
      <c r="Q3629" s="18"/>
      <c r="R3629" s="101">
        <f t="shared" si="3377"/>
        <v>6</v>
      </c>
      <c r="S3629" s="32">
        <v>22.28</v>
      </c>
      <c r="T3629" s="102" t="str">
        <f t="shared" si="3378"/>
        <v>+271</v>
      </c>
      <c r="U3629" s="18"/>
      <c r="V3629" s="103" t="str">
        <f t="shared" si="3739"/>
        <v/>
      </c>
      <c r="W3629" s="104" t="str">
        <f t="shared" si="2828"/>
        <v/>
      </c>
      <c r="X3629" s="105"/>
      <c r="Y3629" s="106"/>
      <c r="Z3629" s="26">
        <f t="shared" si="5"/>
        <v>-2</v>
      </c>
      <c r="AA3629" s="26">
        <f t="shared" si="6"/>
        <v>-4</v>
      </c>
      <c r="AB3629" s="32" t="str">
        <f t="shared" si="7"/>
        <v/>
      </c>
      <c r="AC3629" s="32" t="str">
        <f t="shared" ref="AC3629:AG3629" si="3741">IF(J3629&lt;&gt;"", IF(AND($P3629=FALSE, $A3629=FALSE), -J3629, IF(AND($P3629=FALSE, $A3629=TRUE), 0, IF($P3629=TRUE, (J3629 / $R3629) * 100 * ($S3629 / 100)-J3629, ))), )</f>
        <v/>
      </c>
      <c r="AD3629" s="32" t="str">
        <f t="shared" si="3741"/>
        <v/>
      </c>
      <c r="AE3629" s="32" t="str">
        <f t="shared" si="3741"/>
        <v/>
      </c>
      <c r="AF3629" s="32" t="str">
        <f t="shared" si="3741"/>
        <v/>
      </c>
      <c r="AG3629" s="32" t="str">
        <f t="shared" si="3741"/>
        <v/>
      </c>
      <c r="AH3629" s="33"/>
    </row>
    <row r="3630" hidden="1" outlineLevel="2">
      <c r="A3630" s="95" t="b">
        <v>0</v>
      </c>
      <c r="B3630" s="96"/>
      <c r="C3630" s="18"/>
      <c r="D3630" s="107"/>
      <c r="E3630" s="108"/>
      <c r="F3630" s="109"/>
      <c r="G3630" s="97"/>
      <c r="H3630" s="97"/>
      <c r="I3630" s="97"/>
      <c r="J3630" s="98"/>
      <c r="K3630" s="99"/>
      <c r="L3630" s="98"/>
      <c r="M3630" s="99"/>
      <c r="N3630" s="99"/>
      <c r="O3630" s="18"/>
      <c r="P3630" s="100" t="b">
        <v>0</v>
      </c>
      <c r="Q3630" s="18"/>
      <c r="R3630" s="101" t="str">
        <f t="shared" si="3377"/>
        <v/>
      </c>
      <c r="S3630" s="32"/>
      <c r="T3630" s="102" t="str">
        <f t="shared" si="3378"/>
        <v/>
      </c>
      <c r="U3630" s="18"/>
      <c r="V3630" s="113">
        <v>221.0</v>
      </c>
      <c r="W3630" s="104" t="str">
        <f t="shared" si="2828"/>
        <v>/</v>
      </c>
      <c r="X3630" s="111" t="s">
        <v>2129</v>
      </c>
      <c r="Y3630" s="106"/>
      <c r="Z3630" s="26" t="str">
        <f t="shared" si="5"/>
        <v/>
      </c>
      <c r="AA3630" s="26" t="str">
        <f t="shared" si="6"/>
        <v/>
      </c>
      <c r="AB3630" s="32" t="str">
        <f t="shared" si="7"/>
        <v/>
      </c>
      <c r="AC3630" s="32" t="str">
        <f t="shared" ref="AC3630:AG3630" si="3742">IF(J3630&lt;&gt;"", IF(AND($P3630=FALSE, $A3630=FALSE), -J3630, IF(AND($P3630=FALSE, $A3630=TRUE), 0, IF($P3630=TRUE, (J3630 / $R3630) * 100 * ($S3630 / 100)-J3630, ))), )</f>
        <v/>
      </c>
      <c r="AD3630" s="32" t="str">
        <f t="shared" si="3742"/>
        <v/>
      </c>
      <c r="AE3630" s="32" t="str">
        <f t="shared" si="3742"/>
        <v/>
      </c>
      <c r="AF3630" s="32" t="str">
        <f t="shared" si="3742"/>
        <v/>
      </c>
      <c r="AG3630" s="32" t="str">
        <f t="shared" si="3742"/>
        <v/>
      </c>
      <c r="AH3630" s="33"/>
    </row>
    <row r="3631" hidden="1" outlineLevel="2">
      <c r="A3631" s="95" t="b">
        <v>0</v>
      </c>
      <c r="B3631" s="96"/>
      <c r="C3631" s="18"/>
      <c r="D3631" s="107"/>
      <c r="E3631" s="108"/>
      <c r="F3631" s="109"/>
      <c r="G3631" s="97"/>
      <c r="H3631" s="97"/>
      <c r="I3631" s="97"/>
      <c r="J3631" s="98"/>
      <c r="K3631" s="99"/>
      <c r="L3631" s="98"/>
      <c r="M3631" s="99"/>
      <c r="N3631" s="99"/>
      <c r="O3631" s="18"/>
      <c r="P3631" s="100" t="b">
        <v>0</v>
      </c>
      <c r="Q3631" s="18"/>
      <c r="R3631" s="101" t="str">
        <f t="shared" si="3377"/>
        <v/>
      </c>
      <c r="S3631" s="32"/>
      <c r="T3631" s="102" t="str">
        <f t="shared" si="3378"/>
        <v/>
      </c>
      <c r="U3631" s="18"/>
      <c r="V3631" s="113">
        <v>1.0</v>
      </c>
      <c r="W3631" s="104" t="str">
        <f t="shared" si="2828"/>
        <v>/</v>
      </c>
      <c r="X3631" s="111" t="s">
        <v>959</v>
      </c>
      <c r="Y3631" s="106"/>
      <c r="Z3631" s="26" t="str">
        <f t="shared" si="5"/>
        <v/>
      </c>
      <c r="AA3631" s="26" t="str">
        <f t="shared" si="6"/>
        <v/>
      </c>
      <c r="AB3631" s="32" t="str">
        <f t="shared" si="7"/>
        <v/>
      </c>
      <c r="AC3631" s="32" t="str">
        <f t="shared" ref="AC3631:AG3631" si="3743">IF(J3631&lt;&gt;"", IF(AND($P3631=FALSE, $A3631=FALSE), -J3631, IF(AND($P3631=FALSE, $A3631=TRUE), 0, IF($P3631=TRUE, (J3631 / $R3631) * 100 * ($S3631 / 100)-J3631, ))), )</f>
        <v/>
      </c>
      <c r="AD3631" s="32" t="str">
        <f t="shared" si="3743"/>
        <v/>
      </c>
      <c r="AE3631" s="32" t="str">
        <f t="shared" si="3743"/>
        <v/>
      </c>
      <c r="AF3631" s="32" t="str">
        <f t="shared" si="3743"/>
        <v/>
      </c>
      <c r="AG3631" s="32" t="str">
        <f t="shared" si="3743"/>
        <v/>
      </c>
      <c r="AH3631" s="33"/>
    </row>
    <row r="3632" collapsed="1">
      <c r="A3632" s="95" t="b">
        <v>0</v>
      </c>
      <c r="B3632" s="96"/>
      <c r="C3632" s="18"/>
      <c r="D3632" s="42">
        <v>45939.0</v>
      </c>
      <c r="E3632" s="43" t="s">
        <v>24</v>
      </c>
      <c r="F3632" s="53" t="s">
        <v>2098</v>
      </c>
      <c r="G3632" s="97">
        <v>2.0</v>
      </c>
      <c r="H3632" s="97"/>
      <c r="I3632" s="97">
        <v>3.0</v>
      </c>
      <c r="J3632" s="98"/>
      <c r="K3632" s="99"/>
      <c r="L3632" s="98"/>
      <c r="M3632" s="99"/>
      <c r="N3632" s="99"/>
      <c r="O3632" s="18"/>
      <c r="P3632" s="100" t="b">
        <v>0</v>
      </c>
      <c r="Q3632" s="18"/>
      <c r="R3632" s="101">
        <f t="shared" si="3377"/>
        <v>5</v>
      </c>
      <c r="S3632" s="32">
        <v>12.2</v>
      </c>
      <c r="T3632" s="102" t="str">
        <f t="shared" si="3378"/>
        <v>+144</v>
      </c>
      <c r="U3632" s="18"/>
      <c r="V3632" s="103" t="str">
        <f t="shared" ref="V3632:V3633" si="3745">IF(ISBLANK($D3632), "0",)</f>
        <v/>
      </c>
      <c r="W3632" s="104" t="str">
        <f t="shared" si="2828"/>
        <v/>
      </c>
      <c r="X3632" s="105"/>
      <c r="Y3632" s="106"/>
      <c r="Z3632" s="26">
        <f t="shared" si="5"/>
        <v>-2</v>
      </c>
      <c r="AA3632" s="26">
        <f t="shared" si="6"/>
        <v>-3</v>
      </c>
      <c r="AB3632" s="32" t="str">
        <f t="shared" si="7"/>
        <v/>
      </c>
      <c r="AC3632" s="32" t="str">
        <f t="shared" ref="AC3632:AG3632" si="3744">IF(J3632&lt;&gt;"", IF(AND($P3632=FALSE, $A3632=FALSE), -J3632, IF(AND($P3632=FALSE, $A3632=TRUE), 0, IF($P3632=TRUE, (J3632 / $R3632) * 100 * ($S3632 / 100)-J3632, ))), )</f>
        <v/>
      </c>
      <c r="AD3632" s="32" t="str">
        <f t="shared" si="3744"/>
        <v/>
      </c>
      <c r="AE3632" s="32" t="str">
        <f t="shared" si="3744"/>
        <v/>
      </c>
      <c r="AF3632" s="32" t="str">
        <f t="shared" si="3744"/>
        <v/>
      </c>
      <c r="AG3632" s="32" t="str">
        <f t="shared" si="3744"/>
        <v/>
      </c>
      <c r="AH3632" s="33"/>
    </row>
    <row r="3633" hidden="1" outlineLevel="2">
      <c r="A3633" s="95" t="b">
        <v>0</v>
      </c>
      <c r="B3633" s="96"/>
      <c r="C3633" s="18"/>
      <c r="D3633" s="107"/>
      <c r="E3633" s="108"/>
      <c r="F3633" s="109"/>
      <c r="G3633" s="97"/>
      <c r="H3633" s="97"/>
      <c r="I3633" s="97"/>
      <c r="J3633" s="98"/>
      <c r="K3633" s="99"/>
      <c r="L3633" s="98"/>
      <c r="M3633" s="99"/>
      <c r="N3633" s="99"/>
      <c r="O3633" s="18"/>
      <c r="P3633" s="100" t="b">
        <v>0</v>
      </c>
      <c r="Q3633" s="18"/>
      <c r="R3633" s="101" t="str">
        <f t="shared" si="3377"/>
        <v/>
      </c>
      <c r="S3633" s="32"/>
      <c r="T3633" s="102" t="str">
        <f t="shared" si="3378"/>
        <v/>
      </c>
      <c r="U3633" s="18"/>
      <c r="V3633" s="103" t="str">
        <f t="shared" si="3745"/>
        <v>0</v>
      </c>
      <c r="W3633" s="104" t="str">
        <f t="shared" si="2828"/>
        <v>/</v>
      </c>
      <c r="X3633" s="111" t="s">
        <v>1494</v>
      </c>
      <c r="Y3633" s="106"/>
      <c r="Z3633" s="26" t="str">
        <f t="shared" si="5"/>
        <v/>
      </c>
      <c r="AA3633" s="26" t="str">
        <f t="shared" si="6"/>
        <v/>
      </c>
      <c r="AB3633" s="32" t="str">
        <f t="shared" si="7"/>
        <v/>
      </c>
      <c r="AC3633" s="32" t="str">
        <f t="shared" ref="AC3633:AG3633" si="3746">IF(J3633&lt;&gt;"", IF(AND($P3633=FALSE, $A3633=FALSE), -J3633, IF(AND($P3633=FALSE, $A3633=TRUE), 0, IF($P3633=TRUE, (J3633 / $R3633) * 100 * ($S3633 / 100)-J3633, ))), )</f>
        <v/>
      </c>
      <c r="AD3633" s="32" t="str">
        <f t="shared" si="3746"/>
        <v/>
      </c>
      <c r="AE3633" s="32" t="str">
        <f t="shared" si="3746"/>
        <v/>
      </c>
      <c r="AF3633" s="32" t="str">
        <f t="shared" si="3746"/>
        <v/>
      </c>
      <c r="AG3633" s="32" t="str">
        <f t="shared" si="3746"/>
        <v/>
      </c>
      <c r="AH3633" s="33"/>
    </row>
    <row r="3634" hidden="1" outlineLevel="2">
      <c r="A3634" s="95" t="b">
        <v>0</v>
      </c>
      <c r="B3634" s="96"/>
      <c r="C3634" s="18"/>
      <c r="D3634" s="107"/>
      <c r="E3634" s="108"/>
      <c r="F3634" s="109"/>
      <c r="G3634" s="97"/>
      <c r="H3634" s="97"/>
      <c r="I3634" s="97"/>
      <c r="J3634" s="98"/>
      <c r="K3634" s="99"/>
      <c r="L3634" s="98"/>
      <c r="M3634" s="99"/>
      <c r="N3634" s="99"/>
      <c r="O3634" s="18"/>
      <c r="P3634" s="100" t="b">
        <v>0</v>
      </c>
      <c r="Q3634" s="18"/>
      <c r="R3634" s="101" t="str">
        <f t="shared" si="3377"/>
        <v/>
      </c>
      <c r="S3634" s="32"/>
      <c r="T3634" s="102" t="str">
        <f t="shared" si="3378"/>
        <v/>
      </c>
      <c r="U3634" s="18"/>
      <c r="V3634" s="75" t="s">
        <v>29</v>
      </c>
      <c r="W3634" s="104" t="str">
        <f t="shared" si="2828"/>
        <v>/</v>
      </c>
      <c r="X3634" s="111" t="s">
        <v>910</v>
      </c>
      <c r="Y3634" s="106"/>
      <c r="Z3634" s="26" t="str">
        <f t="shared" si="5"/>
        <v/>
      </c>
      <c r="AA3634" s="26" t="str">
        <f t="shared" si="6"/>
        <v/>
      </c>
      <c r="AB3634" s="32" t="str">
        <f t="shared" si="7"/>
        <v/>
      </c>
      <c r="AC3634" s="32" t="str">
        <f t="shared" ref="AC3634:AG3634" si="3747">IF(J3634&lt;&gt;"", IF(AND($P3634=FALSE, $A3634=FALSE), -J3634, IF(AND($P3634=FALSE, $A3634=TRUE), 0, IF($P3634=TRUE, (J3634 / $R3634) * 100 * ($S3634 / 100)-J3634, ))), )</f>
        <v/>
      </c>
      <c r="AD3634" s="32" t="str">
        <f t="shared" si="3747"/>
        <v/>
      </c>
      <c r="AE3634" s="32" t="str">
        <f t="shared" si="3747"/>
        <v/>
      </c>
      <c r="AF3634" s="32" t="str">
        <f t="shared" si="3747"/>
        <v/>
      </c>
      <c r="AG3634" s="32" t="str">
        <f t="shared" si="3747"/>
        <v/>
      </c>
      <c r="AH3634" s="33"/>
    </row>
    <row r="3635" hidden="1" outlineLevel="2">
      <c r="A3635" s="95" t="b">
        <v>0</v>
      </c>
      <c r="B3635" s="96"/>
      <c r="C3635" s="18"/>
      <c r="D3635" s="107"/>
      <c r="E3635" s="108"/>
      <c r="F3635" s="109"/>
      <c r="G3635" s="97"/>
      <c r="H3635" s="97"/>
      <c r="I3635" s="97"/>
      <c r="J3635" s="98"/>
      <c r="K3635" s="99"/>
      <c r="L3635" s="98"/>
      <c r="M3635" s="99"/>
      <c r="N3635" s="99"/>
      <c r="O3635" s="18"/>
      <c r="P3635" s="100" t="b">
        <v>0</v>
      </c>
      <c r="Q3635" s="18"/>
      <c r="R3635" s="101" t="str">
        <f t="shared" si="3377"/>
        <v/>
      </c>
      <c r="S3635" s="32"/>
      <c r="T3635" s="102" t="str">
        <f t="shared" si="3378"/>
        <v/>
      </c>
      <c r="U3635" s="18"/>
      <c r="V3635" s="75" t="s">
        <v>29</v>
      </c>
      <c r="W3635" s="104" t="str">
        <f t="shared" si="2828"/>
        <v>/</v>
      </c>
      <c r="X3635" s="111" t="s">
        <v>2130</v>
      </c>
      <c r="Y3635" s="106"/>
      <c r="Z3635" s="26" t="str">
        <f t="shared" si="5"/>
        <v/>
      </c>
      <c r="AA3635" s="26" t="str">
        <f t="shared" si="6"/>
        <v/>
      </c>
      <c r="AB3635" s="32" t="str">
        <f t="shared" si="7"/>
        <v/>
      </c>
      <c r="AC3635" s="32" t="str">
        <f t="shared" ref="AC3635:AG3635" si="3748">IF(J3635&lt;&gt;"", IF(AND($P3635=FALSE, $A3635=FALSE), -J3635, IF(AND($P3635=FALSE, $A3635=TRUE), 0, IF($P3635=TRUE, (J3635 / $R3635) * 100 * ($S3635 / 100)-J3635, ))), )</f>
        <v/>
      </c>
      <c r="AD3635" s="32" t="str">
        <f t="shared" si="3748"/>
        <v/>
      </c>
      <c r="AE3635" s="32" t="str">
        <f t="shared" si="3748"/>
        <v/>
      </c>
      <c r="AF3635" s="32" t="str">
        <f t="shared" si="3748"/>
        <v/>
      </c>
      <c r="AG3635" s="32" t="str">
        <f t="shared" si="3748"/>
        <v/>
      </c>
      <c r="AH3635" s="33"/>
    </row>
    <row r="3636" hidden="1" outlineLevel="1" collapsed="1">
      <c r="A3636" s="95" t="b">
        <v>0</v>
      </c>
      <c r="B3636" s="96"/>
      <c r="C3636" s="18"/>
      <c r="D3636" s="42">
        <v>45939.0</v>
      </c>
      <c r="E3636" s="43" t="s">
        <v>24</v>
      </c>
      <c r="F3636" s="53" t="s">
        <v>2098</v>
      </c>
      <c r="G3636" s="97">
        <v>2.0</v>
      </c>
      <c r="H3636" s="97"/>
      <c r="I3636" s="97">
        <v>3.0</v>
      </c>
      <c r="J3636" s="98"/>
      <c r="K3636" s="99"/>
      <c r="L3636" s="98"/>
      <c r="M3636" s="99"/>
      <c r="N3636" s="99"/>
      <c r="O3636" s="18"/>
      <c r="P3636" s="100" t="b">
        <v>0</v>
      </c>
      <c r="Q3636" s="18"/>
      <c r="R3636" s="101">
        <f t="shared" si="3377"/>
        <v>5</v>
      </c>
      <c r="S3636" s="32">
        <v>27.0</v>
      </c>
      <c r="T3636" s="102" t="str">
        <f t="shared" si="3378"/>
        <v>+440</v>
      </c>
      <c r="U3636" s="18"/>
      <c r="V3636" s="103" t="str">
        <f>IF(ISBLANK($D3636), "0",)</f>
        <v/>
      </c>
      <c r="W3636" s="104" t="str">
        <f t="shared" si="2828"/>
        <v/>
      </c>
      <c r="X3636" s="105"/>
      <c r="Y3636" s="106"/>
      <c r="Z3636" s="26">
        <f t="shared" si="5"/>
        <v>-2</v>
      </c>
      <c r="AA3636" s="26">
        <f t="shared" si="6"/>
        <v>-3</v>
      </c>
      <c r="AB3636" s="32" t="str">
        <f t="shared" si="7"/>
        <v/>
      </c>
      <c r="AC3636" s="32" t="str">
        <f t="shared" ref="AC3636:AG3636" si="3749">IF(J3636&lt;&gt;"", IF(AND($P3636=FALSE, $A3636=FALSE), -J3636, IF(AND($P3636=FALSE, $A3636=TRUE), 0, IF($P3636=TRUE, (J3636 / $R3636) * 100 * ($S3636 / 100)-J3636, ))), )</f>
        <v/>
      </c>
      <c r="AD3636" s="32" t="str">
        <f t="shared" si="3749"/>
        <v/>
      </c>
      <c r="AE3636" s="32" t="str">
        <f t="shared" si="3749"/>
        <v/>
      </c>
      <c r="AF3636" s="32" t="str">
        <f t="shared" si="3749"/>
        <v/>
      </c>
      <c r="AG3636" s="32" t="str">
        <f t="shared" si="3749"/>
        <v/>
      </c>
      <c r="AH3636" s="33"/>
    </row>
    <row r="3637" hidden="1" outlineLevel="2">
      <c r="A3637" s="95" t="b">
        <v>0</v>
      </c>
      <c r="B3637" s="96"/>
      <c r="C3637" s="18"/>
      <c r="D3637" s="107"/>
      <c r="E3637" s="108"/>
      <c r="F3637" s="109"/>
      <c r="G3637" s="97"/>
      <c r="H3637" s="97"/>
      <c r="I3637" s="97"/>
      <c r="J3637" s="98"/>
      <c r="K3637" s="99"/>
      <c r="L3637" s="98"/>
      <c r="M3637" s="99"/>
      <c r="N3637" s="99"/>
      <c r="O3637" s="18"/>
      <c r="P3637" s="100" t="b">
        <v>0</v>
      </c>
      <c r="Q3637" s="18"/>
      <c r="R3637" s="101" t="str">
        <f t="shared" si="3377"/>
        <v/>
      </c>
      <c r="S3637" s="32"/>
      <c r="T3637" s="102" t="str">
        <f t="shared" si="3378"/>
        <v/>
      </c>
      <c r="U3637" s="18"/>
      <c r="V3637" s="75" t="s">
        <v>29</v>
      </c>
      <c r="W3637" s="104" t="str">
        <f t="shared" si="2828"/>
        <v>/</v>
      </c>
      <c r="X3637" s="111" t="s">
        <v>2131</v>
      </c>
      <c r="Y3637" s="106"/>
      <c r="Z3637" s="26" t="str">
        <f t="shared" si="5"/>
        <v/>
      </c>
      <c r="AA3637" s="26" t="str">
        <f t="shared" si="6"/>
        <v/>
      </c>
      <c r="AB3637" s="32" t="str">
        <f t="shared" si="7"/>
        <v/>
      </c>
      <c r="AC3637" s="32" t="str">
        <f t="shared" ref="AC3637:AG3637" si="3750">IF(J3637&lt;&gt;"", IF(AND($P3637=FALSE, $A3637=FALSE), -J3637, IF(AND($P3637=FALSE, $A3637=TRUE), 0, IF($P3637=TRUE, (J3637 / $R3637) * 100 * ($S3637 / 100)-J3637, ))), )</f>
        <v/>
      </c>
      <c r="AD3637" s="32" t="str">
        <f t="shared" si="3750"/>
        <v/>
      </c>
      <c r="AE3637" s="32" t="str">
        <f t="shared" si="3750"/>
        <v/>
      </c>
      <c r="AF3637" s="32" t="str">
        <f t="shared" si="3750"/>
        <v/>
      </c>
      <c r="AG3637" s="32" t="str">
        <f t="shared" si="3750"/>
        <v/>
      </c>
      <c r="AH3637" s="33"/>
    </row>
    <row r="3638" hidden="1" outlineLevel="2">
      <c r="A3638" s="95" t="b">
        <v>0</v>
      </c>
      <c r="B3638" s="96"/>
      <c r="C3638" s="18"/>
      <c r="D3638" s="107"/>
      <c r="E3638" s="108"/>
      <c r="F3638" s="109"/>
      <c r="G3638" s="97"/>
      <c r="H3638" s="97"/>
      <c r="I3638" s="97"/>
      <c r="J3638" s="98"/>
      <c r="K3638" s="99"/>
      <c r="L3638" s="98"/>
      <c r="M3638" s="99"/>
      <c r="N3638" s="99"/>
      <c r="O3638" s="18"/>
      <c r="P3638" s="100" t="b">
        <v>0</v>
      </c>
      <c r="Q3638" s="18"/>
      <c r="R3638" s="101" t="str">
        <f t="shared" si="3377"/>
        <v/>
      </c>
      <c r="S3638" s="32"/>
      <c r="T3638" s="102" t="str">
        <f t="shared" si="3378"/>
        <v/>
      </c>
      <c r="U3638" s="18"/>
      <c r="V3638" s="112" t="s">
        <v>2132</v>
      </c>
      <c r="W3638" s="104" t="str">
        <f t="shared" si="2828"/>
        <v>/</v>
      </c>
      <c r="X3638" s="111" t="s">
        <v>2133</v>
      </c>
      <c r="Y3638" s="106"/>
      <c r="Z3638" s="26" t="str">
        <f t="shared" si="5"/>
        <v/>
      </c>
      <c r="AA3638" s="26" t="str">
        <f t="shared" si="6"/>
        <v/>
      </c>
      <c r="AB3638" s="32" t="str">
        <f t="shared" si="7"/>
        <v/>
      </c>
      <c r="AC3638" s="32" t="str">
        <f t="shared" ref="AC3638:AG3638" si="3751">IF(J3638&lt;&gt;"", IF(AND($P3638=FALSE, $A3638=FALSE), -J3638, IF(AND($P3638=FALSE, $A3638=TRUE), 0, IF($P3638=TRUE, (J3638 / $R3638) * 100 * ($S3638 / 100)-J3638, ))), )</f>
        <v/>
      </c>
      <c r="AD3638" s="32" t="str">
        <f t="shared" si="3751"/>
        <v/>
      </c>
      <c r="AE3638" s="32" t="str">
        <f t="shared" si="3751"/>
        <v/>
      </c>
      <c r="AF3638" s="32" t="str">
        <f t="shared" si="3751"/>
        <v/>
      </c>
      <c r="AG3638" s="32" t="str">
        <f t="shared" si="3751"/>
        <v/>
      </c>
      <c r="AH3638" s="33"/>
    </row>
    <row r="3639" hidden="1" outlineLevel="2">
      <c r="A3639" s="95" t="b">
        <v>0</v>
      </c>
      <c r="B3639" s="96"/>
      <c r="C3639" s="18"/>
      <c r="D3639" s="107"/>
      <c r="E3639" s="108"/>
      <c r="F3639" s="109"/>
      <c r="G3639" s="97"/>
      <c r="H3639" s="97"/>
      <c r="I3639" s="97"/>
      <c r="J3639" s="98"/>
      <c r="K3639" s="99"/>
      <c r="L3639" s="98"/>
      <c r="M3639" s="99"/>
      <c r="N3639" s="99"/>
      <c r="O3639" s="18"/>
      <c r="P3639" s="100" t="b">
        <v>0</v>
      </c>
      <c r="Q3639" s="18"/>
      <c r="R3639" s="101" t="str">
        <f t="shared" si="3377"/>
        <v/>
      </c>
      <c r="S3639" s="32"/>
      <c r="T3639" s="102" t="str">
        <f t="shared" si="3378"/>
        <v/>
      </c>
      <c r="U3639" s="18"/>
      <c r="V3639" s="112" t="s">
        <v>1044</v>
      </c>
      <c r="W3639" s="104" t="str">
        <f t="shared" si="2828"/>
        <v>/</v>
      </c>
      <c r="X3639" s="111" t="s">
        <v>2134</v>
      </c>
      <c r="Y3639" s="106"/>
      <c r="Z3639" s="26" t="str">
        <f t="shared" si="5"/>
        <v/>
      </c>
      <c r="AA3639" s="26" t="str">
        <f t="shared" si="6"/>
        <v/>
      </c>
      <c r="AB3639" s="32" t="str">
        <f t="shared" si="7"/>
        <v/>
      </c>
      <c r="AC3639" s="32" t="str">
        <f t="shared" ref="AC3639:AG3639" si="3752">IF(J3639&lt;&gt;"", IF(AND($P3639=FALSE, $A3639=FALSE), -J3639, IF(AND($P3639=FALSE, $A3639=TRUE), 0, IF($P3639=TRUE, (J3639 / $R3639) * 100 * ($S3639 / 100)-J3639, ))), )</f>
        <v/>
      </c>
      <c r="AD3639" s="32" t="str">
        <f t="shared" si="3752"/>
        <v/>
      </c>
      <c r="AE3639" s="32" t="str">
        <f t="shared" si="3752"/>
        <v/>
      </c>
      <c r="AF3639" s="32" t="str">
        <f t="shared" si="3752"/>
        <v/>
      </c>
      <c r="AG3639" s="32" t="str">
        <f t="shared" si="3752"/>
        <v/>
      </c>
      <c r="AH3639" s="33"/>
    </row>
    <row r="3640" hidden="1" outlineLevel="1" collapsed="1">
      <c r="A3640" s="95" t="b">
        <v>0</v>
      </c>
      <c r="B3640" s="96"/>
      <c r="C3640" s="18"/>
      <c r="D3640" s="42">
        <v>45939.0</v>
      </c>
      <c r="E3640" s="43" t="s">
        <v>24</v>
      </c>
      <c r="F3640" s="53" t="s">
        <v>2098</v>
      </c>
      <c r="G3640" s="97">
        <v>2.0</v>
      </c>
      <c r="H3640" s="97"/>
      <c r="I3640" s="97">
        <v>3.0</v>
      </c>
      <c r="J3640" s="98"/>
      <c r="K3640" s="99"/>
      <c r="L3640" s="98"/>
      <c r="M3640" s="99"/>
      <c r="N3640" s="99"/>
      <c r="O3640" s="18"/>
      <c r="P3640" s="100" t="b">
        <v>0</v>
      </c>
      <c r="Q3640" s="18"/>
      <c r="R3640" s="101">
        <f t="shared" si="3377"/>
        <v>5</v>
      </c>
      <c r="S3640" s="32">
        <v>9.1</v>
      </c>
      <c r="T3640" s="102">
        <f t="shared" si="3378"/>
        <v>-122</v>
      </c>
      <c r="U3640" s="18"/>
      <c r="V3640" s="103" t="str">
        <f t="shared" ref="V3640:V3642" si="3754">IF(ISBLANK($D3640), "0",)</f>
        <v/>
      </c>
      <c r="W3640" s="104" t="str">
        <f t="shared" si="2828"/>
        <v/>
      </c>
      <c r="X3640" s="105"/>
      <c r="Y3640" s="106"/>
      <c r="Z3640" s="26">
        <f t="shared" si="5"/>
        <v>-2</v>
      </c>
      <c r="AA3640" s="26">
        <f t="shared" si="6"/>
        <v>-3</v>
      </c>
      <c r="AB3640" s="32" t="str">
        <f t="shared" si="7"/>
        <v/>
      </c>
      <c r="AC3640" s="32" t="str">
        <f t="shared" ref="AC3640:AG3640" si="3753">IF(J3640&lt;&gt;"", IF(AND($P3640=FALSE, $A3640=FALSE), -J3640, IF(AND($P3640=FALSE, $A3640=TRUE), 0, IF($P3640=TRUE, (J3640 / $R3640) * 100 * ($S3640 / 100)-J3640, ))), )</f>
        <v/>
      </c>
      <c r="AD3640" s="32" t="str">
        <f t="shared" si="3753"/>
        <v/>
      </c>
      <c r="AE3640" s="32" t="str">
        <f t="shared" si="3753"/>
        <v/>
      </c>
      <c r="AF3640" s="32" t="str">
        <f t="shared" si="3753"/>
        <v/>
      </c>
      <c r="AG3640" s="32" t="str">
        <f t="shared" si="3753"/>
        <v/>
      </c>
      <c r="AH3640" s="33"/>
    </row>
    <row r="3641" hidden="1" outlineLevel="2">
      <c r="A3641" s="95" t="b">
        <v>0</v>
      </c>
      <c r="B3641" s="96"/>
      <c r="C3641" s="18"/>
      <c r="D3641" s="107"/>
      <c r="E3641" s="108"/>
      <c r="F3641" s="109"/>
      <c r="G3641" s="97"/>
      <c r="H3641" s="97"/>
      <c r="I3641" s="97"/>
      <c r="J3641" s="98"/>
      <c r="K3641" s="99"/>
      <c r="L3641" s="98"/>
      <c r="M3641" s="99"/>
      <c r="N3641" s="99"/>
      <c r="O3641" s="18"/>
      <c r="P3641" s="100" t="b">
        <v>0</v>
      </c>
      <c r="Q3641" s="18"/>
      <c r="R3641" s="101" t="str">
        <f t="shared" si="3377"/>
        <v/>
      </c>
      <c r="S3641" s="32"/>
      <c r="T3641" s="102" t="str">
        <f t="shared" si="3378"/>
        <v/>
      </c>
      <c r="U3641" s="18"/>
      <c r="V3641" s="103" t="str">
        <f t="shared" si="3754"/>
        <v>0</v>
      </c>
      <c r="W3641" s="104" t="str">
        <f t="shared" si="2828"/>
        <v>/</v>
      </c>
      <c r="X3641" s="111" t="s">
        <v>2126</v>
      </c>
      <c r="Y3641" s="106"/>
      <c r="Z3641" s="26" t="str">
        <f t="shared" si="5"/>
        <v/>
      </c>
      <c r="AA3641" s="26" t="str">
        <f t="shared" si="6"/>
        <v/>
      </c>
      <c r="AB3641" s="32" t="str">
        <f t="shared" si="7"/>
        <v/>
      </c>
      <c r="AC3641" s="32" t="str">
        <f t="shared" ref="AC3641:AG3641" si="3755">IF(J3641&lt;&gt;"", IF(AND($P3641=FALSE, $A3641=FALSE), -J3641, IF(AND($P3641=FALSE, $A3641=TRUE), 0, IF($P3641=TRUE, (J3641 / $R3641) * 100 * ($S3641 / 100)-J3641, ))), )</f>
        <v/>
      </c>
      <c r="AD3641" s="32" t="str">
        <f t="shared" si="3755"/>
        <v/>
      </c>
      <c r="AE3641" s="32" t="str">
        <f t="shared" si="3755"/>
        <v/>
      </c>
      <c r="AF3641" s="32" t="str">
        <f t="shared" si="3755"/>
        <v/>
      </c>
      <c r="AG3641" s="32" t="str">
        <f t="shared" si="3755"/>
        <v/>
      </c>
      <c r="AH3641" s="33"/>
    </row>
    <row r="3642" hidden="1" outlineLevel="1">
      <c r="A3642" s="95" t="b">
        <v>0</v>
      </c>
      <c r="B3642" s="96"/>
      <c r="C3642" s="18"/>
      <c r="D3642" s="42">
        <v>45939.0</v>
      </c>
      <c r="E3642" s="43" t="s">
        <v>24</v>
      </c>
      <c r="F3642" s="53" t="s">
        <v>2098</v>
      </c>
      <c r="G3642" s="97">
        <v>2.0</v>
      </c>
      <c r="H3642" s="97"/>
      <c r="I3642" s="97">
        <v>3.0</v>
      </c>
      <c r="J3642" s="98"/>
      <c r="K3642" s="99"/>
      <c r="L3642" s="98"/>
      <c r="M3642" s="99"/>
      <c r="N3642" s="99"/>
      <c r="O3642" s="18"/>
      <c r="P3642" s="100" t="b">
        <v>0</v>
      </c>
      <c r="Q3642" s="18"/>
      <c r="R3642" s="101">
        <f t="shared" si="3377"/>
        <v>5</v>
      </c>
      <c r="S3642" s="32">
        <v>11.69</v>
      </c>
      <c r="T3642" s="102" t="str">
        <f t="shared" si="3378"/>
        <v>+134</v>
      </c>
      <c r="U3642" s="18"/>
      <c r="V3642" s="103" t="str">
        <f t="shared" si="3754"/>
        <v/>
      </c>
      <c r="W3642" s="104" t="str">
        <f t="shared" si="2828"/>
        <v/>
      </c>
      <c r="X3642" s="105"/>
      <c r="Y3642" s="106"/>
      <c r="Z3642" s="26">
        <f t="shared" si="5"/>
        <v>-2</v>
      </c>
      <c r="AA3642" s="26">
        <f t="shared" si="6"/>
        <v>-3</v>
      </c>
      <c r="AB3642" s="32" t="str">
        <f t="shared" si="7"/>
        <v/>
      </c>
      <c r="AC3642" s="32" t="str">
        <f t="shared" ref="AC3642:AG3642" si="3756">IF(J3642&lt;&gt;"", IF(AND($P3642=FALSE, $A3642=FALSE), -J3642, IF(AND($P3642=FALSE, $A3642=TRUE), 0, IF($P3642=TRUE, (J3642 / $R3642) * 100 * ($S3642 / 100)-J3642, ))), )</f>
        <v/>
      </c>
      <c r="AD3642" s="32" t="str">
        <f t="shared" si="3756"/>
        <v/>
      </c>
      <c r="AE3642" s="32" t="str">
        <f t="shared" si="3756"/>
        <v/>
      </c>
      <c r="AF3642" s="32" t="str">
        <f t="shared" si="3756"/>
        <v/>
      </c>
      <c r="AG3642" s="32" t="str">
        <f t="shared" si="3756"/>
        <v/>
      </c>
      <c r="AH3642" s="33"/>
    </row>
    <row r="3643" hidden="1" outlineLevel="2">
      <c r="A3643" s="95" t="b">
        <v>0</v>
      </c>
      <c r="B3643" s="96"/>
      <c r="C3643" s="18"/>
      <c r="D3643" s="107"/>
      <c r="E3643" s="108"/>
      <c r="F3643" s="109"/>
      <c r="G3643" s="97"/>
      <c r="H3643" s="97"/>
      <c r="I3643" s="97"/>
      <c r="J3643" s="98"/>
      <c r="K3643" s="99"/>
      <c r="L3643" s="98"/>
      <c r="M3643" s="99"/>
      <c r="N3643" s="99"/>
      <c r="O3643" s="18"/>
      <c r="P3643" s="100" t="b">
        <v>0</v>
      </c>
      <c r="Q3643" s="18"/>
      <c r="R3643" s="101" t="str">
        <f t="shared" si="3377"/>
        <v/>
      </c>
      <c r="S3643" s="32"/>
      <c r="T3643" s="102" t="str">
        <f t="shared" si="3378"/>
        <v/>
      </c>
      <c r="U3643" s="18"/>
      <c r="V3643" s="75" t="s">
        <v>29</v>
      </c>
      <c r="W3643" s="104" t="str">
        <f t="shared" si="2828"/>
        <v>/</v>
      </c>
      <c r="X3643" s="111" t="s">
        <v>2135</v>
      </c>
      <c r="Y3643" s="106"/>
      <c r="Z3643" s="26" t="str">
        <f t="shared" si="5"/>
        <v/>
      </c>
      <c r="AA3643" s="26" t="str">
        <f t="shared" si="6"/>
        <v/>
      </c>
      <c r="AB3643" s="32" t="str">
        <f t="shared" si="7"/>
        <v/>
      </c>
      <c r="AC3643" s="32" t="str">
        <f t="shared" ref="AC3643:AG3643" si="3757">IF(J3643&lt;&gt;"", IF(AND($P3643=FALSE, $A3643=FALSE), -J3643, IF(AND($P3643=FALSE, $A3643=TRUE), 0, IF($P3643=TRUE, (J3643 / $R3643) * 100 * ($S3643 / 100)-J3643, ))), )</f>
        <v/>
      </c>
      <c r="AD3643" s="32" t="str">
        <f t="shared" si="3757"/>
        <v/>
      </c>
      <c r="AE3643" s="32" t="str">
        <f t="shared" si="3757"/>
        <v/>
      </c>
      <c r="AF3643" s="32" t="str">
        <f t="shared" si="3757"/>
        <v/>
      </c>
      <c r="AG3643" s="32" t="str">
        <f t="shared" si="3757"/>
        <v/>
      </c>
      <c r="AH3643" s="33"/>
    </row>
    <row r="3644" hidden="1" outlineLevel="2">
      <c r="A3644" s="95" t="b">
        <v>0</v>
      </c>
      <c r="B3644" s="96"/>
      <c r="C3644" s="18"/>
      <c r="D3644" s="107"/>
      <c r="E3644" s="108"/>
      <c r="F3644" s="109"/>
      <c r="G3644" s="97"/>
      <c r="H3644" s="97"/>
      <c r="I3644" s="97"/>
      <c r="J3644" s="98"/>
      <c r="K3644" s="99"/>
      <c r="L3644" s="98"/>
      <c r="M3644" s="99"/>
      <c r="N3644" s="99"/>
      <c r="O3644" s="18"/>
      <c r="P3644" s="100" t="b">
        <v>0</v>
      </c>
      <c r="Q3644" s="18"/>
      <c r="R3644" s="101" t="str">
        <f t="shared" si="3377"/>
        <v/>
      </c>
      <c r="S3644" s="32"/>
      <c r="T3644" s="102" t="str">
        <f t="shared" si="3378"/>
        <v/>
      </c>
      <c r="U3644" s="18"/>
      <c r="V3644" s="113">
        <v>-18.0</v>
      </c>
      <c r="W3644" s="104" t="str">
        <f t="shared" si="2828"/>
        <v>/</v>
      </c>
      <c r="X3644" s="111" t="s">
        <v>2133</v>
      </c>
      <c r="Y3644" s="106"/>
      <c r="Z3644" s="26" t="str">
        <f t="shared" si="5"/>
        <v/>
      </c>
      <c r="AA3644" s="26" t="str">
        <f t="shared" si="6"/>
        <v/>
      </c>
      <c r="AB3644" s="32" t="str">
        <f t="shared" si="7"/>
        <v/>
      </c>
      <c r="AC3644" s="32" t="str">
        <f t="shared" ref="AC3644:AG3644" si="3758">IF(J3644&lt;&gt;"", IF(AND($P3644=FALSE, $A3644=FALSE), -J3644, IF(AND($P3644=FALSE, $A3644=TRUE), 0, IF($P3644=TRUE, (J3644 / $R3644) * 100 * ($S3644 / 100)-J3644, ))), )</f>
        <v/>
      </c>
      <c r="AD3644" s="32" t="str">
        <f t="shared" si="3758"/>
        <v/>
      </c>
      <c r="AE3644" s="32" t="str">
        <f t="shared" si="3758"/>
        <v/>
      </c>
      <c r="AF3644" s="32" t="str">
        <f t="shared" si="3758"/>
        <v/>
      </c>
      <c r="AG3644" s="32" t="str">
        <f t="shared" si="3758"/>
        <v/>
      </c>
      <c r="AH3644" s="33"/>
    </row>
    <row r="3645" collapsed="1">
      <c r="A3645" s="95" t="b">
        <v>0</v>
      </c>
      <c r="B3645" s="96"/>
      <c r="C3645" s="18"/>
      <c r="D3645" s="42">
        <v>45941.0</v>
      </c>
      <c r="E3645" s="43" t="s">
        <v>24</v>
      </c>
      <c r="F3645" s="53" t="s">
        <v>2136</v>
      </c>
      <c r="G3645" s="97">
        <v>3.0</v>
      </c>
      <c r="H3645" s="97"/>
      <c r="I3645" s="97">
        <v>4.0</v>
      </c>
      <c r="J3645" s="98"/>
      <c r="K3645" s="99">
        <v>3.0</v>
      </c>
      <c r="L3645" s="98"/>
      <c r="M3645" s="99"/>
      <c r="N3645" s="99"/>
      <c r="O3645" s="18"/>
      <c r="P3645" s="100" t="b">
        <v>0</v>
      </c>
      <c r="Q3645" s="18"/>
      <c r="R3645" s="101">
        <f t="shared" si="3377"/>
        <v>10</v>
      </c>
      <c r="S3645" s="32">
        <v>21.8</v>
      </c>
      <c r="T3645" s="102" t="str">
        <f t="shared" si="3378"/>
        <v>+118</v>
      </c>
      <c r="U3645" s="18"/>
      <c r="V3645" s="103" t="str">
        <f t="shared" ref="V3645:V3647" si="3760">IF(ISBLANK($D3645), "0",)</f>
        <v/>
      </c>
      <c r="W3645" s="104" t="str">
        <f t="shared" si="2828"/>
        <v/>
      </c>
      <c r="X3645" s="105"/>
      <c r="Y3645" s="106"/>
      <c r="Z3645" s="26">
        <f t="shared" si="5"/>
        <v>-3</v>
      </c>
      <c r="AA3645" s="26">
        <f t="shared" si="6"/>
        <v>-4</v>
      </c>
      <c r="AB3645" s="32" t="str">
        <f t="shared" si="7"/>
        <v/>
      </c>
      <c r="AC3645" s="32" t="str">
        <f t="shared" ref="AC3645:AG3645" si="3759">IF(J3645&lt;&gt;"", IF(AND($P3645=FALSE, $A3645=FALSE), -J3645, IF(AND($P3645=FALSE, $A3645=TRUE), 0, IF($P3645=TRUE, (J3645 / $R3645) * 100 * ($S3645 / 100)-J3645, ))), )</f>
        <v/>
      </c>
      <c r="AD3645" s="32">
        <f t="shared" si="3759"/>
        <v>-3</v>
      </c>
      <c r="AE3645" s="32" t="str">
        <f t="shared" si="3759"/>
        <v/>
      </c>
      <c r="AF3645" s="32" t="str">
        <f t="shared" si="3759"/>
        <v/>
      </c>
      <c r="AG3645" s="32" t="str">
        <f t="shared" si="3759"/>
        <v/>
      </c>
      <c r="AH3645" s="33"/>
    </row>
    <row r="3646" hidden="1" outlineLevel="2">
      <c r="A3646" s="95" t="b">
        <v>0</v>
      </c>
      <c r="B3646" s="96"/>
      <c r="C3646" s="18"/>
      <c r="D3646" s="107"/>
      <c r="E3646" s="108"/>
      <c r="F3646" s="109"/>
      <c r="G3646" s="97"/>
      <c r="H3646" s="97"/>
      <c r="I3646" s="97"/>
      <c r="J3646" s="98"/>
      <c r="K3646" s="99"/>
      <c r="L3646" s="98"/>
      <c r="M3646" s="99"/>
      <c r="N3646" s="99"/>
      <c r="O3646" s="18"/>
      <c r="P3646" s="100" t="b">
        <v>0</v>
      </c>
      <c r="Q3646" s="18"/>
      <c r="R3646" s="101" t="str">
        <f t="shared" si="3377"/>
        <v/>
      </c>
      <c r="S3646" s="32"/>
      <c r="T3646" s="102" t="str">
        <f t="shared" si="3378"/>
        <v/>
      </c>
      <c r="U3646" s="18"/>
      <c r="V3646" s="103" t="str">
        <f t="shared" si="3760"/>
        <v>0</v>
      </c>
      <c r="W3646" s="104" t="str">
        <f t="shared" si="2828"/>
        <v>/</v>
      </c>
      <c r="X3646" s="111" t="s">
        <v>790</v>
      </c>
      <c r="Y3646" s="106"/>
      <c r="Z3646" s="26" t="str">
        <f t="shared" si="5"/>
        <v/>
      </c>
      <c r="AA3646" s="26" t="str">
        <f t="shared" si="6"/>
        <v/>
      </c>
      <c r="AB3646" s="32" t="str">
        <f t="shared" si="7"/>
        <v/>
      </c>
      <c r="AC3646" s="32" t="str">
        <f t="shared" ref="AC3646:AG3646" si="3761">IF(J3646&lt;&gt;"", IF(AND($P3646=FALSE, $A3646=FALSE), -J3646, IF(AND($P3646=FALSE, $A3646=TRUE), 0, IF($P3646=TRUE, (J3646 / $R3646) * 100 * ($S3646 / 100)-J3646, ))), )</f>
        <v/>
      </c>
      <c r="AD3646" s="32" t="str">
        <f t="shared" si="3761"/>
        <v/>
      </c>
      <c r="AE3646" s="32" t="str">
        <f t="shared" si="3761"/>
        <v/>
      </c>
      <c r="AF3646" s="32" t="str">
        <f t="shared" si="3761"/>
        <v/>
      </c>
      <c r="AG3646" s="32" t="str">
        <f t="shared" si="3761"/>
        <v/>
      </c>
      <c r="AH3646" s="33"/>
    </row>
    <row r="3647" hidden="1" outlineLevel="1" collapsed="1">
      <c r="A3647" s="95" t="b">
        <v>0</v>
      </c>
      <c r="B3647" s="96"/>
      <c r="C3647" s="18"/>
      <c r="D3647" s="42">
        <v>45941.0</v>
      </c>
      <c r="E3647" s="43" t="s">
        <v>24</v>
      </c>
      <c r="F3647" s="53" t="s">
        <v>2136</v>
      </c>
      <c r="G3647" s="97">
        <v>2.0</v>
      </c>
      <c r="H3647" s="97"/>
      <c r="I3647" s="97">
        <v>3.0</v>
      </c>
      <c r="J3647" s="98"/>
      <c r="K3647" s="99"/>
      <c r="L3647" s="98"/>
      <c r="M3647" s="99"/>
      <c r="N3647" s="99"/>
      <c r="O3647" s="18"/>
      <c r="P3647" s="100" t="b">
        <v>0</v>
      </c>
      <c r="Q3647" s="18"/>
      <c r="R3647" s="101">
        <f t="shared" si="3377"/>
        <v>5</v>
      </c>
      <c r="S3647" s="32">
        <v>10.17</v>
      </c>
      <c r="T3647" s="102" t="str">
        <f t="shared" si="3378"/>
        <v>+103</v>
      </c>
      <c r="U3647" s="18"/>
      <c r="V3647" s="103" t="str">
        <f t="shared" si="3760"/>
        <v/>
      </c>
      <c r="W3647" s="104" t="str">
        <f t="shared" si="2828"/>
        <v/>
      </c>
      <c r="X3647" s="105"/>
      <c r="Y3647" s="106"/>
      <c r="Z3647" s="26">
        <f t="shared" si="5"/>
        <v>-2</v>
      </c>
      <c r="AA3647" s="26">
        <f t="shared" si="6"/>
        <v>-3</v>
      </c>
      <c r="AB3647" s="32" t="str">
        <f t="shared" si="7"/>
        <v/>
      </c>
      <c r="AC3647" s="32" t="str">
        <f t="shared" ref="AC3647:AG3647" si="3762">IF(J3647&lt;&gt;"", IF(AND($P3647=FALSE, $A3647=FALSE), -J3647, IF(AND($P3647=FALSE, $A3647=TRUE), 0, IF($P3647=TRUE, (J3647 / $R3647) * 100 * ($S3647 / 100)-J3647, ))), )</f>
        <v/>
      </c>
      <c r="AD3647" s="32" t="str">
        <f t="shared" si="3762"/>
        <v/>
      </c>
      <c r="AE3647" s="32" t="str">
        <f t="shared" si="3762"/>
        <v/>
      </c>
      <c r="AF3647" s="32" t="str">
        <f t="shared" si="3762"/>
        <v/>
      </c>
      <c r="AG3647" s="32" t="str">
        <f t="shared" si="3762"/>
        <v/>
      </c>
      <c r="AH3647" s="33"/>
    </row>
    <row r="3648" hidden="1" outlineLevel="2">
      <c r="A3648" s="95" t="b">
        <v>0</v>
      </c>
      <c r="B3648" s="96"/>
      <c r="C3648" s="18"/>
      <c r="D3648" s="107"/>
      <c r="E3648" s="108"/>
      <c r="F3648" s="109"/>
      <c r="G3648" s="97"/>
      <c r="H3648" s="97"/>
      <c r="I3648" s="97"/>
      <c r="J3648" s="98"/>
      <c r="K3648" s="99"/>
      <c r="L3648" s="98"/>
      <c r="M3648" s="99"/>
      <c r="N3648" s="99"/>
      <c r="O3648" s="18"/>
      <c r="P3648" s="100" t="b">
        <v>0</v>
      </c>
      <c r="Q3648" s="18"/>
      <c r="R3648" s="101" t="str">
        <f t="shared" si="3377"/>
        <v/>
      </c>
      <c r="S3648" s="32"/>
      <c r="T3648" s="102" t="str">
        <f t="shared" si="3378"/>
        <v/>
      </c>
      <c r="U3648" s="18"/>
      <c r="V3648" s="75" t="s">
        <v>29</v>
      </c>
      <c r="W3648" s="104" t="str">
        <f t="shared" si="2828"/>
        <v>/</v>
      </c>
      <c r="X3648" s="111" t="s">
        <v>1010</v>
      </c>
      <c r="Y3648" s="106"/>
      <c r="Z3648" s="26" t="str">
        <f t="shared" si="5"/>
        <v/>
      </c>
      <c r="AA3648" s="26" t="str">
        <f t="shared" si="6"/>
        <v/>
      </c>
      <c r="AB3648" s="32" t="str">
        <f t="shared" si="7"/>
        <v/>
      </c>
      <c r="AC3648" s="32" t="str">
        <f t="shared" ref="AC3648:AG3648" si="3763">IF(J3648&lt;&gt;"", IF(AND($P3648=FALSE, $A3648=FALSE), -J3648, IF(AND($P3648=FALSE, $A3648=TRUE), 0, IF($P3648=TRUE, (J3648 / $R3648) * 100 * ($S3648 / 100)-J3648, ))), )</f>
        <v/>
      </c>
      <c r="AD3648" s="32" t="str">
        <f t="shared" si="3763"/>
        <v/>
      </c>
      <c r="AE3648" s="32" t="str">
        <f t="shared" si="3763"/>
        <v/>
      </c>
      <c r="AF3648" s="32" t="str">
        <f t="shared" si="3763"/>
        <v/>
      </c>
      <c r="AG3648" s="32" t="str">
        <f t="shared" si="3763"/>
        <v/>
      </c>
      <c r="AH3648" s="33"/>
    </row>
    <row r="3649" hidden="1" outlineLevel="2">
      <c r="A3649" s="95" t="b">
        <v>0</v>
      </c>
      <c r="B3649" s="96"/>
      <c r="C3649" s="18"/>
      <c r="D3649" s="107"/>
      <c r="E3649" s="108"/>
      <c r="F3649" s="109"/>
      <c r="G3649" s="97"/>
      <c r="H3649" s="97"/>
      <c r="I3649" s="97"/>
      <c r="J3649" s="98"/>
      <c r="K3649" s="99"/>
      <c r="L3649" s="98"/>
      <c r="M3649" s="99"/>
      <c r="N3649" s="99"/>
      <c r="O3649" s="18"/>
      <c r="P3649" s="100" t="b">
        <v>0</v>
      </c>
      <c r="Q3649" s="18"/>
      <c r="R3649" s="101" t="str">
        <f t="shared" si="3377"/>
        <v/>
      </c>
      <c r="S3649" s="32"/>
      <c r="T3649" s="102" t="str">
        <f t="shared" si="3378"/>
        <v/>
      </c>
      <c r="U3649" s="18"/>
      <c r="V3649" s="113">
        <v>1.0</v>
      </c>
      <c r="W3649" s="104" t="str">
        <f t="shared" si="2828"/>
        <v>/</v>
      </c>
      <c r="X3649" s="111" t="s">
        <v>2137</v>
      </c>
      <c r="Y3649" s="106"/>
      <c r="Z3649" s="26" t="str">
        <f t="shared" si="5"/>
        <v/>
      </c>
      <c r="AA3649" s="26" t="str">
        <f t="shared" si="6"/>
        <v/>
      </c>
      <c r="AB3649" s="32" t="str">
        <f t="shared" si="7"/>
        <v/>
      </c>
      <c r="AC3649" s="32" t="str">
        <f t="shared" ref="AC3649:AG3649" si="3764">IF(J3649&lt;&gt;"", IF(AND($P3649=FALSE, $A3649=FALSE), -J3649, IF(AND($P3649=FALSE, $A3649=TRUE), 0, IF($P3649=TRUE, (J3649 / $R3649) * 100 * ($S3649 / 100)-J3649, ))), )</f>
        <v/>
      </c>
      <c r="AD3649" s="32" t="str">
        <f t="shared" si="3764"/>
        <v/>
      </c>
      <c r="AE3649" s="32" t="str">
        <f t="shared" si="3764"/>
        <v/>
      </c>
      <c r="AF3649" s="32" t="str">
        <f t="shared" si="3764"/>
        <v/>
      </c>
      <c r="AG3649" s="32" t="str">
        <f t="shared" si="3764"/>
        <v/>
      </c>
      <c r="AH3649" s="33"/>
    </row>
    <row r="3650" hidden="1" outlineLevel="1" collapsed="1">
      <c r="A3650" s="95" t="b">
        <v>0</v>
      </c>
      <c r="B3650" s="96"/>
      <c r="C3650" s="18"/>
      <c r="D3650" s="42">
        <v>45941.0</v>
      </c>
      <c r="E3650" s="43" t="s">
        <v>24</v>
      </c>
      <c r="F3650" s="53" t="s">
        <v>2136</v>
      </c>
      <c r="G3650" s="97">
        <v>2.0</v>
      </c>
      <c r="H3650" s="97"/>
      <c r="I3650" s="97">
        <v>3.0</v>
      </c>
      <c r="J3650" s="98"/>
      <c r="K3650" s="99"/>
      <c r="L3650" s="98"/>
      <c r="M3650" s="99"/>
      <c r="N3650" s="99"/>
      <c r="O3650" s="18"/>
      <c r="P3650" s="100" t="b">
        <v>0</v>
      </c>
      <c r="Q3650" s="18"/>
      <c r="R3650" s="101">
        <f t="shared" si="3377"/>
        <v>5</v>
      </c>
      <c r="S3650" s="32">
        <v>9.39</v>
      </c>
      <c r="T3650" s="102">
        <f t="shared" si="3378"/>
        <v>-114</v>
      </c>
      <c r="U3650" s="18"/>
      <c r="V3650" s="103" t="str">
        <f>IF(ISBLANK($D3650), "0",)</f>
        <v/>
      </c>
      <c r="W3650" s="104" t="str">
        <f t="shared" si="2828"/>
        <v/>
      </c>
      <c r="X3650" s="105"/>
      <c r="Y3650" s="106"/>
      <c r="Z3650" s="26">
        <f t="shared" si="5"/>
        <v>-2</v>
      </c>
      <c r="AA3650" s="26">
        <f t="shared" si="6"/>
        <v>-3</v>
      </c>
      <c r="AB3650" s="32" t="str">
        <f t="shared" si="7"/>
        <v/>
      </c>
      <c r="AC3650" s="32" t="str">
        <f t="shared" ref="AC3650:AG3650" si="3765">IF(J3650&lt;&gt;"", IF(AND($P3650=FALSE, $A3650=FALSE), -J3650, IF(AND($P3650=FALSE, $A3650=TRUE), 0, IF($P3650=TRUE, (J3650 / $R3650) * 100 * ($S3650 / 100)-J3650, ))), )</f>
        <v/>
      </c>
      <c r="AD3650" s="32" t="str">
        <f t="shared" si="3765"/>
        <v/>
      </c>
      <c r="AE3650" s="32" t="str">
        <f t="shared" si="3765"/>
        <v/>
      </c>
      <c r="AF3650" s="32" t="str">
        <f t="shared" si="3765"/>
        <v/>
      </c>
      <c r="AG3650" s="32" t="str">
        <f t="shared" si="3765"/>
        <v/>
      </c>
      <c r="AH3650" s="33"/>
    </row>
    <row r="3651" hidden="1" outlineLevel="2">
      <c r="A3651" s="95" t="b">
        <v>0</v>
      </c>
      <c r="B3651" s="96"/>
      <c r="C3651" s="18"/>
      <c r="D3651" s="107"/>
      <c r="E3651" s="108"/>
      <c r="F3651" s="109"/>
      <c r="G3651" s="97"/>
      <c r="H3651" s="97"/>
      <c r="I3651" s="97"/>
      <c r="J3651" s="98"/>
      <c r="K3651" s="99"/>
      <c r="L3651" s="98"/>
      <c r="M3651" s="99"/>
      <c r="N3651" s="99"/>
      <c r="O3651" s="18"/>
      <c r="P3651" s="100" t="b">
        <v>0</v>
      </c>
      <c r="Q3651" s="18"/>
      <c r="R3651" s="101" t="str">
        <f t="shared" si="3377"/>
        <v/>
      </c>
      <c r="S3651" s="32"/>
      <c r="T3651" s="102" t="str">
        <f t="shared" si="3378"/>
        <v/>
      </c>
      <c r="U3651" s="18"/>
      <c r="V3651" s="113">
        <v>40.0</v>
      </c>
      <c r="W3651" s="104" t="str">
        <f t="shared" si="2828"/>
        <v>/</v>
      </c>
      <c r="X3651" s="111" t="s">
        <v>2138</v>
      </c>
      <c r="Y3651" s="106"/>
      <c r="Z3651" s="26" t="str">
        <f t="shared" si="5"/>
        <v/>
      </c>
      <c r="AA3651" s="26" t="str">
        <f t="shared" si="6"/>
        <v/>
      </c>
      <c r="AB3651" s="32" t="str">
        <f t="shared" si="7"/>
        <v/>
      </c>
      <c r="AC3651" s="32" t="str">
        <f t="shared" ref="AC3651:AG3651" si="3766">IF(J3651&lt;&gt;"", IF(AND($P3651=FALSE, $A3651=FALSE), -J3651, IF(AND($P3651=FALSE, $A3651=TRUE), 0, IF($P3651=TRUE, (J3651 / $R3651) * 100 * ($S3651 / 100)-J3651, ))), )</f>
        <v/>
      </c>
      <c r="AD3651" s="32" t="str">
        <f t="shared" si="3766"/>
        <v/>
      </c>
      <c r="AE3651" s="32" t="str">
        <f t="shared" si="3766"/>
        <v/>
      </c>
      <c r="AF3651" s="32" t="str">
        <f t="shared" si="3766"/>
        <v/>
      </c>
      <c r="AG3651" s="32" t="str">
        <f t="shared" si="3766"/>
        <v/>
      </c>
      <c r="AH3651" s="33"/>
    </row>
    <row r="3652" hidden="1" outlineLevel="1" collapsed="1">
      <c r="A3652" s="95" t="b">
        <v>0</v>
      </c>
      <c r="B3652" s="96"/>
      <c r="C3652" s="18"/>
      <c r="D3652" s="42">
        <v>45941.0</v>
      </c>
      <c r="E3652" s="43" t="s">
        <v>24</v>
      </c>
      <c r="F3652" s="53" t="s">
        <v>2136</v>
      </c>
      <c r="G3652" s="97">
        <v>2.0</v>
      </c>
      <c r="H3652" s="97"/>
      <c r="I3652" s="97">
        <v>3.0</v>
      </c>
      <c r="J3652" s="98"/>
      <c r="K3652" s="99"/>
      <c r="L3652" s="98"/>
      <c r="M3652" s="99"/>
      <c r="N3652" s="99"/>
      <c r="O3652" s="18"/>
      <c r="P3652" s="100" t="b">
        <v>0</v>
      </c>
      <c r="Q3652" s="18"/>
      <c r="R3652" s="101">
        <f t="shared" si="3377"/>
        <v>5</v>
      </c>
      <c r="S3652" s="32">
        <v>10.0</v>
      </c>
      <c r="T3652" s="102">
        <f t="shared" si="3378"/>
        <v>-100</v>
      </c>
      <c r="U3652" s="18"/>
      <c r="V3652" s="103" t="str">
        <f>IF(ISBLANK($D3652), "0",)</f>
        <v/>
      </c>
      <c r="W3652" s="104" t="str">
        <f t="shared" si="2828"/>
        <v/>
      </c>
      <c r="X3652" s="105"/>
      <c r="Y3652" s="106"/>
      <c r="Z3652" s="26">
        <f t="shared" si="5"/>
        <v>-2</v>
      </c>
      <c r="AA3652" s="26">
        <f t="shared" si="6"/>
        <v>-3</v>
      </c>
      <c r="AB3652" s="32" t="str">
        <f t="shared" si="7"/>
        <v/>
      </c>
      <c r="AC3652" s="32" t="str">
        <f t="shared" ref="AC3652:AG3652" si="3767">IF(J3652&lt;&gt;"", IF(AND($P3652=FALSE, $A3652=FALSE), -J3652, IF(AND($P3652=FALSE, $A3652=TRUE), 0, IF($P3652=TRUE, (J3652 / $R3652) * 100 * ($S3652 / 100)-J3652, ))), )</f>
        <v/>
      </c>
      <c r="AD3652" s="32" t="str">
        <f t="shared" si="3767"/>
        <v/>
      </c>
      <c r="AE3652" s="32" t="str">
        <f t="shared" si="3767"/>
        <v/>
      </c>
      <c r="AF3652" s="32" t="str">
        <f t="shared" si="3767"/>
        <v/>
      </c>
      <c r="AG3652" s="32" t="str">
        <f t="shared" si="3767"/>
        <v/>
      </c>
      <c r="AH3652" s="33"/>
    </row>
    <row r="3653" hidden="1" outlineLevel="2">
      <c r="A3653" s="95" t="b">
        <v>0</v>
      </c>
      <c r="B3653" s="96"/>
      <c r="C3653" s="18"/>
      <c r="D3653" s="107"/>
      <c r="E3653" s="108"/>
      <c r="F3653" s="109"/>
      <c r="G3653" s="97"/>
      <c r="H3653" s="97"/>
      <c r="I3653" s="97"/>
      <c r="J3653" s="98"/>
      <c r="K3653" s="99"/>
      <c r="L3653" s="98"/>
      <c r="M3653" s="99"/>
      <c r="N3653" s="99"/>
      <c r="O3653" s="18"/>
      <c r="P3653" s="100" t="b">
        <v>0</v>
      </c>
      <c r="Q3653" s="18"/>
      <c r="R3653" s="101" t="str">
        <f t="shared" si="3377"/>
        <v/>
      </c>
      <c r="S3653" s="32"/>
      <c r="T3653" s="102" t="str">
        <f t="shared" si="3378"/>
        <v/>
      </c>
      <c r="U3653" s="18"/>
      <c r="V3653" s="113">
        <v>103.0</v>
      </c>
      <c r="W3653" s="104" t="str">
        <f t="shared" si="2828"/>
        <v>/</v>
      </c>
      <c r="X3653" s="111" t="s">
        <v>2107</v>
      </c>
      <c r="Y3653" s="106"/>
      <c r="Z3653" s="26" t="str">
        <f t="shared" si="5"/>
        <v/>
      </c>
      <c r="AA3653" s="26" t="str">
        <f t="shared" si="6"/>
        <v/>
      </c>
      <c r="AB3653" s="32" t="str">
        <f t="shared" si="7"/>
        <v/>
      </c>
      <c r="AC3653" s="32" t="str">
        <f t="shared" ref="AC3653:AG3653" si="3768">IF(J3653&lt;&gt;"", IF(AND($P3653=FALSE, $A3653=FALSE), -J3653, IF(AND($P3653=FALSE, $A3653=TRUE), 0, IF($P3653=TRUE, (J3653 / $R3653) * 100 * ($S3653 / 100)-J3653, ))), )</f>
        <v/>
      </c>
      <c r="AD3653" s="32" t="str">
        <f t="shared" si="3768"/>
        <v/>
      </c>
      <c r="AE3653" s="32" t="str">
        <f t="shared" si="3768"/>
        <v/>
      </c>
      <c r="AF3653" s="32" t="str">
        <f t="shared" si="3768"/>
        <v/>
      </c>
      <c r="AG3653" s="32" t="str">
        <f t="shared" si="3768"/>
        <v/>
      </c>
      <c r="AH3653" s="33"/>
    </row>
    <row r="3654" hidden="1" outlineLevel="2">
      <c r="A3654" s="95" t="b">
        <v>0</v>
      </c>
      <c r="B3654" s="96"/>
      <c r="C3654" s="18"/>
      <c r="D3654" s="107"/>
      <c r="E3654" s="108"/>
      <c r="F3654" s="109"/>
      <c r="G3654" s="97"/>
      <c r="H3654" s="97"/>
      <c r="I3654" s="97"/>
      <c r="J3654" s="98"/>
      <c r="K3654" s="99"/>
      <c r="L3654" s="98"/>
      <c r="M3654" s="99"/>
      <c r="N3654" s="99"/>
      <c r="O3654" s="18"/>
      <c r="P3654" s="100" t="b">
        <v>0</v>
      </c>
      <c r="Q3654" s="18"/>
      <c r="R3654" s="101" t="str">
        <f t="shared" si="3377"/>
        <v/>
      </c>
      <c r="S3654" s="32"/>
      <c r="T3654" s="102" t="str">
        <f t="shared" si="3378"/>
        <v/>
      </c>
      <c r="U3654" s="18"/>
      <c r="V3654" s="113">
        <v>3.0</v>
      </c>
      <c r="W3654" s="104" t="str">
        <f t="shared" si="2828"/>
        <v>/</v>
      </c>
      <c r="X3654" s="111" t="s">
        <v>2139</v>
      </c>
      <c r="Y3654" s="106"/>
      <c r="Z3654" s="26" t="str">
        <f t="shared" si="5"/>
        <v/>
      </c>
      <c r="AA3654" s="26" t="str">
        <f t="shared" si="6"/>
        <v/>
      </c>
      <c r="AB3654" s="32" t="str">
        <f t="shared" si="7"/>
        <v/>
      </c>
      <c r="AC3654" s="32" t="str">
        <f t="shared" ref="AC3654:AG3654" si="3769">IF(J3654&lt;&gt;"", IF(AND($P3654=FALSE, $A3654=FALSE), -J3654, IF(AND($P3654=FALSE, $A3654=TRUE), 0, IF($P3654=TRUE, (J3654 / $R3654) * 100 * ($S3654 / 100)-J3654, ))), )</f>
        <v/>
      </c>
      <c r="AD3654" s="32" t="str">
        <f t="shared" si="3769"/>
        <v/>
      </c>
      <c r="AE3654" s="32" t="str">
        <f t="shared" si="3769"/>
        <v/>
      </c>
      <c r="AF3654" s="32" t="str">
        <f t="shared" si="3769"/>
        <v/>
      </c>
      <c r="AG3654" s="32" t="str">
        <f t="shared" si="3769"/>
        <v/>
      </c>
      <c r="AH3654" s="33"/>
    </row>
    <row r="3655" hidden="1" outlineLevel="1" collapsed="1">
      <c r="A3655" s="95" t="b">
        <v>0</v>
      </c>
      <c r="B3655" s="96"/>
      <c r="C3655" s="18"/>
      <c r="D3655" s="42">
        <v>45941.0</v>
      </c>
      <c r="E3655" s="43" t="s">
        <v>24</v>
      </c>
      <c r="F3655" s="53" t="s">
        <v>2136</v>
      </c>
      <c r="G3655" s="97">
        <v>2.0</v>
      </c>
      <c r="H3655" s="97"/>
      <c r="I3655" s="97">
        <v>3.0</v>
      </c>
      <c r="J3655" s="98"/>
      <c r="K3655" s="99"/>
      <c r="L3655" s="98"/>
      <c r="M3655" s="99"/>
      <c r="N3655" s="99"/>
      <c r="O3655" s="18"/>
      <c r="P3655" s="100" t="b">
        <v>0</v>
      </c>
      <c r="Q3655" s="18"/>
      <c r="R3655" s="101">
        <f t="shared" si="3377"/>
        <v>5</v>
      </c>
      <c r="S3655" s="32">
        <v>10.34</v>
      </c>
      <c r="T3655" s="102" t="str">
        <f t="shared" si="3378"/>
        <v>+107</v>
      </c>
      <c r="U3655" s="18"/>
      <c r="V3655" s="103" t="str">
        <f>IF(ISBLANK($D3655), "0",)</f>
        <v/>
      </c>
      <c r="W3655" s="104" t="str">
        <f t="shared" si="2828"/>
        <v/>
      </c>
      <c r="X3655" s="105"/>
      <c r="Y3655" s="106"/>
      <c r="Z3655" s="26">
        <f t="shared" si="5"/>
        <v>-2</v>
      </c>
      <c r="AA3655" s="26">
        <f t="shared" si="6"/>
        <v>-3</v>
      </c>
      <c r="AB3655" s="32" t="str">
        <f t="shared" si="7"/>
        <v/>
      </c>
      <c r="AC3655" s="32" t="str">
        <f t="shared" ref="AC3655:AG3655" si="3770">IF(J3655&lt;&gt;"", IF(AND($P3655=FALSE, $A3655=FALSE), -J3655, IF(AND($P3655=FALSE, $A3655=TRUE), 0, IF($P3655=TRUE, (J3655 / $R3655) * 100 * ($S3655 / 100)-J3655, ))), )</f>
        <v/>
      </c>
      <c r="AD3655" s="32" t="str">
        <f t="shared" si="3770"/>
        <v/>
      </c>
      <c r="AE3655" s="32" t="str">
        <f t="shared" si="3770"/>
        <v/>
      </c>
      <c r="AF3655" s="32" t="str">
        <f t="shared" si="3770"/>
        <v/>
      </c>
      <c r="AG3655" s="32" t="str">
        <f t="shared" si="3770"/>
        <v/>
      </c>
      <c r="AH3655" s="33"/>
    </row>
    <row r="3656" hidden="1" outlineLevel="2">
      <c r="A3656" s="95" t="b">
        <v>0</v>
      </c>
      <c r="B3656" s="96"/>
      <c r="C3656" s="18"/>
      <c r="D3656" s="107"/>
      <c r="E3656" s="108"/>
      <c r="F3656" s="109"/>
      <c r="G3656" s="97"/>
      <c r="H3656" s="97"/>
      <c r="I3656" s="97"/>
      <c r="J3656" s="98"/>
      <c r="K3656" s="99"/>
      <c r="L3656" s="98"/>
      <c r="M3656" s="99"/>
      <c r="N3656" s="99"/>
      <c r="O3656" s="18"/>
      <c r="P3656" s="100" t="b">
        <v>0</v>
      </c>
      <c r="Q3656" s="18"/>
      <c r="R3656" s="101" t="str">
        <f t="shared" si="3377"/>
        <v/>
      </c>
      <c r="S3656" s="32"/>
      <c r="T3656" s="102" t="str">
        <f t="shared" si="3378"/>
        <v/>
      </c>
      <c r="U3656" s="18"/>
      <c r="V3656" s="75" t="s">
        <v>29</v>
      </c>
      <c r="W3656" s="104" t="str">
        <f t="shared" si="2828"/>
        <v>/</v>
      </c>
      <c r="X3656" s="111" t="s">
        <v>2140</v>
      </c>
      <c r="Y3656" s="106"/>
      <c r="Z3656" s="26" t="str">
        <f t="shared" si="5"/>
        <v/>
      </c>
      <c r="AA3656" s="26" t="str">
        <f t="shared" si="6"/>
        <v/>
      </c>
      <c r="AB3656" s="32" t="str">
        <f t="shared" si="7"/>
        <v/>
      </c>
      <c r="AC3656" s="32" t="str">
        <f t="shared" ref="AC3656:AG3656" si="3771">IF(J3656&lt;&gt;"", IF(AND($P3656=FALSE, $A3656=FALSE), -J3656, IF(AND($P3656=FALSE, $A3656=TRUE), 0, IF($P3656=TRUE, (J3656 / $R3656) * 100 * ($S3656 / 100)-J3656, ))), )</f>
        <v/>
      </c>
      <c r="AD3656" s="32" t="str">
        <f t="shared" si="3771"/>
        <v/>
      </c>
      <c r="AE3656" s="32" t="str">
        <f t="shared" si="3771"/>
        <v/>
      </c>
      <c r="AF3656" s="32" t="str">
        <f t="shared" si="3771"/>
        <v/>
      </c>
      <c r="AG3656" s="32" t="str">
        <f t="shared" si="3771"/>
        <v/>
      </c>
      <c r="AH3656" s="33"/>
    </row>
    <row r="3657" hidden="1" outlineLevel="2">
      <c r="A3657" s="95" t="b">
        <v>0</v>
      </c>
      <c r="B3657" s="96"/>
      <c r="C3657" s="18"/>
      <c r="D3657" s="107"/>
      <c r="E3657" s="108"/>
      <c r="F3657" s="109"/>
      <c r="G3657" s="97"/>
      <c r="H3657" s="97"/>
      <c r="I3657" s="97"/>
      <c r="J3657" s="98"/>
      <c r="K3657" s="99"/>
      <c r="L3657" s="98"/>
      <c r="M3657" s="99"/>
      <c r="N3657" s="99"/>
      <c r="O3657" s="18"/>
      <c r="P3657" s="100" t="b">
        <v>0</v>
      </c>
      <c r="Q3657" s="18"/>
      <c r="R3657" s="101" t="str">
        <f t="shared" si="3377"/>
        <v/>
      </c>
      <c r="S3657" s="32"/>
      <c r="T3657" s="102" t="str">
        <f t="shared" si="3378"/>
        <v/>
      </c>
      <c r="U3657" s="18"/>
      <c r="V3657" s="103" t="str">
        <f t="shared" ref="V3657:V3658" si="3773">IF(ISBLANK($D3657), "0",)</f>
        <v>0</v>
      </c>
      <c r="W3657" s="104" t="str">
        <f t="shared" si="2828"/>
        <v>/</v>
      </c>
      <c r="X3657" s="111" t="s">
        <v>1552</v>
      </c>
      <c r="Y3657" s="106"/>
      <c r="Z3657" s="26" t="str">
        <f t="shared" si="5"/>
        <v/>
      </c>
      <c r="AA3657" s="26" t="str">
        <f t="shared" si="6"/>
        <v/>
      </c>
      <c r="AB3657" s="32" t="str">
        <f t="shared" si="7"/>
        <v/>
      </c>
      <c r="AC3657" s="32" t="str">
        <f t="shared" ref="AC3657:AG3657" si="3772">IF(J3657&lt;&gt;"", IF(AND($P3657=FALSE, $A3657=FALSE), -J3657, IF(AND($P3657=FALSE, $A3657=TRUE), 0, IF($P3657=TRUE, (J3657 / $R3657) * 100 * ($S3657 / 100)-J3657, ))), )</f>
        <v/>
      </c>
      <c r="AD3657" s="32" t="str">
        <f t="shared" si="3772"/>
        <v/>
      </c>
      <c r="AE3657" s="32" t="str">
        <f t="shared" si="3772"/>
        <v/>
      </c>
      <c r="AF3657" s="32" t="str">
        <f t="shared" si="3772"/>
        <v/>
      </c>
      <c r="AG3657" s="32" t="str">
        <f t="shared" si="3772"/>
        <v/>
      </c>
      <c r="AH3657" s="33"/>
    </row>
    <row r="3658" hidden="1" outlineLevel="1" collapsed="1">
      <c r="A3658" s="95" t="b">
        <v>0</v>
      </c>
      <c r="B3658" s="96"/>
      <c r="C3658" s="18"/>
      <c r="D3658" s="107">
        <v>45941.0</v>
      </c>
      <c r="E3658" s="142" t="s">
        <v>24</v>
      </c>
      <c r="F3658" s="109" t="s">
        <v>2136</v>
      </c>
      <c r="G3658" s="97">
        <v>2.0</v>
      </c>
      <c r="H3658" s="97"/>
      <c r="I3658" s="97">
        <v>3.0</v>
      </c>
      <c r="J3658" s="98"/>
      <c r="K3658" s="99"/>
      <c r="L3658" s="98"/>
      <c r="M3658" s="99"/>
      <c r="N3658" s="99"/>
      <c r="O3658" s="18"/>
      <c r="P3658" s="100" t="b">
        <v>1</v>
      </c>
      <c r="Q3658" s="18"/>
      <c r="R3658" s="101">
        <f t="shared" si="3377"/>
        <v>5</v>
      </c>
      <c r="S3658" s="32">
        <v>9.39</v>
      </c>
      <c r="T3658" s="102">
        <f t="shared" si="3378"/>
        <v>-114</v>
      </c>
      <c r="U3658" s="18"/>
      <c r="V3658" s="103" t="str">
        <f t="shared" si="3773"/>
        <v/>
      </c>
      <c r="W3658" s="104" t="str">
        <f t="shared" si="2828"/>
        <v/>
      </c>
      <c r="X3658" s="105"/>
      <c r="Y3658" s="106"/>
      <c r="Z3658" s="26">
        <f t="shared" si="5"/>
        <v>1.756</v>
      </c>
      <c r="AA3658" s="26">
        <f t="shared" si="6"/>
        <v>2.634</v>
      </c>
      <c r="AB3658" s="32" t="str">
        <f t="shared" si="7"/>
        <v/>
      </c>
      <c r="AC3658" s="32" t="str">
        <f t="shared" ref="AC3658:AG3658" si="3774">IF(J3658&lt;&gt;"", IF(AND($P3658=FALSE, $A3658=FALSE), -J3658, IF(AND($P3658=FALSE, $A3658=TRUE), 0, IF($P3658=TRUE, (J3658 / $R3658) * 100 * ($S3658 / 100)-J3658, ))), )</f>
        <v/>
      </c>
      <c r="AD3658" s="32" t="str">
        <f t="shared" si="3774"/>
        <v/>
      </c>
      <c r="AE3658" s="32" t="str">
        <f t="shared" si="3774"/>
        <v/>
      </c>
      <c r="AF3658" s="32" t="str">
        <f t="shared" si="3774"/>
        <v/>
      </c>
      <c r="AG3658" s="32" t="str">
        <f t="shared" si="3774"/>
        <v/>
      </c>
      <c r="AH3658" s="33"/>
    </row>
    <row r="3659" hidden="1" outlineLevel="2">
      <c r="A3659" s="95" t="b">
        <v>0</v>
      </c>
      <c r="B3659" s="96"/>
      <c r="C3659" s="18"/>
      <c r="D3659" s="107"/>
      <c r="E3659" s="108"/>
      <c r="F3659" s="109"/>
      <c r="G3659" s="97"/>
      <c r="H3659" s="97"/>
      <c r="I3659" s="97"/>
      <c r="J3659" s="98"/>
      <c r="K3659" s="99"/>
      <c r="L3659" s="98"/>
      <c r="M3659" s="99"/>
      <c r="N3659" s="99"/>
      <c r="O3659" s="18"/>
      <c r="P3659" s="100" t="b">
        <v>0</v>
      </c>
      <c r="Q3659" s="18"/>
      <c r="R3659" s="101" t="str">
        <f t="shared" si="3377"/>
        <v/>
      </c>
      <c r="S3659" s="32"/>
      <c r="T3659" s="102" t="str">
        <f t="shared" si="3378"/>
        <v/>
      </c>
      <c r="U3659" s="18"/>
      <c r="V3659" s="75" t="s">
        <v>29</v>
      </c>
      <c r="W3659" s="104" t="str">
        <f t="shared" si="2828"/>
        <v>/</v>
      </c>
      <c r="X3659" s="111" t="s">
        <v>2141</v>
      </c>
      <c r="Y3659" s="106"/>
      <c r="Z3659" s="26" t="str">
        <f t="shared" si="5"/>
        <v/>
      </c>
      <c r="AA3659" s="26" t="str">
        <f t="shared" si="6"/>
        <v/>
      </c>
      <c r="AB3659" s="32" t="str">
        <f t="shared" si="7"/>
        <v/>
      </c>
      <c r="AC3659" s="32" t="str">
        <f t="shared" ref="AC3659:AG3659" si="3775">IF(J3659&lt;&gt;"", IF(AND($P3659=FALSE, $A3659=FALSE), -J3659, IF(AND($P3659=FALSE, $A3659=TRUE), 0, IF($P3659=TRUE, (J3659 / $R3659) * 100 * ($S3659 / 100)-J3659, ))), )</f>
        <v/>
      </c>
      <c r="AD3659" s="32" t="str">
        <f t="shared" si="3775"/>
        <v/>
      </c>
      <c r="AE3659" s="32" t="str">
        <f t="shared" si="3775"/>
        <v/>
      </c>
      <c r="AF3659" s="32" t="str">
        <f t="shared" si="3775"/>
        <v/>
      </c>
      <c r="AG3659" s="32" t="str">
        <f t="shared" si="3775"/>
        <v/>
      </c>
      <c r="AH3659" s="33"/>
    </row>
    <row r="3660" hidden="1" outlineLevel="1">
      <c r="A3660" s="95" t="b">
        <v>0</v>
      </c>
      <c r="B3660" s="96"/>
      <c r="C3660" s="18"/>
      <c r="D3660" s="107">
        <v>45941.0</v>
      </c>
      <c r="E3660" s="142" t="s">
        <v>24</v>
      </c>
      <c r="F3660" s="109" t="s">
        <v>2136</v>
      </c>
      <c r="G3660" s="97">
        <v>3.0</v>
      </c>
      <c r="H3660" s="97"/>
      <c r="I3660" s="97">
        <v>1.0</v>
      </c>
      <c r="J3660" s="98"/>
      <c r="K3660" s="99"/>
      <c r="L3660" s="98"/>
      <c r="M3660" s="99"/>
      <c r="N3660" s="99"/>
      <c r="O3660" s="18"/>
      <c r="P3660" s="100" t="b">
        <v>0</v>
      </c>
      <c r="Q3660" s="18"/>
      <c r="R3660" s="101">
        <f t="shared" si="3377"/>
        <v>4</v>
      </c>
      <c r="S3660" s="32">
        <v>12.81</v>
      </c>
      <c r="T3660" s="102" t="str">
        <f t="shared" si="3378"/>
        <v>+220</v>
      </c>
      <c r="U3660" s="18"/>
      <c r="V3660" s="103" t="str">
        <f>IF(ISBLANK($D3660), "0",)</f>
        <v/>
      </c>
      <c r="W3660" s="104" t="str">
        <f t="shared" si="2828"/>
        <v/>
      </c>
      <c r="X3660" s="105"/>
      <c r="Y3660" s="106"/>
      <c r="Z3660" s="26">
        <f t="shared" si="5"/>
        <v>-3</v>
      </c>
      <c r="AA3660" s="26">
        <f t="shared" si="6"/>
        <v>-1</v>
      </c>
      <c r="AB3660" s="32" t="str">
        <f t="shared" si="7"/>
        <v/>
      </c>
      <c r="AC3660" s="32" t="str">
        <f t="shared" ref="AC3660:AG3660" si="3776">IF(J3660&lt;&gt;"", IF(AND($P3660=FALSE, $A3660=FALSE), -J3660, IF(AND($P3660=FALSE, $A3660=TRUE), 0, IF($P3660=TRUE, (J3660 / $R3660) * 100 * ($S3660 / 100)-J3660, ))), )</f>
        <v/>
      </c>
      <c r="AD3660" s="32" t="str">
        <f t="shared" si="3776"/>
        <v/>
      </c>
      <c r="AE3660" s="32" t="str">
        <f t="shared" si="3776"/>
        <v/>
      </c>
      <c r="AF3660" s="32" t="str">
        <f t="shared" si="3776"/>
        <v/>
      </c>
      <c r="AG3660" s="32" t="str">
        <f t="shared" si="3776"/>
        <v/>
      </c>
      <c r="AH3660" s="33"/>
    </row>
    <row r="3661" hidden="1" outlineLevel="2">
      <c r="A3661" s="95" t="b">
        <v>0</v>
      </c>
      <c r="B3661" s="96"/>
      <c r="C3661" s="18"/>
      <c r="D3661" s="107"/>
      <c r="E3661" s="108"/>
      <c r="F3661" s="109"/>
      <c r="G3661" s="97"/>
      <c r="H3661" s="97"/>
      <c r="I3661" s="97"/>
      <c r="J3661" s="98"/>
      <c r="K3661" s="99"/>
      <c r="L3661" s="98"/>
      <c r="M3661" s="99"/>
      <c r="N3661" s="99"/>
      <c r="O3661" s="18"/>
      <c r="P3661" s="100" t="b">
        <v>0</v>
      </c>
      <c r="Q3661" s="18"/>
      <c r="R3661" s="101" t="str">
        <f t="shared" si="3377"/>
        <v/>
      </c>
      <c r="S3661" s="32"/>
      <c r="T3661" s="102" t="str">
        <f t="shared" si="3378"/>
        <v/>
      </c>
      <c r="U3661" s="18"/>
      <c r="V3661" s="75" t="s">
        <v>29</v>
      </c>
      <c r="W3661" s="104" t="str">
        <f t="shared" si="2828"/>
        <v>/</v>
      </c>
      <c r="X3661" s="111" t="s">
        <v>777</v>
      </c>
      <c r="Y3661" s="106"/>
      <c r="Z3661" s="26" t="str">
        <f t="shared" si="5"/>
        <v/>
      </c>
      <c r="AA3661" s="26" t="str">
        <f t="shared" si="6"/>
        <v/>
      </c>
      <c r="AB3661" s="32" t="str">
        <f t="shared" si="7"/>
        <v/>
      </c>
      <c r="AC3661" s="32" t="str">
        <f t="shared" ref="AC3661:AG3661" si="3777">IF(J3661&lt;&gt;"", IF(AND($P3661=FALSE, $A3661=FALSE), -J3661, IF(AND($P3661=FALSE, $A3661=TRUE), 0, IF($P3661=TRUE, (J3661 / $R3661) * 100 * ($S3661 / 100)-J3661, ))), )</f>
        <v/>
      </c>
      <c r="AD3661" s="32" t="str">
        <f t="shared" si="3777"/>
        <v/>
      </c>
      <c r="AE3661" s="32" t="str">
        <f t="shared" si="3777"/>
        <v/>
      </c>
      <c r="AF3661" s="32" t="str">
        <f t="shared" si="3777"/>
        <v/>
      </c>
      <c r="AG3661" s="32" t="str">
        <f t="shared" si="3777"/>
        <v/>
      </c>
      <c r="AH3661" s="33"/>
    </row>
    <row r="3662" hidden="1" outlineLevel="2">
      <c r="A3662" s="95" t="b">
        <v>0</v>
      </c>
      <c r="B3662" s="96"/>
      <c r="C3662" s="18"/>
      <c r="D3662" s="107"/>
      <c r="E3662" s="108"/>
      <c r="F3662" s="109"/>
      <c r="G3662" s="97"/>
      <c r="H3662" s="97"/>
      <c r="I3662" s="97"/>
      <c r="J3662" s="98"/>
      <c r="K3662" s="99"/>
      <c r="L3662" s="98"/>
      <c r="M3662" s="99"/>
      <c r="N3662" s="99"/>
      <c r="O3662" s="18"/>
      <c r="P3662" s="100" t="b">
        <v>0</v>
      </c>
      <c r="Q3662" s="18"/>
      <c r="R3662" s="101" t="str">
        <f t="shared" si="3377"/>
        <v/>
      </c>
      <c r="S3662" s="32"/>
      <c r="T3662" s="102" t="str">
        <f t="shared" si="3378"/>
        <v/>
      </c>
      <c r="U3662" s="18"/>
      <c r="V3662" s="75" t="s">
        <v>29</v>
      </c>
      <c r="W3662" s="104" t="str">
        <f t="shared" si="2828"/>
        <v>/</v>
      </c>
      <c r="X3662" s="111" t="s">
        <v>2142</v>
      </c>
      <c r="Y3662" s="106"/>
      <c r="Z3662" s="26" t="str">
        <f t="shared" si="5"/>
        <v/>
      </c>
      <c r="AA3662" s="26" t="str">
        <f t="shared" si="6"/>
        <v/>
      </c>
      <c r="AB3662" s="32" t="str">
        <f t="shared" si="7"/>
        <v/>
      </c>
      <c r="AC3662" s="32" t="str">
        <f t="shared" ref="AC3662:AG3662" si="3778">IF(J3662&lt;&gt;"", IF(AND($P3662=FALSE, $A3662=FALSE), -J3662, IF(AND($P3662=FALSE, $A3662=TRUE), 0, IF($P3662=TRUE, (J3662 / $R3662) * 100 * ($S3662 / 100)-J3662, ))), )</f>
        <v/>
      </c>
      <c r="AD3662" s="32" t="str">
        <f t="shared" si="3778"/>
        <v/>
      </c>
      <c r="AE3662" s="32" t="str">
        <f t="shared" si="3778"/>
        <v/>
      </c>
      <c r="AF3662" s="32" t="str">
        <f t="shared" si="3778"/>
        <v/>
      </c>
      <c r="AG3662" s="32" t="str">
        <f t="shared" si="3778"/>
        <v/>
      </c>
      <c r="AH3662" s="33"/>
    </row>
    <row r="3663" hidden="1" outlineLevel="2">
      <c r="A3663" s="95" t="b">
        <v>0</v>
      </c>
      <c r="B3663" s="96"/>
      <c r="C3663" s="18"/>
      <c r="D3663" s="107"/>
      <c r="E3663" s="108"/>
      <c r="F3663" s="109"/>
      <c r="G3663" s="97"/>
      <c r="H3663" s="97"/>
      <c r="I3663" s="97"/>
      <c r="J3663" s="98"/>
      <c r="K3663" s="99"/>
      <c r="L3663" s="98"/>
      <c r="M3663" s="99"/>
      <c r="N3663" s="99"/>
      <c r="O3663" s="18"/>
      <c r="P3663" s="100" t="b">
        <v>0</v>
      </c>
      <c r="Q3663" s="18"/>
      <c r="R3663" s="101" t="str">
        <f t="shared" si="3377"/>
        <v/>
      </c>
      <c r="S3663" s="32"/>
      <c r="T3663" s="102" t="str">
        <f t="shared" si="3378"/>
        <v/>
      </c>
      <c r="U3663" s="18"/>
      <c r="V3663" s="103" t="str">
        <f t="shared" ref="V3663:V3664" si="3780">IF(ISBLANK($D3663), "0",)</f>
        <v>0</v>
      </c>
      <c r="W3663" s="104" t="str">
        <f t="shared" si="2828"/>
        <v>/</v>
      </c>
      <c r="X3663" s="111" t="s">
        <v>2143</v>
      </c>
      <c r="Y3663" s="106"/>
      <c r="Z3663" s="26" t="str">
        <f t="shared" si="5"/>
        <v/>
      </c>
      <c r="AA3663" s="26" t="str">
        <f t="shared" si="6"/>
        <v/>
      </c>
      <c r="AB3663" s="32" t="str">
        <f t="shared" si="7"/>
        <v/>
      </c>
      <c r="AC3663" s="32" t="str">
        <f t="shared" ref="AC3663:AG3663" si="3779">IF(J3663&lt;&gt;"", IF(AND($P3663=FALSE, $A3663=FALSE), -J3663, IF(AND($P3663=FALSE, $A3663=TRUE), 0, IF($P3663=TRUE, (J3663 / $R3663) * 100 * ($S3663 / 100)-J3663, ))), )</f>
        <v/>
      </c>
      <c r="AD3663" s="32" t="str">
        <f t="shared" si="3779"/>
        <v/>
      </c>
      <c r="AE3663" s="32" t="str">
        <f t="shared" si="3779"/>
        <v/>
      </c>
      <c r="AF3663" s="32" t="str">
        <f t="shared" si="3779"/>
        <v/>
      </c>
      <c r="AG3663" s="32" t="str">
        <f t="shared" si="3779"/>
        <v/>
      </c>
      <c r="AH3663" s="33"/>
    </row>
    <row r="3664" collapsed="1">
      <c r="A3664" s="95" t="b">
        <v>0</v>
      </c>
      <c r="B3664" s="96"/>
      <c r="C3664" s="18"/>
      <c r="D3664" s="42">
        <v>45946.0</v>
      </c>
      <c r="E3664" s="43" t="s">
        <v>24</v>
      </c>
      <c r="F3664" s="53" t="s">
        <v>2144</v>
      </c>
      <c r="G3664" s="97">
        <v>2.0</v>
      </c>
      <c r="H3664" s="97"/>
      <c r="I3664" s="97">
        <v>3.0</v>
      </c>
      <c r="J3664" s="98"/>
      <c r="K3664" s="99"/>
      <c r="L3664" s="98"/>
      <c r="M3664" s="99"/>
      <c r="N3664" s="99"/>
      <c r="O3664" s="18"/>
      <c r="P3664" s="100" t="b">
        <v>1</v>
      </c>
      <c r="Q3664" s="18"/>
      <c r="R3664" s="101">
        <f t="shared" si="3377"/>
        <v>5</v>
      </c>
      <c r="S3664" s="32">
        <v>11.9</v>
      </c>
      <c r="T3664" s="102" t="str">
        <f t="shared" si="3378"/>
        <v>+138</v>
      </c>
      <c r="U3664" s="18"/>
      <c r="V3664" s="103" t="str">
        <f t="shared" si="3780"/>
        <v/>
      </c>
      <c r="W3664" s="104" t="str">
        <f t="shared" si="2828"/>
        <v/>
      </c>
      <c r="X3664" s="105"/>
      <c r="Y3664" s="106"/>
      <c r="Z3664" s="26">
        <f t="shared" si="5"/>
        <v>2.76</v>
      </c>
      <c r="AA3664" s="26">
        <f t="shared" si="6"/>
        <v>4.14</v>
      </c>
      <c r="AB3664" s="32" t="str">
        <f t="shared" si="7"/>
        <v/>
      </c>
      <c r="AC3664" s="32" t="str">
        <f t="shared" ref="AC3664:AG3664" si="3781">IF(J3664&lt;&gt;"", IF(AND($P3664=FALSE, $A3664=FALSE), -J3664, IF(AND($P3664=FALSE, $A3664=TRUE), 0, IF($P3664=TRUE, (J3664 / $R3664) * 100 * ($S3664 / 100)-J3664, ))), )</f>
        <v/>
      </c>
      <c r="AD3664" s="32" t="str">
        <f t="shared" si="3781"/>
        <v/>
      </c>
      <c r="AE3664" s="32" t="str">
        <f t="shared" si="3781"/>
        <v/>
      </c>
      <c r="AF3664" s="32" t="str">
        <f t="shared" si="3781"/>
        <v/>
      </c>
      <c r="AG3664" s="32" t="str">
        <f t="shared" si="3781"/>
        <v/>
      </c>
      <c r="AH3664" s="33"/>
    </row>
    <row r="3665" hidden="1" outlineLevel="2">
      <c r="A3665" s="95" t="b">
        <v>0</v>
      </c>
      <c r="B3665" s="96"/>
      <c r="C3665" s="18"/>
      <c r="D3665" s="107"/>
      <c r="E3665" s="108"/>
      <c r="F3665" s="109"/>
      <c r="G3665" s="97"/>
      <c r="H3665" s="97"/>
      <c r="I3665" s="97"/>
      <c r="J3665" s="98"/>
      <c r="K3665" s="99"/>
      <c r="L3665" s="98"/>
      <c r="M3665" s="99"/>
      <c r="N3665" s="99"/>
      <c r="O3665" s="18"/>
      <c r="P3665" s="100" t="b">
        <v>0</v>
      </c>
      <c r="Q3665" s="18"/>
      <c r="R3665" s="101" t="str">
        <f t="shared" si="3377"/>
        <v/>
      </c>
      <c r="S3665" s="32"/>
      <c r="T3665" s="102" t="str">
        <f t="shared" si="3378"/>
        <v/>
      </c>
      <c r="U3665" s="18"/>
      <c r="V3665" s="75" t="s">
        <v>29</v>
      </c>
      <c r="W3665" s="104" t="str">
        <f t="shared" si="2828"/>
        <v>/</v>
      </c>
      <c r="X3665" s="111" t="s">
        <v>2145</v>
      </c>
      <c r="Y3665" s="106"/>
      <c r="Z3665" s="26" t="str">
        <f t="shared" si="5"/>
        <v/>
      </c>
      <c r="AA3665" s="26" t="str">
        <f t="shared" si="6"/>
        <v/>
      </c>
      <c r="AB3665" s="32" t="str">
        <f t="shared" si="7"/>
        <v/>
      </c>
      <c r="AC3665" s="32" t="str">
        <f t="shared" ref="AC3665:AG3665" si="3782">IF(J3665&lt;&gt;"", IF(AND($P3665=FALSE, $A3665=FALSE), -J3665, IF(AND($P3665=FALSE, $A3665=TRUE), 0, IF($P3665=TRUE, (J3665 / $R3665) * 100 * ($S3665 / 100)-J3665, ))), )</f>
        <v/>
      </c>
      <c r="AD3665" s="32" t="str">
        <f t="shared" si="3782"/>
        <v/>
      </c>
      <c r="AE3665" s="32" t="str">
        <f t="shared" si="3782"/>
        <v/>
      </c>
      <c r="AF3665" s="32" t="str">
        <f t="shared" si="3782"/>
        <v/>
      </c>
      <c r="AG3665" s="32" t="str">
        <f t="shared" si="3782"/>
        <v/>
      </c>
      <c r="AH3665" s="33"/>
    </row>
    <row r="3666" hidden="1" outlineLevel="1" collapsed="1">
      <c r="A3666" s="95" t="b">
        <v>0</v>
      </c>
      <c r="B3666" s="96"/>
      <c r="C3666" s="18"/>
      <c r="D3666" s="42">
        <v>45946.0</v>
      </c>
      <c r="E3666" s="43" t="s">
        <v>24</v>
      </c>
      <c r="F3666" s="53" t="s">
        <v>2144</v>
      </c>
      <c r="G3666" s="97">
        <v>2.0</v>
      </c>
      <c r="H3666" s="97"/>
      <c r="I3666" s="97">
        <v>3.0</v>
      </c>
      <c r="J3666" s="98"/>
      <c r="K3666" s="99"/>
      <c r="L3666" s="98"/>
      <c r="M3666" s="99"/>
      <c r="N3666" s="99"/>
      <c r="O3666" s="18"/>
      <c r="P3666" s="100" t="b">
        <v>1</v>
      </c>
      <c r="Q3666" s="18"/>
      <c r="R3666" s="101">
        <f t="shared" si="3377"/>
        <v>5</v>
      </c>
      <c r="S3666" s="32">
        <v>15.2</v>
      </c>
      <c r="T3666" s="102" t="str">
        <f t="shared" si="3378"/>
        <v>+204</v>
      </c>
      <c r="U3666" s="18"/>
      <c r="V3666" s="103" t="str">
        <f>IF(ISBLANK($D3666), "0",)</f>
        <v/>
      </c>
      <c r="W3666" s="104" t="str">
        <f t="shared" si="2828"/>
        <v/>
      </c>
      <c r="X3666" s="105"/>
      <c r="Y3666" s="106"/>
      <c r="Z3666" s="26">
        <f t="shared" si="5"/>
        <v>4.08</v>
      </c>
      <c r="AA3666" s="26">
        <f t="shared" si="6"/>
        <v>6.12</v>
      </c>
      <c r="AB3666" s="32" t="str">
        <f t="shared" si="7"/>
        <v/>
      </c>
      <c r="AC3666" s="32" t="str">
        <f t="shared" ref="AC3666:AG3666" si="3783">IF(J3666&lt;&gt;"", IF(AND($P3666=FALSE, $A3666=FALSE), -J3666, IF(AND($P3666=FALSE, $A3666=TRUE), 0, IF($P3666=TRUE, (J3666 / $R3666) * 100 * ($S3666 / 100)-J3666, ))), )</f>
        <v/>
      </c>
      <c r="AD3666" s="32" t="str">
        <f t="shared" si="3783"/>
        <v/>
      </c>
      <c r="AE3666" s="32" t="str">
        <f t="shared" si="3783"/>
        <v/>
      </c>
      <c r="AF3666" s="32" t="str">
        <f t="shared" si="3783"/>
        <v/>
      </c>
      <c r="AG3666" s="32" t="str">
        <f t="shared" si="3783"/>
        <v/>
      </c>
      <c r="AH3666" s="33"/>
    </row>
    <row r="3667" hidden="1" outlineLevel="2">
      <c r="A3667" s="95" t="b">
        <v>0</v>
      </c>
      <c r="B3667" s="96"/>
      <c r="C3667" s="18"/>
      <c r="D3667" s="107"/>
      <c r="E3667" s="108"/>
      <c r="F3667" s="109"/>
      <c r="G3667" s="97"/>
      <c r="H3667" s="97"/>
      <c r="I3667" s="97"/>
      <c r="J3667" s="98"/>
      <c r="K3667" s="99"/>
      <c r="L3667" s="98"/>
      <c r="M3667" s="99"/>
      <c r="N3667" s="99"/>
      <c r="O3667" s="18"/>
      <c r="P3667" s="100" t="b">
        <v>0</v>
      </c>
      <c r="Q3667" s="18"/>
      <c r="R3667" s="101" t="str">
        <f t="shared" si="3377"/>
        <v/>
      </c>
      <c r="S3667" s="32"/>
      <c r="T3667" s="102" t="str">
        <f t="shared" si="3378"/>
        <v/>
      </c>
      <c r="U3667" s="18"/>
      <c r="V3667" s="75" t="s">
        <v>29</v>
      </c>
      <c r="W3667" s="104" t="str">
        <f t="shared" si="2828"/>
        <v>/</v>
      </c>
      <c r="X3667" s="111" t="s">
        <v>2146</v>
      </c>
      <c r="Y3667" s="106"/>
      <c r="Z3667" s="26" t="str">
        <f t="shared" si="5"/>
        <v/>
      </c>
      <c r="AA3667" s="26" t="str">
        <f t="shared" si="6"/>
        <v/>
      </c>
      <c r="AB3667" s="32" t="str">
        <f t="shared" si="7"/>
        <v/>
      </c>
      <c r="AC3667" s="32" t="str">
        <f t="shared" ref="AC3667:AG3667" si="3784">IF(J3667&lt;&gt;"", IF(AND($P3667=FALSE, $A3667=FALSE), -J3667, IF(AND($P3667=FALSE, $A3667=TRUE), 0, IF($P3667=TRUE, (J3667 / $R3667) * 100 * ($S3667 / 100)-J3667, ))), )</f>
        <v/>
      </c>
      <c r="AD3667" s="32" t="str">
        <f t="shared" si="3784"/>
        <v/>
      </c>
      <c r="AE3667" s="32" t="str">
        <f t="shared" si="3784"/>
        <v/>
      </c>
      <c r="AF3667" s="32" t="str">
        <f t="shared" si="3784"/>
        <v/>
      </c>
      <c r="AG3667" s="32" t="str">
        <f t="shared" si="3784"/>
        <v/>
      </c>
      <c r="AH3667" s="33"/>
    </row>
    <row r="3668" hidden="1" outlineLevel="2">
      <c r="A3668" s="95" t="b">
        <v>0</v>
      </c>
      <c r="B3668" s="96"/>
      <c r="C3668" s="18"/>
      <c r="D3668" s="107"/>
      <c r="E3668" s="108"/>
      <c r="F3668" s="109"/>
      <c r="G3668" s="97"/>
      <c r="H3668" s="97"/>
      <c r="I3668" s="97"/>
      <c r="J3668" s="98"/>
      <c r="K3668" s="99"/>
      <c r="L3668" s="98"/>
      <c r="M3668" s="99"/>
      <c r="N3668" s="99"/>
      <c r="O3668" s="18"/>
      <c r="P3668" s="100" t="b">
        <v>0</v>
      </c>
      <c r="Q3668" s="18"/>
      <c r="R3668" s="101" t="str">
        <f t="shared" si="3377"/>
        <v/>
      </c>
      <c r="S3668" s="32"/>
      <c r="T3668" s="102" t="str">
        <f t="shared" si="3378"/>
        <v/>
      </c>
      <c r="U3668" s="18"/>
      <c r="V3668" s="75" t="s">
        <v>29</v>
      </c>
      <c r="W3668" s="104" t="str">
        <f t="shared" si="2828"/>
        <v>/</v>
      </c>
      <c r="X3668" s="111" t="s">
        <v>2147</v>
      </c>
      <c r="Y3668" s="106"/>
      <c r="Z3668" s="26" t="str">
        <f t="shared" si="5"/>
        <v/>
      </c>
      <c r="AA3668" s="26" t="str">
        <f t="shared" si="6"/>
        <v/>
      </c>
      <c r="AB3668" s="32" t="str">
        <f t="shared" si="7"/>
        <v/>
      </c>
      <c r="AC3668" s="32" t="str">
        <f t="shared" ref="AC3668:AG3668" si="3785">IF(J3668&lt;&gt;"", IF(AND($P3668=FALSE, $A3668=FALSE), -J3668, IF(AND($P3668=FALSE, $A3668=TRUE), 0, IF($P3668=TRUE, (J3668 / $R3668) * 100 * ($S3668 / 100)-J3668, ))), )</f>
        <v/>
      </c>
      <c r="AD3668" s="32" t="str">
        <f t="shared" si="3785"/>
        <v/>
      </c>
      <c r="AE3668" s="32" t="str">
        <f t="shared" si="3785"/>
        <v/>
      </c>
      <c r="AF3668" s="32" t="str">
        <f t="shared" si="3785"/>
        <v/>
      </c>
      <c r="AG3668" s="32" t="str">
        <f t="shared" si="3785"/>
        <v/>
      </c>
      <c r="AH3668" s="33"/>
    </row>
    <row r="3669" hidden="1" outlineLevel="2">
      <c r="A3669" s="95" t="b">
        <v>0</v>
      </c>
      <c r="B3669" s="96"/>
      <c r="C3669" s="18"/>
      <c r="D3669" s="107"/>
      <c r="E3669" s="108"/>
      <c r="F3669" s="109"/>
      <c r="G3669" s="97"/>
      <c r="H3669" s="97"/>
      <c r="I3669" s="97"/>
      <c r="J3669" s="98"/>
      <c r="K3669" s="99"/>
      <c r="L3669" s="98"/>
      <c r="M3669" s="99"/>
      <c r="N3669" s="99"/>
      <c r="O3669" s="18"/>
      <c r="P3669" s="100" t="b">
        <v>0</v>
      </c>
      <c r="Q3669" s="18"/>
      <c r="R3669" s="101" t="str">
        <f t="shared" si="3377"/>
        <v/>
      </c>
      <c r="S3669" s="32"/>
      <c r="T3669" s="102" t="str">
        <f t="shared" si="3378"/>
        <v/>
      </c>
      <c r="U3669" s="18"/>
      <c r="V3669" s="75" t="s">
        <v>29</v>
      </c>
      <c r="W3669" s="104" t="str">
        <f t="shared" si="2828"/>
        <v>/</v>
      </c>
      <c r="X3669" s="111" t="s">
        <v>2148</v>
      </c>
      <c r="Y3669" s="106"/>
      <c r="Z3669" s="26" t="str">
        <f t="shared" si="5"/>
        <v/>
      </c>
      <c r="AA3669" s="26" t="str">
        <f t="shared" si="6"/>
        <v/>
      </c>
      <c r="AB3669" s="32" t="str">
        <f t="shared" si="7"/>
        <v/>
      </c>
      <c r="AC3669" s="32" t="str">
        <f t="shared" ref="AC3669:AG3669" si="3786">IF(J3669&lt;&gt;"", IF(AND($P3669=FALSE, $A3669=FALSE), -J3669, IF(AND($P3669=FALSE, $A3669=TRUE), 0, IF($P3669=TRUE, (J3669 / $R3669) * 100 * ($S3669 / 100)-J3669, ))), )</f>
        <v/>
      </c>
      <c r="AD3669" s="32" t="str">
        <f t="shared" si="3786"/>
        <v/>
      </c>
      <c r="AE3669" s="32" t="str">
        <f t="shared" si="3786"/>
        <v/>
      </c>
      <c r="AF3669" s="32" t="str">
        <f t="shared" si="3786"/>
        <v/>
      </c>
      <c r="AG3669" s="32" t="str">
        <f t="shared" si="3786"/>
        <v/>
      </c>
      <c r="AH3669" s="33"/>
    </row>
    <row r="3670" hidden="1" outlineLevel="1" collapsed="1">
      <c r="A3670" s="95" t="b">
        <v>0</v>
      </c>
      <c r="B3670" s="96"/>
      <c r="C3670" s="18"/>
      <c r="D3670" s="42">
        <v>45946.0</v>
      </c>
      <c r="E3670" s="43" t="s">
        <v>24</v>
      </c>
      <c r="F3670" s="53" t="s">
        <v>2144</v>
      </c>
      <c r="G3670" s="97">
        <v>2.0</v>
      </c>
      <c r="H3670" s="97"/>
      <c r="I3670" s="97">
        <v>3.0</v>
      </c>
      <c r="J3670" s="98"/>
      <c r="K3670" s="99"/>
      <c r="L3670" s="98"/>
      <c r="M3670" s="99"/>
      <c r="N3670" s="99"/>
      <c r="O3670" s="18"/>
      <c r="P3670" s="100" t="b">
        <v>0</v>
      </c>
      <c r="Q3670" s="18"/>
      <c r="R3670" s="101">
        <f t="shared" si="3377"/>
        <v>5</v>
      </c>
      <c r="S3670" s="32">
        <v>9.46</v>
      </c>
      <c r="T3670" s="102">
        <f t="shared" si="3378"/>
        <v>-112</v>
      </c>
      <c r="U3670" s="18"/>
      <c r="V3670" s="103" t="str">
        <f>IF(ISBLANK($D3670), "0",)</f>
        <v/>
      </c>
      <c r="W3670" s="104" t="str">
        <f t="shared" si="2828"/>
        <v/>
      </c>
      <c r="X3670" s="105"/>
      <c r="Y3670" s="106"/>
      <c r="Z3670" s="26">
        <f t="shared" si="5"/>
        <v>-2</v>
      </c>
      <c r="AA3670" s="26">
        <f t="shared" si="6"/>
        <v>-3</v>
      </c>
      <c r="AB3670" s="32" t="str">
        <f t="shared" si="7"/>
        <v/>
      </c>
      <c r="AC3670" s="32" t="str">
        <f t="shared" ref="AC3670:AG3670" si="3787">IF(J3670&lt;&gt;"", IF(AND($P3670=FALSE, $A3670=FALSE), -J3670, IF(AND($P3670=FALSE, $A3670=TRUE), 0, IF($P3670=TRUE, (J3670 / $R3670) * 100 * ($S3670 / 100)-J3670, ))), )</f>
        <v/>
      </c>
      <c r="AD3670" s="32" t="str">
        <f t="shared" si="3787"/>
        <v/>
      </c>
      <c r="AE3670" s="32" t="str">
        <f t="shared" si="3787"/>
        <v/>
      </c>
      <c r="AF3670" s="32" t="str">
        <f t="shared" si="3787"/>
        <v/>
      </c>
      <c r="AG3670" s="32" t="str">
        <f t="shared" si="3787"/>
        <v/>
      </c>
      <c r="AH3670" s="33"/>
    </row>
    <row r="3671" hidden="1" outlineLevel="2">
      <c r="A3671" s="95" t="b">
        <v>0</v>
      </c>
      <c r="B3671" s="96"/>
      <c r="C3671" s="18"/>
      <c r="D3671" s="107"/>
      <c r="E3671" s="108"/>
      <c r="F3671" s="109"/>
      <c r="G3671" s="97"/>
      <c r="H3671" s="97"/>
      <c r="I3671" s="97"/>
      <c r="J3671" s="98"/>
      <c r="K3671" s="99"/>
      <c r="L3671" s="98"/>
      <c r="M3671" s="99"/>
      <c r="N3671" s="99"/>
      <c r="O3671" s="18"/>
      <c r="P3671" s="100" t="b">
        <v>0</v>
      </c>
      <c r="Q3671" s="18"/>
      <c r="R3671" s="101" t="str">
        <f t="shared" si="3377"/>
        <v/>
      </c>
      <c r="S3671" s="32"/>
      <c r="T3671" s="102" t="str">
        <f t="shared" si="3378"/>
        <v/>
      </c>
      <c r="U3671" s="18"/>
      <c r="V3671" s="113">
        <v>3.0</v>
      </c>
      <c r="W3671" s="104" t="str">
        <f t="shared" si="2828"/>
        <v>/</v>
      </c>
      <c r="X3671" s="111" t="s">
        <v>2149</v>
      </c>
      <c r="Y3671" s="106"/>
      <c r="Z3671" s="26" t="str">
        <f t="shared" si="5"/>
        <v/>
      </c>
      <c r="AA3671" s="26" t="str">
        <f t="shared" si="6"/>
        <v/>
      </c>
      <c r="AB3671" s="32" t="str">
        <f t="shared" si="7"/>
        <v/>
      </c>
      <c r="AC3671" s="32" t="str">
        <f t="shared" ref="AC3671:AG3671" si="3788">IF(J3671&lt;&gt;"", IF(AND($P3671=FALSE, $A3671=FALSE), -J3671, IF(AND($P3671=FALSE, $A3671=TRUE), 0, IF($P3671=TRUE, (J3671 / $R3671) * 100 * ($S3671 / 100)-J3671, ))), )</f>
        <v/>
      </c>
      <c r="AD3671" s="32" t="str">
        <f t="shared" si="3788"/>
        <v/>
      </c>
      <c r="AE3671" s="32" t="str">
        <f t="shared" si="3788"/>
        <v/>
      </c>
      <c r="AF3671" s="32" t="str">
        <f t="shared" si="3788"/>
        <v/>
      </c>
      <c r="AG3671" s="32" t="str">
        <f t="shared" si="3788"/>
        <v/>
      </c>
      <c r="AH3671" s="33"/>
    </row>
    <row r="3672" hidden="1" outlineLevel="1" collapsed="1">
      <c r="A3672" s="95" t="b">
        <v>0</v>
      </c>
      <c r="B3672" s="96"/>
      <c r="C3672" s="18"/>
      <c r="D3672" s="42">
        <v>45946.0</v>
      </c>
      <c r="E3672" s="43" t="s">
        <v>24</v>
      </c>
      <c r="F3672" s="53" t="s">
        <v>2144</v>
      </c>
      <c r="G3672" s="97">
        <v>2.0</v>
      </c>
      <c r="H3672" s="97"/>
      <c r="I3672" s="97">
        <v>3.0</v>
      </c>
      <c r="J3672" s="98"/>
      <c r="K3672" s="99"/>
      <c r="L3672" s="98"/>
      <c r="M3672" s="99"/>
      <c r="N3672" s="99"/>
      <c r="O3672" s="18"/>
      <c r="P3672" s="100" t="b">
        <v>0</v>
      </c>
      <c r="Q3672" s="18"/>
      <c r="R3672" s="101">
        <f t="shared" si="3377"/>
        <v>5</v>
      </c>
      <c r="S3672" s="32">
        <v>11.99</v>
      </c>
      <c r="T3672" s="102" t="str">
        <f t="shared" si="3378"/>
        <v>+140</v>
      </c>
      <c r="U3672" s="18"/>
      <c r="V3672" s="103" t="str">
        <f t="shared" ref="V3672:V3674" si="3790">IF(ISBLANK($D3672), "0",)</f>
        <v/>
      </c>
      <c r="W3672" s="104" t="str">
        <f t="shared" si="2828"/>
        <v/>
      </c>
      <c r="X3672" s="105"/>
      <c r="Y3672" s="106"/>
      <c r="Z3672" s="26">
        <f t="shared" si="5"/>
        <v>-2</v>
      </c>
      <c r="AA3672" s="26">
        <f t="shared" si="6"/>
        <v>-3</v>
      </c>
      <c r="AB3672" s="32" t="str">
        <f t="shared" si="7"/>
        <v/>
      </c>
      <c r="AC3672" s="32" t="str">
        <f t="shared" ref="AC3672:AG3672" si="3789">IF(J3672&lt;&gt;"", IF(AND($P3672=FALSE, $A3672=FALSE), -J3672, IF(AND($P3672=FALSE, $A3672=TRUE), 0, IF($P3672=TRUE, (J3672 / $R3672) * 100 * ($S3672 / 100)-J3672, ))), )</f>
        <v/>
      </c>
      <c r="AD3672" s="32" t="str">
        <f t="shared" si="3789"/>
        <v/>
      </c>
      <c r="AE3672" s="32" t="str">
        <f t="shared" si="3789"/>
        <v/>
      </c>
      <c r="AF3672" s="32" t="str">
        <f t="shared" si="3789"/>
        <v/>
      </c>
      <c r="AG3672" s="32" t="str">
        <f t="shared" si="3789"/>
        <v/>
      </c>
      <c r="AH3672" s="33"/>
    </row>
    <row r="3673" hidden="1" outlineLevel="2">
      <c r="A3673" s="95" t="b">
        <v>0</v>
      </c>
      <c r="B3673" s="96"/>
      <c r="C3673" s="18"/>
      <c r="D3673" s="107"/>
      <c r="E3673" s="108"/>
      <c r="F3673" s="109"/>
      <c r="G3673" s="97"/>
      <c r="H3673" s="97"/>
      <c r="I3673" s="97"/>
      <c r="J3673" s="98"/>
      <c r="K3673" s="99"/>
      <c r="L3673" s="98"/>
      <c r="M3673" s="99"/>
      <c r="N3673" s="99"/>
      <c r="O3673" s="18"/>
      <c r="P3673" s="100" t="b">
        <v>0</v>
      </c>
      <c r="Q3673" s="18"/>
      <c r="R3673" s="101" t="str">
        <f t="shared" si="3377"/>
        <v/>
      </c>
      <c r="S3673" s="32"/>
      <c r="T3673" s="102" t="str">
        <f t="shared" si="3378"/>
        <v/>
      </c>
      <c r="U3673" s="18"/>
      <c r="V3673" s="103" t="str">
        <f t="shared" si="3790"/>
        <v>0</v>
      </c>
      <c r="W3673" s="104" t="str">
        <f t="shared" si="2828"/>
        <v>/</v>
      </c>
      <c r="X3673" s="111" t="s">
        <v>2150</v>
      </c>
      <c r="Y3673" s="106"/>
      <c r="Z3673" s="26" t="str">
        <f t="shared" si="5"/>
        <v/>
      </c>
      <c r="AA3673" s="26" t="str">
        <f t="shared" si="6"/>
        <v/>
      </c>
      <c r="AB3673" s="32" t="str">
        <f t="shared" si="7"/>
        <v/>
      </c>
      <c r="AC3673" s="32" t="str">
        <f t="shared" ref="AC3673:AG3673" si="3791">IF(J3673&lt;&gt;"", IF(AND($P3673=FALSE, $A3673=FALSE), -J3673, IF(AND($P3673=FALSE, $A3673=TRUE), 0, IF($P3673=TRUE, (J3673 / $R3673) * 100 * ($S3673 / 100)-J3673, ))), )</f>
        <v/>
      </c>
      <c r="AD3673" s="32" t="str">
        <f t="shared" si="3791"/>
        <v/>
      </c>
      <c r="AE3673" s="32" t="str">
        <f t="shared" si="3791"/>
        <v/>
      </c>
      <c r="AF3673" s="32" t="str">
        <f t="shared" si="3791"/>
        <v/>
      </c>
      <c r="AG3673" s="32" t="str">
        <f t="shared" si="3791"/>
        <v/>
      </c>
      <c r="AH3673" s="33"/>
    </row>
    <row r="3674" hidden="1" outlineLevel="1">
      <c r="A3674" s="95" t="b">
        <v>0</v>
      </c>
      <c r="B3674" s="96"/>
      <c r="C3674" s="18"/>
      <c r="D3674" s="42">
        <v>45946.0</v>
      </c>
      <c r="E3674" s="43" t="s">
        <v>24</v>
      </c>
      <c r="F3674" s="53" t="s">
        <v>2144</v>
      </c>
      <c r="G3674" s="97">
        <v>3.0</v>
      </c>
      <c r="H3674" s="97"/>
      <c r="I3674" s="97">
        <v>3.0</v>
      </c>
      <c r="J3674" s="98"/>
      <c r="K3674" s="99"/>
      <c r="L3674" s="98"/>
      <c r="M3674" s="99"/>
      <c r="N3674" s="99"/>
      <c r="O3674" s="18"/>
      <c r="P3674" s="100" t="b">
        <v>1</v>
      </c>
      <c r="Q3674" s="18"/>
      <c r="R3674" s="101">
        <f t="shared" si="3377"/>
        <v>6</v>
      </c>
      <c r="S3674" s="32">
        <v>14.1</v>
      </c>
      <c r="T3674" s="102" t="str">
        <f t="shared" si="3378"/>
        <v>+135</v>
      </c>
      <c r="U3674" s="18"/>
      <c r="V3674" s="103" t="str">
        <f t="shared" si="3790"/>
        <v/>
      </c>
      <c r="W3674" s="104" t="str">
        <f t="shared" si="2828"/>
        <v/>
      </c>
      <c r="X3674" s="105"/>
      <c r="Y3674" s="106"/>
      <c r="Z3674" s="26">
        <f t="shared" si="5"/>
        <v>4.05</v>
      </c>
      <c r="AA3674" s="26">
        <f t="shared" si="6"/>
        <v>4.05</v>
      </c>
      <c r="AB3674" s="32" t="str">
        <f t="shared" si="7"/>
        <v/>
      </c>
      <c r="AC3674" s="32" t="str">
        <f t="shared" ref="AC3674:AG3674" si="3792">IF(J3674&lt;&gt;"", IF(AND($P3674=FALSE, $A3674=FALSE), -J3674, IF(AND($P3674=FALSE, $A3674=TRUE), 0, IF($P3674=TRUE, (J3674 / $R3674) * 100 * ($S3674 / 100)-J3674, ))), )</f>
        <v/>
      </c>
      <c r="AD3674" s="32" t="str">
        <f t="shared" si="3792"/>
        <v/>
      </c>
      <c r="AE3674" s="32" t="str">
        <f t="shared" si="3792"/>
        <v/>
      </c>
      <c r="AF3674" s="32" t="str">
        <f t="shared" si="3792"/>
        <v/>
      </c>
      <c r="AG3674" s="32" t="str">
        <f t="shared" si="3792"/>
        <v/>
      </c>
      <c r="AH3674" s="33"/>
    </row>
    <row r="3675" hidden="1" outlineLevel="2">
      <c r="A3675" s="95" t="b">
        <v>0</v>
      </c>
      <c r="B3675" s="96"/>
      <c r="C3675" s="18"/>
      <c r="D3675" s="107"/>
      <c r="E3675" s="108"/>
      <c r="F3675" s="109"/>
      <c r="G3675" s="97"/>
      <c r="H3675" s="97"/>
      <c r="I3675" s="97"/>
      <c r="J3675" s="98"/>
      <c r="K3675" s="99"/>
      <c r="L3675" s="98"/>
      <c r="M3675" s="99"/>
      <c r="N3675" s="99"/>
      <c r="O3675" s="18"/>
      <c r="P3675" s="100" t="b">
        <v>0</v>
      </c>
      <c r="Q3675" s="18"/>
      <c r="R3675" s="101" t="str">
        <f t="shared" si="3377"/>
        <v/>
      </c>
      <c r="S3675" s="32"/>
      <c r="T3675" s="102" t="str">
        <f t="shared" si="3378"/>
        <v/>
      </c>
      <c r="U3675" s="18"/>
      <c r="V3675" s="75" t="s">
        <v>29</v>
      </c>
      <c r="W3675" s="104" t="str">
        <f t="shared" si="2828"/>
        <v>/</v>
      </c>
      <c r="X3675" s="111" t="s">
        <v>2151</v>
      </c>
      <c r="Y3675" s="106"/>
      <c r="Z3675" s="26" t="str">
        <f t="shared" si="5"/>
        <v/>
      </c>
      <c r="AA3675" s="26" t="str">
        <f t="shared" si="6"/>
        <v/>
      </c>
      <c r="AB3675" s="32" t="str">
        <f t="shared" si="7"/>
        <v/>
      </c>
      <c r="AC3675" s="32" t="str">
        <f t="shared" ref="AC3675:AG3675" si="3793">IF(J3675&lt;&gt;"", IF(AND($P3675=FALSE, $A3675=FALSE), -J3675, IF(AND($P3675=FALSE, $A3675=TRUE), 0, IF($P3675=TRUE, (J3675 / $R3675) * 100 * ($S3675 / 100)-J3675, ))), )</f>
        <v/>
      </c>
      <c r="AD3675" s="32" t="str">
        <f t="shared" si="3793"/>
        <v/>
      </c>
      <c r="AE3675" s="32" t="str">
        <f t="shared" si="3793"/>
        <v/>
      </c>
      <c r="AF3675" s="32" t="str">
        <f t="shared" si="3793"/>
        <v/>
      </c>
      <c r="AG3675" s="32" t="str">
        <f t="shared" si="3793"/>
        <v/>
      </c>
      <c r="AH3675" s="33"/>
    </row>
    <row r="3676" hidden="1" outlineLevel="2">
      <c r="A3676" s="95" t="b">
        <v>0</v>
      </c>
      <c r="B3676" s="96"/>
      <c r="C3676" s="18"/>
      <c r="D3676" s="107"/>
      <c r="E3676" s="108"/>
      <c r="F3676" s="109"/>
      <c r="G3676" s="97"/>
      <c r="H3676" s="97"/>
      <c r="I3676" s="97"/>
      <c r="J3676" s="98"/>
      <c r="K3676" s="99"/>
      <c r="L3676" s="98"/>
      <c r="M3676" s="99"/>
      <c r="N3676" s="99"/>
      <c r="O3676" s="18"/>
      <c r="P3676" s="100" t="b">
        <v>0</v>
      </c>
      <c r="Q3676" s="18"/>
      <c r="R3676" s="101" t="str">
        <f t="shared" si="3377"/>
        <v/>
      </c>
      <c r="S3676" s="32"/>
      <c r="T3676" s="102" t="str">
        <f t="shared" si="3378"/>
        <v/>
      </c>
      <c r="U3676" s="18"/>
      <c r="V3676" s="75" t="s">
        <v>29</v>
      </c>
      <c r="W3676" s="104" t="str">
        <f t="shared" si="2828"/>
        <v>/</v>
      </c>
      <c r="X3676" s="111" t="s">
        <v>2152</v>
      </c>
      <c r="Y3676" s="106"/>
      <c r="Z3676" s="26" t="str">
        <f t="shared" si="5"/>
        <v/>
      </c>
      <c r="AA3676" s="26" t="str">
        <f t="shared" si="6"/>
        <v/>
      </c>
      <c r="AB3676" s="32" t="str">
        <f t="shared" si="7"/>
        <v/>
      </c>
      <c r="AC3676" s="32" t="str">
        <f t="shared" ref="AC3676:AG3676" si="3794">IF(J3676&lt;&gt;"", IF(AND($P3676=FALSE, $A3676=FALSE), -J3676, IF(AND($P3676=FALSE, $A3676=TRUE), 0, IF($P3676=TRUE, (J3676 / $R3676) * 100 * ($S3676 / 100)-J3676, ))), )</f>
        <v/>
      </c>
      <c r="AD3676" s="32" t="str">
        <f t="shared" si="3794"/>
        <v/>
      </c>
      <c r="AE3676" s="32" t="str">
        <f t="shared" si="3794"/>
        <v/>
      </c>
      <c r="AF3676" s="32" t="str">
        <f t="shared" si="3794"/>
        <v/>
      </c>
      <c r="AG3676" s="32" t="str">
        <f t="shared" si="3794"/>
        <v/>
      </c>
      <c r="AH3676" s="33"/>
    </row>
    <row r="3677" hidden="1" outlineLevel="2">
      <c r="A3677" s="95" t="b">
        <v>0</v>
      </c>
      <c r="B3677" s="96"/>
      <c r="C3677" s="18"/>
      <c r="D3677" s="107"/>
      <c r="E3677" s="108"/>
      <c r="F3677" s="109"/>
      <c r="G3677" s="97"/>
      <c r="H3677" s="97"/>
      <c r="I3677" s="97"/>
      <c r="J3677" s="98"/>
      <c r="K3677" s="99"/>
      <c r="L3677" s="98"/>
      <c r="M3677" s="99"/>
      <c r="N3677" s="99"/>
      <c r="O3677" s="18"/>
      <c r="P3677" s="100" t="b">
        <v>0</v>
      </c>
      <c r="Q3677" s="18"/>
      <c r="R3677" s="101" t="str">
        <f t="shared" si="3377"/>
        <v/>
      </c>
      <c r="S3677" s="32"/>
      <c r="T3677" s="102" t="str">
        <f t="shared" si="3378"/>
        <v/>
      </c>
      <c r="U3677" s="18"/>
      <c r="V3677" s="75" t="s">
        <v>29</v>
      </c>
      <c r="W3677" s="104" t="str">
        <f t="shared" si="2828"/>
        <v>/</v>
      </c>
      <c r="X3677" s="111" t="s">
        <v>2153</v>
      </c>
      <c r="Y3677" s="106"/>
      <c r="Z3677" s="26" t="str">
        <f t="shared" si="5"/>
        <v/>
      </c>
      <c r="AA3677" s="26" t="str">
        <f t="shared" si="6"/>
        <v/>
      </c>
      <c r="AB3677" s="32" t="str">
        <f t="shared" si="7"/>
        <v/>
      </c>
      <c r="AC3677" s="32" t="str">
        <f t="shared" ref="AC3677:AG3677" si="3795">IF(J3677&lt;&gt;"", IF(AND($P3677=FALSE, $A3677=FALSE), -J3677, IF(AND($P3677=FALSE, $A3677=TRUE), 0, IF($P3677=TRUE, (J3677 / $R3677) * 100 * ($S3677 / 100)-J3677, ))), )</f>
        <v/>
      </c>
      <c r="AD3677" s="32" t="str">
        <f t="shared" si="3795"/>
        <v/>
      </c>
      <c r="AE3677" s="32" t="str">
        <f t="shared" si="3795"/>
        <v/>
      </c>
      <c r="AF3677" s="32" t="str">
        <f t="shared" si="3795"/>
        <v/>
      </c>
      <c r="AG3677" s="32" t="str">
        <f t="shared" si="3795"/>
        <v/>
      </c>
      <c r="AH3677" s="33"/>
    </row>
    <row r="3678" collapsed="1">
      <c r="A3678" s="95" t="b">
        <v>0</v>
      </c>
      <c r="B3678" s="96"/>
      <c r="C3678" s="18"/>
      <c r="D3678" s="42">
        <v>45953.0</v>
      </c>
      <c r="E3678" s="43" t="s">
        <v>24</v>
      </c>
      <c r="F3678" s="53" t="s">
        <v>2154</v>
      </c>
      <c r="G3678" s="97">
        <v>2.0</v>
      </c>
      <c r="H3678" s="97"/>
      <c r="I3678" s="97">
        <v>3.0</v>
      </c>
      <c r="J3678" s="98"/>
      <c r="K3678" s="99"/>
      <c r="L3678" s="98"/>
      <c r="M3678" s="99"/>
      <c r="N3678" s="99"/>
      <c r="O3678" s="18"/>
      <c r="P3678" s="100" t="b">
        <v>0</v>
      </c>
      <c r="Q3678" s="18"/>
      <c r="R3678" s="101">
        <f t="shared" si="3377"/>
        <v>5</v>
      </c>
      <c r="S3678" s="32">
        <v>12.61</v>
      </c>
      <c r="T3678" s="102" t="str">
        <f t="shared" si="3378"/>
        <v>+152</v>
      </c>
      <c r="U3678" s="18"/>
      <c r="V3678" s="103" t="str">
        <f>IF(ISBLANK($D3678), "0",)</f>
        <v/>
      </c>
      <c r="W3678" s="104" t="str">
        <f t="shared" si="2828"/>
        <v/>
      </c>
      <c r="X3678" s="105"/>
      <c r="Y3678" s="106"/>
      <c r="Z3678" s="26">
        <f t="shared" si="5"/>
        <v>-2</v>
      </c>
      <c r="AA3678" s="26">
        <f t="shared" si="6"/>
        <v>-3</v>
      </c>
      <c r="AB3678" s="32" t="str">
        <f t="shared" si="7"/>
        <v/>
      </c>
      <c r="AC3678" s="32" t="str">
        <f t="shared" ref="AC3678:AG3678" si="3796">IF(J3678&lt;&gt;"", IF(AND($P3678=FALSE, $A3678=FALSE), -J3678, IF(AND($P3678=FALSE, $A3678=TRUE), 0, IF($P3678=TRUE, (J3678 / $R3678) * 100 * ($S3678 / 100)-J3678, ))), )</f>
        <v/>
      </c>
      <c r="AD3678" s="32" t="str">
        <f t="shared" si="3796"/>
        <v/>
      </c>
      <c r="AE3678" s="32" t="str">
        <f t="shared" si="3796"/>
        <v/>
      </c>
      <c r="AF3678" s="32" t="str">
        <f t="shared" si="3796"/>
        <v/>
      </c>
      <c r="AG3678" s="32" t="str">
        <f t="shared" si="3796"/>
        <v/>
      </c>
      <c r="AH3678" s="33"/>
    </row>
    <row r="3679" hidden="1" outlineLevel="2">
      <c r="A3679" s="95" t="b">
        <v>0</v>
      </c>
      <c r="B3679" s="96"/>
      <c r="C3679" s="18"/>
      <c r="D3679" s="107"/>
      <c r="E3679" s="108"/>
      <c r="F3679" s="109"/>
      <c r="G3679" s="97"/>
      <c r="H3679" s="97"/>
      <c r="I3679" s="97"/>
      <c r="J3679" s="98"/>
      <c r="K3679" s="99"/>
      <c r="L3679" s="98"/>
      <c r="M3679" s="99"/>
      <c r="N3679" s="99"/>
      <c r="O3679" s="18"/>
      <c r="P3679" s="100" t="b">
        <v>0</v>
      </c>
      <c r="Q3679" s="18"/>
      <c r="R3679" s="101" t="str">
        <f t="shared" si="3377"/>
        <v/>
      </c>
      <c r="S3679" s="32"/>
      <c r="T3679" s="102" t="str">
        <f t="shared" si="3378"/>
        <v/>
      </c>
      <c r="U3679" s="18"/>
      <c r="V3679" s="113">
        <v>144.0</v>
      </c>
      <c r="W3679" s="104" t="str">
        <f t="shared" si="2828"/>
        <v>/</v>
      </c>
      <c r="X3679" s="111" t="s">
        <v>2155</v>
      </c>
      <c r="Y3679" s="106"/>
      <c r="Z3679" s="26" t="str">
        <f t="shared" si="5"/>
        <v/>
      </c>
      <c r="AA3679" s="26" t="str">
        <f t="shared" si="6"/>
        <v/>
      </c>
      <c r="AB3679" s="32" t="str">
        <f t="shared" si="7"/>
        <v/>
      </c>
      <c r="AC3679" s="32" t="str">
        <f t="shared" ref="AC3679:AG3679" si="3797">IF(J3679&lt;&gt;"", IF(AND($P3679=FALSE, $A3679=FALSE), -J3679, IF(AND($P3679=FALSE, $A3679=TRUE), 0, IF($P3679=TRUE, (J3679 / $R3679) * 100 * ($S3679 / 100)-J3679, ))), )</f>
        <v/>
      </c>
      <c r="AD3679" s="32" t="str">
        <f t="shared" si="3797"/>
        <v/>
      </c>
      <c r="AE3679" s="32" t="str">
        <f t="shared" si="3797"/>
        <v/>
      </c>
      <c r="AF3679" s="32" t="str">
        <f t="shared" si="3797"/>
        <v/>
      </c>
      <c r="AG3679" s="32" t="str">
        <f t="shared" si="3797"/>
        <v/>
      </c>
      <c r="AH3679" s="33"/>
    </row>
    <row r="3680" hidden="1" outlineLevel="2">
      <c r="A3680" s="95" t="b">
        <v>0</v>
      </c>
      <c r="B3680" s="96"/>
      <c r="C3680" s="18"/>
      <c r="D3680" s="107"/>
      <c r="E3680" s="108"/>
      <c r="F3680" s="109"/>
      <c r="G3680" s="97"/>
      <c r="H3680" s="97"/>
      <c r="I3680" s="97"/>
      <c r="J3680" s="98"/>
      <c r="K3680" s="99"/>
      <c r="L3680" s="98"/>
      <c r="M3680" s="99"/>
      <c r="N3680" s="99"/>
      <c r="O3680" s="18"/>
      <c r="P3680" s="100" t="b">
        <v>0</v>
      </c>
      <c r="Q3680" s="18"/>
      <c r="R3680" s="101" t="str">
        <f t="shared" si="3377"/>
        <v/>
      </c>
      <c r="S3680" s="32"/>
      <c r="T3680" s="102" t="str">
        <f t="shared" si="3378"/>
        <v/>
      </c>
      <c r="U3680" s="18"/>
      <c r="V3680" s="75" t="s">
        <v>29</v>
      </c>
      <c r="W3680" s="104" t="str">
        <f t="shared" si="2828"/>
        <v>/</v>
      </c>
      <c r="X3680" s="111" t="s">
        <v>2156</v>
      </c>
      <c r="Y3680" s="106"/>
      <c r="Z3680" s="26" t="str">
        <f t="shared" si="5"/>
        <v/>
      </c>
      <c r="AA3680" s="26" t="str">
        <f t="shared" si="6"/>
        <v/>
      </c>
      <c r="AB3680" s="32" t="str">
        <f t="shared" si="7"/>
        <v/>
      </c>
      <c r="AC3680" s="32" t="str">
        <f t="shared" ref="AC3680:AG3680" si="3798">IF(J3680&lt;&gt;"", IF(AND($P3680=FALSE, $A3680=FALSE), -J3680, IF(AND($P3680=FALSE, $A3680=TRUE), 0, IF($P3680=TRUE, (J3680 / $R3680) * 100 * ($S3680 / 100)-J3680, ))), )</f>
        <v/>
      </c>
      <c r="AD3680" s="32" t="str">
        <f t="shared" si="3798"/>
        <v/>
      </c>
      <c r="AE3680" s="32" t="str">
        <f t="shared" si="3798"/>
        <v/>
      </c>
      <c r="AF3680" s="32" t="str">
        <f t="shared" si="3798"/>
        <v/>
      </c>
      <c r="AG3680" s="32" t="str">
        <f t="shared" si="3798"/>
        <v/>
      </c>
      <c r="AH3680" s="33"/>
    </row>
    <row r="3681" hidden="1" outlineLevel="1" collapsed="1">
      <c r="A3681" s="95" t="b">
        <v>0</v>
      </c>
      <c r="B3681" s="96"/>
      <c r="C3681" s="18"/>
      <c r="D3681" s="42">
        <v>45953.0</v>
      </c>
      <c r="E3681" s="43" t="s">
        <v>24</v>
      </c>
      <c r="F3681" s="53" t="s">
        <v>2154</v>
      </c>
      <c r="G3681" s="97">
        <v>2.0</v>
      </c>
      <c r="H3681" s="97"/>
      <c r="I3681" s="97">
        <v>3.0</v>
      </c>
      <c r="J3681" s="98"/>
      <c r="K3681" s="99"/>
      <c r="L3681" s="98"/>
      <c r="M3681" s="99"/>
      <c r="N3681" s="99"/>
      <c r="O3681" s="18"/>
      <c r="P3681" s="100" t="b">
        <v>0</v>
      </c>
      <c r="Q3681" s="18"/>
      <c r="R3681" s="101">
        <f t="shared" si="3377"/>
        <v>5</v>
      </c>
      <c r="S3681" s="32">
        <v>11.5</v>
      </c>
      <c r="T3681" s="102" t="str">
        <f t="shared" si="3378"/>
        <v>+130</v>
      </c>
      <c r="U3681" s="18"/>
      <c r="V3681" s="103" t="str">
        <f>IF(ISBLANK($D3681), "0",)</f>
        <v/>
      </c>
      <c r="W3681" s="104" t="str">
        <f t="shared" si="2828"/>
        <v/>
      </c>
      <c r="X3681" s="105"/>
      <c r="Y3681" s="106"/>
      <c r="Z3681" s="26">
        <f t="shared" si="5"/>
        <v>-2</v>
      </c>
      <c r="AA3681" s="26">
        <f t="shared" si="6"/>
        <v>-3</v>
      </c>
      <c r="AB3681" s="32" t="str">
        <f t="shared" si="7"/>
        <v/>
      </c>
      <c r="AC3681" s="32" t="str">
        <f t="shared" ref="AC3681:AG3681" si="3799">IF(J3681&lt;&gt;"", IF(AND($P3681=FALSE, $A3681=FALSE), -J3681, IF(AND($P3681=FALSE, $A3681=TRUE), 0, IF($P3681=TRUE, (J3681 / $R3681) * 100 * ($S3681 / 100)-J3681, ))), )</f>
        <v/>
      </c>
      <c r="AD3681" s="32" t="str">
        <f t="shared" si="3799"/>
        <v/>
      </c>
      <c r="AE3681" s="32" t="str">
        <f t="shared" si="3799"/>
        <v/>
      </c>
      <c r="AF3681" s="32" t="str">
        <f t="shared" si="3799"/>
        <v/>
      </c>
      <c r="AG3681" s="32" t="str">
        <f t="shared" si="3799"/>
        <v/>
      </c>
      <c r="AH3681" s="33"/>
    </row>
    <row r="3682" hidden="1" outlineLevel="2">
      <c r="A3682" s="95" t="b">
        <v>0</v>
      </c>
      <c r="B3682" s="96"/>
      <c r="C3682" s="18"/>
      <c r="D3682" s="107"/>
      <c r="E3682" s="108"/>
      <c r="F3682" s="109"/>
      <c r="G3682" s="97"/>
      <c r="H3682" s="97"/>
      <c r="I3682" s="97"/>
      <c r="J3682" s="98"/>
      <c r="K3682" s="99"/>
      <c r="L3682" s="98"/>
      <c r="M3682" s="99"/>
      <c r="N3682" s="99"/>
      <c r="O3682" s="18"/>
      <c r="P3682" s="100" t="b">
        <v>0</v>
      </c>
      <c r="Q3682" s="18"/>
      <c r="R3682" s="101" t="str">
        <f t="shared" si="3377"/>
        <v/>
      </c>
      <c r="S3682" s="32"/>
      <c r="T3682" s="102" t="str">
        <f t="shared" si="3378"/>
        <v/>
      </c>
      <c r="U3682" s="18"/>
      <c r="V3682" s="113" t="s">
        <v>2157</v>
      </c>
      <c r="W3682" s="104" t="str">
        <f t="shared" si="2828"/>
        <v>/</v>
      </c>
      <c r="X3682" s="111" t="s">
        <v>2158</v>
      </c>
      <c r="Y3682" s="106"/>
      <c r="Z3682" s="26" t="str">
        <f t="shared" si="5"/>
        <v/>
      </c>
      <c r="AA3682" s="26" t="str">
        <f t="shared" si="6"/>
        <v/>
      </c>
      <c r="AB3682" s="32" t="str">
        <f t="shared" si="7"/>
        <v/>
      </c>
      <c r="AC3682" s="32" t="str">
        <f t="shared" ref="AC3682:AG3682" si="3800">IF(J3682&lt;&gt;"", IF(AND($P3682=FALSE, $A3682=FALSE), -J3682, IF(AND($P3682=FALSE, $A3682=TRUE), 0, IF($P3682=TRUE, (J3682 / $R3682) * 100 * ($S3682 / 100)-J3682, ))), )</f>
        <v/>
      </c>
      <c r="AD3682" s="32" t="str">
        <f t="shared" si="3800"/>
        <v/>
      </c>
      <c r="AE3682" s="32" t="str">
        <f t="shared" si="3800"/>
        <v/>
      </c>
      <c r="AF3682" s="32" t="str">
        <f t="shared" si="3800"/>
        <v/>
      </c>
      <c r="AG3682" s="32" t="str">
        <f t="shared" si="3800"/>
        <v/>
      </c>
      <c r="AH3682" s="33"/>
    </row>
    <row r="3683" hidden="1" outlineLevel="1" collapsed="1">
      <c r="A3683" s="95" t="b">
        <v>0</v>
      </c>
      <c r="B3683" s="96"/>
      <c r="C3683" s="18"/>
      <c r="D3683" s="42">
        <v>45953.0</v>
      </c>
      <c r="E3683" s="43" t="s">
        <v>24</v>
      </c>
      <c r="F3683" s="53" t="s">
        <v>2154</v>
      </c>
      <c r="G3683" s="97">
        <v>2.0</v>
      </c>
      <c r="H3683" s="97"/>
      <c r="I3683" s="97">
        <v>3.0</v>
      </c>
      <c r="J3683" s="98"/>
      <c r="K3683" s="99"/>
      <c r="L3683" s="98"/>
      <c r="M3683" s="99"/>
      <c r="N3683" s="99"/>
      <c r="O3683" s="18"/>
      <c r="P3683" s="100" t="b">
        <v>0</v>
      </c>
      <c r="Q3683" s="18"/>
      <c r="R3683" s="101">
        <f t="shared" si="3377"/>
        <v>5</v>
      </c>
      <c r="S3683" s="32">
        <v>35.0</v>
      </c>
      <c r="T3683" s="102" t="str">
        <f t="shared" si="3378"/>
        <v>+600</v>
      </c>
      <c r="U3683" s="18"/>
      <c r="V3683" s="103" t="str">
        <f>IF(ISBLANK($D3683), "0",)</f>
        <v/>
      </c>
      <c r="W3683" s="104" t="str">
        <f t="shared" si="2828"/>
        <v/>
      </c>
      <c r="X3683" s="105"/>
      <c r="Y3683" s="106"/>
      <c r="Z3683" s="26">
        <f t="shared" si="5"/>
        <v>-2</v>
      </c>
      <c r="AA3683" s="26">
        <f t="shared" si="6"/>
        <v>-3</v>
      </c>
      <c r="AB3683" s="32" t="str">
        <f t="shared" si="7"/>
        <v/>
      </c>
      <c r="AC3683" s="32" t="str">
        <f t="shared" ref="AC3683:AG3683" si="3801">IF(J3683&lt;&gt;"", IF(AND($P3683=FALSE, $A3683=FALSE), -J3683, IF(AND($P3683=FALSE, $A3683=TRUE), 0, IF($P3683=TRUE, (J3683 / $R3683) * 100 * ($S3683 / 100)-J3683, ))), )</f>
        <v/>
      </c>
      <c r="AD3683" s="32" t="str">
        <f t="shared" si="3801"/>
        <v/>
      </c>
      <c r="AE3683" s="32" t="str">
        <f t="shared" si="3801"/>
        <v/>
      </c>
      <c r="AF3683" s="32" t="str">
        <f t="shared" si="3801"/>
        <v/>
      </c>
      <c r="AG3683" s="32" t="str">
        <f t="shared" si="3801"/>
        <v/>
      </c>
      <c r="AH3683" s="33"/>
    </row>
    <row r="3684" hidden="1" outlineLevel="2">
      <c r="A3684" s="95" t="b">
        <v>0</v>
      </c>
      <c r="B3684" s="96"/>
      <c r="C3684" s="18"/>
      <c r="D3684" s="107"/>
      <c r="E3684" s="108"/>
      <c r="F3684" s="109"/>
      <c r="G3684" s="97"/>
      <c r="H3684" s="97"/>
      <c r="I3684" s="97"/>
      <c r="J3684" s="98"/>
      <c r="K3684" s="99"/>
      <c r="L3684" s="98"/>
      <c r="M3684" s="99"/>
      <c r="N3684" s="99"/>
      <c r="O3684" s="18"/>
      <c r="P3684" s="100" t="b">
        <v>0</v>
      </c>
      <c r="Q3684" s="18"/>
      <c r="R3684" s="101" t="str">
        <f t="shared" si="3377"/>
        <v/>
      </c>
      <c r="S3684" s="32"/>
      <c r="T3684" s="102" t="str">
        <f t="shared" si="3378"/>
        <v/>
      </c>
      <c r="U3684" s="18"/>
      <c r="V3684" s="120" t="s">
        <v>2159</v>
      </c>
      <c r="W3684" s="104" t="str">
        <f t="shared" si="2828"/>
        <v>/</v>
      </c>
      <c r="X3684" s="111" t="s">
        <v>2160</v>
      </c>
      <c r="Y3684" s="106"/>
      <c r="Z3684" s="26" t="str">
        <f t="shared" si="5"/>
        <v/>
      </c>
      <c r="AA3684" s="26" t="str">
        <f t="shared" si="6"/>
        <v/>
      </c>
      <c r="AB3684" s="32" t="str">
        <f t="shared" si="7"/>
        <v/>
      </c>
      <c r="AC3684" s="32" t="str">
        <f t="shared" ref="AC3684:AG3684" si="3802">IF(J3684&lt;&gt;"", IF(AND($P3684=FALSE, $A3684=FALSE), -J3684, IF(AND($P3684=FALSE, $A3684=TRUE), 0, IF($P3684=TRUE, (J3684 / $R3684) * 100 * ($S3684 / 100)-J3684, ))), )</f>
        <v/>
      </c>
      <c r="AD3684" s="32" t="str">
        <f t="shared" si="3802"/>
        <v/>
      </c>
      <c r="AE3684" s="32" t="str">
        <f t="shared" si="3802"/>
        <v/>
      </c>
      <c r="AF3684" s="32" t="str">
        <f t="shared" si="3802"/>
        <v/>
      </c>
      <c r="AG3684" s="32" t="str">
        <f t="shared" si="3802"/>
        <v/>
      </c>
      <c r="AH3684" s="33"/>
    </row>
    <row r="3685" hidden="1" outlineLevel="1">
      <c r="A3685" s="95" t="b">
        <v>0</v>
      </c>
      <c r="B3685" s="96"/>
      <c r="C3685" s="18"/>
      <c r="D3685" s="42">
        <v>45953.0</v>
      </c>
      <c r="E3685" s="43" t="s">
        <v>24</v>
      </c>
      <c r="F3685" s="53" t="s">
        <v>2154</v>
      </c>
      <c r="G3685" s="97">
        <v>2.0</v>
      </c>
      <c r="H3685" s="97"/>
      <c r="I3685" s="97">
        <v>3.0</v>
      </c>
      <c r="J3685" s="98"/>
      <c r="K3685" s="99"/>
      <c r="L3685" s="98"/>
      <c r="M3685" s="99"/>
      <c r="N3685" s="99"/>
      <c r="O3685" s="18"/>
      <c r="P3685" s="100" t="b">
        <v>0</v>
      </c>
      <c r="Q3685" s="18"/>
      <c r="R3685" s="101">
        <f t="shared" si="3377"/>
        <v>5</v>
      </c>
      <c r="S3685" s="32">
        <v>16.91</v>
      </c>
      <c r="T3685" s="102" t="str">
        <f t="shared" si="3378"/>
        <v>+238</v>
      </c>
      <c r="U3685" s="18"/>
      <c r="V3685" s="103" t="str">
        <f>IF(ISBLANK($D3685), "0",)</f>
        <v/>
      </c>
      <c r="W3685" s="104" t="str">
        <f t="shared" si="2828"/>
        <v/>
      </c>
      <c r="X3685" s="105"/>
      <c r="Y3685" s="106"/>
      <c r="Z3685" s="26">
        <f t="shared" si="5"/>
        <v>-2</v>
      </c>
      <c r="AA3685" s="26">
        <f t="shared" si="6"/>
        <v>-3</v>
      </c>
      <c r="AB3685" s="32" t="str">
        <f t="shared" si="7"/>
        <v/>
      </c>
      <c r="AC3685" s="32" t="str">
        <f t="shared" ref="AC3685:AG3685" si="3803">IF(J3685&lt;&gt;"", IF(AND($P3685=FALSE, $A3685=FALSE), -J3685, IF(AND($P3685=FALSE, $A3685=TRUE), 0, IF($P3685=TRUE, (J3685 / $R3685) * 100 * ($S3685 / 100)-J3685, ))), )</f>
        <v/>
      </c>
      <c r="AD3685" s="32" t="str">
        <f t="shared" si="3803"/>
        <v/>
      </c>
      <c r="AE3685" s="32" t="str">
        <f t="shared" si="3803"/>
        <v/>
      </c>
      <c r="AF3685" s="32" t="str">
        <f t="shared" si="3803"/>
        <v/>
      </c>
      <c r="AG3685" s="32" t="str">
        <f t="shared" si="3803"/>
        <v/>
      </c>
      <c r="AH3685" s="33"/>
    </row>
    <row r="3686" hidden="1" outlineLevel="2">
      <c r="A3686" s="95" t="b">
        <v>0</v>
      </c>
      <c r="B3686" s="96"/>
      <c r="C3686" s="18"/>
      <c r="D3686" s="107"/>
      <c r="E3686" s="108"/>
      <c r="F3686" s="109"/>
      <c r="G3686" s="97"/>
      <c r="H3686" s="97"/>
      <c r="I3686" s="97"/>
      <c r="J3686" s="98"/>
      <c r="K3686" s="99"/>
      <c r="L3686" s="98"/>
      <c r="M3686" s="99"/>
      <c r="N3686" s="99"/>
      <c r="O3686" s="18"/>
      <c r="P3686" s="100" t="b">
        <v>0</v>
      </c>
      <c r="Q3686" s="18"/>
      <c r="R3686" s="101" t="str">
        <f t="shared" si="3377"/>
        <v/>
      </c>
      <c r="S3686" s="32"/>
      <c r="T3686" s="102" t="str">
        <f t="shared" si="3378"/>
        <v/>
      </c>
      <c r="U3686" s="18"/>
      <c r="V3686" s="75" t="s">
        <v>29</v>
      </c>
      <c r="W3686" s="104" t="str">
        <f t="shared" si="2828"/>
        <v>/</v>
      </c>
      <c r="X3686" s="111" t="s">
        <v>2161</v>
      </c>
      <c r="Y3686" s="106"/>
      <c r="Z3686" s="26" t="str">
        <f t="shared" si="5"/>
        <v/>
      </c>
      <c r="AA3686" s="26" t="str">
        <f t="shared" si="6"/>
        <v/>
      </c>
      <c r="AB3686" s="32" t="str">
        <f t="shared" si="7"/>
        <v/>
      </c>
      <c r="AC3686" s="32" t="str">
        <f t="shared" ref="AC3686:AG3686" si="3804">IF(J3686&lt;&gt;"", IF(AND($P3686=FALSE, $A3686=FALSE), -J3686, IF(AND($P3686=FALSE, $A3686=TRUE), 0, IF($P3686=TRUE, (J3686 / $R3686) * 100 * ($S3686 / 100)-J3686, ))), )</f>
        <v/>
      </c>
      <c r="AD3686" s="32" t="str">
        <f t="shared" si="3804"/>
        <v/>
      </c>
      <c r="AE3686" s="32" t="str">
        <f t="shared" si="3804"/>
        <v/>
      </c>
      <c r="AF3686" s="32" t="str">
        <f t="shared" si="3804"/>
        <v/>
      </c>
      <c r="AG3686" s="32" t="str">
        <f t="shared" si="3804"/>
        <v/>
      </c>
      <c r="AH3686" s="33"/>
    </row>
    <row r="3687" hidden="1" outlineLevel="2">
      <c r="A3687" s="95" t="b">
        <v>0</v>
      </c>
      <c r="B3687" s="96"/>
      <c r="C3687" s="18"/>
      <c r="D3687" s="107"/>
      <c r="E3687" s="108"/>
      <c r="F3687" s="109"/>
      <c r="G3687" s="97"/>
      <c r="H3687" s="97"/>
      <c r="I3687" s="97"/>
      <c r="J3687" s="98"/>
      <c r="K3687" s="99"/>
      <c r="L3687" s="98"/>
      <c r="M3687" s="99"/>
      <c r="N3687" s="99"/>
      <c r="O3687" s="18"/>
      <c r="P3687" s="100" t="b">
        <v>0</v>
      </c>
      <c r="Q3687" s="18"/>
      <c r="R3687" s="101" t="str">
        <f t="shared" si="3377"/>
        <v/>
      </c>
      <c r="S3687" s="32"/>
      <c r="T3687" s="102" t="str">
        <f t="shared" si="3378"/>
        <v/>
      </c>
      <c r="U3687" s="18"/>
      <c r="V3687" s="113">
        <v>3.0</v>
      </c>
      <c r="W3687" s="104" t="str">
        <f t="shared" si="2828"/>
        <v>/</v>
      </c>
      <c r="X3687" s="111" t="s">
        <v>561</v>
      </c>
      <c r="Y3687" s="106"/>
      <c r="Z3687" s="26" t="str">
        <f t="shared" si="5"/>
        <v/>
      </c>
      <c r="AA3687" s="26" t="str">
        <f t="shared" si="6"/>
        <v/>
      </c>
      <c r="AB3687" s="32" t="str">
        <f t="shared" si="7"/>
        <v/>
      </c>
      <c r="AC3687" s="32" t="str">
        <f t="shared" ref="AC3687:AG3687" si="3805">IF(J3687&lt;&gt;"", IF(AND($P3687=FALSE, $A3687=FALSE), -J3687, IF(AND($P3687=FALSE, $A3687=TRUE), 0, IF($P3687=TRUE, (J3687 / $R3687) * 100 * ($S3687 / 100)-J3687, ))), )</f>
        <v/>
      </c>
      <c r="AD3687" s="32" t="str">
        <f t="shared" si="3805"/>
        <v/>
      </c>
      <c r="AE3687" s="32" t="str">
        <f t="shared" si="3805"/>
        <v/>
      </c>
      <c r="AF3687" s="32" t="str">
        <f t="shared" si="3805"/>
        <v/>
      </c>
      <c r="AG3687" s="32" t="str">
        <f t="shared" si="3805"/>
        <v/>
      </c>
      <c r="AH3687" s="33"/>
    </row>
    <row r="3688" hidden="1" outlineLevel="2">
      <c r="A3688" s="95" t="b">
        <v>0</v>
      </c>
      <c r="B3688" s="96"/>
      <c r="C3688" s="18"/>
      <c r="D3688" s="107"/>
      <c r="E3688" s="108"/>
      <c r="F3688" s="109"/>
      <c r="G3688" s="97"/>
      <c r="H3688" s="97"/>
      <c r="I3688" s="97"/>
      <c r="J3688" s="98"/>
      <c r="K3688" s="99"/>
      <c r="L3688" s="98"/>
      <c r="M3688" s="99"/>
      <c r="N3688" s="99"/>
      <c r="O3688" s="18"/>
      <c r="P3688" s="100" t="b">
        <v>0</v>
      </c>
      <c r="Q3688" s="18"/>
      <c r="R3688" s="101" t="str">
        <f t="shared" si="3377"/>
        <v/>
      </c>
      <c r="S3688" s="32"/>
      <c r="T3688" s="102" t="str">
        <f t="shared" si="3378"/>
        <v/>
      </c>
      <c r="U3688" s="18"/>
      <c r="V3688" s="113">
        <v>4.0</v>
      </c>
      <c r="W3688" s="104" t="str">
        <f t="shared" si="2828"/>
        <v>/</v>
      </c>
      <c r="X3688" s="111" t="s">
        <v>170</v>
      </c>
      <c r="Y3688" s="106"/>
      <c r="Z3688" s="26" t="str">
        <f t="shared" si="5"/>
        <v/>
      </c>
      <c r="AA3688" s="26" t="str">
        <f t="shared" si="6"/>
        <v/>
      </c>
      <c r="AB3688" s="32" t="str">
        <f t="shared" si="7"/>
        <v/>
      </c>
      <c r="AC3688" s="32" t="str">
        <f t="shared" ref="AC3688:AG3688" si="3806">IF(J3688&lt;&gt;"", IF(AND($P3688=FALSE, $A3688=FALSE), -J3688, IF(AND($P3688=FALSE, $A3688=TRUE), 0, IF($P3688=TRUE, (J3688 / $R3688) * 100 * ($S3688 / 100)-J3688, ))), )</f>
        <v/>
      </c>
      <c r="AD3688" s="32" t="str">
        <f t="shared" si="3806"/>
        <v/>
      </c>
      <c r="AE3688" s="32" t="str">
        <f t="shared" si="3806"/>
        <v/>
      </c>
      <c r="AF3688" s="32" t="str">
        <f t="shared" si="3806"/>
        <v/>
      </c>
      <c r="AG3688" s="32" t="str">
        <f t="shared" si="3806"/>
        <v/>
      </c>
      <c r="AH3688" s="33"/>
    </row>
    <row r="3689" collapsed="1">
      <c r="A3689" s="95" t="b">
        <v>0</v>
      </c>
      <c r="B3689" s="96"/>
      <c r="C3689" s="18"/>
      <c r="D3689" s="42">
        <v>45960.0</v>
      </c>
      <c r="E3689" s="43" t="s">
        <v>24</v>
      </c>
      <c r="F3689" s="53" t="s">
        <v>2162</v>
      </c>
      <c r="G3689" s="97">
        <v>2.0</v>
      </c>
      <c r="H3689" s="97"/>
      <c r="I3689" s="97">
        <v>3.0</v>
      </c>
      <c r="J3689" s="98"/>
      <c r="K3689" s="99"/>
      <c r="L3689" s="98"/>
      <c r="M3689" s="99"/>
      <c r="N3689" s="99"/>
      <c r="O3689" s="18"/>
      <c r="P3689" s="100" t="b">
        <v>1</v>
      </c>
      <c r="Q3689" s="18"/>
      <c r="R3689" s="101">
        <f t="shared" si="3377"/>
        <v>5</v>
      </c>
      <c r="S3689" s="32">
        <v>10.56</v>
      </c>
      <c r="T3689" s="102" t="str">
        <f t="shared" si="3378"/>
        <v>+111</v>
      </c>
      <c r="U3689" s="18"/>
      <c r="V3689" s="103" t="str">
        <f>IF(ISBLANK($D3689), "0",)</f>
        <v/>
      </c>
      <c r="W3689" s="104" t="str">
        <f t="shared" si="2828"/>
        <v/>
      </c>
      <c r="X3689" s="105"/>
      <c r="Y3689" s="106"/>
      <c r="Z3689" s="26">
        <f t="shared" si="5"/>
        <v>2.224</v>
      </c>
      <c r="AA3689" s="26">
        <f t="shared" si="6"/>
        <v>3.336</v>
      </c>
      <c r="AB3689" s="32" t="str">
        <f t="shared" si="7"/>
        <v/>
      </c>
      <c r="AC3689" s="32" t="str">
        <f t="shared" ref="AC3689:AG3689" si="3807">IF(J3689&lt;&gt;"", IF(AND($P3689=FALSE, $A3689=FALSE), -J3689, IF(AND($P3689=FALSE, $A3689=TRUE), 0, IF($P3689=TRUE, (J3689 / $R3689) * 100 * ($S3689 / 100)-J3689, ))), )</f>
        <v/>
      </c>
      <c r="AD3689" s="32" t="str">
        <f t="shared" si="3807"/>
        <v/>
      </c>
      <c r="AE3689" s="32" t="str">
        <f t="shared" si="3807"/>
        <v/>
      </c>
      <c r="AF3689" s="32" t="str">
        <f t="shared" si="3807"/>
        <v/>
      </c>
      <c r="AG3689" s="32" t="str">
        <f t="shared" si="3807"/>
        <v/>
      </c>
      <c r="AH3689" s="33"/>
    </row>
    <row r="3690" hidden="1" outlineLevel="2">
      <c r="A3690" s="95" t="b">
        <v>0</v>
      </c>
      <c r="B3690" s="96"/>
      <c r="C3690" s="18"/>
      <c r="D3690" s="107"/>
      <c r="E3690" s="108"/>
      <c r="F3690" s="109"/>
      <c r="G3690" s="97"/>
      <c r="H3690" s="97"/>
      <c r="I3690" s="97"/>
      <c r="J3690" s="98"/>
      <c r="K3690" s="99"/>
      <c r="L3690" s="98"/>
      <c r="M3690" s="99"/>
      <c r="N3690" s="99"/>
      <c r="O3690" s="18"/>
      <c r="P3690" s="100" t="b">
        <v>0</v>
      </c>
      <c r="Q3690" s="18"/>
      <c r="R3690" s="101" t="str">
        <f t="shared" si="3377"/>
        <v/>
      </c>
      <c r="S3690" s="32"/>
      <c r="T3690" s="102" t="str">
        <f t="shared" si="3378"/>
        <v/>
      </c>
      <c r="U3690" s="18"/>
      <c r="V3690" s="75" t="s">
        <v>29</v>
      </c>
      <c r="W3690" s="104" t="str">
        <f t="shared" si="2828"/>
        <v>/</v>
      </c>
      <c r="X3690" s="111" t="s">
        <v>2163</v>
      </c>
      <c r="Y3690" s="106"/>
      <c r="Z3690" s="26" t="str">
        <f t="shared" si="5"/>
        <v/>
      </c>
      <c r="AA3690" s="26" t="str">
        <f t="shared" si="6"/>
        <v/>
      </c>
      <c r="AB3690" s="32" t="str">
        <f t="shared" si="7"/>
        <v/>
      </c>
      <c r="AC3690" s="32" t="str">
        <f t="shared" ref="AC3690:AG3690" si="3808">IF(J3690&lt;&gt;"", IF(AND($P3690=FALSE, $A3690=FALSE), -J3690, IF(AND($P3690=FALSE, $A3690=TRUE), 0, IF($P3690=TRUE, (J3690 / $R3690) * 100 * ($S3690 / 100)-J3690, ))), )</f>
        <v/>
      </c>
      <c r="AD3690" s="32" t="str">
        <f t="shared" si="3808"/>
        <v/>
      </c>
      <c r="AE3690" s="32" t="str">
        <f t="shared" si="3808"/>
        <v/>
      </c>
      <c r="AF3690" s="32" t="str">
        <f t="shared" si="3808"/>
        <v/>
      </c>
      <c r="AG3690" s="32" t="str">
        <f t="shared" si="3808"/>
        <v/>
      </c>
      <c r="AH3690" s="33"/>
    </row>
    <row r="3691" hidden="1" outlineLevel="2">
      <c r="A3691" s="95" t="b">
        <v>0</v>
      </c>
      <c r="B3691" s="96"/>
      <c r="C3691" s="18"/>
      <c r="D3691" s="107"/>
      <c r="E3691" s="108"/>
      <c r="F3691" s="109"/>
      <c r="G3691" s="97"/>
      <c r="H3691" s="97"/>
      <c r="I3691" s="97"/>
      <c r="J3691" s="98"/>
      <c r="K3691" s="99"/>
      <c r="L3691" s="98"/>
      <c r="M3691" s="99"/>
      <c r="N3691" s="99"/>
      <c r="O3691" s="18"/>
      <c r="P3691" s="100" t="b">
        <v>0</v>
      </c>
      <c r="Q3691" s="18"/>
      <c r="R3691" s="101" t="str">
        <f t="shared" si="3377"/>
        <v/>
      </c>
      <c r="S3691" s="32"/>
      <c r="T3691" s="102" t="str">
        <f t="shared" si="3378"/>
        <v/>
      </c>
      <c r="U3691" s="18"/>
      <c r="V3691" s="75" t="s">
        <v>29</v>
      </c>
      <c r="W3691" s="104" t="str">
        <f t="shared" si="2828"/>
        <v>/</v>
      </c>
      <c r="X3691" s="111" t="s">
        <v>2164</v>
      </c>
      <c r="Y3691" s="106"/>
      <c r="Z3691" s="26" t="str">
        <f t="shared" si="5"/>
        <v/>
      </c>
      <c r="AA3691" s="26" t="str">
        <f t="shared" si="6"/>
        <v/>
      </c>
      <c r="AB3691" s="32" t="str">
        <f t="shared" si="7"/>
        <v/>
      </c>
      <c r="AC3691" s="32" t="str">
        <f t="shared" ref="AC3691:AG3691" si="3809">IF(J3691&lt;&gt;"", IF(AND($P3691=FALSE, $A3691=FALSE), -J3691, IF(AND($P3691=FALSE, $A3691=TRUE), 0, IF($P3691=TRUE, (J3691 / $R3691) * 100 * ($S3691 / 100)-J3691, ))), )</f>
        <v/>
      </c>
      <c r="AD3691" s="32" t="str">
        <f t="shared" si="3809"/>
        <v/>
      </c>
      <c r="AE3691" s="32" t="str">
        <f t="shared" si="3809"/>
        <v/>
      </c>
      <c r="AF3691" s="32" t="str">
        <f t="shared" si="3809"/>
        <v/>
      </c>
      <c r="AG3691" s="32" t="str">
        <f t="shared" si="3809"/>
        <v/>
      </c>
      <c r="AH3691" s="33"/>
    </row>
    <row r="3692" hidden="1" outlineLevel="1" collapsed="1">
      <c r="A3692" s="95" t="b">
        <v>0</v>
      </c>
      <c r="B3692" s="96"/>
      <c r="C3692" s="18"/>
      <c r="D3692" s="42">
        <v>45960.0</v>
      </c>
      <c r="E3692" s="43" t="s">
        <v>24</v>
      </c>
      <c r="F3692" s="53" t="s">
        <v>2162</v>
      </c>
      <c r="G3692" s="97">
        <v>3.0</v>
      </c>
      <c r="H3692" s="97"/>
      <c r="I3692" s="97">
        <v>2.0</v>
      </c>
      <c r="J3692" s="98"/>
      <c r="K3692" s="99"/>
      <c r="L3692" s="98"/>
      <c r="M3692" s="99"/>
      <c r="N3692" s="99"/>
      <c r="O3692" s="18"/>
      <c r="P3692" s="100" t="b">
        <v>0</v>
      </c>
      <c r="Q3692" s="18"/>
      <c r="R3692" s="101">
        <f t="shared" si="3377"/>
        <v>5</v>
      </c>
      <c r="S3692" s="32">
        <v>10.1</v>
      </c>
      <c r="T3692" s="102" t="str">
        <f t="shared" si="3378"/>
        <v>+102</v>
      </c>
      <c r="U3692" s="18"/>
      <c r="V3692" s="103" t="str">
        <f>IF(ISBLANK($D3692), "0",)</f>
        <v/>
      </c>
      <c r="W3692" s="104" t="str">
        <f t="shared" si="2828"/>
        <v/>
      </c>
      <c r="X3692" s="105"/>
      <c r="Y3692" s="106"/>
      <c r="Z3692" s="26">
        <f t="shared" si="5"/>
        <v>-3</v>
      </c>
      <c r="AA3692" s="26">
        <f t="shared" si="6"/>
        <v>-2</v>
      </c>
      <c r="AB3692" s="32" t="str">
        <f t="shared" si="7"/>
        <v/>
      </c>
      <c r="AC3692" s="32" t="str">
        <f t="shared" ref="AC3692:AG3692" si="3810">IF(J3692&lt;&gt;"", IF(AND($P3692=FALSE, $A3692=FALSE), -J3692, IF(AND($P3692=FALSE, $A3692=TRUE), 0, IF($P3692=TRUE, (J3692 / $R3692) * 100 * ($S3692 / 100)-J3692, ))), )</f>
        <v/>
      </c>
      <c r="AD3692" s="32" t="str">
        <f t="shared" si="3810"/>
        <v/>
      </c>
      <c r="AE3692" s="32" t="str">
        <f t="shared" si="3810"/>
        <v/>
      </c>
      <c r="AF3692" s="32" t="str">
        <f t="shared" si="3810"/>
        <v/>
      </c>
      <c r="AG3692" s="32" t="str">
        <f t="shared" si="3810"/>
        <v/>
      </c>
      <c r="AH3692" s="33"/>
    </row>
    <row r="3693" hidden="1" outlineLevel="2">
      <c r="A3693" s="95" t="b">
        <v>0</v>
      </c>
      <c r="B3693" s="96"/>
      <c r="C3693" s="18"/>
      <c r="D3693" s="107"/>
      <c r="E3693" s="108"/>
      <c r="F3693" s="109"/>
      <c r="G3693" s="97"/>
      <c r="H3693" s="97"/>
      <c r="I3693" s="97"/>
      <c r="J3693" s="98"/>
      <c r="K3693" s="99"/>
      <c r="L3693" s="98"/>
      <c r="M3693" s="99"/>
      <c r="N3693" s="99"/>
      <c r="O3693" s="18"/>
      <c r="P3693" s="100" t="b">
        <v>0</v>
      </c>
      <c r="Q3693" s="18"/>
      <c r="R3693" s="101" t="str">
        <f t="shared" si="3377"/>
        <v/>
      </c>
      <c r="S3693" s="32"/>
      <c r="T3693" s="102" t="str">
        <f t="shared" si="3378"/>
        <v/>
      </c>
      <c r="U3693" s="18"/>
      <c r="V3693" s="113">
        <v>5.0</v>
      </c>
      <c r="W3693" s="104" t="str">
        <f t="shared" si="2828"/>
        <v>/</v>
      </c>
      <c r="X3693" s="111" t="s">
        <v>2165</v>
      </c>
      <c r="Y3693" s="106"/>
      <c r="Z3693" s="26" t="str">
        <f t="shared" si="5"/>
        <v/>
      </c>
      <c r="AA3693" s="26" t="str">
        <f t="shared" si="6"/>
        <v/>
      </c>
      <c r="AB3693" s="32" t="str">
        <f t="shared" si="7"/>
        <v/>
      </c>
      <c r="AC3693" s="32" t="str">
        <f t="shared" ref="AC3693:AG3693" si="3811">IF(J3693&lt;&gt;"", IF(AND($P3693=FALSE, $A3693=FALSE), -J3693, IF(AND($P3693=FALSE, $A3693=TRUE), 0, IF($P3693=TRUE, (J3693 / $R3693) * 100 * ($S3693 / 100)-J3693, ))), )</f>
        <v/>
      </c>
      <c r="AD3693" s="32" t="str">
        <f t="shared" si="3811"/>
        <v/>
      </c>
      <c r="AE3693" s="32" t="str">
        <f t="shared" si="3811"/>
        <v/>
      </c>
      <c r="AF3693" s="32" t="str">
        <f t="shared" si="3811"/>
        <v/>
      </c>
      <c r="AG3693" s="32" t="str">
        <f t="shared" si="3811"/>
        <v/>
      </c>
      <c r="AH3693" s="33"/>
    </row>
    <row r="3694" hidden="1" outlineLevel="1" collapsed="1">
      <c r="A3694" s="95" t="b">
        <v>0</v>
      </c>
      <c r="B3694" s="96"/>
      <c r="C3694" s="18"/>
      <c r="D3694" s="42">
        <v>45960.0</v>
      </c>
      <c r="E3694" s="43" t="s">
        <v>24</v>
      </c>
      <c r="F3694" s="53" t="s">
        <v>2162</v>
      </c>
      <c r="G3694" s="97">
        <v>2.0</v>
      </c>
      <c r="H3694" s="97"/>
      <c r="I3694" s="97">
        <v>3.0</v>
      </c>
      <c r="J3694" s="98"/>
      <c r="K3694" s="99"/>
      <c r="L3694" s="98"/>
      <c r="M3694" s="99"/>
      <c r="N3694" s="99"/>
      <c r="O3694" s="18"/>
      <c r="P3694" s="100" t="b">
        <v>1</v>
      </c>
      <c r="Q3694" s="18"/>
      <c r="R3694" s="101">
        <f t="shared" si="3377"/>
        <v>5</v>
      </c>
      <c r="S3694" s="32">
        <v>9.44</v>
      </c>
      <c r="T3694" s="102">
        <f t="shared" si="3378"/>
        <v>-113</v>
      </c>
      <c r="U3694" s="18"/>
      <c r="V3694" s="103" t="str">
        <f>IF(ISBLANK($D3694), "0",)</f>
        <v/>
      </c>
      <c r="W3694" s="104" t="str">
        <f t="shared" si="2828"/>
        <v/>
      </c>
      <c r="X3694" s="105"/>
      <c r="Y3694" s="106"/>
      <c r="Z3694" s="26">
        <f t="shared" si="5"/>
        <v>1.776</v>
      </c>
      <c r="AA3694" s="26">
        <f t="shared" si="6"/>
        <v>2.664</v>
      </c>
      <c r="AB3694" s="32" t="str">
        <f t="shared" si="7"/>
        <v/>
      </c>
      <c r="AC3694" s="32" t="str">
        <f t="shared" ref="AC3694:AG3694" si="3812">IF(J3694&lt;&gt;"", IF(AND($P3694=FALSE, $A3694=FALSE), -J3694, IF(AND($P3694=FALSE, $A3694=TRUE), 0, IF($P3694=TRUE, (J3694 / $R3694) * 100 * ($S3694 / 100)-J3694, ))), )</f>
        <v/>
      </c>
      <c r="AD3694" s="32" t="str">
        <f t="shared" si="3812"/>
        <v/>
      </c>
      <c r="AE3694" s="32" t="str">
        <f t="shared" si="3812"/>
        <v/>
      </c>
      <c r="AF3694" s="32" t="str">
        <f t="shared" si="3812"/>
        <v/>
      </c>
      <c r="AG3694" s="32" t="str">
        <f t="shared" si="3812"/>
        <v/>
      </c>
      <c r="AH3694" s="33"/>
    </row>
    <row r="3695" hidden="1" outlineLevel="2">
      <c r="A3695" s="95" t="b">
        <v>0</v>
      </c>
      <c r="B3695" s="96"/>
      <c r="C3695" s="18"/>
      <c r="D3695" s="107"/>
      <c r="E3695" s="108"/>
      <c r="F3695" s="109"/>
      <c r="G3695" s="97"/>
      <c r="H3695" s="97"/>
      <c r="I3695" s="97"/>
      <c r="J3695" s="98"/>
      <c r="K3695" s="99"/>
      <c r="L3695" s="98"/>
      <c r="M3695" s="99"/>
      <c r="N3695" s="99"/>
      <c r="O3695" s="18"/>
      <c r="P3695" s="100" t="b">
        <v>0</v>
      </c>
      <c r="Q3695" s="18"/>
      <c r="R3695" s="101" t="str">
        <f t="shared" si="3377"/>
        <v/>
      </c>
      <c r="S3695" s="32"/>
      <c r="T3695" s="102" t="str">
        <f t="shared" si="3378"/>
        <v/>
      </c>
      <c r="U3695" s="18"/>
      <c r="V3695" s="75" t="s">
        <v>29</v>
      </c>
      <c r="W3695" s="104" t="str">
        <f t="shared" si="2828"/>
        <v>/</v>
      </c>
      <c r="X3695" s="111" t="s">
        <v>1546</v>
      </c>
      <c r="Y3695" s="106"/>
      <c r="Z3695" s="26" t="str">
        <f t="shared" si="5"/>
        <v/>
      </c>
      <c r="AA3695" s="26" t="str">
        <f t="shared" si="6"/>
        <v/>
      </c>
      <c r="AB3695" s="32" t="str">
        <f t="shared" si="7"/>
        <v/>
      </c>
      <c r="AC3695" s="32" t="str">
        <f t="shared" ref="AC3695:AG3695" si="3813">IF(J3695&lt;&gt;"", IF(AND($P3695=FALSE, $A3695=FALSE), -J3695, IF(AND($P3695=FALSE, $A3695=TRUE), 0, IF($P3695=TRUE, (J3695 / $R3695) * 100 * ($S3695 / 100)-J3695, ))), )</f>
        <v/>
      </c>
      <c r="AD3695" s="32" t="str">
        <f t="shared" si="3813"/>
        <v/>
      </c>
      <c r="AE3695" s="32" t="str">
        <f t="shared" si="3813"/>
        <v/>
      </c>
      <c r="AF3695" s="32" t="str">
        <f t="shared" si="3813"/>
        <v/>
      </c>
      <c r="AG3695" s="32" t="str">
        <f t="shared" si="3813"/>
        <v/>
      </c>
      <c r="AH3695" s="33"/>
    </row>
    <row r="3696" hidden="1" outlineLevel="2">
      <c r="A3696" s="95" t="b">
        <v>0</v>
      </c>
      <c r="B3696" s="96"/>
      <c r="C3696" s="18"/>
      <c r="D3696" s="107"/>
      <c r="E3696" s="108"/>
      <c r="F3696" s="109"/>
      <c r="G3696" s="97"/>
      <c r="H3696" s="97"/>
      <c r="I3696" s="97"/>
      <c r="J3696" s="98"/>
      <c r="K3696" s="99"/>
      <c r="L3696" s="98"/>
      <c r="M3696" s="99"/>
      <c r="N3696" s="99"/>
      <c r="O3696" s="18"/>
      <c r="P3696" s="100" t="b">
        <v>0</v>
      </c>
      <c r="Q3696" s="18"/>
      <c r="R3696" s="101" t="str">
        <f t="shared" si="3377"/>
        <v/>
      </c>
      <c r="S3696" s="32"/>
      <c r="T3696" s="102" t="str">
        <f t="shared" si="3378"/>
        <v/>
      </c>
      <c r="U3696" s="18"/>
      <c r="V3696" s="75" t="s">
        <v>29</v>
      </c>
      <c r="W3696" s="104" t="str">
        <f t="shared" si="2828"/>
        <v>/</v>
      </c>
      <c r="X3696" s="111" t="s">
        <v>2166</v>
      </c>
      <c r="Y3696" s="106"/>
      <c r="Z3696" s="26" t="str">
        <f t="shared" si="5"/>
        <v/>
      </c>
      <c r="AA3696" s="26" t="str">
        <f t="shared" si="6"/>
        <v/>
      </c>
      <c r="AB3696" s="32" t="str">
        <f t="shared" si="7"/>
        <v/>
      </c>
      <c r="AC3696" s="32" t="str">
        <f t="shared" ref="AC3696:AG3696" si="3814">IF(J3696&lt;&gt;"", IF(AND($P3696=FALSE, $A3696=FALSE), -J3696, IF(AND($P3696=FALSE, $A3696=TRUE), 0, IF($P3696=TRUE, (J3696 / $R3696) * 100 * ($S3696 / 100)-J3696, ))), )</f>
        <v/>
      </c>
      <c r="AD3696" s="32" t="str">
        <f t="shared" si="3814"/>
        <v/>
      </c>
      <c r="AE3696" s="32" t="str">
        <f t="shared" si="3814"/>
        <v/>
      </c>
      <c r="AF3696" s="32" t="str">
        <f t="shared" si="3814"/>
        <v/>
      </c>
      <c r="AG3696" s="32" t="str">
        <f t="shared" si="3814"/>
        <v/>
      </c>
      <c r="AH3696" s="33"/>
    </row>
    <row r="3697" hidden="1" outlineLevel="1">
      <c r="A3697" s="95" t="b">
        <v>0</v>
      </c>
      <c r="B3697" s="96"/>
      <c r="C3697" s="18"/>
      <c r="D3697" s="42">
        <v>45960.0</v>
      </c>
      <c r="E3697" s="43" t="s">
        <v>24</v>
      </c>
      <c r="F3697" s="53" t="s">
        <v>2162</v>
      </c>
      <c r="G3697" s="97">
        <v>2.0</v>
      </c>
      <c r="H3697" s="97"/>
      <c r="I3697" s="97">
        <v>3.0</v>
      </c>
      <c r="J3697" s="98"/>
      <c r="K3697" s="99"/>
      <c r="L3697" s="98"/>
      <c r="M3697" s="99"/>
      <c r="N3697" s="99"/>
      <c r="O3697" s="18"/>
      <c r="P3697" s="100" t="b">
        <v>0</v>
      </c>
      <c r="Q3697" s="18"/>
      <c r="R3697" s="101">
        <f t="shared" si="3377"/>
        <v>5</v>
      </c>
      <c r="S3697" s="32">
        <v>9.34</v>
      </c>
      <c r="T3697" s="102">
        <f t="shared" si="3378"/>
        <v>-115</v>
      </c>
      <c r="U3697" s="18"/>
      <c r="V3697" s="103" t="str">
        <f t="shared" ref="V3697:V3699" si="3816">IF(ISBLANK($D3697), "0",)</f>
        <v/>
      </c>
      <c r="W3697" s="104" t="str">
        <f t="shared" si="2828"/>
        <v/>
      </c>
      <c r="X3697" s="105"/>
      <c r="Y3697" s="106"/>
      <c r="Z3697" s="26">
        <f t="shared" si="5"/>
        <v>-2</v>
      </c>
      <c r="AA3697" s="26">
        <f t="shared" si="6"/>
        <v>-3</v>
      </c>
      <c r="AB3697" s="32" t="str">
        <f t="shared" si="7"/>
        <v/>
      </c>
      <c r="AC3697" s="32" t="str">
        <f t="shared" ref="AC3697:AG3697" si="3815">IF(J3697&lt;&gt;"", IF(AND($P3697=FALSE, $A3697=FALSE), -J3697, IF(AND($P3697=FALSE, $A3697=TRUE), 0, IF($P3697=TRUE, (J3697 / $R3697) * 100 * ($S3697 / 100)-J3697, ))), )</f>
        <v/>
      </c>
      <c r="AD3697" s="32" t="str">
        <f t="shared" si="3815"/>
        <v/>
      </c>
      <c r="AE3697" s="32" t="str">
        <f t="shared" si="3815"/>
        <v/>
      </c>
      <c r="AF3697" s="32" t="str">
        <f t="shared" si="3815"/>
        <v/>
      </c>
      <c r="AG3697" s="32" t="str">
        <f t="shared" si="3815"/>
        <v/>
      </c>
      <c r="AH3697" s="33"/>
    </row>
    <row r="3698" hidden="1" outlineLevel="2">
      <c r="A3698" s="95" t="b">
        <v>0</v>
      </c>
      <c r="B3698" s="96"/>
      <c r="C3698" s="18"/>
      <c r="D3698" s="107"/>
      <c r="E3698" s="108"/>
      <c r="F3698" s="109"/>
      <c r="G3698" s="97"/>
      <c r="H3698" s="97"/>
      <c r="I3698" s="97"/>
      <c r="J3698" s="98"/>
      <c r="K3698" s="99"/>
      <c r="L3698" s="98"/>
      <c r="M3698" s="99"/>
      <c r="N3698" s="99"/>
      <c r="O3698" s="18"/>
      <c r="P3698" s="100" t="b">
        <v>0</v>
      </c>
      <c r="Q3698" s="18"/>
      <c r="R3698" s="101" t="str">
        <f t="shared" si="3377"/>
        <v/>
      </c>
      <c r="S3698" s="32"/>
      <c r="T3698" s="102" t="str">
        <f t="shared" si="3378"/>
        <v/>
      </c>
      <c r="U3698" s="18"/>
      <c r="V3698" s="103" t="str">
        <f t="shared" si="3816"/>
        <v>0</v>
      </c>
      <c r="W3698" s="104" t="str">
        <f t="shared" si="2828"/>
        <v>/</v>
      </c>
      <c r="X3698" s="111" t="s">
        <v>2167</v>
      </c>
      <c r="Y3698" s="106"/>
      <c r="Z3698" s="26" t="str">
        <f t="shared" si="5"/>
        <v/>
      </c>
      <c r="AA3698" s="26" t="str">
        <f t="shared" si="6"/>
        <v/>
      </c>
      <c r="AB3698" s="32" t="str">
        <f t="shared" si="7"/>
        <v/>
      </c>
      <c r="AC3698" s="32" t="str">
        <f t="shared" ref="AC3698:AG3698" si="3817">IF(J3698&lt;&gt;"", IF(AND($P3698=FALSE, $A3698=FALSE), -J3698, IF(AND($P3698=FALSE, $A3698=TRUE), 0, IF($P3698=TRUE, (J3698 / $R3698) * 100 * ($S3698 / 100)-J3698, ))), )</f>
        <v/>
      </c>
      <c r="AD3698" s="32" t="str">
        <f t="shared" si="3817"/>
        <v/>
      </c>
      <c r="AE3698" s="32" t="str">
        <f t="shared" si="3817"/>
        <v/>
      </c>
      <c r="AF3698" s="32" t="str">
        <f t="shared" si="3817"/>
        <v/>
      </c>
      <c r="AG3698" s="32" t="str">
        <f t="shared" si="3817"/>
        <v/>
      </c>
      <c r="AH3698" s="33"/>
    </row>
    <row r="3699" hidden="1" outlineLevel="2">
      <c r="A3699" s="95" t="b">
        <v>0</v>
      </c>
      <c r="B3699" s="96"/>
      <c r="C3699" s="18"/>
      <c r="D3699" s="107"/>
      <c r="E3699" s="108"/>
      <c r="F3699" s="109"/>
      <c r="G3699" s="97"/>
      <c r="H3699" s="97"/>
      <c r="I3699" s="97"/>
      <c r="J3699" s="98"/>
      <c r="K3699" s="99"/>
      <c r="L3699" s="98"/>
      <c r="M3699" s="99"/>
      <c r="N3699" s="99"/>
      <c r="O3699" s="18"/>
      <c r="P3699" s="100" t="b">
        <v>0</v>
      </c>
      <c r="Q3699" s="18"/>
      <c r="R3699" s="101" t="str">
        <f t="shared" si="3377"/>
        <v/>
      </c>
      <c r="S3699" s="32"/>
      <c r="T3699" s="102" t="str">
        <f t="shared" si="3378"/>
        <v/>
      </c>
      <c r="U3699" s="18"/>
      <c r="V3699" s="103" t="str">
        <f t="shared" si="3816"/>
        <v>0</v>
      </c>
      <c r="W3699" s="104" t="str">
        <f t="shared" si="2828"/>
        <v>/</v>
      </c>
      <c r="X3699" s="111" t="s">
        <v>72</v>
      </c>
      <c r="Y3699" s="106"/>
      <c r="Z3699" s="26" t="str">
        <f t="shared" si="5"/>
        <v/>
      </c>
      <c r="AA3699" s="26" t="str">
        <f t="shared" si="6"/>
        <v/>
      </c>
      <c r="AB3699" s="32" t="str">
        <f t="shared" si="7"/>
        <v/>
      </c>
      <c r="AC3699" s="32" t="str">
        <f t="shared" ref="AC3699:AG3699" si="3818">IF(J3699&lt;&gt;"", IF(AND($P3699=FALSE, $A3699=FALSE), -J3699, IF(AND($P3699=FALSE, $A3699=TRUE), 0, IF($P3699=TRUE, (J3699 / $R3699) * 100 * ($S3699 / 100)-J3699, ))), )</f>
        <v/>
      </c>
      <c r="AD3699" s="32" t="str">
        <f t="shared" si="3818"/>
        <v/>
      </c>
      <c r="AE3699" s="32" t="str">
        <f t="shared" si="3818"/>
        <v/>
      </c>
      <c r="AF3699" s="32" t="str">
        <f t="shared" si="3818"/>
        <v/>
      </c>
      <c r="AG3699" s="32" t="str">
        <f t="shared" si="3818"/>
        <v/>
      </c>
      <c r="AH3699" s="33"/>
    </row>
    <row r="3700" hidden="1" outlineLevel="2">
      <c r="A3700" s="95" t="b">
        <v>0</v>
      </c>
      <c r="B3700" s="96"/>
      <c r="C3700" s="18"/>
      <c r="D3700" s="107"/>
      <c r="E3700" s="108"/>
      <c r="F3700" s="109"/>
      <c r="G3700" s="97"/>
      <c r="H3700" s="97"/>
      <c r="I3700" s="97"/>
      <c r="J3700" s="98"/>
      <c r="K3700" s="99"/>
      <c r="L3700" s="98"/>
      <c r="M3700" s="99"/>
      <c r="N3700" s="99"/>
      <c r="O3700" s="18"/>
      <c r="P3700" s="100" t="b">
        <v>0</v>
      </c>
      <c r="Q3700" s="18"/>
      <c r="R3700" s="101" t="str">
        <f t="shared" si="3377"/>
        <v/>
      </c>
      <c r="S3700" s="32"/>
      <c r="T3700" s="102" t="str">
        <f t="shared" si="3378"/>
        <v/>
      </c>
      <c r="U3700" s="18"/>
      <c r="V3700" s="75" t="s">
        <v>29</v>
      </c>
      <c r="W3700" s="104" t="str">
        <f t="shared" si="2828"/>
        <v>/</v>
      </c>
      <c r="X3700" s="111" t="s">
        <v>1192</v>
      </c>
      <c r="Y3700" s="106"/>
      <c r="Z3700" s="26" t="str">
        <f t="shared" si="5"/>
        <v/>
      </c>
      <c r="AA3700" s="26" t="str">
        <f t="shared" si="6"/>
        <v/>
      </c>
      <c r="AB3700" s="32" t="str">
        <f t="shared" si="7"/>
        <v/>
      </c>
      <c r="AC3700" s="32" t="str">
        <f t="shared" ref="AC3700:AG3700" si="3819">IF(J3700&lt;&gt;"", IF(AND($P3700=FALSE, $A3700=FALSE), -J3700, IF(AND($P3700=FALSE, $A3700=TRUE), 0, IF($P3700=TRUE, (J3700 / $R3700) * 100 * ($S3700 / 100)-J3700, ))), )</f>
        <v/>
      </c>
      <c r="AD3700" s="32" t="str">
        <f t="shared" si="3819"/>
        <v/>
      </c>
      <c r="AE3700" s="32" t="str">
        <f t="shared" si="3819"/>
        <v/>
      </c>
      <c r="AF3700" s="32" t="str">
        <f t="shared" si="3819"/>
        <v/>
      </c>
      <c r="AG3700" s="32" t="str">
        <f t="shared" si="3819"/>
        <v/>
      </c>
      <c r="AH3700" s="33"/>
    </row>
    <row r="3701" collapsed="1">
      <c r="A3701" s="95" t="b">
        <v>0</v>
      </c>
      <c r="B3701" s="96"/>
      <c r="C3701" s="18"/>
      <c r="D3701" s="42">
        <v>45963.0</v>
      </c>
      <c r="E3701" s="43" t="s">
        <v>24</v>
      </c>
      <c r="F3701" s="53" t="s">
        <v>2162</v>
      </c>
      <c r="G3701" s="97">
        <v>2.0</v>
      </c>
      <c r="H3701" s="97">
        <v>2.0</v>
      </c>
      <c r="I3701" s="97">
        <v>2.0</v>
      </c>
      <c r="J3701" s="98"/>
      <c r="K3701" s="99"/>
      <c r="L3701" s="98"/>
      <c r="M3701" s="99"/>
      <c r="N3701" s="99"/>
      <c r="O3701" s="18"/>
      <c r="P3701" s="100" t="b">
        <v>0</v>
      </c>
      <c r="Q3701" s="18"/>
      <c r="R3701" s="101">
        <f t="shared" si="3377"/>
        <v>6</v>
      </c>
      <c r="S3701" s="32">
        <v>19.77</v>
      </c>
      <c r="T3701" s="102" t="str">
        <f t="shared" si="3378"/>
        <v>+230</v>
      </c>
      <c r="U3701" s="18"/>
      <c r="V3701" s="103" t="str">
        <f t="shared" ref="V3701:V3704" si="3821">IF(ISBLANK($D3701), "0",)</f>
        <v/>
      </c>
      <c r="W3701" s="104" t="str">
        <f t="shared" si="2828"/>
        <v/>
      </c>
      <c r="X3701" s="105"/>
      <c r="Y3701" s="106"/>
      <c r="Z3701" s="26">
        <f t="shared" si="5"/>
        <v>-2</v>
      </c>
      <c r="AA3701" s="26">
        <f t="shared" si="6"/>
        <v>-2</v>
      </c>
      <c r="AB3701" s="32">
        <f t="shared" si="7"/>
        <v>-2</v>
      </c>
      <c r="AC3701" s="32" t="str">
        <f t="shared" ref="AC3701:AG3701" si="3820">IF(J3701&lt;&gt;"", IF(AND($P3701=FALSE, $A3701=FALSE), -J3701, IF(AND($P3701=FALSE, $A3701=TRUE), 0, IF($P3701=TRUE, (J3701 / $R3701) * 100 * ($S3701 / 100)-J3701, ))), )</f>
        <v/>
      </c>
      <c r="AD3701" s="32" t="str">
        <f t="shared" si="3820"/>
        <v/>
      </c>
      <c r="AE3701" s="32" t="str">
        <f t="shared" si="3820"/>
        <v/>
      </c>
      <c r="AF3701" s="32" t="str">
        <f t="shared" si="3820"/>
        <v/>
      </c>
      <c r="AG3701" s="32" t="str">
        <f t="shared" si="3820"/>
        <v/>
      </c>
      <c r="AH3701" s="33"/>
    </row>
    <row r="3702" hidden="1" outlineLevel="2">
      <c r="A3702" s="95" t="b">
        <v>0</v>
      </c>
      <c r="B3702" s="96"/>
      <c r="C3702" s="18"/>
      <c r="D3702" s="107"/>
      <c r="E3702" s="108"/>
      <c r="F3702" s="109"/>
      <c r="G3702" s="97"/>
      <c r="H3702" s="97"/>
      <c r="I3702" s="97"/>
      <c r="J3702" s="98"/>
      <c r="K3702" s="99"/>
      <c r="L3702" s="98"/>
      <c r="M3702" s="99"/>
      <c r="N3702" s="99"/>
      <c r="O3702" s="18"/>
      <c r="P3702" s="100" t="b">
        <v>0</v>
      </c>
      <c r="Q3702" s="18"/>
      <c r="R3702" s="101" t="str">
        <f t="shared" si="3377"/>
        <v/>
      </c>
      <c r="S3702" s="32"/>
      <c r="T3702" s="102" t="str">
        <f t="shared" si="3378"/>
        <v/>
      </c>
      <c r="U3702" s="18"/>
      <c r="V3702" s="103" t="str">
        <f t="shared" si="3821"/>
        <v>0</v>
      </c>
      <c r="W3702" s="104" t="str">
        <f t="shared" si="2828"/>
        <v>/</v>
      </c>
      <c r="X3702" s="111" t="s">
        <v>1594</v>
      </c>
      <c r="Y3702" s="106"/>
      <c r="Z3702" s="26" t="str">
        <f t="shared" si="5"/>
        <v/>
      </c>
      <c r="AA3702" s="26" t="str">
        <f t="shared" si="6"/>
        <v/>
      </c>
      <c r="AB3702" s="32" t="str">
        <f t="shared" si="7"/>
        <v/>
      </c>
      <c r="AC3702" s="32" t="str">
        <f t="shared" ref="AC3702:AG3702" si="3822">IF(J3702&lt;&gt;"", IF(AND($P3702=FALSE, $A3702=FALSE), -J3702, IF(AND($P3702=FALSE, $A3702=TRUE), 0, IF($P3702=TRUE, (J3702 / $R3702) * 100 * ($S3702 / 100)-J3702, ))), )</f>
        <v/>
      </c>
      <c r="AD3702" s="32" t="str">
        <f t="shared" si="3822"/>
        <v/>
      </c>
      <c r="AE3702" s="32" t="str">
        <f t="shared" si="3822"/>
        <v/>
      </c>
      <c r="AF3702" s="32" t="str">
        <f t="shared" si="3822"/>
        <v/>
      </c>
      <c r="AG3702" s="32" t="str">
        <f t="shared" si="3822"/>
        <v/>
      </c>
      <c r="AH3702" s="33"/>
    </row>
    <row r="3703" hidden="1" outlineLevel="2">
      <c r="A3703" s="95" t="b">
        <v>0</v>
      </c>
      <c r="B3703" s="96"/>
      <c r="C3703" s="18"/>
      <c r="D3703" s="107"/>
      <c r="E3703" s="108"/>
      <c r="F3703" s="109"/>
      <c r="G3703" s="97"/>
      <c r="H3703" s="97"/>
      <c r="I3703" s="97"/>
      <c r="J3703" s="98"/>
      <c r="K3703" s="99"/>
      <c r="L3703" s="98"/>
      <c r="M3703" s="99"/>
      <c r="N3703" s="99"/>
      <c r="O3703" s="18"/>
      <c r="P3703" s="100" t="b">
        <v>0</v>
      </c>
      <c r="Q3703" s="18"/>
      <c r="R3703" s="101" t="str">
        <f t="shared" si="3377"/>
        <v/>
      </c>
      <c r="S3703" s="32"/>
      <c r="T3703" s="102" t="str">
        <f t="shared" si="3378"/>
        <v/>
      </c>
      <c r="U3703" s="18"/>
      <c r="V3703" s="103" t="str">
        <f t="shared" si="3821"/>
        <v>0</v>
      </c>
      <c r="W3703" s="104" t="str">
        <f t="shared" si="2828"/>
        <v>/</v>
      </c>
      <c r="X3703" s="111" t="s">
        <v>787</v>
      </c>
      <c r="Y3703" s="106"/>
      <c r="Z3703" s="26" t="str">
        <f t="shared" si="5"/>
        <v/>
      </c>
      <c r="AA3703" s="26" t="str">
        <f t="shared" si="6"/>
        <v/>
      </c>
      <c r="AB3703" s="32" t="str">
        <f t="shared" si="7"/>
        <v/>
      </c>
      <c r="AC3703" s="32" t="str">
        <f t="shared" ref="AC3703:AG3703" si="3823">IF(J3703&lt;&gt;"", IF(AND($P3703=FALSE, $A3703=FALSE), -J3703, IF(AND($P3703=FALSE, $A3703=TRUE), 0, IF($P3703=TRUE, (J3703 / $R3703) * 100 * ($S3703 / 100)-J3703, ))), )</f>
        <v/>
      </c>
      <c r="AD3703" s="32" t="str">
        <f t="shared" si="3823"/>
        <v/>
      </c>
      <c r="AE3703" s="32" t="str">
        <f t="shared" si="3823"/>
        <v/>
      </c>
      <c r="AF3703" s="32" t="str">
        <f t="shared" si="3823"/>
        <v/>
      </c>
      <c r="AG3703" s="32" t="str">
        <f t="shared" si="3823"/>
        <v/>
      </c>
      <c r="AH3703" s="33"/>
    </row>
    <row r="3704" hidden="1" outlineLevel="1" collapsed="1">
      <c r="A3704" s="95" t="b">
        <v>0</v>
      </c>
      <c r="B3704" s="96"/>
      <c r="C3704" s="18"/>
      <c r="D3704" s="42">
        <v>45963.0</v>
      </c>
      <c r="E3704" s="43" t="s">
        <v>24</v>
      </c>
      <c r="F3704" s="53" t="s">
        <v>2162</v>
      </c>
      <c r="G3704" s="97">
        <v>2.0</v>
      </c>
      <c r="H3704" s="97">
        <v>1.5</v>
      </c>
      <c r="I3704" s="97">
        <v>2.5</v>
      </c>
      <c r="J3704" s="98"/>
      <c r="K3704" s="99"/>
      <c r="L3704" s="98"/>
      <c r="M3704" s="99"/>
      <c r="N3704" s="99"/>
      <c r="O3704" s="18"/>
      <c r="P3704" s="100" t="b">
        <v>0</v>
      </c>
      <c r="Q3704" s="18"/>
      <c r="R3704" s="101">
        <f t="shared" si="3377"/>
        <v>6</v>
      </c>
      <c r="S3704" s="32">
        <v>12.76</v>
      </c>
      <c r="T3704" s="102" t="str">
        <f t="shared" si="3378"/>
        <v>+113</v>
      </c>
      <c r="U3704" s="18"/>
      <c r="V3704" s="103" t="str">
        <f t="shared" si="3821"/>
        <v/>
      </c>
      <c r="W3704" s="104" t="str">
        <f t="shared" si="2828"/>
        <v/>
      </c>
      <c r="X3704" s="105"/>
      <c r="Y3704" s="106"/>
      <c r="Z3704" s="26">
        <f t="shared" si="5"/>
        <v>-2</v>
      </c>
      <c r="AA3704" s="26">
        <f t="shared" si="6"/>
        <v>-2.5</v>
      </c>
      <c r="AB3704" s="32">
        <f t="shared" si="7"/>
        <v>-1.5</v>
      </c>
      <c r="AC3704" s="32" t="str">
        <f t="shared" ref="AC3704:AG3704" si="3824">IF(J3704&lt;&gt;"", IF(AND($P3704=FALSE, $A3704=FALSE), -J3704, IF(AND($P3704=FALSE, $A3704=TRUE), 0, IF($P3704=TRUE, (J3704 / $R3704) * 100 * ($S3704 / 100)-J3704, ))), )</f>
        <v/>
      </c>
      <c r="AD3704" s="32" t="str">
        <f t="shared" si="3824"/>
        <v/>
      </c>
      <c r="AE3704" s="32" t="str">
        <f t="shared" si="3824"/>
        <v/>
      </c>
      <c r="AF3704" s="32" t="str">
        <f t="shared" si="3824"/>
        <v/>
      </c>
      <c r="AG3704" s="32" t="str">
        <f t="shared" si="3824"/>
        <v/>
      </c>
      <c r="AH3704" s="33"/>
    </row>
    <row r="3705" hidden="1" outlineLevel="2">
      <c r="A3705" s="95" t="b">
        <v>0</v>
      </c>
      <c r="B3705" s="96"/>
      <c r="C3705" s="18"/>
      <c r="D3705" s="107"/>
      <c r="E3705" s="108"/>
      <c r="F3705" s="109"/>
      <c r="G3705" s="97"/>
      <c r="H3705" s="97"/>
      <c r="I3705" s="97"/>
      <c r="J3705" s="98"/>
      <c r="K3705" s="99"/>
      <c r="L3705" s="98"/>
      <c r="M3705" s="99"/>
      <c r="N3705" s="99"/>
      <c r="O3705" s="18"/>
      <c r="P3705" s="100" t="b">
        <v>0</v>
      </c>
      <c r="Q3705" s="18"/>
      <c r="R3705" s="101" t="str">
        <f t="shared" si="3377"/>
        <v/>
      </c>
      <c r="S3705" s="32"/>
      <c r="T3705" s="102" t="str">
        <f t="shared" si="3378"/>
        <v/>
      </c>
      <c r="U3705" s="18"/>
      <c r="V3705" s="113">
        <v>5.0</v>
      </c>
      <c r="W3705" s="104" t="str">
        <f t="shared" si="2828"/>
        <v>/</v>
      </c>
      <c r="X3705" s="111" t="s">
        <v>2168</v>
      </c>
      <c r="Y3705" s="106"/>
      <c r="Z3705" s="26" t="str">
        <f t="shared" si="5"/>
        <v/>
      </c>
      <c r="AA3705" s="26" t="str">
        <f t="shared" si="6"/>
        <v/>
      </c>
      <c r="AB3705" s="32" t="str">
        <f t="shared" si="7"/>
        <v/>
      </c>
      <c r="AC3705" s="32" t="str">
        <f t="shared" ref="AC3705:AG3705" si="3825">IF(J3705&lt;&gt;"", IF(AND($P3705=FALSE, $A3705=FALSE), -J3705, IF(AND($P3705=FALSE, $A3705=TRUE), 0, IF($P3705=TRUE, (J3705 / $R3705) * 100 * ($S3705 / 100)-J3705, ))), )</f>
        <v/>
      </c>
      <c r="AD3705" s="32" t="str">
        <f t="shared" si="3825"/>
        <v/>
      </c>
      <c r="AE3705" s="32" t="str">
        <f t="shared" si="3825"/>
        <v/>
      </c>
      <c r="AF3705" s="32" t="str">
        <f t="shared" si="3825"/>
        <v/>
      </c>
      <c r="AG3705" s="32" t="str">
        <f t="shared" si="3825"/>
        <v/>
      </c>
      <c r="AH3705" s="33"/>
    </row>
    <row r="3706" hidden="1" outlineLevel="2">
      <c r="A3706" s="95" t="b">
        <v>0</v>
      </c>
      <c r="B3706" s="96"/>
      <c r="C3706" s="18"/>
      <c r="D3706" s="107"/>
      <c r="E3706" s="108"/>
      <c r="F3706" s="109"/>
      <c r="G3706" s="97"/>
      <c r="H3706" s="97"/>
      <c r="I3706" s="97"/>
      <c r="J3706" s="98"/>
      <c r="K3706" s="99"/>
      <c r="L3706" s="98"/>
      <c r="M3706" s="99"/>
      <c r="N3706" s="99"/>
      <c r="O3706" s="18"/>
      <c r="P3706" s="100" t="b">
        <v>0</v>
      </c>
      <c r="Q3706" s="18"/>
      <c r="R3706" s="101" t="str">
        <f t="shared" si="3377"/>
        <v/>
      </c>
      <c r="S3706" s="32"/>
      <c r="T3706" s="102" t="str">
        <f t="shared" si="3378"/>
        <v/>
      </c>
      <c r="U3706" s="18"/>
      <c r="V3706" s="75" t="s">
        <v>29</v>
      </c>
      <c r="W3706" s="104" t="str">
        <f t="shared" si="2828"/>
        <v>/</v>
      </c>
      <c r="X3706" s="111" t="s">
        <v>2169</v>
      </c>
      <c r="Y3706" s="106"/>
      <c r="Z3706" s="26" t="str">
        <f t="shared" si="5"/>
        <v/>
      </c>
      <c r="AA3706" s="26" t="str">
        <f t="shared" si="6"/>
        <v/>
      </c>
      <c r="AB3706" s="32" t="str">
        <f t="shared" si="7"/>
        <v/>
      </c>
      <c r="AC3706" s="32" t="str">
        <f t="shared" ref="AC3706:AG3706" si="3826">IF(J3706&lt;&gt;"", IF(AND($P3706=FALSE, $A3706=FALSE), -J3706, IF(AND($P3706=FALSE, $A3706=TRUE), 0, IF($P3706=TRUE, (J3706 / $R3706) * 100 * ($S3706 / 100)-J3706, ))), )</f>
        <v/>
      </c>
      <c r="AD3706" s="32" t="str">
        <f t="shared" si="3826"/>
        <v/>
      </c>
      <c r="AE3706" s="32" t="str">
        <f t="shared" si="3826"/>
        <v/>
      </c>
      <c r="AF3706" s="32" t="str">
        <f t="shared" si="3826"/>
        <v/>
      </c>
      <c r="AG3706" s="32" t="str">
        <f t="shared" si="3826"/>
        <v/>
      </c>
      <c r="AH3706" s="33"/>
    </row>
    <row r="3707" hidden="1" outlineLevel="1" collapsed="1">
      <c r="A3707" s="95" t="b">
        <v>0</v>
      </c>
      <c r="B3707" s="96"/>
      <c r="C3707" s="18"/>
      <c r="D3707" s="42">
        <v>45963.0</v>
      </c>
      <c r="E3707" s="43" t="s">
        <v>24</v>
      </c>
      <c r="F3707" s="53" t="s">
        <v>2162</v>
      </c>
      <c r="G3707" s="97">
        <v>2.0</v>
      </c>
      <c r="H3707" s="97">
        <v>2.0</v>
      </c>
      <c r="I3707" s="97"/>
      <c r="J3707" s="98"/>
      <c r="K3707" s="99"/>
      <c r="L3707" s="98"/>
      <c r="M3707" s="99"/>
      <c r="N3707" s="99"/>
      <c r="O3707" s="18"/>
      <c r="P3707" s="100" t="b">
        <v>0</v>
      </c>
      <c r="Q3707" s="18"/>
      <c r="R3707" s="101">
        <f t="shared" si="3377"/>
        <v>4</v>
      </c>
      <c r="S3707" s="32">
        <v>14.37</v>
      </c>
      <c r="T3707" s="102" t="str">
        <f t="shared" si="3378"/>
        <v>+259</v>
      </c>
      <c r="U3707" s="18"/>
      <c r="V3707" s="103" t="str">
        <f t="shared" ref="V3707:V3708" si="3828">IF(ISBLANK($D3707), "0",)</f>
        <v/>
      </c>
      <c r="W3707" s="104" t="str">
        <f t="shared" si="2828"/>
        <v/>
      </c>
      <c r="X3707" s="105"/>
      <c r="Y3707" s="106"/>
      <c r="Z3707" s="26">
        <f t="shared" si="5"/>
        <v>-2</v>
      </c>
      <c r="AA3707" s="26" t="str">
        <f t="shared" si="6"/>
        <v/>
      </c>
      <c r="AB3707" s="32">
        <f t="shared" si="7"/>
        <v>-2</v>
      </c>
      <c r="AC3707" s="32" t="str">
        <f t="shared" ref="AC3707:AG3707" si="3827">IF(J3707&lt;&gt;"", IF(AND($P3707=FALSE, $A3707=FALSE), -J3707, IF(AND($P3707=FALSE, $A3707=TRUE), 0, IF($P3707=TRUE, (J3707 / $R3707) * 100 * ($S3707 / 100)-J3707, ))), )</f>
        <v/>
      </c>
      <c r="AD3707" s="32" t="str">
        <f t="shared" si="3827"/>
        <v/>
      </c>
      <c r="AE3707" s="32" t="str">
        <f t="shared" si="3827"/>
        <v/>
      </c>
      <c r="AF3707" s="32" t="str">
        <f t="shared" si="3827"/>
        <v/>
      </c>
      <c r="AG3707" s="32" t="str">
        <f t="shared" si="3827"/>
        <v/>
      </c>
      <c r="AH3707" s="33"/>
    </row>
    <row r="3708" hidden="1" outlineLevel="2">
      <c r="A3708" s="95" t="b">
        <v>0</v>
      </c>
      <c r="B3708" s="96"/>
      <c r="C3708" s="18"/>
      <c r="D3708" s="107"/>
      <c r="E3708" s="108"/>
      <c r="F3708" s="109"/>
      <c r="G3708" s="97"/>
      <c r="H3708" s="97"/>
      <c r="I3708" s="97"/>
      <c r="J3708" s="98"/>
      <c r="K3708" s="99"/>
      <c r="L3708" s="98"/>
      <c r="M3708" s="99"/>
      <c r="N3708" s="99"/>
      <c r="O3708" s="18"/>
      <c r="P3708" s="100" t="b">
        <v>0</v>
      </c>
      <c r="Q3708" s="18"/>
      <c r="R3708" s="101" t="str">
        <f t="shared" si="3377"/>
        <v/>
      </c>
      <c r="S3708" s="32"/>
      <c r="T3708" s="102" t="str">
        <f t="shared" si="3378"/>
        <v/>
      </c>
      <c r="U3708" s="18"/>
      <c r="V3708" s="103" t="str">
        <f t="shared" si="3828"/>
        <v>0</v>
      </c>
      <c r="W3708" s="104" t="str">
        <f t="shared" si="2828"/>
        <v>/</v>
      </c>
      <c r="X3708" s="111" t="s">
        <v>2065</v>
      </c>
      <c r="Y3708" s="106"/>
      <c r="Z3708" s="26" t="str">
        <f t="shared" si="5"/>
        <v/>
      </c>
      <c r="AA3708" s="26" t="str">
        <f t="shared" si="6"/>
        <v/>
      </c>
      <c r="AB3708" s="32" t="str">
        <f t="shared" si="7"/>
        <v/>
      </c>
      <c r="AC3708" s="32" t="str">
        <f t="shared" ref="AC3708:AG3708" si="3829">IF(J3708&lt;&gt;"", IF(AND($P3708=FALSE, $A3708=FALSE), -J3708, IF(AND($P3708=FALSE, $A3708=TRUE), 0, IF($P3708=TRUE, (J3708 / $R3708) * 100 * ($S3708 / 100)-J3708, ))), )</f>
        <v/>
      </c>
      <c r="AD3708" s="32" t="str">
        <f t="shared" si="3829"/>
        <v/>
      </c>
      <c r="AE3708" s="32" t="str">
        <f t="shared" si="3829"/>
        <v/>
      </c>
      <c r="AF3708" s="32" t="str">
        <f t="shared" si="3829"/>
        <v/>
      </c>
      <c r="AG3708" s="32" t="str">
        <f t="shared" si="3829"/>
        <v/>
      </c>
      <c r="AH3708" s="33"/>
    </row>
    <row r="3709" hidden="1" outlineLevel="2">
      <c r="A3709" s="95" t="b">
        <v>0</v>
      </c>
      <c r="B3709" s="96"/>
      <c r="C3709" s="18"/>
      <c r="D3709" s="107"/>
      <c r="E3709" s="108"/>
      <c r="F3709" s="109"/>
      <c r="G3709" s="97"/>
      <c r="H3709" s="97"/>
      <c r="I3709" s="97"/>
      <c r="J3709" s="98"/>
      <c r="K3709" s="99"/>
      <c r="L3709" s="98"/>
      <c r="M3709" s="99"/>
      <c r="N3709" s="99"/>
      <c r="O3709" s="18"/>
      <c r="P3709" s="100" t="b">
        <v>0</v>
      </c>
      <c r="Q3709" s="18"/>
      <c r="R3709" s="101" t="str">
        <f t="shared" si="3377"/>
        <v/>
      </c>
      <c r="S3709" s="32"/>
      <c r="T3709" s="102" t="str">
        <f t="shared" si="3378"/>
        <v/>
      </c>
      <c r="U3709" s="18"/>
      <c r="V3709" s="75" t="s">
        <v>29</v>
      </c>
      <c r="W3709" s="104" t="str">
        <f t="shared" si="2828"/>
        <v>/</v>
      </c>
      <c r="X3709" s="111" t="s">
        <v>2170</v>
      </c>
      <c r="Y3709" s="106"/>
      <c r="Z3709" s="26" t="str">
        <f t="shared" si="5"/>
        <v/>
      </c>
      <c r="AA3709" s="26" t="str">
        <f t="shared" si="6"/>
        <v/>
      </c>
      <c r="AB3709" s="32" t="str">
        <f t="shared" si="7"/>
        <v/>
      </c>
      <c r="AC3709" s="32" t="str">
        <f t="shared" ref="AC3709:AG3709" si="3830">IF(J3709&lt;&gt;"", IF(AND($P3709=FALSE, $A3709=FALSE), -J3709, IF(AND($P3709=FALSE, $A3709=TRUE), 0, IF($P3709=TRUE, (J3709 / $R3709) * 100 * ($S3709 / 100)-J3709, ))), )</f>
        <v/>
      </c>
      <c r="AD3709" s="32" t="str">
        <f t="shared" si="3830"/>
        <v/>
      </c>
      <c r="AE3709" s="32" t="str">
        <f t="shared" si="3830"/>
        <v/>
      </c>
      <c r="AF3709" s="32" t="str">
        <f t="shared" si="3830"/>
        <v/>
      </c>
      <c r="AG3709" s="32" t="str">
        <f t="shared" si="3830"/>
        <v/>
      </c>
      <c r="AH3709" s="33"/>
    </row>
    <row r="3710" hidden="1" outlineLevel="1" collapsed="1">
      <c r="A3710" s="95" t="b">
        <v>0</v>
      </c>
      <c r="B3710" s="96"/>
      <c r="C3710" s="18"/>
      <c r="D3710" s="42">
        <v>45963.0</v>
      </c>
      <c r="E3710" s="43" t="s">
        <v>24</v>
      </c>
      <c r="F3710" s="53" t="s">
        <v>2162</v>
      </c>
      <c r="G3710" s="97">
        <v>2.0</v>
      </c>
      <c r="H3710" s="97">
        <v>1.5</v>
      </c>
      <c r="I3710" s="97">
        <v>2.5</v>
      </c>
      <c r="J3710" s="98"/>
      <c r="K3710" s="99"/>
      <c r="L3710" s="98"/>
      <c r="M3710" s="99"/>
      <c r="N3710" s="99"/>
      <c r="O3710" s="18"/>
      <c r="P3710" s="100" t="b">
        <v>0</v>
      </c>
      <c r="Q3710" s="18"/>
      <c r="R3710" s="101">
        <f t="shared" si="3377"/>
        <v>6</v>
      </c>
      <c r="S3710" s="32">
        <v>57.81</v>
      </c>
      <c r="T3710" s="102" t="str">
        <f t="shared" si="3378"/>
        <v>+864</v>
      </c>
      <c r="U3710" s="18"/>
      <c r="V3710" s="103" t="str">
        <f>IF(ISBLANK($D3710), "0",)</f>
        <v/>
      </c>
      <c r="W3710" s="104" t="str">
        <f t="shared" si="2828"/>
        <v/>
      </c>
      <c r="X3710" s="105"/>
      <c r="Y3710" s="106"/>
      <c r="Z3710" s="26">
        <f t="shared" si="5"/>
        <v>-2</v>
      </c>
      <c r="AA3710" s="26">
        <f t="shared" si="6"/>
        <v>-2.5</v>
      </c>
      <c r="AB3710" s="32">
        <f t="shared" si="7"/>
        <v>-1.5</v>
      </c>
      <c r="AC3710" s="32" t="str">
        <f t="shared" ref="AC3710:AG3710" si="3831">IF(J3710&lt;&gt;"", IF(AND($P3710=FALSE, $A3710=FALSE), -J3710, IF(AND($P3710=FALSE, $A3710=TRUE), 0, IF($P3710=TRUE, (J3710 / $R3710) * 100 * ($S3710 / 100)-J3710, ))), )</f>
        <v/>
      </c>
      <c r="AD3710" s="32" t="str">
        <f t="shared" si="3831"/>
        <v/>
      </c>
      <c r="AE3710" s="32" t="str">
        <f t="shared" si="3831"/>
        <v/>
      </c>
      <c r="AF3710" s="32" t="str">
        <f t="shared" si="3831"/>
        <v/>
      </c>
      <c r="AG3710" s="32" t="str">
        <f t="shared" si="3831"/>
        <v/>
      </c>
      <c r="AH3710" s="33"/>
    </row>
    <row r="3711" hidden="1" outlineLevel="2">
      <c r="A3711" s="95" t="b">
        <v>0</v>
      </c>
      <c r="B3711" s="96"/>
      <c r="C3711" s="18"/>
      <c r="D3711" s="107"/>
      <c r="E3711" s="108"/>
      <c r="F3711" s="109"/>
      <c r="G3711" s="97"/>
      <c r="H3711" s="97"/>
      <c r="I3711" s="97"/>
      <c r="J3711" s="98"/>
      <c r="K3711" s="99"/>
      <c r="L3711" s="98"/>
      <c r="M3711" s="99"/>
      <c r="N3711" s="99"/>
      <c r="O3711" s="18"/>
      <c r="P3711" s="100" t="b">
        <v>0</v>
      </c>
      <c r="Q3711" s="18"/>
      <c r="R3711" s="101" t="str">
        <f t="shared" si="3377"/>
        <v/>
      </c>
      <c r="S3711" s="32"/>
      <c r="T3711" s="102" t="str">
        <f t="shared" si="3378"/>
        <v/>
      </c>
      <c r="U3711" s="18"/>
      <c r="V3711" s="103">
        <f>3</f>
        <v>3</v>
      </c>
      <c r="W3711" s="104" t="str">
        <f t="shared" si="2828"/>
        <v>/</v>
      </c>
      <c r="X3711" s="111" t="s">
        <v>791</v>
      </c>
      <c r="Y3711" s="106"/>
      <c r="Z3711" s="26" t="str">
        <f t="shared" si="5"/>
        <v/>
      </c>
      <c r="AA3711" s="26" t="str">
        <f t="shared" si="6"/>
        <v/>
      </c>
      <c r="AB3711" s="32" t="str">
        <f t="shared" si="7"/>
        <v/>
      </c>
      <c r="AC3711" s="32" t="str">
        <f t="shared" ref="AC3711:AG3711" si="3832">IF(J3711&lt;&gt;"", IF(AND($P3711=FALSE, $A3711=FALSE), -J3711, IF(AND($P3711=FALSE, $A3711=TRUE), 0, IF($P3711=TRUE, (J3711 / $R3711) * 100 * ($S3711 / 100)-J3711, ))), )</f>
        <v/>
      </c>
      <c r="AD3711" s="32" t="str">
        <f t="shared" si="3832"/>
        <v/>
      </c>
      <c r="AE3711" s="32" t="str">
        <f t="shared" si="3832"/>
        <v/>
      </c>
      <c r="AF3711" s="32" t="str">
        <f t="shared" si="3832"/>
        <v/>
      </c>
      <c r="AG3711" s="32" t="str">
        <f t="shared" si="3832"/>
        <v/>
      </c>
      <c r="AH3711" s="33"/>
    </row>
    <row r="3712" hidden="1" outlineLevel="2">
      <c r="A3712" s="95" t="b">
        <v>0</v>
      </c>
      <c r="B3712" s="96"/>
      <c r="C3712" s="18"/>
      <c r="D3712" s="107"/>
      <c r="E3712" s="108"/>
      <c r="F3712" s="109"/>
      <c r="G3712" s="97"/>
      <c r="H3712" s="97"/>
      <c r="I3712" s="97"/>
      <c r="J3712" s="98"/>
      <c r="K3712" s="99"/>
      <c r="L3712" s="98"/>
      <c r="M3712" s="99"/>
      <c r="N3712" s="99"/>
      <c r="O3712" s="18"/>
      <c r="P3712" s="100" t="b">
        <v>0</v>
      </c>
      <c r="Q3712" s="18"/>
      <c r="R3712" s="101" t="str">
        <f t="shared" si="3377"/>
        <v/>
      </c>
      <c r="S3712" s="32"/>
      <c r="T3712" s="102" t="str">
        <f t="shared" si="3378"/>
        <v/>
      </c>
      <c r="U3712" s="18"/>
      <c r="V3712" s="75" t="s">
        <v>29</v>
      </c>
      <c r="W3712" s="104" t="str">
        <f t="shared" si="2828"/>
        <v>/</v>
      </c>
      <c r="X3712" s="111" t="s">
        <v>491</v>
      </c>
      <c r="Y3712" s="106"/>
      <c r="Z3712" s="26" t="str">
        <f t="shared" si="5"/>
        <v/>
      </c>
      <c r="AA3712" s="26" t="str">
        <f t="shared" si="6"/>
        <v/>
      </c>
      <c r="AB3712" s="32" t="str">
        <f t="shared" si="7"/>
        <v/>
      </c>
      <c r="AC3712" s="32" t="str">
        <f t="shared" ref="AC3712:AG3712" si="3833">IF(J3712&lt;&gt;"", IF(AND($P3712=FALSE, $A3712=FALSE), -J3712, IF(AND($P3712=FALSE, $A3712=TRUE), 0, IF($P3712=TRUE, (J3712 / $R3712) * 100 * ($S3712 / 100)-J3712, ))), )</f>
        <v/>
      </c>
      <c r="AD3712" s="32" t="str">
        <f t="shared" si="3833"/>
        <v/>
      </c>
      <c r="AE3712" s="32" t="str">
        <f t="shared" si="3833"/>
        <v/>
      </c>
      <c r="AF3712" s="32" t="str">
        <f t="shared" si="3833"/>
        <v/>
      </c>
      <c r="AG3712" s="32" t="str">
        <f t="shared" si="3833"/>
        <v/>
      </c>
      <c r="AH3712" s="33"/>
    </row>
    <row r="3713" hidden="1" outlineLevel="2">
      <c r="A3713" s="95" t="b">
        <v>0</v>
      </c>
      <c r="B3713" s="96"/>
      <c r="C3713" s="18"/>
      <c r="D3713" s="107"/>
      <c r="E3713" s="108"/>
      <c r="F3713" s="109"/>
      <c r="G3713" s="97"/>
      <c r="H3713" s="97"/>
      <c r="I3713" s="97"/>
      <c r="J3713" s="98"/>
      <c r="K3713" s="99"/>
      <c r="L3713" s="98"/>
      <c r="M3713" s="99"/>
      <c r="N3713" s="99"/>
      <c r="O3713" s="18"/>
      <c r="P3713" s="100" t="b">
        <v>0</v>
      </c>
      <c r="Q3713" s="18"/>
      <c r="R3713" s="101" t="str">
        <f t="shared" si="3377"/>
        <v/>
      </c>
      <c r="S3713" s="32"/>
      <c r="T3713" s="102" t="str">
        <f t="shared" si="3378"/>
        <v/>
      </c>
      <c r="U3713" s="18"/>
      <c r="V3713" s="75" t="s">
        <v>29</v>
      </c>
      <c r="W3713" s="104" t="str">
        <f t="shared" si="2828"/>
        <v>/</v>
      </c>
      <c r="X3713" s="111" t="s">
        <v>832</v>
      </c>
      <c r="Y3713" s="106"/>
      <c r="Z3713" s="26" t="str">
        <f t="shared" si="5"/>
        <v/>
      </c>
      <c r="AA3713" s="26" t="str">
        <f t="shared" si="6"/>
        <v/>
      </c>
      <c r="AB3713" s="32" t="str">
        <f t="shared" si="7"/>
        <v/>
      </c>
      <c r="AC3713" s="32" t="str">
        <f t="shared" ref="AC3713:AG3713" si="3834">IF(J3713&lt;&gt;"", IF(AND($P3713=FALSE, $A3713=FALSE), -J3713, IF(AND($P3713=FALSE, $A3713=TRUE), 0, IF($P3713=TRUE, (J3713 / $R3713) * 100 * ($S3713 / 100)-J3713, ))), )</f>
        <v/>
      </c>
      <c r="AD3713" s="32" t="str">
        <f t="shared" si="3834"/>
        <v/>
      </c>
      <c r="AE3713" s="32" t="str">
        <f t="shared" si="3834"/>
        <v/>
      </c>
      <c r="AF3713" s="32" t="str">
        <f t="shared" si="3834"/>
        <v/>
      </c>
      <c r="AG3713" s="32" t="str">
        <f t="shared" si="3834"/>
        <v/>
      </c>
      <c r="AH3713" s="33"/>
    </row>
    <row r="3714" hidden="1" outlineLevel="2">
      <c r="A3714" s="95" t="b">
        <v>0</v>
      </c>
      <c r="B3714" s="96"/>
      <c r="C3714" s="18"/>
      <c r="D3714" s="107"/>
      <c r="E3714" s="108"/>
      <c r="F3714" s="109"/>
      <c r="G3714" s="97"/>
      <c r="H3714" s="97"/>
      <c r="I3714" s="97"/>
      <c r="J3714" s="98"/>
      <c r="K3714" s="99"/>
      <c r="L3714" s="98"/>
      <c r="M3714" s="99"/>
      <c r="N3714" s="99"/>
      <c r="O3714" s="18"/>
      <c r="P3714" s="100" t="b">
        <v>0</v>
      </c>
      <c r="Q3714" s="18"/>
      <c r="R3714" s="101" t="str">
        <f t="shared" si="3377"/>
        <v/>
      </c>
      <c r="S3714" s="32"/>
      <c r="T3714" s="102" t="str">
        <f t="shared" si="3378"/>
        <v/>
      </c>
      <c r="U3714" s="18"/>
      <c r="V3714" s="75" t="s">
        <v>29</v>
      </c>
      <c r="W3714" s="104" t="str">
        <f t="shared" si="2828"/>
        <v>/</v>
      </c>
      <c r="X3714" s="111" t="s">
        <v>1010</v>
      </c>
      <c r="Y3714" s="106"/>
      <c r="Z3714" s="26" t="str">
        <f t="shared" si="5"/>
        <v/>
      </c>
      <c r="AA3714" s="26" t="str">
        <f t="shared" si="6"/>
        <v/>
      </c>
      <c r="AB3714" s="32" t="str">
        <f t="shared" si="7"/>
        <v/>
      </c>
      <c r="AC3714" s="32" t="str">
        <f t="shared" ref="AC3714:AG3714" si="3835">IF(J3714&lt;&gt;"", IF(AND($P3714=FALSE, $A3714=FALSE), -J3714, IF(AND($P3714=FALSE, $A3714=TRUE), 0, IF($P3714=TRUE, (J3714 / $R3714) * 100 * ($S3714 / 100)-J3714, ))), )</f>
        <v/>
      </c>
      <c r="AD3714" s="32" t="str">
        <f t="shared" si="3835"/>
        <v/>
      </c>
      <c r="AE3714" s="32" t="str">
        <f t="shared" si="3835"/>
        <v/>
      </c>
      <c r="AF3714" s="32" t="str">
        <f t="shared" si="3835"/>
        <v/>
      </c>
      <c r="AG3714" s="32" t="str">
        <f t="shared" si="3835"/>
        <v/>
      </c>
      <c r="AH3714" s="33"/>
    </row>
    <row r="3715" hidden="1" outlineLevel="2">
      <c r="A3715" s="95" t="b">
        <v>0</v>
      </c>
      <c r="B3715" s="96"/>
      <c r="C3715" s="18"/>
      <c r="D3715" s="107"/>
      <c r="E3715" s="108"/>
      <c r="F3715" s="109"/>
      <c r="G3715" s="97"/>
      <c r="H3715" s="97"/>
      <c r="I3715" s="97"/>
      <c r="J3715" s="98"/>
      <c r="K3715" s="99"/>
      <c r="L3715" s="98"/>
      <c r="M3715" s="99"/>
      <c r="N3715" s="99"/>
      <c r="O3715" s="18"/>
      <c r="P3715" s="100" t="b">
        <v>0</v>
      </c>
      <c r="Q3715" s="18"/>
      <c r="R3715" s="101" t="str">
        <f t="shared" si="3377"/>
        <v/>
      </c>
      <c r="S3715" s="32"/>
      <c r="T3715" s="102" t="str">
        <f t="shared" si="3378"/>
        <v/>
      </c>
      <c r="U3715" s="18"/>
      <c r="V3715" s="75" t="s">
        <v>29</v>
      </c>
      <c r="W3715" s="104" t="str">
        <f t="shared" si="2828"/>
        <v>/</v>
      </c>
      <c r="X3715" s="111" t="s">
        <v>2171</v>
      </c>
      <c r="Y3715" s="106"/>
      <c r="Z3715" s="26" t="str">
        <f t="shared" si="5"/>
        <v/>
      </c>
      <c r="AA3715" s="26" t="str">
        <f t="shared" si="6"/>
        <v/>
      </c>
      <c r="AB3715" s="32" t="str">
        <f t="shared" si="7"/>
        <v/>
      </c>
      <c r="AC3715" s="32" t="str">
        <f t="shared" ref="AC3715:AG3715" si="3836">IF(J3715&lt;&gt;"", IF(AND($P3715=FALSE, $A3715=FALSE), -J3715, IF(AND($P3715=FALSE, $A3715=TRUE), 0, IF($P3715=TRUE, (J3715 / $R3715) * 100 * ($S3715 / 100)-J3715, ))), )</f>
        <v/>
      </c>
      <c r="AD3715" s="32" t="str">
        <f t="shared" si="3836"/>
        <v/>
      </c>
      <c r="AE3715" s="32" t="str">
        <f t="shared" si="3836"/>
        <v/>
      </c>
      <c r="AF3715" s="32" t="str">
        <f t="shared" si="3836"/>
        <v/>
      </c>
      <c r="AG3715" s="32" t="str">
        <f t="shared" si="3836"/>
        <v/>
      </c>
      <c r="AH3715" s="33"/>
    </row>
    <row r="3716" hidden="1" outlineLevel="1">
      <c r="A3716" s="95" t="b">
        <v>0</v>
      </c>
      <c r="B3716" s="96"/>
      <c r="C3716" s="18"/>
      <c r="D3716" s="42">
        <v>45963.0</v>
      </c>
      <c r="E3716" s="43" t="s">
        <v>24</v>
      </c>
      <c r="F3716" s="53" t="s">
        <v>2162</v>
      </c>
      <c r="G3716" s="97">
        <v>2.0</v>
      </c>
      <c r="H3716" s="97">
        <v>1.5</v>
      </c>
      <c r="I3716" s="97">
        <v>2.5</v>
      </c>
      <c r="J3716" s="98"/>
      <c r="K3716" s="99"/>
      <c r="L3716" s="98"/>
      <c r="M3716" s="99"/>
      <c r="N3716" s="99"/>
      <c r="O3716" s="18"/>
      <c r="P3716" s="100" t="b">
        <v>0</v>
      </c>
      <c r="Q3716" s="18"/>
      <c r="R3716" s="101">
        <f t="shared" si="3377"/>
        <v>6</v>
      </c>
      <c r="S3716" s="32">
        <v>20.82</v>
      </c>
      <c r="T3716" s="102" t="str">
        <f t="shared" si="3378"/>
        <v>+247</v>
      </c>
      <c r="U3716" s="18"/>
      <c r="V3716" s="103" t="str">
        <f>IF(ISBLANK($D3716), "0",)</f>
        <v/>
      </c>
      <c r="W3716" s="104" t="str">
        <f t="shared" si="2828"/>
        <v/>
      </c>
      <c r="X3716" s="105"/>
      <c r="Y3716" s="106"/>
      <c r="Z3716" s="26">
        <f t="shared" si="5"/>
        <v>-2</v>
      </c>
      <c r="AA3716" s="26">
        <f t="shared" si="6"/>
        <v>-2.5</v>
      </c>
      <c r="AB3716" s="32">
        <f t="shared" si="7"/>
        <v>-1.5</v>
      </c>
      <c r="AC3716" s="32" t="str">
        <f t="shared" ref="AC3716:AG3716" si="3837">IF(J3716&lt;&gt;"", IF(AND($P3716=FALSE, $A3716=FALSE), -J3716, IF(AND($P3716=FALSE, $A3716=TRUE), 0, IF($P3716=TRUE, (J3716 / $R3716) * 100 * ($S3716 / 100)-J3716, ))), )</f>
        <v/>
      </c>
      <c r="AD3716" s="32" t="str">
        <f t="shared" si="3837"/>
        <v/>
      </c>
      <c r="AE3716" s="32" t="str">
        <f t="shared" si="3837"/>
        <v/>
      </c>
      <c r="AF3716" s="32" t="str">
        <f t="shared" si="3837"/>
        <v/>
      </c>
      <c r="AG3716" s="32" t="str">
        <f t="shared" si="3837"/>
        <v/>
      </c>
      <c r="AH3716" s="33"/>
    </row>
    <row r="3717" hidden="1" outlineLevel="2">
      <c r="A3717" s="95" t="b">
        <v>0</v>
      </c>
      <c r="B3717" s="96"/>
      <c r="C3717" s="18"/>
      <c r="D3717" s="107"/>
      <c r="E3717" s="108"/>
      <c r="F3717" s="109"/>
      <c r="G3717" s="97"/>
      <c r="H3717" s="97"/>
      <c r="I3717" s="97"/>
      <c r="J3717" s="98"/>
      <c r="K3717" s="99"/>
      <c r="L3717" s="98"/>
      <c r="M3717" s="99"/>
      <c r="N3717" s="99"/>
      <c r="O3717" s="18"/>
      <c r="P3717" s="100" t="b">
        <v>0</v>
      </c>
      <c r="Q3717" s="18"/>
      <c r="R3717" s="101" t="str">
        <f t="shared" si="3377"/>
        <v/>
      </c>
      <c r="S3717" s="32"/>
      <c r="T3717" s="102" t="str">
        <f t="shared" si="3378"/>
        <v/>
      </c>
      <c r="U3717" s="18"/>
      <c r="V3717" s="75" t="s">
        <v>29</v>
      </c>
      <c r="W3717" s="104" t="str">
        <f t="shared" si="2828"/>
        <v>/</v>
      </c>
      <c r="X3717" s="111" t="s">
        <v>2172</v>
      </c>
      <c r="Y3717" s="106"/>
      <c r="Z3717" s="26" t="str">
        <f t="shared" si="5"/>
        <v/>
      </c>
      <c r="AA3717" s="26" t="str">
        <f t="shared" si="6"/>
        <v/>
      </c>
      <c r="AB3717" s="32" t="str">
        <f t="shared" si="7"/>
        <v/>
      </c>
      <c r="AC3717" s="32" t="str">
        <f t="shared" ref="AC3717:AG3717" si="3838">IF(J3717&lt;&gt;"", IF(AND($P3717=FALSE, $A3717=FALSE), -J3717, IF(AND($P3717=FALSE, $A3717=TRUE), 0, IF($P3717=TRUE, (J3717 / $R3717) * 100 * ($S3717 / 100)-J3717, ))), )</f>
        <v/>
      </c>
      <c r="AD3717" s="32" t="str">
        <f t="shared" si="3838"/>
        <v/>
      </c>
      <c r="AE3717" s="32" t="str">
        <f t="shared" si="3838"/>
        <v/>
      </c>
      <c r="AF3717" s="32" t="str">
        <f t="shared" si="3838"/>
        <v/>
      </c>
      <c r="AG3717" s="32" t="str">
        <f t="shared" si="3838"/>
        <v/>
      </c>
      <c r="AH3717" s="33"/>
    </row>
    <row r="3718" hidden="1" outlineLevel="2">
      <c r="A3718" s="95" t="b">
        <v>0</v>
      </c>
      <c r="B3718" s="96"/>
      <c r="C3718" s="18"/>
      <c r="D3718" s="107"/>
      <c r="E3718" s="108"/>
      <c r="F3718" s="109"/>
      <c r="G3718" s="97"/>
      <c r="H3718" s="97"/>
      <c r="I3718" s="97"/>
      <c r="J3718" s="98"/>
      <c r="K3718" s="99"/>
      <c r="L3718" s="98"/>
      <c r="M3718" s="99"/>
      <c r="N3718" s="99"/>
      <c r="O3718" s="18"/>
      <c r="P3718" s="100" t="b">
        <v>0</v>
      </c>
      <c r="Q3718" s="18"/>
      <c r="R3718" s="101" t="str">
        <f t="shared" si="3377"/>
        <v/>
      </c>
      <c r="S3718" s="32"/>
      <c r="T3718" s="102" t="str">
        <f t="shared" si="3378"/>
        <v/>
      </c>
      <c r="U3718" s="18"/>
      <c r="V3718" s="75" t="s">
        <v>29</v>
      </c>
      <c r="W3718" s="104" t="str">
        <f t="shared" si="2828"/>
        <v>/</v>
      </c>
      <c r="X3718" s="111" t="s">
        <v>2173</v>
      </c>
      <c r="Y3718" s="106"/>
      <c r="Z3718" s="26" t="str">
        <f t="shared" si="5"/>
        <v/>
      </c>
      <c r="AA3718" s="26" t="str">
        <f t="shared" si="6"/>
        <v/>
      </c>
      <c r="AB3718" s="32" t="str">
        <f t="shared" si="7"/>
        <v/>
      </c>
      <c r="AC3718" s="32" t="str">
        <f t="shared" ref="AC3718:AG3718" si="3839">IF(J3718&lt;&gt;"", IF(AND($P3718=FALSE, $A3718=FALSE), -J3718, IF(AND($P3718=FALSE, $A3718=TRUE), 0, IF($P3718=TRUE, (J3718 / $R3718) * 100 * ($S3718 / 100)-J3718, ))), )</f>
        <v/>
      </c>
      <c r="AD3718" s="32" t="str">
        <f t="shared" si="3839"/>
        <v/>
      </c>
      <c r="AE3718" s="32" t="str">
        <f t="shared" si="3839"/>
        <v/>
      </c>
      <c r="AF3718" s="32" t="str">
        <f t="shared" si="3839"/>
        <v/>
      </c>
      <c r="AG3718" s="32" t="str">
        <f t="shared" si="3839"/>
        <v/>
      </c>
      <c r="AH3718" s="33"/>
    </row>
    <row r="3719" hidden="1" outlineLevel="2">
      <c r="A3719" s="95" t="b">
        <v>0</v>
      </c>
      <c r="B3719" s="96"/>
      <c r="C3719" s="18"/>
      <c r="D3719" s="107"/>
      <c r="E3719" s="108"/>
      <c r="F3719" s="109"/>
      <c r="G3719" s="97"/>
      <c r="H3719" s="97"/>
      <c r="I3719" s="97"/>
      <c r="J3719" s="98"/>
      <c r="K3719" s="99"/>
      <c r="L3719" s="98"/>
      <c r="M3719" s="99"/>
      <c r="N3719" s="99"/>
      <c r="O3719" s="18"/>
      <c r="P3719" s="100" t="b">
        <v>0</v>
      </c>
      <c r="Q3719" s="18"/>
      <c r="R3719" s="101" t="str">
        <f t="shared" si="3377"/>
        <v/>
      </c>
      <c r="S3719" s="32"/>
      <c r="T3719" s="102" t="str">
        <f t="shared" si="3378"/>
        <v/>
      </c>
      <c r="U3719" s="18"/>
      <c r="V3719" s="75" t="s">
        <v>29</v>
      </c>
      <c r="W3719" s="104" t="str">
        <f t="shared" si="2828"/>
        <v>/</v>
      </c>
      <c r="X3719" s="111" t="s">
        <v>2174</v>
      </c>
      <c r="Y3719" s="106"/>
      <c r="Z3719" s="26" t="str">
        <f t="shared" si="5"/>
        <v/>
      </c>
      <c r="AA3719" s="26" t="str">
        <f t="shared" si="6"/>
        <v/>
      </c>
      <c r="AB3719" s="32" t="str">
        <f t="shared" si="7"/>
        <v/>
      </c>
      <c r="AC3719" s="32" t="str">
        <f t="shared" ref="AC3719:AG3719" si="3840">IF(J3719&lt;&gt;"", IF(AND($P3719=FALSE, $A3719=FALSE), -J3719, IF(AND($P3719=FALSE, $A3719=TRUE), 0, IF($P3719=TRUE, (J3719 / $R3719) * 100 * ($S3719 / 100)-J3719, ))), )</f>
        <v/>
      </c>
      <c r="AD3719" s="32" t="str">
        <f t="shared" si="3840"/>
        <v/>
      </c>
      <c r="AE3719" s="32" t="str">
        <f t="shared" si="3840"/>
        <v/>
      </c>
      <c r="AF3719" s="32" t="str">
        <f t="shared" si="3840"/>
        <v/>
      </c>
      <c r="AG3719" s="32" t="str">
        <f t="shared" si="3840"/>
        <v/>
      </c>
      <c r="AH3719" s="33"/>
    </row>
    <row r="3720" hidden="1" outlineLevel="2">
      <c r="A3720" s="95" t="b">
        <v>0</v>
      </c>
      <c r="B3720" s="96"/>
      <c r="C3720" s="18"/>
      <c r="D3720" s="107"/>
      <c r="E3720" s="108"/>
      <c r="F3720" s="109"/>
      <c r="G3720" s="97"/>
      <c r="H3720" s="97"/>
      <c r="I3720" s="97"/>
      <c r="J3720" s="98"/>
      <c r="K3720" s="99"/>
      <c r="L3720" s="98"/>
      <c r="M3720" s="99"/>
      <c r="N3720" s="99"/>
      <c r="O3720" s="18"/>
      <c r="P3720" s="100" t="b">
        <v>0</v>
      </c>
      <c r="Q3720" s="18"/>
      <c r="R3720" s="101" t="str">
        <f t="shared" si="3377"/>
        <v/>
      </c>
      <c r="S3720" s="32"/>
      <c r="T3720" s="102" t="str">
        <f t="shared" si="3378"/>
        <v/>
      </c>
      <c r="U3720" s="18"/>
      <c r="V3720" s="113">
        <v>5.0</v>
      </c>
      <c r="W3720" s="104" t="str">
        <f t="shared" si="2828"/>
        <v>/</v>
      </c>
      <c r="X3720" s="111" t="s">
        <v>2175</v>
      </c>
      <c r="Y3720" s="106"/>
      <c r="Z3720" s="26" t="str">
        <f t="shared" si="5"/>
        <v/>
      </c>
      <c r="AA3720" s="26" t="str">
        <f t="shared" si="6"/>
        <v/>
      </c>
      <c r="AB3720" s="32" t="str">
        <f t="shared" si="7"/>
        <v/>
      </c>
      <c r="AC3720" s="32" t="str">
        <f t="shared" ref="AC3720:AG3720" si="3841">IF(J3720&lt;&gt;"", IF(AND($P3720=FALSE, $A3720=FALSE), -J3720, IF(AND($P3720=FALSE, $A3720=TRUE), 0, IF($P3720=TRUE, (J3720 / $R3720) * 100 * ($S3720 / 100)-J3720, ))), )</f>
        <v/>
      </c>
      <c r="AD3720" s="32" t="str">
        <f t="shared" si="3841"/>
        <v/>
      </c>
      <c r="AE3720" s="32" t="str">
        <f t="shared" si="3841"/>
        <v/>
      </c>
      <c r="AF3720" s="32" t="str">
        <f t="shared" si="3841"/>
        <v/>
      </c>
      <c r="AG3720" s="32" t="str">
        <f t="shared" si="3841"/>
        <v/>
      </c>
      <c r="AH3720" s="33"/>
    </row>
    <row r="3721" collapsed="1">
      <c r="A3721" s="95" t="b">
        <v>0</v>
      </c>
      <c r="B3721" s="96"/>
      <c r="C3721" s="18"/>
      <c r="D3721" s="42">
        <v>45964.0</v>
      </c>
      <c r="E3721" s="43" t="s">
        <v>24</v>
      </c>
      <c r="F3721" s="53" t="s">
        <v>2162</v>
      </c>
      <c r="G3721" s="97">
        <v>2.0</v>
      </c>
      <c r="H3721" s="97"/>
      <c r="I3721" s="97">
        <v>3.0</v>
      </c>
      <c r="J3721" s="98"/>
      <c r="K3721" s="99"/>
      <c r="L3721" s="98"/>
      <c r="M3721" s="99"/>
      <c r="N3721" s="99"/>
      <c r="O3721" s="18"/>
      <c r="P3721" s="100" t="b">
        <v>0</v>
      </c>
      <c r="Q3721" s="18"/>
      <c r="R3721" s="101">
        <f t="shared" si="3377"/>
        <v>5</v>
      </c>
      <c r="S3721" s="32">
        <v>9.72</v>
      </c>
      <c r="T3721" s="102">
        <f t="shared" si="3378"/>
        <v>-106</v>
      </c>
      <c r="U3721" s="18"/>
      <c r="V3721" s="103" t="str">
        <f>IF(ISBLANK($D3721), "0",)</f>
        <v/>
      </c>
      <c r="W3721" s="104" t="str">
        <f t="shared" si="2828"/>
        <v/>
      </c>
      <c r="X3721" s="105"/>
      <c r="Y3721" s="106"/>
      <c r="Z3721" s="26">
        <f t="shared" si="5"/>
        <v>-2</v>
      </c>
      <c r="AA3721" s="26">
        <f t="shared" si="6"/>
        <v>-3</v>
      </c>
      <c r="AB3721" s="32" t="str">
        <f t="shared" si="7"/>
        <v/>
      </c>
      <c r="AC3721" s="32" t="str">
        <f t="shared" ref="AC3721:AG3721" si="3842">IF(J3721&lt;&gt;"", IF(AND($P3721=FALSE, $A3721=FALSE), -J3721, IF(AND($P3721=FALSE, $A3721=TRUE), 0, IF($P3721=TRUE, (J3721 / $R3721) * 100 * ($S3721 / 100)-J3721, ))), )</f>
        <v/>
      </c>
      <c r="AD3721" s="32" t="str">
        <f t="shared" si="3842"/>
        <v/>
      </c>
      <c r="AE3721" s="32" t="str">
        <f t="shared" si="3842"/>
        <v/>
      </c>
      <c r="AF3721" s="32" t="str">
        <f t="shared" si="3842"/>
        <v/>
      </c>
      <c r="AG3721" s="32" t="str">
        <f t="shared" si="3842"/>
        <v/>
      </c>
      <c r="AH3721" s="33"/>
    </row>
    <row r="3722" hidden="1" outlineLevel="2">
      <c r="A3722" s="95" t="b">
        <v>0</v>
      </c>
      <c r="B3722" s="96"/>
      <c r="C3722" s="18"/>
      <c r="D3722" s="107"/>
      <c r="E3722" s="108"/>
      <c r="F3722" s="109"/>
      <c r="G3722" s="97"/>
      <c r="H3722" s="97"/>
      <c r="I3722" s="97"/>
      <c r="J3722" s="98"/>
      <c r="K3722" s="99"/>
      <c r="L3722" s="98"/>
      <c r="M3722" s="99"/>
      <c r="N3722" s="99"/>
      <c r="O3722" s="18"/>
      <c r="P3722" s="100" t="b">
        <v>0</v>
      </c>
      <c r="Q3722" s="18"/>
      <c r="R3722" s="101" t="str">
        <f t="shared" si="3377"/>
        <v/>
      </c>
      <c r="S3722" s="32"/>
      <c r="T3722" s="102" t="str">
        <f t="shared" si="3378"/>
        <v/>
      </c>
      <c r="U3722" s="18"/>
      <c r="V3722" s="113">
        <v>24.0</v>
      </c>
      <c r="W3722" s="104" t="str">
        <f t="shared" si="2828"/>
        <v>/</v>
      </c>
      <c r="X3722" s="111" t="s">
        <v>2176</v>
      </c>
      <c r="Y3722" s="106"/>
      <c r="Z3722" s="26" t="str">
        <f t="shared" si="5"/>
        <v/>
      </c>
      <c r="AA3722" s="26" t="str">
        <f t="shared" si="6"/>
        <v/>
      </c>
      <c r="AB3722" s="32" t="str">
        <f t="shared" si="7"/>
        <v/>
      </c>
      <c r="AC3722" s="32" t="str">
        <f t="shared" ref="AC3722:AG3722" si="3843">IF(J3722&lt;&gt;"", IF(AND($P3722=FALSE, $A3722=FALSE), -J3722, IF(AND($P3722=FALSE, $A3722=TRUE), 0, IF($P3722=TRUE, (J3722 / $R3722) * 100 * ($S3722 / 100)-J3722, ))), )</f>
        <v/>
      </c>
      <c r="AD3722" s="32" t="str">
        <f t="shared" si="3843"/>
        <v/>
      </c>
      <c r="AE3722" s="32" t="str">
        <f t="shared" si="3843"/>
        <v/>
      </c>
      <c r="AF3722" s="32" t="str">
        <f t="shared" si="3843"/>
        <v/>
      </c>
      <c r="AG3722" s="32" t="str">
        <f t="shared" si="3843"/>
        <v/>
      </c>
      <c r="AH3722" s="33"/>
    </row>
    <row r="3723" hidden="1" outlineLevel="1" collapsed="1">
      <c r="A3723" s="95" t="b">
        <v>0</v>
      </c>
      <c r="B3723" s="96"/>
      <c r="C3723" s="18"/>
      <c r="D3723" s="42">
        <v>45964.0</v>
      </c>
      <c r="E3723" s="43" t="s">
        <v>24</v>
      </c>
      <c r="F3723" s="53" t="s">
        <v>2162</v>
      </c>
      <c r="G3723" s="97">
        <v>2.0</v>
      </c>
      <c r="H3723" s="97"/>
      <c r="I3723" s="97">
        <v>3.0</v>
      </c>
      <c r="J3723" s="98"/>
      <c r="K3723" s="99"/>
      <c r="L3723" s="98"/>
      <c r="M3723" s="99"/>
      <c r="N3723" s="99"/>
      <c r="O3723" s="18"/>
      <c r="P3723" s="100" t="b">
        <v>1</v>
      </c>
      <c r="Q3723" s="18"/>
      <c r="R3723" s="101">
        <f t="shared" si="3377"/>
        <v>5</v>
      </c>
      <c r="S3723" s="32">
        <v>10.5</v>
      </c>
      <c r="T3723" s="102" t="str">
        <f t="shared" si="3378"/>
        <v>+110</v>
      </c>
      <c r="U3723" s="18"/>
      <c r="V3723" s="103" t="str">
        <f>IF(ISBLANK($D3723), "0",)</f>
        <v/>
      </c>
      <c r="W3723" s="104" t="str">
        <f t="shared" si="2828"/>
        <v/>
      </c>
      <c r="X3723" s="105"/>
      <c r="Y3723" s="106"/>
      <c r="Z3723" s="26">
        <f t="shared" si="5"/>
        <v>2.2</v>
      </c>
      <c r="AA3723" s="26">
        <f t="shared" si="6"/>
        <v>3.3</v>
      </c>
      <c r="AB3723" s="32" t="str">
        <f t="shared" si="7"/>
        <v/>
      </c>
      <c r="AC3723" s="32" t="str">
        <f t="shared" ref="AC3723:AG3723" si="3844">IF(J3723&lt;&gt;"", IF(AND($P3723=FALSE, $A3723=FALSE), -J3723, IF(AND($P3723=FALSE, $A3723=TRUE), 0, IF($P3723=TRUE, (J3723 / $R3723) * 100 * ($S3723 / 100)-J3723, ))), )</f>
        <v/>
      </c>
      <c r="AD3723" s="32" t="str">
        <f t="shared" si="3844"/>
        <v/>
      </c>
      <c r="AE3723" s="32" t="str">
        <f t="shared" si="3844"/>
        <v/>
      </c>
      <c r="AF3723" s="32" t="str">
        <f t="shared" si="3844"/>
        <v/>
      </c>
      <c r="AG3723" s="32" t="str">
        <f t="shared" si="3844"/>
        <v/>
      </c>
      <c r="AH3723" s="33"/>
    </row>
    <row r="3724" hidden="1" outlineLevel="2">
      <c r="A3724" s="95" t="b">
        <v>0</v>
      </c>
      <c r="B3724" s="96"/>
      <c r="C3724" s="18"/>
      <c r="D3724" s="107"/>
      <c r="E3724" s="108"/>
      <c r="F3724" s="109"/>
      <c r="G3724" s="97"/>
      <c r="H3724" s="97"/>
      <c r="I3724" s="97"/>
      <c r="J3724" s="98"/>
      <c r="K3724" s="99"/>
      <c r="L3724" s="98"/>
      <c r="M3724" s="99"/>
      <c r="N3724" s="99"/>
      <c r="O3724" s="18"/>
      <c r="P3724" s="100" t="b">
        <v>0</v>
      </c>
      <c r="Q3724" s="18"/>
      <c r="R3724" s="101" t="str">
        <f t="shared" si="3377"/>
        <v/>
      </c>
      <c r="S3724" s="32"/>
      <c r="T3724" s="102" t="str">
        <f t="shared" si="3378"/>
        <v/>
      </c>
      <c r="U3724" s="18"/>
      <c r="V3724" s="75" t="s">
        <v>29</v>
      </c>
      <c r="W3724" s="104" t="str">
        <f t="shared" si="2828"/>
        <v>/</v>
      </c>
      <c r="X3724" s="111" t="s">
        <v>2177</v>
      </c>
      <c r="Y3724" s="106"/>
      <c r="Z3724" s="26" t="str">
        <f t="shared" si="5"/>
        <v/>
      </c>
      <c r="AA3724" s="26" t="str">
        <f t="shared" si="6"/>
        <v/>
      </c>
      <c r="AB3724" s="32" t="str">
        <f t="shared" si="7"/>
        <v/>
      </c>
      <c r="AC3724" s="32" t="str">
        <f t="shared" ref="AC3724:AG3724" si="3845">IF(J3724&lt;&gt;"", IF(AND($P3724=FALSE, $A3724=FALSE), -J3724, IF(AND($P3724=FALSE, $A3724=TRUE), 0, IF($P3724=TRUE, (J3724 / $R3724) * 100 * ($S3724 / 100)-J3724, ))), )</f>
        <v/>
      </c>
      <c r="AD3724" s="32" t="str">
        <f t="shared" si="3845"/>
        <v/>
      </c>
      <c r="AE3724" s="32" t="str">
        <f t="shared" si="3845"/>
        <v/>
      </c>
      <c r="AF3724" s="32" t="str">
        <f t="shared" si="3845"/>
        <v/>
      </c>
      <c r="AG3724" s="32" t="str">
        <f t="shared" si="3845"/>
        <v/>
      </c>
      <c r="AH3724" s="33"/>
    </row>
    <row r="3725" hidden="1" outlineLevel="1" collapsed="1">
      <c r="A3725" s="95" t="b">
        <v>0</v>
      </c>
      <c r="B3725" s="96"/>
      <c r="C3725" s="18"/>
      <c r="D3725" s="42">
        <v>45964.0</v>
      </c>
      <c r="E3725" s="43" t="s">
        <v>24</v>
      </c>
      <c r="F3725" s="53" t="s">
        <v>2162</v>
      </c>
      <c r="G3725" s="97">
        <v>2.0</v>
      </c>
      <c r="H3725" s="97"/>
      <c r="I3725" s="97">
        <v>3.0</v>
      </c>
      <c r="J3725" s="98"/>
      <c r="K3725" s="99"/>
      <c r="L3725" s="98"/>
      <c r="M3725" s="99"/>
      <c r="N3725" s="99"/>
      <c r="O3725" s="18"/>
      <c r="P3725" s="100" t="b">
        <v>1</v>
      </c>
      <c r="Q3725" s="18"/>
      <c r="R3725" s="101">
        <f t="shared" si="3377"/>
        <v>5</v>
      </c>
      <c r="S3725" s="32">
        <v>9.46</v>
      </c>
      <c r="T3725" s="102">
        <f t="shared" si="3378"/>
        <v>-112</v>
      </c>
      <c r="U3725" s="18"/>
      <c r="V3725" s="103" t="str">
        <f>IF(ISBLANK($D3725), "0",)</f>
        <v/>
      </c>
      <c r="W3725" s="104" t="str">
        <f t="shared" si="2828"/>
        <v/>
      </c>
      <c r="X3725" s="105"/>
      <c r="Y3725" s="106"/>
      <c r="Z3725" s="26">
        <f t="shared" si="5"/>
        <v>1.784</v>
      </c>
      <c r="AA3725" s="26">
        <f t="shared" si="6"/>
        <v>2.676</v>
      </c>
      <c r="AB3725" s="32" t="str">
        <f t="shared" si="7"/>
        <v/>
      </c>
      <c r="AC3725" s="32" t="str">
        <f t="shared" ref="AC3725:AG3725" si="3846">IF(J3725&lt;&gt;"", IF(AND($P3725=FALSE, $A3725=FALSE), -J3725, IF(AND($P3725=FALSE, $A3725=TRUE), 0, IF($P3725=TRUE, (J3725 / $R3725) * 100 * ($S3725 / 100)-J3725, ))), )</f>
        <v/>
      </c>
      <c r="AD3725" s="32" t="str">
        <f t="shared" si="3846"/>
        <v/>
      </c>
      <c r="AE3725" s="32" t="str">
        <f t="shared" si="3846"/>
        <v/>
      </c>
      <c r="AF3725" s="32" t="str">
        <f t="shared" si="3846"/>
        <v/>
      </c>
      <c r="AG3725" s="32" t="str">
        <f t="shared" si="3846"/>
        <v/>
      </c>
      <c r="AH3725" s="33"/>
    </row>
    <row r="3726" hidden="1" outlineLevel="2">
      <c r="A3726" s="95" t="b">
        <v>0</v>
      </c>
      <c r="B3726" s="96"/>
      <c r="C3726" s="18"/>
      <c r="D3726" s="107"/>
      <c r="E3726" s="108"/>
      <c r="F3726" s="109"/>
      <c r="G3726" s="97"/>
      <c r="H3726" s="97"/>
      <c r="I3726" s="97"/>
      <c r="J3726" s="98"/>
      <c r="K3726" s="99"/>
      <c r="L3726" s="98"/>
      <c r="M3726" s="99"/>
      <c r="N3726" s="99"/>
      <c r="O3726" s="18"/>
      <c r="P3726" s="100" t="b">
        <v>0</v>
      </c>
      <c r="Q3726" s="18"/>
      <c r="R3726" s="101" t="str">
        <f t="shared" si="3377"/>
        <v/>
      </c>
      <c r="S3726" s="32"/>
      <c r="T3726" s="102" t="str">
        <f t="shared" si="3378"/>
        <v/>
      </c>
      <c r="U3726" s="18"/>
      <c r="V3726" s="75" t="s">
        <v>29</v>
      </c>
      <c r="W3726" s="104" t="str">
        <f t="shared" si="2828"/>
        <v>/</v>
      </c>
      <c r="X3726" s="111" t="s">
        <v>2178</v>
      </c>
      <c r="Y3726" s="106"/>
      <c r="Z3726" s="26" t="str">
        <f t="shared" si="5"/>
        <v/>
      </c>
      <c r="AA3726" s="26" t="str">
        <f t="shared" si="6"/>
        <v/>
      </c>
      <c r="AB3726" s="32" t="str">
        <f t="shared" si="7"/>
        <v/>
      </c>
      <c r="AC3726" s="32" t="str">
        <f t="shared" ref="AC3726:AG3726" si="3847">IF(J3726&lt;&gt;"", IF(AND($P3726=FALSE, $A3726=FALSE), -J3726, IF(AND($P3726=FALSE, $A3726=TRUE), 0, IF($P3726=TRUE, (J3726 / $R3726) * 100 * ($S3726 / 100)-J3726, ))), )</f>
        <v/>
      </c>
      <c r="AD3726" s="32" t="str">
        <f t="shared" si="3847"/>
        <v/>
      </c>
      <c r="AE3726" s="32" t="str">
        <f t="shared" si="3847"/>
        <v/>
      </c>
      <c r="AF3726" s="32" t="str">
        <f t="shared" si="3847"/>
        <v/>
      </c>
      <c r="AG3726" s="32" t="str">
        <f t="shared" si="3847"/>
        <v/>
      </c>
      <c r="AH3726" s="33"/>
    </row>
    <row r="3727" hidden="1" outlineLevel="1">
      <c r="A3727" s="95" t="b">
        <v>0</v>
      </c>
      <c r="B3727" s="96"/>
      <c r="C3727" s="18"/>
      <c r="D3727" s="42">
        <v>45964.0</v>
      </c>
      <c r="E3727" s="43" t="s">
        <v>24</v>
      </c>
      <c r="F3727" s="53" t="s">
        <v>2162</v>
      </c>
      <c r="G3727" s="97">
        <v>1.0</v>
      </c>
      <c r="H3727" s="97"/>
      <c r="I3727" s="97">
        <v>2.0</v>
      </c>
      <c r="J3727" s="98"/>
      <c r="K3727" s="99"/>
      <c r="L3727" s="98"/>
      <c r="M3727" s="99"/>
      <c r="N3727" s="99"/>
      <c r="O3727" s="18"/>
      <c r="P3727" s="100" t="b">
        <v>0</v>
      </c>
      <c r="Q3727" s="18"/>
      <c r="R3727" s="101">
        <f t="shared" si="3377"/>
        <v>3</v>
      </c>
      <c r="S3727" s="32">
        <v>49.15</v>
      </c>
      <c r="T3727" s="102" t="str">
        <f t="shared" si="3378"/>
        <v>+1538</v>
      </c>
      <c r="U3727" s="18"/>
      <c r="V3727" s="103" t="str">
        <f>IF(ISBLANK($D3727), "0",)</f>
        <v/>
      </c>
      <c r="W3727" s="104" t="str">
        <f t="shared" si="2828"/>
        <v/>
      </c>
      <c r="X3727" s="105"/>
      <c r="Y3727" s="106"/>
      <c r="Z3727" s="26">
        <f t="shared" si="5"/>
        <v>-1</v>
      </c>
      <c r="AA3727" s="26">
        <f t="shared" si="6"/>
        <v>-2</v>
      </c>
      <c r="AB3727" s="32" t="str">
        <f t="shared" si="7"/>
        <v/>
      </c>
      <c r="AC3727" s="32" t="str">
        <f t="shared" ref="AC3727:AG3727" si="3848">IF(J3727&lt;&gt;"", IF(AND($P3727=FALSE, $A3727=FALSE), -J3727, IF(AND($P3727=FALSE, $A3727=TRUE), 0, IF($P3727=TRUE, (J3727 / $R3727) * 100 * ($S3727 / 100)-J3727, ))), )</f>
        <v/>
      </c>
      <c r="AD3727" s="32" t="str">
        <f t="shared" si="3848"/>
        <v/>
      </c>
      <c r="AE3727" s="32" t="str">
        <f t="shared" si="3848"/>
        <v/>
      </c>
      <c r="AF3727" s="32" t="str">
        <f t="shared" si="3848"/>
        <v/>
      </c>
      <c r="AG3727" s="32" t="str">
        <f t="shared" si="3848"/>
        <v/>
      </c>
      <c r="AH3727" s="33"/>
    </row>
    <row r="3728" hidden="1" outlineLevel="2">
      <c r="A3728" s="95" t="b">
        <v>0</v>
      </c>
      <c r="B3728" s="96"/>
      <c r="C3728" s="18"/>
      <c r="D3728" s="107"/>
      <c r="E3728" s="108"/>
      <c r="F3728" s="109"/>
      <c r="G3728" s="97"/>
      <c r="H3728" s="97"/>
      <c r="I3728" s="97"/>
      <c r="J3728" s="98"/>
      <c r="K3728" s="99"/>
      <c r="L3728" s="98"/>
      <c r="M3728" s="99"/>
      <c r="N3728" s="99"/>
      <c r="O3728" s="18"/>
      <c r="P3728" s="100" t="b">
        <v>0</v>
      </c>
      <c r="Q3728" s="18"/>
      <c r="R3728" s="101" t="str">
        <f t="shared" si="3377"/>
        <v/>
      </c>
      <c r="S3728" s="32"/>
      <c r="T3728" s="102" t="str">
        <f t="shared" si="3378"/>
        <v/>
      </c>
      <c r="U3728" s="18"/>
      <c r="V3728" s="75" t="s">
        <v>29</v>
      </c>
      <c r="W3728" s="104" t="str">
        <f t="shared" si="2828"/>
        <v>/</v>
      </c>
      <c r="X3728" s="111" t="s">
        <v>2179</v>
      </c>
      <c r="Y3728" s="106"/>
      <c r="Z3728" s="26" t="str">
        <f t="shared" si="5"/>
        <v/>
      </c>
      <c r="AA3728" s="26" t="str">
        <f t="shared" si="6"/>
        <v/>
      </c>
      <c r="AB3728" s="32" t="str">
        <f t="shared" si="7"/>
        <v/>
      </c>
      <c r="AC3728" s="32" t="str">
        <f t="shared" ref="AC3728:AG3728" si="3849">IF(J3728&lt;&gt;"", IF(AND($P3728=FALSE, $A3728=FALSE), -J3728, IF(AND($P3728=FALSE, $A3728=TRUE), 0, IF($P3728=TRUE, (J3728 / $R3728) * 100 * ($S3728 / 100)-J3728, ))), )</f>
        <v/>
      </c>
      <c r="AD3728" s="32" t="str">
        <f t="shared" si="3849"/>
        <v/>
      </c>
      <c r="AE3728" s="32" t="str">
        <f t="shared" si="3849"/>
        <v/>
      </c>
      <c r="AF3728" s="32" t="str">
        <f t="shared" si="3849"/>
        <v/>
      </c>
      <c r="AG3728" s="32" t="str">
        <f t="shared" si="3849"/>
        <v/>
      </c>
      <c r="AH3728" s="33"/>
    </row>
    <row r="3729" hidden="1" outlineLevel="2">
      <c r="A3729" s="95" t="b">
        <v>0</v>
      </c>
      <c r="B3729" s="96"/>
      <c r="C3729" s="18"/>
      <c r="D3729" s="107"/>
      <c r="E3729" s="108"/>
      <c r="F3729" s="109"/>
      <c r="G3729" s="97"/>
      <c r="H3729" s="97"/>
      <c r="I3729" s="97"/>
      <c r="J3729" s="98"/>
      <c r="K3729" s="99"/>
      <c r="L3729" s="98"/>
      <c r="M3729" s="99"/>
      <c r="N3729" s="99"/>
      <c r="O3729" s="18"/>
      <c r="P3729" s="100" t="b">
        <v>0</v>
      </c>
      <c r="Q3729" s="18"/>
      <c r="R3729" s="101" t="str">
        <f t="shared" si="3377"/>
        <v/>
      </c>
      <c r="S3729" s="32"/>
      <c r="T3729" s="102" t="str">
        <f t="shared" si="3378"/>
        <v/>
      </c>
      <c r="U3729" s="18"/>
      <c r="V3729" s="75" t="s">
        <v>29</v>
      </c>
      <c r="W3729" s="104" t="str">
        <f t="shared" si="2828"/>
        <v>/</v>
      </c>
      <c r="X3729" s="111" t="s">
        <v>2180</v>
      </c>
      <c r="Y3729" s="106"/>
      <c r="Z3729" s="26" t="str">
        <f t="shared" si="5"/>
        <v/>
      </c>
      <c r="AA3729" s="26" t="str">
        <f t="shared" si="6"/>
        <v/>
      </c>
      <c r="AB3729" s="32" t="str">
        <f t="shared" si="7"/>
        <v/>
      </c>
      <c r="AC3729" s="32" t="str">
        <f t="shared" ref="AC3729:AG3729" si="3850">IF(J3729&lt;&gt;"", IF(AND($P3729=FALSE, $A3729=FALSE), -J3729, IF(AND($P3729=FALSE, $A3729=TRUE), 0, IF($P3729=TRUE, (J3729 / $R3729) * 100 * ($S3729 / 100)-J3729, ))), )</f>
        <v/>
      </c>
      <c r="AD3729" s="32" t="str">
        <f t="shared" si="3850"/>
        <v/>
      </c>
      <c r="AE3729" s="32" t="str">
        <f t="shared" si="3850"/>
        <v/>
      </c>
      <c r="AF3729" s="32" t="str">
        <f t="shared" si="3850"/>
        <v/>
      </c>
      <c r="AG3729" s="32" t="str">
        <f t="shared" si="3850"/>
        <v/>
      </c>
      <c r="AH3729" s="33"/>
    </row>
    <row r="3730" hidden="1" outlineLevel="2">
      <c r="A3730" s="95" t="b">
        <v>0</v>
      </c>
      <c r="B3730" s="96"/>
      <c r="C3730" s="18"/>
      <c r="D3730" s="107"/>
      <c r="E3730" s="108"/>
      <c r="F3730" s="109"/>
      <c r="G3730" s="97"/>
      <c r="H3730" s="97"/>
      <c r="I3730" s="97"/>
      <c r="J3730" s="98"/>
      <c r="K3730" s="99"/>
      <c r="L3730" s="98"/>
      <c r="M3730" s="99"/>
      <c r="N3730" s="99"/>
      <c r="O3730" s="18"/>
      <c r="P3730" s="100" t="b">
        <v>0</v>
      </c>
      <c r="Q3730" s="18"/>
      <c r="R3730" s="101" t="str">
        <f t="shared" si="3377"/>
        <v/>
      </c>
      <c r="S3730" s="32"/>
      <c r="T3730" s="102" t="str">
        <f t="shared" si="3378"/>
        <v/>
      </c>
      <c r="U3730" s="18"/>
      <c r="V3730" s="103" t="str">
        <f>IF(ISBLANK($D3730), "0",)</f>
        <v>0</v>
      </c>
      <c r="W3730" s="104" t="str">
        <f t="shared" si="2828"/>
        <v>/</v>
      </c>
      <c r="X3730" s="111" t="s">
        <v>2181</v>
      </c>
      <c r="Y3730" s="106"/>
      <c r="Z3730" s="26" t="str">
        <f t="shared" si="5"/>
        <v/>
      </c>
      <c r="AA3730" s="26" t="str">
        <f t="shared" si="6"/>
        <v/>
      </c>
      <c r="AB3730" s="32" t="str">
        <f t="shared" si="7"/>
        <v/>
      </c>
      <c r="AC3730" s="32" t="str">
        <f t="shared" ref="AC3730:AG3730" si="3851">IF(J3730&lt;&gt;"", IF(AND($P3730=FALSE, $A3730=FALSE), -J3730, IF(AND($P3730=FALSE, $A3730=TRUE), 0, IF($P3730=TRUE, (J3730 / $R3730) * 100 * ($S3730 / 100)-J3730, ))), )</f>
        <v/>
      </c>
      <c r="AD3730" s="32" t="str">
        <f t="shared" si="3851"/>
        <v/>
      </c>
      <c r="AE3730" s="32" t="str">
        <f t="shared" si="3851"/>
        <v/>
      </c>
      <c r="AF3730" s="32" t="str">
        <f t="shared" si="3851"/>
        <v/>
      </c>
      <c r="AG3730" s="32" t="str">
        <f t="shared" si="3851"/>
        <v/>
      </c>
      <c r="AH3730" s="33"/>
    </row>
    <row r="3731" hidden="1" outlineLevel="2">
      <c r="A3731" s="95" t="b">
        <v>0</v>
      </c>
      <c r="B3731" s="96"/>
      <c r="C3731" s="18"/>
      <c r="D3731" s="107"/>
      <c r="E3731" s="108"/>
      <c r="F3731" s="109"/>
      <c r="G3731" s="97"/>
      <c r="H3731" s="97"/>
      <c r="I3731" s="97"/>
      <c r="J3731" s="98"/>
      <c r="K3731" s="99"/>
      <c r="L3731" s="98"/>
      <c r="M3731" s="99"/>
      <c r="N3731" s="99"/>
      <c r="O3731" s="18"/>
      <c r="P3731" s="100" t="b">
        <v>0</v>
      </c>
      <c r="Q3731" s="18"/>
      <c r="R3731" s="101" t="str">
        <f t="shared" si="3377"/>
        <v/>
      </c>
      <c r="S3731" s="32"/>
      <c r="T3731" s="102" t="str">
        <f t="shared" si="3378"/>
        <v/>
      </c>
      <c r="U3731" s="18"/>
      <c r="V3731" s="113">
        <v>5.0</v>
      </c>
      <c r="W3731" s="104" t="str">
        <f t="shared" si="2828"/>
        <v>/</v>
      </c>
      <c r="X3731" s="111" t="s">
        <v>2182</v>
      </c>
      <c r="Y3731" s="106"/>
      <c r="Z3731" s="26" t="str">
        <f t="shared" si="5"/>
        <v/>
      </c>
      <c r="AA3731" s="26" t="str">
        <f t="shared" si="6"/>
        <v/>
      </c>
      <c r="AB3731" s="32" t="str">
        <f t="shared" si="7"/>
        <v/>
      </c>
      <c r="AC3731" s="32" t="str">
        <f t="shared" ref="AC3731:AG3731" si="3852">IF(J3731&lt;&gt;"", IF(AND($P3731=FALSE, $A3731=FALSE), -J3731, IF(AND($P3731=FALSE, $A3731=TRUE), 0, IF($P3731=TRUE, (J3731 / $R3731) * 100 * ($S3731 / 100)-J3731, ))), )</f>
        <v/>
      </c>
      <c r="AD3731" s="32" t="str">
        <f t="shared" si="3852"/>
        <v/>
      </c>
      <c r="AE3731" s="32" t="str">
        <f t="shared" si="3852"/>
        <v/>
      </c>
      <c r="AF3731" s="32" t="str">
        <f t="shared" si="3852"/>
        <v/>
      </c>
      <c r="AG3731" s="32" t="str">
        <f t="shared" si="3852"/>
        <v/>
      </c>
      <c r="AH3731" s="33"/>
    </row>
    <row r="3732" hidden="1" outlineLevel="2">
      <c r="A3732" s="95" t="b">
        <v>0</v>
      </c>
      <c r="B3732" s="96"/>
      <c r="C3732" s="18"/>
      <c r="D3732" s="107"/>
      <c r="E3732" s="108"/>
      <c r="F3732" s="109"/>
      <c r="G3732" s="97"/>
      <c r="H3732" s="97"/>
      <c r="I3732" s="97"/>
      <c r="J3732" s="98"/>
      <c r="K3732" s="99"/>
      <c r="L3732" s="98"/>
      <c r="M3732" s="99"/>
      <c r="N3732" s="99"/>
      <c r="O3732" s="18"/>
      <c r="P3732" s="100" t="b">
        <v>0</v>
      </c>
      <c r="Q3732" s="18"/>
      <c r="R3732" s="101" t="str">
        <f t="shared" si="3377"/>
        <v/>
      </c>
      <c r="S3732" s="32"/>
      <c r="T3732" s="102" t="str">
        <f t="shared" si="3378"/>
        <v/>
      </c>
      <c r="U3732" s="18"/>
      <c r="V3732" s="75" t="s">
        <v>29</v>
      </c>
      <c r="W3732" s="104" t="str">
        <f t="shared" si="2828"/>
        <v>/</v>
      </c>
      <c r="X3732" s="111" t="s">
        <v>2183</v>
      </c>
      <c r="Y3732" s="106"/>
      <c r="Z3732" s="26" t="str">
        <f t="shared" si="5"/>
        <v/>
      </c>
      <c r="AA3732" s="26" t="str">
        <f t="shared" si="6"/>
        <v/>
      </c>
      <c r="AB3732" s="32" t="str">
        <f t="shared" si="7"/>
        <v/>
      </c>
      <c r="AC3732" s="32" t="str">
        <f t="shared" ref="AC3732:AG3732" si="3853">IF(J3732&lt;&gt;"", IF(AND($P3732=FALSE, $A3732=FALSE), -J3732, IF(AND($P3732=FALSE, $A3732=TRUE), 0, IF($P3732=TRUE, (J3732 / $R3732) * 100 * ($S3732 / 100)-J3732, ))), )</f>
        <v/>
      </c>
      <c r="AD3732" s="32" t="str">
        <f t="shared" si="3853"/>
        <v/>
      </c>
      <c r="AE3732" s="32" t="str">
        <f t="shared" si="3853"/>
        <v/>
      </c>
      <c r="AF3732" s="32" t="str">
        <f t="shared" si="3853"/>
        <v/>
      </c>
      <c r="AG3732" s="32" t="str">
        <f t="shared" si="3853"/>
        <v/>
      </c>
      <c r="AH3732" s="33"/>
    </row>
    <row r="3733" collapsed="1">
      <c r="A3733" s="95" t="b">
        <v>0</v>
      </c>
      <c r="B3733" s="96"/>
      <c r="C3733" s="18"/>
      <c r="D3733" s="42">
        <v>45967.0</v>
      </c>
      <c r="E3733" s="43" t="s">
        <v>24</v>
      </c>
      <c r="F3733" s="53" t="s">
        <v>2184</v>
      </c>
      <c r="G3733" s="97">
        <v>3.0</v>
      </c>
      <c r="H3733" s="97"/>
      <c r="I3733" s="97">
        <v>3.0</v>
      </c>
      <c r="J3733" s="98"/>
      <c r="K3733" s="99"/>
      <c r="L3733" s="98"/>
      <c r="M3733" s="99"/>
      <c r="N3733" s="99"/>
      <c r="O3733" s="18"/>
      <c r="P3733" s="100" t="b">
        <v>0</v>
      </c>
      <c r="Q3733" s="18"/>
      <c r="R3733" s="101">
        <f t="shared" si="3377"/>
        <v>6</v>
      </c>
      <c r="S3733" s="32">
        <v>12.36</v>
      </c>
      <c r="T3733" s="102" t="str">
        <f t="shared" si="3378"/>
        <v>+106</v>
      </c>
      <c r="U3733" s="18"/>
      <c r="V3733" s="103" t="str">
        <f>IF(ISBLANK($D3733), "0",)</f>
        <v/>
      </c>
      <c r="W3733" s="104" t="str">
        <f t="shared" si="2828"/>
        <v/>
      </c>
      <c r="X3733" s="105"/>
      <c r="Y3733" s="106"/>
      <c r="Z3733" s="26">
        <f t="shared" si="5"/>
        <v>-3</v>
      </c>
      <c r="AA3733" s="26">
        <f t="shared" si="6"/>
        <v>-3</v>
      </c>
      <c r="AB3733" s="32" t="str">
        <f t="shared" si="7"/>
        <v/>
      </c>
      <c r="AC3733" s="32" t="str">
        <f t="shared" ref="AC3733:AG3733" si="3854">IF(J3733&lt;&gt;"", IF(AND($P3733=FALSE, $A3733=FALSE), -J3733, IF(AND($P3733=FALSE, $A3733=TRUE), 0, IF($P3733=TRUE, (J3733 / $R3733) * 100 * ($S3733 / 100)-J3733, ))), )</f>
        <v/>
      </c>
      <c r="AD3733" s="32" t="str">
        <f t="shared" si="3854"/>
        <v/>
      </c>
      <c r="AE3733" s="32" t="str">
        <f t="shared" si="3854"/>
        <v/>
      </c>
      <c r="AF3733" s="32" t="str">
        <f t="shared" si="3854"/>
        <v/>
      </c>
      <c r="AG3733" s="32" t="str">
        <f t="shared" si="3854"/>
        <v/>
      </c>
      <c r="AH3733" s="33"/>
    </row>
    <row r="3734" hidden="1" outlineLevel="2">
      <c r="A3734" s="95" t="b">
        <v>0</v>
      </c>
      <c r="B3734" s="96"/>
      <c r="C3734" s="18"/>
      <c r="D3734" s="107"/>
      <c r="E3734" s="108"/>
      <c r="F3734" s="109"/>
      <c r="G3734" s="97"/>
      <c r="H3734" s="97"/>
      <c r="I3734" s="97"/>
      <c r="J3734" s="98"/>
      <c r="K3734" s="99"/>
      <c r="L3734" s="98"/>
      <c r="M3734" s="99"/>
      <c r="N3734" s="99"/>
      <c r="O3734" s="18"/>
      <c r="P3734" s="100" t="b">
        <v>0</v>
      </c>
      <c r="Q3734" s="18"/>
      <c r="R3734" s="101" t="str">
        <f t="shared" si="3377"/>
        <v/>
      </c>
      <c r="S3734" s="32"/>
      <c r="T3734" s="102" t="str">
        <f t="shared" si="3378"/>
        <v/>
      </c>
      <c r="U3734" s="18"/>
      <c r="V3734" s="113">
        <v>1.0</v>
      </c>
      <c r="W3734" s="104" t="str">
        <f t="shared" si="2828"/>
        <v>/</v>
      </c>
      <c r="X3734" s="111" t="s">
        <v>2185</v>
      </c>
      <c r="Y3734" s="106"/>
      <c r="Z3734" s="26" t="str">
        <f t="shared" si="5"/>
        <v/>
      </c>
      <c r="AA3734" s="26" t="str">
        <f t="shared" si="6"/>
        <v/>
      </c>
      <c r="AB3734" s="32" t="str">
        <f t="shared" si="7"/>
        <v/>
      </c>
      <c r="AC3734" s="32" t="str">
        <f t="shared" ref="AC3734:AG3734" si="3855">IF(J3734&lt;&gt;"", IF(AND($P3734=FALSE, $A3734=FALSE), -J3734, IF(AND($P3734=FALSE, $A3734=TRUE), 0, IF($P3734=TRUE, (J3734 / $R3734) * 100 * ($S3734 / 100)-J3734, ))), )</f>
        <v/>
      </c>
      <c r="AD3734" s="32" t="str">
        <f t="shared" si="3855"/>
        <v/>
      </c>
      <c r="AE3734" s="32" t="str">
        <f t="shared" si="3855"/>
        <v/>
      </c>
      <c r="AF3734" s="32" t="str">
        <f t="shared" si="3855"/>
        <v/>
      </c>
      <c r="AG3734" s="32" t="str">
        <f t="shared" si="3855"/>
        <v/>
      </c>
      <c r="AH3734" s="33"/>
    </row>
    <row r="3735" hidden="1" outlineLevel="1">
      <c r="A3735" s="95" t="b">
        <v>0</v>
      </c>
      <c r="B3735" s="96"/>
      <c r="C3735" s="18"/>
      <c r="D3735" s="42">
        <v>45967.0</v>
      </c>
      <c r="E3735" s="43" t="s">
        <v>24</v>
      </c>
      <c r="F3735" s="53" t="s">
        <v>2184</v>
      </c>
      <c r="G3735" s="97">
        <v>3.0</v>
      </c>
      <c r="H3735" s="97"/>
      <c r="I3735" s="97">
        <v>3.0</v>
      </c>
      <c r="J3735" s="98"/>
      <c r="K3735" s="99"/>
      <c r="L3735" s="98"/>
      <c r="M3735" s="99"/>
      <c r="N3735" s="99"/>
      <c r="O3735" s="18"/>
      <c r="P3735" s="100" t="b">
        <v>0</v>
      </c>
      <c r="Q3735" s="18"/>
      <c r="R3735" s="101">
        <f t="shared" si="3377"/>
        <v>6</v>
      </c>
      <c r="S3735" s="32">
        <v>22.47</v>
      </c>
      <c r="T3735" s="102" t="str">
        <f t="shared" si="3378"/>
        <v>+275</v>
      </c>
      <c r="U3735" s="18"/>
      <c r="V3735" s="103" t="str">
        <f>IF(ISBLANK($D3735), "0",)</f>
        <v/>
      </c>
      <c r="W3735" s="104" t="str">
        <f t="shared" si="2828"/>
        <v/>
      </c>
      <c r="X3735" s="105"/>
      <c r="Y3735" s="106"/>
      <c r="Z3735" s="26">
        <f t="shared" si="5"/>
        <v>-3</v>
      </c>
      <c r="AA3735" s="26">
        <f t="shared" si="6"/>
        <v>-3</v>
      </c>
      <c r="AB3735" s="32" t="str">
        <f t="shared" si="7"/>
        <v/>
      </c>
      <c r="AC3735" s="32" t="str">
        <f t="shared" ref="AC3735:AG3735" si="3856">IF(J3735&lt;&gt;"", IF(AND($P3735=FALSE, $A3735=FALSE), -J3735, IF(AND($P3735=FALSE, $A3735=TRUE), 0, IF($P3735=TRUE, (J3735 / $R3735) * 100 * ($S3735 / 100)-J3735, ))), )</f>
        <v/>
      </c>
      <c r="AD3735" s="32" t="str">
        <f t="shared" si="3856"/>
        <v/>
      </c>
      <c r="AE3735" s="32" t="str">
        <f t="shared" si="3856"/>
        <v/>
      </c>
      <c r="AF3735" s="32" t="str">
        <f t="shared" si="3856"/>
        <v/>
      </c>
      <c r="AG3735" s="32" t="str">
        <f t="shared" si="3856"/>
        <v/>
      </c>
      <c r="AH3735" s="33"/>
    </row>
    <row r="3736" hidden="1" outlineLevel="2">
      <c r="A3736" s="95" t="b">
        <v>0</v>
      </c>
      <c r="B3736" s="96"/>
      <c r="C3736" s="18"/>
      <c r="D3736" s="107"/>
      <c r="E3736" s="108"/>
      <c r="F3736" s="109"/>
      <c r="G3736" s="97"/>
      <c r="H3736" s="97"/>
      <c r="I3736" s="97"/>
      <c r="J3736" s="98"/>
      <c r="K3736" s="99"/>
      <c r="L3736" s="98"/>
      <c r="M3736" s="99"/>
      <c r="N3736" s="99"/>
      <c r="O3736" s="18"/>
      <c r="P3736" s="100" t="b">
        <v>0</v>
      </c>
      <c r="Q3736" s="18"/>
      <c r="R3736" s="101" t="str">
        <f t="shared" si="3377"/>
        <v/>
      </c>
      <c r="S3736" s="32"/>
      <c r="T3736" s="102" t="str">
        <f t="shared" si="3378"/>
        <v/>
      </c>
      <c r="U3736" s="18"/>
      <c r="V3736" s="113">
        <v>-1.0</v>
      </c>
      <c r="W3736" s="104" t="str">
        <f t="shared" si="2828"/>
        <v>/</v>
      </c>
      <c r="X3736" s="111" t="s">
        <v>2173</v>
      </c>
      <c r="Y3736" s="106"/>
      <c r="Z3736" s="26" t="str">
        <f t="shared" si="5"/>
        <v/>
      </c>
      <c r="AA3736" s="26" t="str">
        <f t="shared" si="6"/>
        <v/>
      </c>
      <c r="AB3736" s="32" t="str">
        <f t="shared" si="7"/>
        <v/>
      </c>
      <c r="AC3736" s="32" t="str">
        <f t="shared" ref="AC3736:AG3736" si="3857">IF(J3736&lt;&gt;"", IF(AND($P3736=FALSE, $A3736=FALSE), -J3736, IF(AND($P3736=FALSE, $A3736=TRUE), 0, IF($P3736=TRUE, (J3736 / $R3736) * 100 * ($S3736 / 100)-J3736, ))), )</f>
        <v/>
      </c>
      <c r="AD3736" s="32" t="str">
        <f t="shared" si="3857"/>
        <v/>
      </c>
      <c r="AE3736" s="32" t="str">
        <f t="shared" si="3857"/>
        <v/>
      </c>
      <c r="AF3736" s="32" t="str">
        <f t="shared" si="3857"/>
        <v/>
      </c>
      <c r="AG3736" s="32" t="str">
        <f t="shared" si="3857"/>
        <v/>
      </c>
      <c r="AH3736" s="33"/>
    </row>
    <row r="3737" hidden="1" outlineLevel="2">
      <c r="A3737" s="95" t="b">
        <v>0</v>
      </c>
      <c r="B3737" s="96"/>
      <c r="C3737" s="18"/>
      <c r="D3737" s="107"/>
      <c r="E3737" s="108"/>
      <c r="F3737" s="109"/>
      <c r="G3737" s="97"/>
      <c r="H3737" s="97"/>
      <c r="I3737" s="97"/>
      <c r="J3737" s="98"/>
      <c r="K3737" s="99"/>
      <c r="L3737" s="98"/>
      <c r="M3737" s="99"/>
      <c r="N3737" s="99"/>
      <c r="O3737" s="18"/>
      <c r="P3737" s="100" t="b">
        <v>0</v>
      </c>
      <c r="Q3737" s="18"/>
      <c r="R3737" s="101" t="str">
        <f t="shared" si="3377"/>
        <v/>
      </c>
      <c r="S3737" s="32"/>
      <c r="T3737" s="102" t="str">
        <f t="shared" si="3378"/>
        <v/>
      </c>
      <c r="U3737" s="18"/>
      <c r="V3737" s="75" t="s">
        <v>29</v>
      </c>
      <c r="W3737" s="104" t="str">
        <f t="shared" si="2828"/>
        <v>/</v>
      </c>
      <c r="X3737" s="111" t="s">
        <v>2186</v>
      </c>
      <c r="Y3737" s="106"/>
      <c r="Z3737" s="26" t="str">
        <f t="shared" si="5"/>
        <v/>
      </c>
      <c r="AA3737" s="26" t="str">
        <f t="shared" si="6"/>
        <v/>
      </c>
      <c r="AB3737" s="32" t="str">
        <f t="shared" si="7"/>
        <v/>
      </c>
      <c r="AC3737" s="32" t="str">
        <f t="shared" ref="AC3737:AG3737" si="3858">IF(J3737&lt;&gt;"", IF(AND($P3737=FALSE, $A3737=FALSE), -J3737, IF(AND($P3737=FALSE, $A3737=TRUE), 0, IF($P3737=TRUE, (J3737 / $R3737) * 100 * ($S3737 / 100)-J3737, ))), )</f>
        <v/>
      </c>
      <c r="AD3737" s="32" t="str">
        <f t="shared" si="3858"/>
        <v/>
      </c>
      <c r="AE3737" s="32" t="str">
        <f t="shared" si="3858"/>
        <v/>
      </c>
      <c r="AF3737" s="32" t="str">
        <f t="shared" si="3858"/>
        <v/>
      </c>
      <c r="AG3737" s="32" t="str">
        <f t="shared" si="3858"/>
        <v/>
      </c>
      <c r="AH3737" s="33"/>
    </row>
    <row r="3738" hidden="1" outlineLevel="2">
      <c r="A3738" s="95" t="b">
        <v>0</v>
      </c>
      <c r="B3738" s="96"/>
      <c r="C3738" s="18"/>
      <c r="D3738" s="107"/>
      <c r="E3738" s="108"/>
      <c r="F3738" s="109"/>
      <c r="G3738" s="97"/>
      <c r="H3738" s="97"/>
      <c r="I3738" s="97"/>
      <c r="J3738" s="98"/>
      <c r="K3738" s="99"/>
      <c r="L3738" s="98"/>
      <c r="M3738" s="99"/>
      <c r="N3738" s="99"/>
      <c r="O3738" s="18"/>
      <c r="P3738" s="100" t="b">
        <v>0</v>
      </c>
      <c r="Q3738" s="18"/>
      <c r="R3738" s="101" t="str">
        <f t="shared" si="3377"/>
        <v/>
      </c>
      <c r="S3738" s="32"/>
      <c r="T3738" s="102" t="str">
        <f t="shared" si="3378"/>
        <v/>
      </c>
      <c r="U3738" s="18"/>
      <c r="V3738" s="75" t="s">
        <v>29</v>
      </c>
      <c r="W3738" s="104" t="str">
        <f t="shared" si="2828"/>
        <v>/</v>
      </c>
      <c r="X3738" s="111" t="s">
        <v>2187</v>
      </c>
      <c r="Y3738" s="106"/>
      <c r="Z3738" s="26" t="str">
        <f t="shared" si="5"/>
        <v/>
      </c>
      <c r="AA3738" s="26" t="str">
        <f t="shared" si="6"/>
        <v/>
      </c>
      <c r="AB3738" s="32" t="str">
        <f t="shared" si="7"/>
        <v/>
      </c>
      <c r="AC3738" s="32" t="str">
        <f t="shared" ref="AC3738:AG3738" si="3859">IF(J3738&lt;&gt;"", IF(AND($P3738=FALSE, $A3738=FALSE), -J3738, IF(AND($P3738=FALSE, $A3738=TRUE), 0, IF($P3738=TRUE, (J3738 / $R3738) * 100 * ($S3738 / 100)-J3738, ))), )</f>
        <v/>
      </c>
      <c r="AD3738" s="32" t="str">
        <f t="shared" si="3859"/>
        <v/>
      </c>
      <c r="AE3738" s="32" t="str">
        <f t="shared" si="3859"/>
        <v/>
      </c>
      <c r="AF3738" s="32" t="str">
        <f t="shared" si="3859"/>
        <v/>
      </c>
      <c r="AG3738" s="32" t="str">
        <f t="shared" si="3859"/>
        <v/>
      </c>
      <c r="AH3738" s="33"/>
    </row>
    <row r="3739" collapsed="1">
      <c r="A3739" s="95" t="b">
        <v>0</v>
      </c>
      <c r="B3739" s="96"/>
      <c r="C3739" s="18"/>
      <c r="D3739" s="42">
        <v>45970.0</v>
      </c>
      <c r="E3739" s="43" t="s">
        <v>24</v>
      </c>
      <c r="F3739" s="53" t="s">
        <v>2184</v>
      </c>
      <c r="G3739" s="97">
        <v>2.0</v>
      </c>
      <c r="H3739" s="97"/>
      <c r="I3739" s="97">
        <v>3.0</v>
      </c>
      <c r="J3739" s="98"/>
      <c r="K3739" s="99"/>
      <c r="L3739" s="98"/>
      <c r="M3739" s="99"/>
      <c r="N3739" s="99"/>
      <c r="O3739" s="18"/>
      <c r="P3739" s="100" t="b">
        <v>0</v>
      </c>
      <c r="Q3739" s="18"/>
      <c r="R3739" s="101">
        <f t="shared" si="3377"/>
        <v>5</v>
      </c>
      <c r="S3739" s="32">
        <v>9.76</v>
      </c>
      <c r="T3739" s="102">
        <f t="shared" si="3378"/>
        <v>-105</v>
      </c>
      <c r="U3739" s="18"/>
      <c r="V3739" s="103" t="str">
        <f>IF(ISBLANK($D3739), "0",)</f>
        <v/>
      </c>
      <c r="W3739" s="104" t="str">
        <f t="shared" si="2828"/>
        <v/>
      </c>
      <c r="X3739" s="105"/>
      <c r="Y3739" s="106"/>
      <c r="Z3739" s="26">
        <f t="shared" si="5"/>
        <v>-2</v>
      </c>
      <c r="AA3739" s="26">
        <f t="shared" si="6"/>
        <v>-3</v>
      </c>
      <c r="AB3739" s="32" t="str">
        <f t="shared" si="7"/>
        <v/>
      </c>
      <c r="AC3739" s="32" t="str">
        <f t="shared" ref="AC3739:AG3739" si="3860">IF(J3739&lt;&gt;"", IF(AND($P3739=FALSE, $A3739=FALSE), -J3739, IF(AND($P3739=FALSE, $A3739=TRUE), 0, IF($P3739=TRUE, (J3739 / $R3739) * 100 * ($S3739 / 100)-J3739, ))), )</f>
        <v/>
      </c>
      <c r="AD3739" s="32" t="str">
        <f t="shared" si="3860"/>
        <v/>
      </c>
      <c r="AE3739" s="32" t="str">
        <f t="shared" si="3860"/>
        <v/>
      </c>
      <c r="AF3739" s="32" t="str">
        <f t="shared" si="3860"/>
        <v/>
      </c>
      <c r="AG3739" s="32" t="str">
        <f t="shared" si="3860"/>
        <v/>
      </c>
      <c r="AH3739" s="33"/>
    </row>
    <row r="3740" hidden="1" outlineLevel="2">
      <c r="A3740" s="95" t="b">
        <v>0</v>
      </c>
      <c r="B3740" s="96"/>
      <c r="C3740" s="18"/>
      <c r="D3740" s="107"/>
      <c r="E3740" s="108"/>
      <c r="F3740" s="109"/>
      <c r="G3740" s="97"/>
      <c r="H3740" s="97"/>
      <c r="I3740" s="97"/>
      <c r="J3740" s="98"/>
      <c r="K3740" s="99"/>
      <c r="L3740" s="98"/>
      <c r="M3740" s="99"/>
      <c r="N3740" s="99"/>
      <c r="O3740" s="18"/>
      <c r="P3740" s="100" t="b">
        <v>0</v>
      </c>
      <c r="Q3740" s="18"/>
      <c r="R3740" s="101" t="str">
        <f t="shared" si="3377"/>
        <v/>
      </c>
      <c r="S3740" s="32"/>
      <c r="T3740" s="102" t="str">
        <f t="shared" si="3378"/>
        <v/>
      </c>
      <c r="U3740" s="18"/>
      <c r="V3740" s="113">
        <v>47.0</v>
      </c>
      <c r="W3740" s="104" t="str">
        <f t="shared" si="2828"/>
        <v>/</v>
      </c>
      <c r="X3740" s="111" t="s">
        <v>2188</v>
      </c>
      <c r="Y3740" s="106"/>
      <c r="Z3740" s="26" t="str">
        <f t="shared" si="5"/>
        <v/>
      </c>
      <c r="AA3740" s="26" t="str">
        <f t="shared" si="6"/>
        <v/>
      </c>
      <c r="AB3740" s="32" t="str">
        <f t="shared" si="7"/>
        <v/>
      </c>
      <c r="AC3740" s="32" t="str">
        <f t="shared" ref="AC3740:AG3740" si="3861">IF(J3740&lt;&gt;"", IF(AND($P3740=FALSE, $A3740=FALSE), -J3740, IF(AND($P3740=FALSE, $A3740=TRUE), 0, IF($P3740=TRUE, (J3740 / $R3740) * 100 * ($S3740 / 100)-J3740, ))), )</f>
        <v/>
      </c>
      <c r="AD3740" s="32" t="str">
        <f t="shared" si="3861"/>
        <v/>
      </c>
      <c r="AE3740" s="32" t="str">
        <f t="shared" si="3861"/>
        <v/>
      </c>
      <c r="AF3740" s="32" t="str">
        <f t="shared" si="3861"/>
        <v/>
      </c>
      <c r="AG3740" s="32" t="str">
        <f t="shared" si="3861"/>
        <v/>
      </c>
      <c r="AH3740" s="33"/>
    </row>
    <row r="3741" hidden="1" outlineLevel="1" collapsed="1">
      <c r="A3741" s="95" t="b">
        <v>0</v>
      </c>
      <c r="B3741" s="96"/>
      <c r="C3741" s="18"/>
      <c r="D3741" s="42">
        <v>45970.0</v>
      </c>
      <c r="E3741" s="43" t="s">
        <v>24</v>
      </c>
      <c r="F3741" s="53" t="s">
        <v>2184</v>
      </c>
      <c r="G3741" s="97">
        <v>2.0</v>
      </c>
      <c r="H3741" s="97"/>
      <c r="I3741" s="97">
        <v>3.0</v>
      </c>
      <c r="J3741" s="98"/>
      <c r="K3741" s="99"/>
      <c r="L3741" s="98"/>
      <c r="M3741" s="99"/>
      <c r="N3741" s="99"/>
      <c r="O3741" s="18"/>
      <c r="P3741" s="100" t="b">
        <v>1</v>
      </c>
      <c r="Q3741" s="18"/>
      <c r="R3741" s="101">
        <f t="shared" si="3377"/>
        <v>5</v>
      </c>
      <c r="S3741" s="32">
        <v>15.77</v>
      </c>
      <c r="T3741" s="102" t="str">
        <f t="shared" si="3378"/>
        <v>+215</v>
      </c>
      <c r="U3741" s="18"/>
      <c r="V3741" s="103" t="str">
        <f>IF(ISBLANK($D3741), "0",)</f>
        <v/>
      </c>
      <c r="W3741" s="104" t="str">
        <f t="shared" si="2828"/>
        <v/>
      </c>
      <c r="X3741" s="105"/>
      <c r="Y3741" s="106"/>
      <c r="Z3741" s="26">
        <f t="shared" si="5"/>
        <v>4.308</v>
      </c>
      <c r="AA3741" s="26">
        <f t="shared" si="6"/>
        <v>6.462</v>
      </c>
      <c r="AB3741" s="32" t="str">
        <f t="shared" si="7"/>
        <v/>
      </c>
      <c r="AC3741" s="32" t="str">
        <f t="shared" ref="AC3741:AG3741" si="3862">IF(J3741&lt;&gt;"", IF(AND($P3741=FALSE, $A3741=FALSE), -J3741, IF(AND($P3741=FALSE, $A3741=TRUE), 0, IF($P3741=TRUE, (J3741 / $R3741) * 100 * ($S3741 / 100)-J3741, ))), )</f>
        <v/>
      </c>
      <c r="AD3741" s="32" t="str">
        <f t="shared" si="3862"/>
        <v/>
      </c>
      <c r="AE3741" s="32" t="str">
        <f t="shared" si="3862"/>
        <v/>
      </c>
      <c r="AF3741" s="32" t="str">
        <f t="shared" si="3862"/>
        <v/>
      </c>
      <c r="AG3741" s="32" t="str">
        <f t="shared" si="3862"/>
        <v/>
      </c>
      <c r="AH3741" s="33"/>
    </row>
    <row r="3742" hidden="1" outlineLevel="2">
      <c r="A3742" s="95" t="b">
        <v>0</v>
      </c>
      <c r="B3742" s="96"/>
      <c r="C3742" s="18"/>
      <c r="D3742" s="107"/>
      <c r="E3742" s="108"/>
      <c r="F3742" s="109"/>
      <c r="G3742" s="97"/>
      <c r="H3742" s="97"/>
      <c r="I3742" s="97"/>
      <c r="J3742" s="98"/>
      <c r="K3742" s="99"/>
      <c r="L3742" s="98"/>
      <c r="M3742" s="99"/>
      <c r="N3742" s="99"/>
      <c r="O3742" s="18"/>
      <c r="P3742" s="100" t="b">
        <v>0</v>
      </c>
      <c r="Q3742" s="18"/>
      <c r="R3742" s="101" t="str">
        <f t="shared" si="3377"/>
        <v/>
      </c>
      <c r="S3742" s="32"/>
      <c r="T3742" s="102" t="str">
        <f t="shared" si="3378"/>
        <v/>
      </c>
      <c r="U3742" s="18"/>
      <c r="V3742" s="75" t="s">
        <v>29</v>
      </c>
      <c r="W3742" s="104" t="str">
        <f t="shared" si="2828"/>
        <v>/</v>
      </c>
      <c r="X3742" s="111" t="s">
        <v>2189</v>
      </c>
      <c r="Y3742" s="106"/>
      <c r="Z3742" s="26" t="str">
        <f t="shared" si="5"/>
        <v/>
      </c>
      <c r="AA3742" s="26" t="str">
        <f t="shared" si="6"/>
        <v/>
      </c>
      <c r="AB3742" s="32" t="str">
        <f t="shared" si="7"/>
        <v/>
      </c>
      <c r="AC3742" s="32" t="str">
        <f t="shared" ref="AC3742:AG3742" si="3863">IF(J3742&lt;&gt;"", IF(AND($P3742=FALSE, $A3742=FALSE), -J3742, IF(AND($P3742=FALSE, $A3742=TRUE), 0, IF($P3742=TRUE, (J3742 / $R3742) * 100 * ($S3742 / 100)-J3742, ))), )</f>
        <v/>
      </c>
      <c r="AD3742" s="32" t="str">
        <f t="shared" si="3863"/>
        <v/>
      </c>
      <c r="AE3742" s="32" t="str">
        <f t="shared" si="3863"/>
        <v/>
      </c>
      <c r="AF3742" s="32" t="str">
        <f t="shared" si="3863"/>
        <v/>
      </c>
      <c r="AG3742" s="32" t="str">
        <f t="shared" si="3863"/>
        <v/>
      </c>
      <c r="AH3742" s="33"/>
    </row>
    <row r="3743" hidden="1" outlineLevel="2">
      <c r="A3743" s="95" t="b">
        <v>0</v>
      </c>
      <c r="B3743" s="96"/>
      <c r="C3743" s="18"/>
      <c r="D3743" s="107"/>
      <c r="E3743" s="108"/>
      <c r="F3743" s="109"/>
      <c r="G3743" s="97"/>
      <c r="H3743" s="97"/>
      <c r="I3743" s="97"/>
      <c r="J3743" s="98"/>
      <c r="K3743" s="99"/>
      <c r="L3743" s="98"/>
      <c r="M3743" s="99"/>
      <c r="N3743" s="99"/>
      <c r="O3743" s="18"/>
      <c r="P3743" s="100" t="b">
        <v>0</v>
      </c>
      <c r="Q3743" s="18"/>
      <c r="R3743" s="101" t="str">
        <f t="shared" si="3377"/>
        <v/>
      </c>
      <c r="S3743" s="32"/>
      <c r="T3743" s="102" t="str">
        <f t="shared" si="3378"/>
        <v/>
      </c>
      <c r="U3743" s="18"/>
      <c r="V3743" s="75" t="s">
        <v>29</v>
      </c>
      <c r="W3743" s="104" t="str">
        <f t="shared" si="2828"/>
        <v>/</v>
      </c>
      <c r="X3743" s="111" t="s">
        <v>90</v>
      </c>
      <c r="Y3743" s="106"/>
      <c r="Z3743" s="26" t="str">
        <f t="shared" si="5"/>
        <v/>
      </c>
      <c r="AA3743" s="26" t="str">
        <f t="shared" si="6"/>
        <v/>
      </c>
      <c r="AB3743" s="32" t="str">
        <f t="shared" si="7"/>
        <v/>
      </c>
      <c r="AC3743" s="32" t="str">
        <f t="shared" ref="AC3743:AG3743" si="3864">IF(J3743&lt;&gt;"", IF(AND($P3743=FALSE, $A3743=FALSE), -J3743, IF(AND($P3743=FALSE, $A3743=TRUE), 0, IF($P3743=TRUE, (J3743 / $R3743) * 100 * ($S3743 / 100)-J3743, ))), )</f>
        <v/>
      </c>
      <c r="AD3743" s="32" t="str">
        <f t="shared" si="3864"/>
        <v/>
      </c>
      <c r="AE3743" s="32" t="str">
        <f t="shared" si="3864"/>
        <v/>
      </c>
      <c r="AF3743" s="32" t="str">
        <f t="shared" si="3864"/>
        <v/>
      </c>
      <c r="AG3743" s="32" t="str">
        <f t="shared" si="3864"/>
        <v/>
      </c>
      <c r="AH3743" s="33"/>
    </row>
    <row r="3744" hidden="1" outlineLevel="2">
      <c r="A3744" s="95" t="b">
        <v>0</v>
      </c>
      <c r="B3744" s="96"/>
      <c r="C3744" s="18"/>
      <c r="D3744" s="107"/>
      <c r="E3744" s="108"/>
      <c r="F3744" s="109"/>
      <c r="G3744" s="97"/>
      <c r="H3744" s="97"/>
      <c r="I3744" s="97"/>
      <c r="J3744" s="98"/>
      <c r="K3744" s="99"/>
      <c r="L3744" s="98"/>
      <c r="M3744" s="99"/>
      <c r="N3744" s="99"/>
      <c r="O3744" s="18"/>
      <c r="P3744" s="100" t="b">
        <v>0</v>
      </c>
      <c r="Q3744" s="18"/>
      <c r="R3744" s="101" t="str">
        <f t="shared" si="3377"/>
        <v/>
      </c>
      <c r="S3744" s="32"/>
      <c r="T3744" s="102" t="str">
        <f t="shared" si="3378"/>
        <v/>
      </c>
      <c r="U3744" s="18"/>
      <c r="V3744" s="75" t="s">
        <v>29</v>
      </c>
      <c r="W3744" s="104" t="str">
        <f t="shared" si="2828"/>
        <v>/</v>
      </c>
      <c r="X3744" s="111" t="s">
        <v>2107</v>
      </c>
      <c r="Y3744" s="106"/>
      <c r="Z3744" s="26" t="str">
        <f t="shared" si="5"/>
        <v/>
      </c>
      <c r="AA3744" s="26" t="str">
        <f t="shared" si="6"/>
        <v/>
      </c>
      <c r="AB3744" s="32" t="str">
        <f t="shared" si="7"/>
        <v/>
      </c>
      <c r="AC3744" s="32" t="str">
        <f t="shared" ref="AC3744:AG3744" si="3865">IF(J3744&lt;&gt;"", IF(AND($P3744=FALSE, $A3744=FALSE), -J3744, IF(AND($P3744=FALSE, $A3744=TRUE), 0, IF($P3744=TRUE, (J3744 / $R3744) * 100 * ($S3744 / 100)-J3744, ))), )</f>
        <v/>
      </c>
      <c r="AD3744" s="32" t="str">
        <f t="shared" si="3865"/>
        <v/>
      </c>
      <c r="AE3744" s="32" t="str">
        <f t="shared" si="3865"/>
        <v/>
      </c>
      <c r="AF3744" s="32" t="str">
        <f t="shared" si="3865"/>
        <v/>
      </c>
      <c r="AG3744" s="32" t="str">
        <f t="shared" si="3865"/>
        <v/>
      </c>
      <c r="AH3744" s="33"/>
    </row>
    <row r="3745" hidden="1" outlineLevel="2">
      <c r="A3745" s="95" t="b">
        <v>0</v>
      </c>
      <c r="B3745" s="96"/>
      <c r="C3745" s="18"/>
      <c r="D3745" s="107"/>
      <c r="E3745" s="108"/>
      <c r="F3745" s="109"/>
      <c r="G3745" s="97"/>
      <c r="H3745" s="97"/>
      <c r="I3745" s="97"/>
      <c r="J3745" s="98"/>
      <c r="K3745" s="99"/>
      <c r="L3745" s="98"/>
      <c r="M3745" s="99"/>
      <c r="N3745" s="99"/>
      <c r="O3745" s="18"/>
      <c r="P3745" s="100" t="b">
        <v>0</v>
      </c>
      <c r="Q3745" s="18"/>
      <c r="R3745" s="101" t="str">
        <f t="shared" si="3377"/>
        <v/>
      </c>
      <c r="S3745" s="32"/>
      <c r="T3745" s="102" t="str">
        <f t="shared" si="3378"/>
        <v/>
      </c>
      <c r="U3745" s="18"/>
      <c r="V3745" s="75" t="s">
        <v>29</v>
      </c>
      <c r="W3745" s="104" t="str">
        <f t="shared" si="2828"/>
        <v>/</v>
      </c>
      <c r="X3745" s="111" t="s">
        <v>2190</v>
      </c>
      <c r="Y3745" s="106"/>
      <c r="Z3745" s="26" t="str">
        <f t="shared" si="5"/>
        <v/>
      </c>
      <c r="AA3745" s="26" t="str">
        <f t="shared" si="6"/>
        <v/>
      </c>
      <c r="AB3745" s="32" t="str">
        <f t="shared" si="7"/>
        <v/>
      </c>
      <c r="AC3745" s="32" t="str">
        <f t="shared" ref="AC3745:AG3745" si="3866">IF(J3745&lt;&gt;"", IF(AND($P3745=FALSE, $A3745=FALSE), -J3745, IF(AND($P3745=FALSE, $A3745=TRUE), 0, IF($P3745=TRUE, (J3745 / $R3745) * 100 * ($S3745 / 100)-J3745, ))), )</f>
        <v/>
      </c>
      <c r="AD3745" s="32" t="str">
        <f t="shared" si="3866"/>
        <v/>
      </c>
      <c r="AE3745" s="32" t="str">
        <f t="shared" si="3866"/>
        <v/>
      </c>
      <c r="AF3745" s="32" t="str">
        <f t="shared" si="3866"/>
        <v/>
      </c>
      <c r="AG3745" s="32" t="str">
        <f t="shared" si="3866"/>
        <v/>
      </c>
      <c r="AH3745" s="33"/>
    </row>
    <row r="3746" hidden="1" outlineLevel="1" collapsed="1">
      <c r="A3746" s="95" t="b">
        <v>0</v>
      </c>
      <c r="B3746" s="96"/>
      <c r="C3746" s="18"/>
      <c r="D3746" s="42">
        <v>45970.0</v>
      </c>
      <c r="E3746" s="43" t="s">
        <v>24</v>
      </c>
      <c r="F3746" s="53" t="s">
        <v>2184</v>
      </c>
      <c r="G3746" s="97">
        <v>2.0</v>
      </c>
      <c r="H3746" s="97"/>
      <c r="I3746" s="97">
        <v>3.0</v>
      </c>
      <c r="J3746" s="98"/>
      <c r="K3746" s="99"/>
      <c r="L3746" s="98"/>
      <c r="M3746" s="99"/>
      <c r="N3746" s="99"/>
      <c r="O3746" s="18"/>
      <c r="P3746" s="100" t="b">
        <v>0</v>
      </c>
      <c r="Q3746" s="18"/>
      <c r="R3746" s="101">
        <f t="shared" si="3377"/>
        <v>5</v>
      </c>
      <c r="S3746" s="32">
        <v>12.89</v>
      </c>
      <c r="T3746" s="102" t="str">
        <f t="shared" si="3378"/>
        <v>+158</v>
      </c>
      <c r="U3746" s="18"/>
      <c r="V3746" s="103" t="str">
        <f>IF(ISBLANK($D3746), "0",)</f>
        <v/>
      </c>
      <c r="W3746" s="104" t="str">
        <f t="shared" si="2828"/>
        <v/>
      </c>
      <c r="X3746" s="105"/>
      <c r="Y3746" s="106"/>
      <c r="Z3746" s="26">
        <f t="shared" si="5"/>
        <v>-2</v>
      </c>
      <c r="AA3746" s="26">
        <f t="shared" si="6"/>
        <v>-3</v>
      </c>
      <c r="AB3746" s="32" t="str">
        <f t="shared" si="7"/>
        <v/>
      </c>
      <c r="AC3746" s="32" t="str">
        <f t="shared" ref="AC3746:AG3746" si="3867">IF(J3746&lt;&gt;"", IF(AND($P3746=FALSE, $A3746=FALSE), -J3746, IF(AND($P3746=FALSE, $A3746=TRUE), 0, IF($P3746=TRUE, (J3746 / $R3746) * 100 * ($S3746 / 100)-J3746, ))), )</f>
        <v/>
      </c>
      <c r="AD3746" s="32" t="str">
        <f t="shared" si="3867"/>
        <v/>
      </c>
      <c r="AE3746" s="32" t="str">
        <f t="shared" si="3867"/>
        <v/>
      </c>
      <c r="AF3746" s="32" t="str">
        <f t="shared" si="3867"/>
        <v/>
      </c>
      <c r="AG3746" s="32" t="str">
        <f t="shared" si="3867"/>
        <v/>
      </c>
      <c r="AH3746" s="33"/>
    </row>
    <row r="3747" hidden="1" outlineLevel="2">
      <c r="A3747" s="95" t="b">
        <v>0</v>
      </c>
      <c r="B3747" s="96"/>
      <c r="C3747" s="18"/>
      <c r="D3747" s="107"/>
      <c r="E3747" s="108"/>
      <c r="F3747" s="109"/>
      <c r="G3747" s="97"/>
      <c r="H3747" s="97"/>
      <c r="I3747" s="97"/>
      <c r="J3747" s="98"/>
      <c r="K3747" s="99"/>
      <c r="L3747" s="98"/>
      <c r="M3747" s="99"/>
      <c r="N3747" s="99"/>
      <c r="O3747" s="18"/>
      <c r="P3747" s="100" t="b">
        <v>0</v>
      </c>
      <c r="Q3747" s="18"/>
      <c r="R3747" s="101" t="str">
        <f t="shared" si="3377"/>
        <v/>
      </c>
      <c r="S3747" s="32"/>
      <c r="T3747" s="102" t="str">
        <f t="shared" si="3378"/>
        <v/>
      </c>
      <c r="U3747" s="18"/>
      <c r="V3747" s="75" t="s">
        <v>29</v>
      </c>
      <c r="W3747" s="104" t="str">
        <f t="shared" si="2828"/>
        <v>/</v>
      </c>
      <c r="X3747" s="111" t="s">
        <v>2191</v>
      </c>
      <c r="Y3747" s="106"/>
      <c r="Z3747" s="26" t="str">
        <f t="shared" si="5"/>
        <v/>
      </c>
      <c r="AA3747" s="26" t="str">
        <f t="shared" si="6"/>
        <v/>
      </c>
      <c r="AB3747" s="32" t="str">
        <f t="shared" si="7"/>
        <v/>
      </c>
      <c r="AC3747" s="32" t="str">
        <f t="shared" ref="AC3747:AG3747" si="3868">IF(J3747&lt;&gt;"", IF(AND($P3747=FALSE, $A3747=FALSE), -J3747, IF(AND($P3747=FALSE, $A3747=TRUE), 0, IF($P3747=TRUE, (J3747 / $R3747) * 100 * ($S3747 / 100)-J3747, ))), )</f>
        <v/>
      </c>
      <c r="AD3747" s="32" t="str">
        <f t="shared" si="3868"/>
        <v/>
      </c>
      <c r="AE3747" s="32" t="str">
        <f t="shared" si="3868"/>
        <v/>
      </c>
      <c r="AF3747" s="32" t="str">
        <f t="shared" si="3868"/>
        <v/>
      </c>
      <c r="AG3747" s="32" t="str">
        <f t="shared" si="3868"/>
        <v/>
      </c>
      <c r="AH3747" s="33"/>
    </row>
    <row r="3748" hidden="1" outlineLevel="2">
      <c r="A3748" s="95" t="b">
        <v>0</v>
      </c>
      <c r="B3748" s="96"/>
      <c r="C3748" s="18"/>
      <c r="D3748" s="107"/>
      <c r="E3748" s="108"/>
      <c r="F3748" s="109"/>
      <c r="G3748" s="97"/>
      <c r="H3748" s="97"/>
      <c r="I3748" s="97"/>
      <c r="J3748" s="98"/>
      <c r="K3748" s="99"/>
      <c r="L3748" s="98"/>
      <c r="M3748" s="99"/>
      <c r="N3748" s="99"/>
      <c r="O3748" s="18"/>
      <c r="P3748" s="100" t="b">
        <v>0</v>
      </c>
      <c r="Q3748" s="18"/>
      <c r="R3748" s="101" t="str">
        <f t="shared" si="3377"/>
        <v/>
      </c>
      <c r="S3748" s="32"/>
      <c r="T3748" s="102" t="str">
        <f t="shared" si="3378"/>
        <v/>
      </c>
      <c r="U3748" s="18"/>
      <c r="V3748" s="103" t="str">
        <f t="shared" ref="V3748:V3749" si="3870">IF(ISBLANK($D3748), "0",)</f>
        <v>0</v>
      </c>
      <c r="W3748" s="104" t="str">
        <f t="shared" si="2828"/>
        <v>/</v>
      </c>
      <c r="X3748" s="111" t="s">
        <v>2065</v>
      </c>
      <c r="Y3748" s="106"/>
      <c r="Z3748" s="26" t="str">
        <f t="shared" si="5"/>
        <v/>
      </c>
      <c r="AA3748" s="26" t="str">
        <f t="shared" si="6"/>
        <v/>
      </c>
      <c r="AB3748" s="32" t="str">
        <f t="shared" si="7"/>
        <v/>
      </c>
      <c r="AC3748" s="32" t="str">
        <f t="shared" ref="AC3748:AG3748" si="3869">IF(J3748&lt;&gt;"", IF(AND($P3748=FALSE, $A3748=FALSE), -J3748, IF(AND($P3748=FALSE, $A3748=TRUE), 0, IF($P3748=TRUE, (J3748 / $R3748) * 100 * ($S3748 / 100)-J3748, ))), )</f>
        <v/>
      </c>
      <c r="AD3748" s="32" t="str">
        <f t="shared" si="3869"/>
        <v/>
      </c>
      <c r="AE3748" s="32" t="str">
        <f t="shared" si="3869"/>
        <v/>
      </c>
      <c r="AF3748" s="32" t="str">
        <f t="shared" si="3869"/>
        <v/>
      </c>
      <c r="AG3748" s="32" t="str">
        <f t="shared" si="3869"/>
        <v/>
      </c>
      <c r="AH3748" s="33"/>
    </row>
    <row r="3749" hidden="1" outlineLevel="1" collapsed="1">
      <c r="A3749" s="95" t="b">
        <v>0</v>
      </c>
      <c r="B3749" s="96"/>
      <c r="C3749" s="18"/>
      <c r="D3749" s="42">
        <v>45970.0</v>
      </c>
      <c r="E3749" s="43" t="s">
        <v>24</v>
      </c>
      <c r="F3749" s="53" t="s">
        <v>2184</v>
      </c>
      <c r="G3749" s="97">
        <v>2.0</v>
      </c>
      <c r="H3749" s="97"/>
      <c r="I3749" s="97">
        <v>3.0</v>
      </c>
      <c r="J3749" s="98"/>
      <c r="K3749" s="99"/>
      <c r="L3749" s="98"/>
      <c r="M3749" s="99"/>
      <c r="N3749" s="99"/>
      <c r="O3749" s="18"/>
      <c r="P3749" s="100" t="b">
        <v>0</v>
      </c>
      <c r="Q3749" s="18"/>
      <c r="R3749" s="101">
        <f t="shared" si="3377"/>
        <v>5</v>
      </c>
      <c r="S3749" s="32">
        <v>16.12</v>
      </c>
      <c r="T3749" s="102" t="str">
        <f t="shared" si="3378"/>
        <v>+222</v>
      </c>
      <c r="U3749" s="18"/>
      <c r="V3749" s="103" t="str">
        <f t="shared" si="3870"/>
        <v/>
      </c>
      <c r="W3749" s="104" t="str">
        <f t="shared" si="2828"/>
        <v/>
      </c>
      <c r="X3749" s="105"/>
      <c r="Y3749" s="106"/>
      <c r="Z3749" s="26">
        <f t="shared" si="5"/>
        <v>-2</v>
      </c>
      <c r="AA3749" s="26">
        <f t="shared" si="6"/>
        <v>-3</v>
      </c>
      <c r="AB3749" s="32" t="str">
        <f t="shared" si="7"/>
        <v/>
      </c>
      <c r="AC3749" s="32" t="str">
        <f t="shared" ref="AC3749:AG3749" si="3871">IF(J3749&lt;&gt;"", IF(AND($P3749=FALSE, $A3749=FALSE), -J3749, IF(AND($P3749=FALSE, $A3749=TRUE), 0, IF($P3749=TRUE, (J3749 / $R3749) * 100 * ($S3749 / 100)-J3749, ))), )</f>
        <v/>
      </c>
      <c r="AD3749" s="32" t="str">
        <f t="shared" si="3871"/>
        <v/>
      </c>
      <c r="AE3749" s="32" t="str">
        <f t="shared" si="3871"/>
        <v/>
      </c>
      <c r="AF3749" s="32" t="str">
        <f t="shared" si="3871"/>
        <v/>
      </c>
      <c r="AG3749" s="32" t="str">
        <f t="shared" si="3871"/>
        <v/>
      </c>
      <c r="AH3749" s="33"/>
    </row>
    <row r="3750" hidden="1" outlineLevel="2">
      <c r="A3750" s="95" t="b">
        <v>0</v>
      </c>
      <c r="B3750" s="96"/>
      <c r="C3750" s="18"/>
      <c r="D3750" s="107"/>
      <c r="E3750" s="108"/>
      <c r="F3750" s="109"/>
      <c r="G3750" s="97"/>
      <c r="H3750" s="97"/>
      <c r="I3750" s="97"/>
      <c r="J3750" s="98"/>
      <c r="K3750" s="99"/>
      <c r="L3750" s="98"/>
      <c r="M3750" s="99"/>
      <c r="N3750" s="99"/>
      <c r="O3750" s="18"/>
      <c r="P3750" s="100" t="b">
        <v>0</v>
      </c>
      <c r="Q3750" s="18"/>
      <c r="R3750" s="101" t="str">
        <f t="shared" si="3377"/>
        <v/>
      </c>
      <c r="S3750" s="32"/>
      <c r="T3750" s="102" t="str">
        <f t="shared" si="3378"/>
        <v/>
      </c>
      <c r="U3750" s="18"/>
      <c r="V3750" s="113">
        <v>5.0</v>
      </c>
      <c r="W3750" s="104" t="str">
        <f t="shared" si="2828"/>
        <v>/</v>
      </c>
      <c r="X3750" s="111" t="s">
        <v>2192</v>
      </c>
      <c r="Y3750" s="106"/>
      <c r="Z3750" s="26" t="str">
        <f t="shared" si="5"/>
        <v/>
      </c>
      <c r="AA3750" s="26" t="str">
        <f t="shared" si="6"/>
        <v/>
      </c>
      <c r="AB3750" s="32" t="str">
        <f t="shared" si="7"/>
        <v/>
      </c>
      <c r="AC3750" s="32" t="str">
        <f t="shared" ref="AC3750:AG3750" si="3872">IF(J3750&lt;&gt;"", IF(AND($P3750=FALSE, $A3750=FALSE), -J3750, IF(AND($P3750=FALSE, $A3750=TRUE), 0, IF($P3750=TRUE, (J3750 / $R3750) * 100 * ($S3750 / 100)-J3750, ))), )</f>
        <v/>
      </c>
      <c r="AD3750" s="32" t="str">
        <f t="shared" si="3872"/>
        <v/>
      </c>
      <c r="AE3750" s="32" t="str">
        <f t="shared" si="3872"/>
        <v/>
      </c>
      <c r="AF3750" s="32" t="str">
        <f t="shared" si="3872"/>
        <v/>
      </c>
      <c r="AG3750" s="32" t="str">
        <f t="shared" si="3872"/>
        <v/>
      </c>
      <c r="AH3750" s="33"/>
    </row>
    <row r="3751" hidden="1" outlineLevel="2">
      <c r="A3751" s="95" t="b">
        <v>0</v>
      </c>
      <c r="B3751" s="96"/>
      <c r="C3751" s="18"/>
      <c r="D3751" s="107"/>
      <c r="E3751" s="108"/>
      <c r="F3751" s="109"/>
      <c r="G3751" s="97"/>
      <c r="H3751" s="97"/>
      <c r="I3751" s="97"/>
      <c r="J3751" s="98"/>
      <c r="K3751" s="99"/>
      <c r="L3751" s="98"/>
      <c r="M3751" s="99"/>
      <c r="N3751" s="99"/>
      <c r="O3751" s="18"/>
      <c r="P3751" s="100" t="b">
        <v>0</v>
      </c>
      <c r="Q3751" s="18"/>
      <c r="R3751" s="101" t="str">
        <f t="shared" si="3377"/>
        <v/>
      </c>
      <c r="S3751" s="32"/>
      <c r="T3751" s="102" t="str">
        <f t="shared" si="3378"/>
        <v/>
      </c>
      <c r="U3751" s="18"/>
      <c r="V3751" s="113">
        <v>33.0</v>
      </c>
      <c r="W3751" s="104" t="str">
        <f t="shared" si="2828"/>
        <v>/</v>
      </c>
      <c r="X3751" s="111" t="s">
        <v>2193</v>
      </c>
      <c r="Y3751" s="106"/>
      <c r="Z3751" s="26" t="str">
        <f t="shared" si="5"/>
        <v/>
      </c>
      <c r="AA3751" s="26" t="str">
        <f t="shared" si="6"/>
        <v/>
      </c>
      <c r="AB3751" s="32" t="str">
        <f t="shared" si="7"/>
        <v/>
      </c>
      <c r="AC3751" s="32" t="str">
        <f t="shared" ref="AC3751:AG3751" si="3873">IF(J3751&lt;&gt;"", IF(AND($P3751=FALSE, $A3751=FALSE), -J3751, IF(AND($P3751=FALSE, $A3751=TRUE), 0, IF($P3751=TRUE, (J3751 / $R3751) * 100 * ($S3751 / 100)-J3751, ))), )</f>
        <v/>
      </c>
      <c r="AD3751" s="32" t="str">
        <f t="shared" si="3873"/>
        <v/>
      </c>
      <c r="AE3751" s="32" t="str">
        <f t="shared" si="3873"/>
        <v/>
      </c>
      <c r="AF3751" s="32" t="str">
        <f t="shared" si="3873"/>
        <v/>
      </c>
      <c r="AG3751" s="32" t="str">
        <f t="shared" si="3873"/>
        <v/>
      </c>
      <c r="AH3751" s="33"/>
    </row>
    <row r="3752" hidden="1" outlineLevel="2">
      <c r="A3752" s="95" t="b">
        <v>0</v>
      </c>
      <c r="B3752" s="96"/>
      <c r="C3752" s="18"/>
      <c r="D3752" s="107"/>
      <c r="E3752" s="108"/>
      <c r="F3752" s="109"/>
      <c r="G3752" s="97"/>
      <c r="H3752" s="97"/>
      <c r="I3752" s="97"/>
      <c r="J3752" s="98"/>
      <c r="K3752" s="99"/>
      <c r="L3752" s="98"/>
      <c r="M3752" s="99"/>
      <c r="N3752" s="99"/>
      <c r="O3752" s="18"/>
      <c r="P3752" s="100" t="b">
        <v>0</v>
      </c>
      <c r="Q3752" s="18"/>
      <c r="R3752" s="101" t="str">
        <f t="shared" si="3377"/>
        <v/>
      </c>
      <c r="S3752" s="32"/>
      <c r="T3752" s="102" t="str">
        <f t="shared" si="3378"/>
        <v/>
      </c>
      <c r="U3752" s="18"/>
      <c r="V3752" s="75" t="s">
        <v>29</v>
      </c>
      <c r="W3752" s="104" t="str">
        <f t="shared" si="2828"/>
        <v>/</v>
      </c>
      <c r="X3752" s="111" t="s">
        <v>2194</v>
      </c>
      <c r="Y3752" s="106"/>
      <c r="Z3752" s="26" t="str">
        <f t="shared" si="5"/>
        <v/>
      </c>
      <c r="AA3752" s="26" t="str">
        <f t="shared" si="6"/>
        <v/>
      </c>
      <c r="AB3752" s="32" t="str">
        <f t="shared" si="7"/>
        <v/>
      </c>
      <c r="AC3752" s="32" t="str">
        <f t="shared" ref="AC3752:AG3752" si="3874">IF(J3752&lt;&gt;"", IF(AND($P3752=FALSE, $A3752=FALSE), -J3752, IF(AND($P3752=FALSE, $A3752=TRUE), 0, IF($P3752=TRUE, (J3752 / $R3752) * 100 * ($S3752 / 100)-J3752, ))), )</f>
        <v/>
      </c>
      <c r="AD3752" s="32" t="str">
        <f t="shared" si="3874"/>
        <v/>
      </c>
      <c r="AE3752" s="32" t="str">
        <f t="shared" si="3874"/>
        <v/>
      </c>
      <c r="AF3752" s="32" t="str">
        <f t="shared" si="3874"/>
        <v/>
      </c>
      <c r="AG3752" s="32" t="str">
        <f t="shared" si="3874"/>
        <v/>
      </c>
      <c r="AH3752" s="33"/>
    </row>
    <row r="3753" hidden="1" outlineLevel="1" collapsed="1">
      <c r="A3753" s="95" t="b">
        <v>0</v>
      </c>
      <c r="B3753" s="96"/>
      <c r="C3753" s="18"/>
      <c r="D3753" s="42">
        <v>45970.0</v>
      </c>
      <c r="E3753" s="43" t="s">
        <v>24</v>
      </c>
      <c r="F3753" s="53" t="s">
        <v>2184</v>
      </c>
      <c r="G3753" s="97">
        <v>2.0</v>
      </c>
      <c r="H3753" s="97"/>
      <c r="I3753" s="97">
        <v>3.0</v>
      </c>
      <c r="J3753" s="98"/>
      <c r="K3753" s="99"/>
      <c r="L3753" s="98"/>
      <c r="M3753" s="99"/>
      <c r="N3753" s="99"/>
      <c r="O3753" s="18"/>
      <c r="P3753" s="100" t="b">
        <v>1</v>
      </c>
      <c r="Q3753" s="18"/>
      <c r="R3753" s="101">
        <f t="shared" si="3377"/>
        <v>5</v>
      </c>
      <c r="S3753" s="32">
        <v>12.61</v>
      </c>
      <c r="T3753" s="102" t="str">
        <f t="shared" si="3378"/>
        <v>+152</v>
      </c>
      <c r="U3753" s="18"/>
      <c r="V3753" s="103" t="str">
        <f>IF(ISBLANK($D3753), "0",)</f>
        <v/>
      </c>
      <c r="W3753" s="104" t="str">
        <f t="shared" si="2828"/>
        <v/>
      </c>
      <c r="X3753" s="105"/>
      <c r="Y3753" s="106"/>
      <c r="Z3753" s="26">
        <f t="shared" si="5"/>
        <v>3.044</v>
      </c>
      <c r="AA3753" s="26">
        <f t="shared" si="6"/>
        <v>4.566</v>
      </c>
      <c r="AB3753" s="32" t="str">
        <f t="shared" si="7"/>
        <v/>
      </c>
      <c r="AC3753" s="32" t="str">
        <f t="shared" ref="AC3753:AG3753" si="3875">IF(J3753&lt;&gt;"", IF(AND($P3753=FALSE, $A3753=FALSE), -J3753, IF(AND($P3753=FALSE, $A3753=TRUE), 0, IF($P3753=TRUE, (J3753 / $R3753) * 100 * ($S3753 / 100)-J3753, ))), )</f>
        <v/>
      </c>
      <c r="AD3753" s="32" t="str">
        <f t="shared" si="3875"/>
        <v/>
      </c>
      <c r="AE3753" s="32" t="str">
        <f t="shared" si="3875"/>
        <v/>
      </c>
      <c r="AF3753" s="32" t="str">
        <f t="shared" si="3875"/>
        <v/>
      </c>
      <c r="AG3753" s="32" t="str">
        <f t="shared" si="3875"/>
        <v/>
      </c>
      <c r="AH3753" s="33"/>
    </row>
    <row r="3754" hidden="1" outlineLevel="2">
      <c r="A3754" s="95" t="b">
        <v>0</v>
      </c>
      <c r="B3754" s="96"/>
      <c r="C3754" s="18"/>
      <c r="D3754" s="107"/>
      <c r="E3754" s="108"/>
      <c r="F3754" s="109"/>
      <c r="G3754" s="97"/>
      <c r="H3754" s="97"/>
      <c r="I3754" s="97"/>
      <c r="J3754" s="98"/>
      <c r="K3754" s="99"/>
      <c r="L3754" s="98"/>
      <c r="M3754" s="99"/>
      <c r="N3754" s="99"/>
      <c r="O3754" s="18"/>
      <c r="P3754" s="100" t="b">
        <v>0</v>
      </c>
      <c r="Q3754" s="18"/>
      <c r="R3754" s="101" t="str">
        <f t="shared" si="3377"/>
        <v/>
      </c>
      <c r="S3754" s="32"/>
      <c r="T3754" s="102" t="str">
        <f t="shared" si="3378"/>
        <v/>
      </c>
      <c r="U3754" s="18"/>
      <c r="V3754" s="75" t="s">
        <v>29</v>
      </c>
      <c r="W3754" s="104" t="str">
        <f t="shared" si="2828"/>
        <v>/</v>
      </c>
      <c r="X3754" s="111" t="s">
        <v>764</v>
      </c>
      <c r="Y3754" s="106"/>
      <c r="Z3754" s="26" t="str">
        <f t="shared" si="5"/>
        <v/>
      </c>
      <c r="AA3754" s="26" t="str">
        <f t="shared" si="6"/>
        <v/>
      </c>
      <c r="AB3754" s="32" t="str">
        <f t="shared" si="7"/>
        <v/>
      </c>
      <c r="AC3754" s="32" t="str">
        <f t="shared" ref="AC3754:AG3754" si="3876">IF(J3754&lt;&gt;"", IF(AND($P3754=FALSE, $A3754=FALSE), -J3754, IF(AND($P3754=FALSE, $A3754=TRUE), 0, IF($P3754=TRUE, (J3754 / $R3754) * 100 * ($S3754 / 100)-J3754, ))), )</f>
        <v/>
      </c>
      <c r="AD3754" s="32" t="str">
        <f t="shared" si="3876"/>
        <v/>
      </c>
      <c r="AE3754" s="32" t="str">
        <f t="shared" si="3876"/>
        <v/>
      </c>
      <c r="AF3754" s="32" t="str">
        <f t="shared" si="3876"/>
        <v/>
      </c>
      <c r="AG3754" s="32" t="str">
        <f t="shared" si="3876"/>
        <v/>
      </c>
      <c r="AH3754" s="33"/>
    </row>
    <row r="3755" hidden="1" outlineLevel="2">
      <c r="A3755" s="95" t="b">
        <v>0</v>
      </c>
      <c r="B3755" s="96"/>
      <c r="C3755" s="18"/>
      <c r="D3755" s="107"/>
      <c r="E3755" s="108"/>
      <c r="F3755" s="109"/>
      <c r="G3755" s="97"/>
      <c r="H3755" s="97"/>
      <c r="I3755" s="97"/>
      <c r="J3755" s="98"/>
      <c r="K3755" s="99"/>
      <c r="L3755" s="98"/>
      <c r="M3755" s="99"/>
      <c r="N3755" s="99"/>
      <c r="O3755" s="18"/>
      <c r="P3755" s="100" t="b">
        <v>0</v>
      </c>
      <c r="Q3755" s="18"/>
      <c r="R3755" s="101" t="str">
        <f t="shared" si="3377"/>
        <v/>
      </c>
      <c r="S3755" s="32"/>
      <c r="T3755" s="102" t="str">
        <f t="shared" si="3378"/>
        <v/>
      </c>
      <c r="U3755" s="18"/>
      <c r="V3755" s="75" t="s">
        <v>29</v>
      </c>
      <c r="W3755" s="104" t="str">
        <f t="shared" si="2828"/>
        <v>/</v>
      </c>
      <c r="X3755" s="111" t="s">
        <v>790</v>
      </c>
      <c r="Y3755" s="106"/>
      <c r="Z3755" s="26" t="str">
        <f t="shared" si="5"/>
        <v/>
      </c>
      <c r="AA3755" s="26" t="str">
        <f t="shared" si="6"/>
        <v/>
      </c>
      <c r="AB3755" s="32" t="str">
        <f t="shared" si="7"/>
        <v/>
      </c>
      <c r="AC3755" s="32" t="str">
        <f t="shared" ref="AC3755:AG3755" si="3877">IF(J3755&lt;&gt;"", IF(AND($P3755=FALSE, $A3755=FALSE), -J3755, IF(AND($P3755=FALSE, $A3755=TRUE), 0, IF($P3755=TRUE, (J3755 / $R3755) * 100 * ($S3755 / 100)-J3755, ))), )</f>
        <v/>
      </c>
      <c r="AD3755" s="32" t="str">
        <f t="shared" si="3877"/>
        <v/>
      </c>
      <c r="AE3755" s="32" t="str">
        <f t="shared" si="3877"/>
        <v/>
      </c>
      <c r="AF3755" s="32" t="str">
        <f t="shared" si="3877"/>
        <v/>
      </c>
      <c r="AG3755" s="32" t="str">
        <f t="shared" si="3877"/>
        <v/>
      </c>
      <c r="AH3755" s="33"/>
    </row>
    <row r="3756" hidden="1" outlineLevel="2">
      <c r="A3756" s="95" t="b">
        <v>0</v>
      </c>
      <c r="B3756" s="96"/>
      <c r="C3756" s="18"/>
      <c r="D3756" s="107"/>
      <c r="E3756" s="108"/>
      <c r="F3756" s="109"/>
      <c r="G3756" s="97"/>
      <c r="H3756" s="97"/>
      <c r="I3756" s="97"/>
      <c r="J3756" s="98"/>
      <c r="K3756" s="99"/>
      <c r="L3756" s="98"/>
      <c r="M3756" s="99"/>
      <c r="N3756" s="99"/>
      <c r="O3756" s="18"/>
      <c r="P3756" s="100" t="b">
        <v>0</v>
      </c>
      <c r="Q3756" s="18"/>
      <c r="R3756" s="101" t="str">
        <f t="shared" si="3377"/>
        <v/>
      </c>
      <c r="S3756" s="32"/>
      <c r="T3756" s="102" t="str">
        <f t="shared" si="3378"/>
        <v/>
      </c>
      <c r="U3756" s="18"/>
      <c r="V3756" s="75" t="s">
        <v>29</v>
      </c>
      <c r="W3756" s="104" t="str">
        <f t="shared" si="2828"/>
        <v>/</v>
      </c>
      <c r="X3756" s="111" t="s">
        <v>255</v>
      </c>
      <c r="Y3756" s="106"/>
      <c r="Z3756" s="26" t="str">
        <f t="shared" si="5"/>
        <v/>
      </c>
      <c r="AA3756" s="26" t="str">
        <f t="shared" si="6"/>
        <v/>
      </c>
      <c r="AB3756" s="32" t="str">
        <f t="shared" si="7"/>
        <v/>
      </c>
      <c r="AC3756" s="32" t="str">
        <f t="shared" ref="AC3756:AG3756" si="3878">IF(J3756&lt;&gt;"", IF(AND($P3756=FALSE, $A3756=FALSE), -J3756, IF(AND($P3756=FALSE, $A3756=TRUE), 0, IF($P3756=TRUE, (J3756 / $R3756) * 100 * ($S3756 / 100)-J3756, ))), )</f>
        <v/>
      </c>
      <c r="AD3756" s="32" t="str">
        <f t="shared" si="3878"/>
        <v/>
      </c>
      <c r="AE3756" s="32" t="str">
        <f t="shared" si="3878"/>
        <v/>
      </c>
      <c r="AF3756" s="32" t="str">
        <f t="shared" si="3878"/>
        <v/>
      </c>
      <c r="AG3756" s="32" t="str">
        <f t="shared" si="3878"/>
        <v/>
      </c>
      <c r="AH3756" s="33"/>
    </row>
    <row r="3757" hidden="1" outlineLevel="1">
      <c r="A3757" s="95" t="b">
        <v>0</v>
      </c>
      <c r="B3757" s="96"/>
      <c r="C3757" s="18"/>
      <c r="D3757" s="42">
        <v>45970.0</v>
      </c>
      <c r="E3757" s="43" t="s">
        <v>24</v>
      </c>
      <c r="F3757" s="53" t="s">
        <v>2184</v>
      </c>
      <c r="G3757" s="97">
        <v>2.0</v>
      </c>
      <c r="H3757" s="97"/>
      <c r="I3757" s="97">
        <v>3.0</v>
      </c>
      <c r="J3757" s="98"/>
      <c r="K3757" s="99"/>
      <c r="L3757" s="98"/>
      <c r="M3757" s="99"/>
      <c r="N3757" s="99"/>
      <c r="O3757" s="18"/>
      <c r="P3757" s="100" t="b">
        <v>0</v>
      </c>
      <c r="Q3757" s="18"/>
      <c r="R3757" s="101">
        <f t="shared" si="3377"/>
        <v>5</v>
      </c>
      <c r="S3757" s="32"/>
      <c r="T3757" s="102">
        <f t="shared" si="3378"/>
        <v>100</v>
      </c>
      <c r="U3757" s="18"/>
      <c r="V3757" s="103" t="str">
        <f>IF(ISBLANK($D3757), "0",)</f>
        <v/>
      </c>
      <c r="W3757" s="104" t="str">
        <f t="shared" si="2828"/>
        <v/>
      </c>
      <c r="X3757" s="105"/>
      <c r="Y3757" s="106"/>
      <c r="Z3757" s="26">
        <f t="shared" si="5"/>
        <v>-2</v>
      </c>
      <c r="AA3757" s="26">
        <f t="shared" si="6"/>
        <v>-3</v>
      </c>
      <c r="AB3757" s="32" t="str">
        <f t="shared" si="7"/>
        <v/>
      </c>
      <c r="AC3757" s="32" t="str">
        <f t="shared" ref="AC3757:AG3757" si="3879">IF(J3757&lt;&gt;"", IF(AND($P3757=FALSE, $A3757=FALSE), -J3757, IF(AND($P3757=FALSE, $A3757=TRUE), 0, IF($P3757=TRUE, (J3757 / $R3757) * 100 * ($S3757 / 100)-J3757, ))), )</f>
        <v/>
      </c>
      <c r="AD3757" s="32" t="str">
        <f t="shared" si="3879"/>
        <v/>
      </c>
      <c r="AE3757" s="32" t="str">
        <f t="shared" si="3879"/>
        <v/>
      </c>
      <c r="AF3757" s="32" t="str">
        <f t="shared" si="3879"/>
        <v/>
      </c>
      <c r="AG3757" s="32" t="str">
        <f t="shared" si="3879"/>
        <v/>
      </c>
      <c r="AH3757" s="33"/>
    </row>
    <row r="3758" hidden="1" outlineLevel="2">
      <c r="A3758" s="95" t="b">
        <v>0</v>
      </c>
      <c r="B3758" s="96"/>
      <c r="C3758" s="18"/>
      <c r="D3758" s="107"/>
      <c r="E3758" s="108"/>
      <c r="F3758" s="109"/>
      <c r="G3758" s="97"/>
      <c r="H3758" s="97"/>
      <c r="I3758" s="97"/>
      <c r="J3758" s="98"/>
      <c r="K3758" s="99"/>
      <c r="L3758" s="98"/>
      <c r="M3758" s="99"/>
      <c r="N3758" s="99"/>
      <c r="O3758" s="18"/>
      <c r="P3758" s="100" t="b">
        <v>0</v>
      </c>
      <c r="Q3758" s="18"/>
      <c r="R3758" s="101" t="str">
        <f t="shared" si="3377"/>
        <v/>
      </c>
      <c r="S3758" s="32"/>
      <c r="T3758" s="102" t="str">
        <f t="shared" si="3378"/>
        <v/>
      </c>
      <c r="U3758" s="18"/>
      <c r="V3758" s="113">
        <v>161.0</v>
      </c>
      <c r="W3758" s="104" t="str">
        <f t="shared" si="2828"/>
        <v>/</v>
      </c>
      <c r="X3758" s="111" t="s">
        <v>2146</v>
      </c>
      <c r="Y3758" s="106"/>
      <c r="Z3758" s="26" t="str">
        <f t="shared" si="5"/>
        <v/>
      </c>
      <c r="AA3758" s="26" t="str">
        <f t="shared" si="6"/>
        <v/>
      </c>
      <c r="AB3758" s="32" t="str">
        <f t="shared" si="7"/>
        <v/>
      </c>
      <c r="AC3758" s="32" t="str">
        <f t="shared" ref="AC3758:AG3758" si="3880">IF(J3758&lt;&gt;"", IF(AND($P3758=FALSE, $A3758=FALSE), -J3758, IF(AND($P3758=FALSE, $A3758=TRUE), 0, IF($P3758=TRUE, (J3758 / $R3758) * 100 * ($S3758 / 100)-J3758, ))), )</f>
        <v/>
      </c>
      <c r="AD3758" s="32" t="str">
        <f t="shared" si="3880"/>
        <v/>
      </c>
      <c r="AE3758" s="32" t="str">
        <f t="shared" si="3880"/>
        <v/>
      </c>
      <c r="AF3758" s="32" t="str">
        <f t="shared" si="3880"/>
        <v/>
      </c>
      <c r="AG3758" s="32" t="str">
        <f t="shared" si="3880"/>
        <v/>
      </c>
      <c r="AH3758" s="33"/>
    </row>
    <row r="3759" hidden="1" outlineLevel="2">
      <c r="A3759" s="95" t="b">
        <v>0</v>
      </c>
      <c r="B3759" s="96"/>
      <c r="C3759" s="18"/>
      <c r="D3759" s="107"/>
      <c r="E3759" s="108"/>
      <c r="F3759" s="109"/>
      <c r="G3759" s="97"/>
      <c r="H3759" s="97"/>
      <c r="I3759" s="97"/>
      <c r="J3759" s="98"/>
      <c r="K3759" s="99"/>
      <c r="L3759" s="98"/>
      <c r="M3759" s="99"/>
      <c r="N3759" s="99"/>
      <c r="O3759" s="18"/>
      <c r="P3759" s="100" t="b">
        <v>0</v>
      </c>
      <c r="Q3759" s="18"/>
      <c r="R3759" s="101" t="str">
        <f t="shared" si="3377"/>
        <v/>
      </c>
      <c r="S3759" s="32"/>
      <c r="T3759" s="102" t="str">
        <f t="shared" si="3378"/>
        <v/>
      </c>
      <c r="U3759" s="18"/>
      <c r="V3759" s="113">
        <v>220.0</v>
      </c>
      <c r="W3759" s="104" t="str">
        <f t="shared" si="2828"/>
        <v>/</v>
      </c>
      <c r="X3759" s="111" t="s">
        <v>167</v>
      </c>
      <c r="Y3759" s="106"/>
      <c r="Z3759" s="26" t="str">
        <f t="shared" si="5"/>
        <v/>
      </c>
      <c r="AA3759" s="26" t="str">
        <f t="shared" si="6"/>
        <v/>
      </c>
      <c r="AB3759" s="32" t="str">
        <f t="shared" si="7"/>
        <v/>
      </c>
      <c r="AC3759" s="32" t="str">
        <f t="shared" ref="AC3759:AG3759" si="3881">IF(J3759&lt;&gt;"", IF(AND($P3759=FALSE, $A3759=FALSE), -J3759, IF(AND($P3759=FALSE, $A3759=TRUE), 0, IF($P3759=TRUE, (J3759 / $R3759) * 100 * ($S3759 / 100)-J3759, ))), )</f>
        <v/>
      </c>
      <c r="AD3759" s="32" t="str">
        <f t="shared" si="3881"/>
        <v/>
      </c>
      <c r="AE3759" s="32" t="str">
        <f t="shared" si="3881"/>
        <v/>
      </c>
      <c r="AF3759" s="32" t="str">
        <f t="shared" si="3881"/>
        <v/>
      </c>
      <c r="AG3759" s="32" t="str">
        <f t="shared" si="3881"/>
        <v/>
      </c>
      <c r="AH3759" s="33"/>
    </row>
    <row r="3760" hidden="1" outlineLevel="2">
      <c r="A3760" s="95" t="b">
        <v>0</v>
      </c>
      <c r="B3760" s="96"/>
      <c r="C3760" s="18"/>
      <c r="D3760" s="107"/>
      <c r="E3760" s="108"/>
      <c r="F3760" s="109"/>
      <c r="G3760" s="97"/>
      <c r="H3760" s="97"/>
      <c r="I3760" s="97"/>
      <c r="J3760" s="98"/>
      <c r="K3760" s="99"/>
      <c r="L3760" s="98"/>
      <c r="M3760" s="99"/>
      <c r="N3760" s="99"/>
      <c r="O3760" s="18"/>
      <c r="P3760" s="100" t="b">
        <v>0</v>
      </c>
      <c r="Q3760" s="18"/>
      <c r="R3760" s="101" t="str">
        <f t="shared" si="3377"/>
        <v/>
      </c>
      <c r="S3760" s="32"/>
      <c r="T3760" s="102" t="str">
        <f t="shared" si="3378"/>
        <v/>
      </c>
      <c r="U3760" s="18"/>
      <c r="V3760" s="75" t="s">
        <v>29</v>
      </c>
      <c r="W3760" s="104" t="str">
        <f t="shared" si="2828"/>
        <v>/</v>
      </c>
      <c r="X3760" s="111" t="s">
        <v>1832</v>
      </c>
      <c r="Y3760" s="106"/>
      <c r="Z3760" s="26" t="str">
        <f t="shared" si="5"/>
        <v/>
      </c>
      <c r="AA3760" s="26" t="str">
        <f t="shared" si="6"/>
        <v/>
      </c>
      <c r="AB3760" s="32" t="str">
        <f t="shared" si="7"/>
        <v/>
      </c>
      <c r="AC3760" s="32" t="str">
        <f t="shared" ref="AC3760:AG3760" si="3882">IF(J3760&lt;&gt;"", IF(AND($P3760=FALSE, $A3760=FALSE), -J3760, IF(AND($P3760=FALSE, $A3760=TRUE), 0, IF($P3760=TRUE, (J3760 / $R3760) * 100 * ($S3760 / 100)-J3760, ))), )</f>
        <v/>
      </c>
      <c r="AD3760" s="32" t="str">
        <f t="shared" si="3882"/>
        <v/>
      </c>
      <c r="AE3760" s="32" t="str">
        <f t="shared" si="3882"/>
        <v/>
      </c>
      <c r="AF3760" s="32" t="str">
        <f t="shared" si="3882"/>
        <v/>
      </c>
      <c r="AG3760" s="32" t="str">
        <f t="shared" si="3882"/>
        <v/>
      </c>
      <c r="AH3760" s="33"/>
    </row>
    <row r="3761" collapsed="1">
      <c r="A3761" s="95" t="b">
        <v>0</v>
      </c>
      <c r="B3761" s="96"/>
      <c r="C3761" s="18"/>
      <c r="D3761" s="42">
        <v>45971.0</v>
      </c>
      <c r="E3761" s="43" t="s">
        <v>24</v>
      </c>
      <c r="F3761" s="53" t="s">
        <v>2184</v>
      </c>
      <c r="G3761" s="97">
        <v>2.0</v>
      </c>
      <c r="H3761" s="97"/>
      <c r="I3761" s="97">
        <v>2.0</v>
      </c>
      <c r="J3761" s="98"/>
      <c r="K3761" s="99"/>
      <c r="L3761" s="98"/>
      <c r="M3761" s="99"/>
      <c r="N3761" s="99"/>
      <c r="O3761" s="18"/>
      <c r="P3761" s="100" t="b">
        <v>0</v>
      </c>
      <c r="Q3761" s="18"/>
      <c r="R3761" s="101">
        <f t="shared" si="3377"/>
        <v>4</v>
      </c>
      <c r="S3761" s="32">
        <v>12.8</v>
      </c>
      <c r="T3761" s="102" t="str">
        <f t="shared" si="3378"/>
        <v>+220</v>
      </c>
      <c r="U3761" s="18"/>
      <c r="V3761" s="103" t="str">
        <f t="shared" ref="V3761:V3763" si="3884">IF(ISBLANK($D3761), "0",)</f>
        <v/>
      </c>
      <c r="W3761" s="104" t="str">
        <f t="shared" si="2828"/>
        <v/>
      </c>
      <c r="X3761" s="105"/>
      <c r="Y3761" s="106"/>
      <c r="Z3761" s="26">
        <f t="shared" si="5"/>
        <v>-2</v>
      </c>
      <c r="AA3761" s="26">
        <f t="shared" si="6"/>
        <v>-2</v>
      </c>
      <c r="AB3761" s="32" t="str">
        <f t="shared" si="7"/>
        <v/>
      </c>
      <c r="AC3761" s="32" t="str">
        <f t="shared" ref="AC3761:AG3761" si="3883">IF(J3761&lt;&gt;"", IF(AND($P3761=FALSE, $A3761=FALSE), -J3761, IF(AND($P3761=FALSE, $A3761=TRUE), 0, IF($P3761=TRUE, (J3761 / $R3761) * 100 * ($S3761 / 100)-J3761, ))), )</f>
        <v/>
      </c>
      <c r="AD3761" s="32" t="str">
        <f t="shared" si="3883"/>
        <v/>
      </c>
      <c r="AE3761" s="32" t="str">
        <f t="shared" si="3883"/>
        <v/>
      </c>
      <c r="AF3761" s="32" t="str">
        <f t="shared" si="3883"/>
        <v/>
      </c>
      <c r="AG3761" s="32" t="str">
        <f t="shared" si="3883"/>
        <v/>
      </c>
      <c r="AH3761" s="33"/>
    </row>
    <row r="3762" hidden="1" outlineLevel="2">
      <c r="A3762" s="95" t="b">
        <v>0</v>
      </c>
      <c r="B3762" s="96"/>
      <c r="C3762" s="18"/>
      <c r="D3762" s="107"/>
      <c r="E3762" s="108"/>
      <c r="F3762" s="109"/>
      <c r="G3762" s="97"/>
      <c r="H3762" s="97"/>
      <c r="I3762" s="97"/>
      <c r="J3762" s="98"/>
      <c r="K3762" s="99"/>
      <c r="L3762" s="98"/>
      <c r="M3762" s="99"/>
      <c r="N3762" s="99"/>
      <c r="O3762" s="18"/>
      <c r="P3762" s="100" t="b">
        <v>0</v>
      </c>
      <c r="Q3762" s="18"/>
      <c r="R3762" s="101" t="str">
        <f t="shared" si="3377"/>
        <v/>
      </c>
      <c r="S3762" s="32"/>
      <c r="T3762" s="102" t="str">
        <f t="shared" si="3378"/>
        <v/>
      </c>
      <c r="U3762" s="18"/>
      <c r="V3762" s="103" t="str">
        <f t="shared" si="3884"/>
        <v>0</v>
      </c>
      <c r="W3762" s="104" t="str">
        <f t="shared" si="2828"/>
        <v>/</v>
      </c>
      <c r="X3762" s="111" t="s">
        <v>2195</v>
      </c>
      <c r="Y3762" s="106"/>
      <c r="Z3762" s="26" t="str">
        <f t="shared" si="5"/>
        <v/>
      </c>
      <c r="AA3762" s="26" t="str">
        <f t="shared" si="6"/>
        <v/>
      </c>
      <c r="AB3762" s="32" t="str">
        <f t="shared" si="7"/>
        <v/>
      </c>
      <c r="AC3762" s="32" t="str">
        <f t="shared" ref="AC3762:AG3762" si="3885">IF(J3762&lt;&gt;"", IF(AND($P3762=FALSE, $A3762=FALSE), -J3762, IF(AND($P3762=FALSE, $A3762=TRUE), 0, IF($P3762=TRUE, (J3762 / $R3762) * 100 * ($S3762 / 100)-J3762, ))), )</f>
        <v/>
      </c>
      <c r="AD3762" s="32" t="str">
        <f t="shared" si="3885"/>
        <v/>
      </c>
      <c r="AE3762" s="32" t="str">
        <f t="shared" si="3885"/>
        <v/>
      </c>
      <c r="AF3762" s="32" t="str">
        <f t="shared" si="3885"/>
        <v/>
      </c>
      <c r="AG3762" s="32" t="str">
        <f t="shared" si="3885"/>
        <v/>
      </c>
      <c r="AH3762" s="33"/>
    </row>
    <row r="3763" hidden="1" outlineLevel="1">
      <c r="A3763" s="95" t="b">
        <v>0</v>
      </c>
      <c r="B3763" s="96"/>
      <c r="C3763" s="18"/>
      <c r="D3763" s="42">
        <v>45971.0</v>
      </c>
      <c r="E3763" s="43" t="s">
        <v>24</v>
      </c>
      <c r="F3763" s="53" t="s">
        <v>2184</v>
      </c>
      <c r="G3763" s="97">
        <v>2.0</v>
      </c>
      <c r="H3763" s="97"/>
      <c r="I3763" s="97">
        <v>2.0</v>
      </c>
      <c r="J3763" s="98"/>
      <c r="K3763" s="99"/>
      <c r="L3763" s="98"/>
      <c r="M3763" s="99"/>
      <c r="N3763" s="99"/>
      <c r="O3763" s="18"/>
      <c r="P3763" s="100" t="b">
        <v>0</v>
      </c>
      <c r="Q3763" s="18"/>
      <c r="R3763" s="101">
        <f t="shared" si="3377"/>
        <v>4</v>
      </c>
      <c r="S3763" s="32"/>
      <c r="T3763" s="102">
        <f t="shared" si="3378"/>
        <v>100</v>
      </c>
      <c r="U3763" s="18"/>
      <c r="V3763" s="103" t="str">
        <f t="shared" si="3884"/>
        <v/>
      </c>
      <c r="W3763" s="104" t="str">
        <f t="shared" si="2828"/>
        <v/>
      </c>
      <c r="X3763" s="105"/>
      <c r="Y3763" s="106"/>
      <c r="Z3763" s="26">
        <f t="shared" si="5"/>
        <v>-2</v>
      </c>
      <c r="AA3763" s="26">
        <f t="shared" si="6"/>
        <v>-2</v>
      </c>
      <c r="AB3763" s="32" t="str">
        <f t="shared" si="7"/>
        <v/>
      </c>
      <c r="AC3763" s="32" t="str">
        <f t="shared" ref="AC3763:AG3763" si="3886">IF(J3763&lt;&gt;"", IF(AND($P3763=FALSE, $A3763=FALSE), -J3763, IF(AND($P3763=FALSE, $A3763=TRUE), 0, IF($P3763=TRUE, (J3763 / $R3763) * 100 * ($S3763 / 100)-J3763, ))), )</f>
        <v/>
      </c>
      <c r="AD3763" s="32" t="str">
        <f t="shared" si="3886"/>
        <v/>
      </c>
      <c r="AE3763" s="32" t="str">
        <f t="shared" si="3886"/>
        <v/>
      </c>
      <c r="AF3763" s="32" t="str">
        <f t="shared" si="3886"/>
        <v/>
      </c>
      <c r="AG3763" s="32" t="str">
        <f t="shared" si="3886"/>
        <v/>
      </c>
      <c r="AH3763" s="33"/>
    </row>
    <row r="3764" hidden="1" outlineLevel="2">
      <c r="A3764" s="95" t="b">
        <v>0</v>
      </c>
      <c r="B3764" s="96"/>
      <c r="C3764" s="18"/>
      <c r="D3764" s="107"/>
      <c r="E3764" s="108"/>
      <c r="F3764" s="109"/>
      <c r="G3764" s="97"/>
      <c r="H3764" s="97"/>
      <c r="I3764" s="97"/>
      <c r="J3764" s="98"/>
      <c r="K3764" s="99"/>
      <c r="L3764" s="98"/>
      <c r="M3764" s="99"/>
      <c r="N3764" s="99"/>
      <c r="O3764" s="18"/>
      <c r="P3764" s="100" t="b">
        <v>0</v>
      </c>
      <c r="Q3764" s="18"/>
      <c r="R3764" s="101" t="str">
        <f t="shared" si="3377"/>
        <v/>
      </c>
      <c r="S3764" s="32"/>
      <c r="T3764" s="102" t="str">
        <f t="shared" si="3378"/>
        <v/>
      </c>
      <c r="U3764" s="18"/>
      <c r="V3764" s="113">
        <v>176.0</v>
      </c>
      <c r="W3764" s="104" t="str">
        <f t="shared" si="2828"/>
        <v>/</v>
      </c>
      <c r="X3764" s="111" t="s">
        <v>372</v>
      </c>
      <c r="Y3764" s="106"/>
      <c r="Z3764" s="26" t="str">
        <f t="shared" si="5"/>
        <v/>
      </c>
      <c r="AA3764" s="26" t="str">
        <f t="shared" si="6"/>
        <v/>
      </c>
      <c r="AB3764" s="32" t="str">
        <f t="shared" si="7"/>
        <v/>
      </c>
      <c r="AC3764" s="32" t="str">
        <f t="shared" ref="AC3764:AG3764" si="3887">IF(J3764&lt;&gt;"", IF(AND($P3764=FALSE, $A3764=FALSE), -J3764, IF(AND($P3764=FALSE, $A3764=TRUE), 0, IF($P3764=TRUE, (J3764 / $R3764) * 100 * ($S3764 / 100)-J3764, ))), )</f>
        <v/>
      </c>
      <c r="AD3764" s="32" t="str">
        <f t="shared" si="3887"/>
        <v/>
      </c>
      <c r="AE3764" s="32" t="str">
        <f t="shared" si="3887"/>
        <v/>
      </c>
      <c r="AF3764" s="32" t="str">
        <f t="shared" si="3887"/>
        <v/>
      </c>
      <c r="AG3764" s="32" t="str">
        <f t="shared" si="3887"/>
        <v/>
      </c>
      <c r="AH3764" s="33"/>
    </row>
    <row r="3765" hidden="1" outlineLevel="2">
      <c r="A3765" s="95" t="b">
        <v>0</v>
      </c>
      <c r="B3765" s="96"/>
      <c r="C3765" s="18"/>
      <c r="D3765" s="107"/>
      <c r="E3765" s="108"/>
      <c r="F3765" s="109"/>
      <c r="G3765" s="97"/>
      <c r="H3765" s="97"/>
      <c r="I3765" s="97"/>
      <c r="J3765" s="98"/>
      <c r="K3765" s="99"/>
      <c r="L3765" s="98"/>
      <c r="M3765" s="99"/>
      <c r="N3765" s="99"/>
      <c r="O3765" s="18"/>
      <c r="P3765" s="100" t="b">
        <v>0</v>
      </c>
      <c r="Q3765" s="18"/>
      <c r="R3765" s="101" t="str">
        <f t="shared" si="3377"/>
        <v/>
      </c>
      <c r="S3765" s="32"/>
      <c r="T3765" s="102" t="str">
        <f t="shared" si="3378"/>
        <v/>
      </c>
      <c r="U3765" s="18"/>
      <c r="V3765" s="75" t="s">
        <v>29</v>
      </c>
      <c r="W3765" s="104" t="str">
        <f t="shared" si="2828"/>
        <v>/</v>
      </c>
      <c r="X3765" s="111" t="s">
        <v>447</v>
      </c>
      <c r="Y3765" s="106"/>
      <c r="Z3765" s="26" t="str">
        <f t="shared" si="5"/>
        <v/>
      </c>
      <c r="AA3765" s="26" t="str">
        <f t="shared" si="6"/>
        <v/>
      </c>
      <c r="AB3765" s="32" t="str">
        <f t="shared" si="7"/>
        <v/>
      </c>
      <c r="AC3765" s="32" t="str">
        <f t="shared" ref="AC3765:AG3765" si="3888">IF(J3765&lt;&gt;"", IF(AND($P3765=FALSE, $A3765=FALSE), -J3765, IF(AND($P3765=FALSE, $A3765=TRUE), 0, IF($P3765=TRUE, (J3765 / $R3765) * 100 * ($S3765 / 100)-J3765, ))), )</f>
        <v/>
      </c>
      <c r="AD3765" s="32" t="str">
        <f t="shared" si="3888"/>
        <v/>
      </c>
      <c r="AE3765" s="32" t="str">
        <f t="shared" si="3888"/>
        <v/>
      </c>
      <c r="AF3765" s="32" t="str">
        <f t="shared" si="3888"/>
        <v/>
      </c>
      <c r="AG3765" s="32" t="str">
        <f t="shared" si="3888"/>
        <v/>
      </c>
      <c r="AH3765" s="33"/>
    </row>
    <row r="3766" hidden="1" outlineLevel="2">
      <c r="A3766" s="95" t="b">
        <v>0</v>
      </c>
      <c r="B3766" s="96"/>
      <c r="C3766" s="18"/>
      <c r="D3766" s="107"/>
      <c r="E3766" s="108"/>
      <c r="F3766" s="109"/>
      <c r="G3766" s="97"/>
      <c r="H3766" s="97"/>
      <c r="I3766" s="97"/>
      <c r="J3766" s="98"/>
      <c r="K3766" s="99"/>
      <c r="L3766" s="98"/>
      <c r="M3766" s="99"/>
      <c r="N3766" s="99"/>
      <c r="O3766" s="18"/>
      <c r="P3766" s="100" t="b">
        <v>0</v>
      </c>
      <c r="Q3766" s="18"/>
      <c r="R3766" s="101" t="str">
        <f t="shared" si="3377"/>
        <v/>
      </c>
      <c r="S3766" s="32"/>
      <c r="T3766" s="102" t="str">
        <f t="shared" si="3378"/>
        <v/>
      </c>
      <c r="U3766" s="18"/>
      <c r="V3766" s="113">
        <v>1.0</v>
      </c>
      <c r="W3766" s="104" t="str">
        <f t="shared" si="2828"/>
        <v>/</v>
      </c>
      <c r="X3766" s="111" t="s">
        <v>2196</v>
      </c>
      <c r="Y3766" s="106"/>
      <c r="Z3766" s="26" t="str">
        <f t="shared" si="5"/>
        <v/>
      </c>
      <c r="AA3766" s="26" t="str">
        <f t="shared" si="6"/>
        <v/>
      </c>
      <c r="AB3766" s="32" t="str">
        <f t="shared" si="7"/>
        <v/>
      </c>
      <c r="AC3766" s="32" t="str">
        <f t="shared" ref="AC3766:AG3766" si="3889">IF(J3766&lt;&gt;"", IF(AND($P3766=FALSE, $A3766=FALSE), -J3766, IF(AND($P3766=FALSE, $A3766=TRUE), 0, IF($P3766=TRUE, (J3766 / $R3766) * 100 * ($S3766 / 100)-J3766, ))), )</f>
        <v/>
      </c>
      <c r="AD3766" s="32" t="str">
        <f t="shared" si="3889"/>
        <v/>
      </c>
      <c r="AE3766" s="32" t="str">
        <f t="shared" si="3889"/>
        <v/>
      </c>
      <c r="AF3766" s="32" t="str">
        <f t="shared" si="3889"/>
        <v/>
      </c>
      <c r="AG3766" s="32" t="str">
        <f t="shared" si="3889"/>
        <v/>
      </c>
      <c r="AH3766" s="33"/>
    </row>
    <row r="3767" collapsed="1">
      <c r="A3767" s="95" t="b">
        <v>0</v>
      </c>
      <c r="B3767" s="96"/>
      <c r="C3767" s="18"/>
      <c r="D3767" s="42">
        <v>45974.0</v>
      </c>
      <c r="E3767" s="43" t="s">
        <v>24</v>
      </c>
      <c r="F3767" s="53" t="s">
        <v>2197</v>
      </c>
      <c r="G3767" s="97">
        <v>2.0</v>
      </c>
      <c r="H3767" s="97"/>
      <c r="I3767" s="97">
        <v>3.0</v>
      </c>
      <c r="J3767" s="98"/>
      <c r="K3767" s="99"/>
      <c r="L3767" s="98"/>
      <c r="M3767" s="99"/>
      <c r="N3767" s="99"/>
      <c r="O3767" s="18"/>
      <c r="P3767" s="100" t="b">
        <v>1</v>
      </c>
      <c r="Q3767" s="18"/>
      <c r="R3767" s="101">
        <f t="shared" si="3377"/>
        <v>5</v>
      </c>
      <c r="S3767" s="32">
        <v>12.04</v>
      </c>
      <c r="T3767" s="102" t="str">
        <f t="shared" si="3378"/>
        <v>+141</v>
      </c>
      <c r="U3767" s="18"/>
      <c r="V3767" s="103" t="str">
        <f>IF(ISBLANK($D3767), "0",)</f>
        <v/>
      </c>
      <c r="W3767" s="104" t="str">
        <f t="shared" si="2828"/>
        <v/>
      </c>
      <c r="X3767" s="105"/>
      <c r="Y3767" s="106"/>
      <c r="Z3767" s="26">
        <f t="shared" si="5"/>
        <v>2.816</v>
      </c>
      <c r="AA3767" s="26">
        <f t="shared" si="6"/>
        <v>4.224</v>
      </c>
      <c r="AB3767" s="32" t="str">
        <f t="shared" si="7"/>
        <v/>
      </c>
      <c r="AC3767" s="32" t="str">
        <f t="shared" ref="AC3767:AG3767" si="3890">IF(J3767&lt;&gt;"", IF(AND($P3767=FALSE, $A3767=FALSE), -J3767, IF(AND($P3767=FALSE, $A3767=TRUE), 0, IF($P3767=TRUE, (J3767 / $R3767) * 100 * ($S3767 / 100)-J3767, ))), )</f>
        <v/>
      </c>
      <c r="AD3767" s="32" t="str">
        <f t="shared" si="3890"/>
        <v/>
      </c>
      <c r="AE3767" s="32" t="str">
        <f t="shared" si="3890"/>
        <v/>
      </c>
      <c r="AF3767" s="32" t="str">
        <f t="shared" si="3890"/>
        <v/>
      </c>
      <c r="AG3767" s="32" t="str">
        <f t="shared" si="3890"/>
        <v/>
      </c>
      <c r="AH3767" s="33"/>
    </row>
    <row r="3768" hidden="1" outlineLevel="2">
      <c r="A3768" s="95" t="b">
        <v>0</v>
      </c>
      <c r="B3768" s="96"/>
      <c r="C3768" s="18"/>
      <c r="D3768" s="107"/>
      <c r="E3768" s="108"/>
      <c r="F3768" s="109"/>
      <c r="G3768" s="97"/>
      <c r="H3768" s="97"/>
      <c r="I3768" s="97"/>
      <c r="J3768" s="98"/>
      <c r="K3768" s="99"/>
      <c r="L3768" s="98"/>
      <c r="M3768" s="99"/>
      <c r="N3768" s="99"/>
      <c r="O3768" s="18"/>
      <c r="P3768" s="100" t="b">
        <v>0</v>
      </c>
      <c r="Q3768" s="18"/>
      <c r="R3768" s="101" t="str">
        <f t="shared" si="3377"/>
        <v/>
      </c>
      <c r="S3768" s="32"/>
      <c r="T3768" s="102" t="str">
        <f t="shared" si="3378"/>
        <v/>
      </c>
      <c r="U3768" s="18"/>
      <c r="V3768" s="75" t="s">
        <v>29</v>
      </c>
      <c r="W3768" s="104" t="str">
        <f t="shared" si="2828"/>
        <v>/</v>
      </c>
      <c r="X3768" s="111" t="s">
        <v>347</v>
      </c>
      <c r="Y3768" s="106"/>
      <c r="Z3768" s="26" t="str">
        <f t="shared" si="5"/>
        <v/>
      </c>
      <c r="AA3768" s="26" t="str">
        <f t="shared" si="6"/>
        <v/>
      </c>
      <c r="AB3768" s="32" t="str">
        <f t="shared" si="7"/>
        <v/>
      </c>
      <c r="AC3768" s="32" t="str">
        <f t="shared" ref="AC3768:AG3768" si="3891">IF(J3768&lt;&gt;"", IF(AND($P3768=FALSE, $A3768=FALSE), -J3768, IF(AND($P3768=FALSE, $A3768=TRUE), 0, IF($P3768=TRUE, (J3768 / $R3768) * 100 * ($S3768 / 100)-J3768, ))), )</f>
        <v/>
      </c>
      <c r="AD3768" s="32" t="str">
        <f t="shared" si="3891"/>
        <v/>
      </c>
      <c r="AE3768" s="32" t="str">
        <f t="shared" si="3891"/>
        <v/>
      </c>
      <c r="AF3768" s="32" t="str">
        <f t="shared" si="3891"/>
        <v/>
      </c>
      <c r="AG3768" s="32" t="str">
        <f t="shared" si="3891"/>
        <v/>
      </c>
      <c r="AH3768" s="33"/>
    </row>
    <row r="3769" hidden="1" outlineLevel="2">
      <c r="A3769" s="95" t="b">
        <v>0</v>
      </c>
      <c r="B3769" s="96"/>
      <c r="C3769" s="18"/>
      <c r="D3769" s="107"/>
      <c r="E3769" s="108"/>
      <c r="F3769" s="109"/>
      <c r="G3769" s="97"/>
      <c r="H3769" s="97"/>
      <c r="I3769" s="97"/>
      <c r="J3769" s="98"/>
      <c r="K3769" s="99"/>
      <c r="L3769" s="98"/>
      <c r="M3769" s="99"/>
      <c r="N3769" s="99"/>
      <c r="O3769" s="18"/>
      <c r="P3769" s="100" t="b">
        <v>0</v>
      </c>
      <c r="Q3769" s="18"/>
      <c r="R3769" s="101" t="str">
        <f t="shared" si="3377"/>
        <v/>
      </c>
      <c r="S3769" s="32"/>
      <c r="T3769" s="102" t="str">
        <f t="shared" si="3378"/>
        <v/>
      </c>
      <c r="U3769" s="18"/>
      <c r="V3769" s="75" t="s">
        <v>29</v>
      </c>
      <c r="W3769" s="104" t="str">
        <f t="shared" si="2828"/>
        <v>/</v>
      </c>
      <c r="X3769" s="111" t="s">
        <v>1162</v>
      </c>
      <c r="Y3769" s="106"/>
      <c r="Z3769" s="26" t="str">
        <f t="shared" si="5"/>
        <v/>
      </c>
      <c r="AA3769" s="26" t="str">
        <f t="shared" si="6"/>
        <v/>
      </c>
      <c r="AB3769" s="32" t="str">
        <f t="shared" si="7"/>
        <v/>
      </c>
      <c r="AC3769" s="32" t="str">
        <f t="shared" ref="AC3769:AG3769" si="3892">IF(J3769&lt;&gt;"", IF(AND($P3769=FALSE, $A3769=FALSE), -J3769, IF(AND($P3769=FALSE, $A3769=TRUE), 0, IF($P3769=TRUE, (J3769 / $R3769) * 100 * ($S3769 / 100)-J3769, ))), )</f>
        <v/>
      </c>
      <c r="AD3769" s="32" t="str">
        <f t="shared" si="3892"/>
        <v/>
      </c>
      <c r="AE3769" s="32" t="str">
        <f t="shared" si="3892"/>
        <v/>
      </c>
      <c r="AF3769" s="32" t="str">
        <f t="shared" si="3892"/>
        <v/>
      </c>
      <c r="AG3769" s="32" t="str">
        <f t="shared" si="3892"/>
        <v/>
      </c>
      <c r="AH3769" s="33"/>
    </row>
    <row r="3770" hidden="1" outlineLevel="2">
      <c r="A3770" s="95" t="b">
        <v>0</v>
      </c>
      <c r="B3770" s="96"/>
      <c r="C3770" s="18"/>
      <c r="D3770" s="107"/>
      <c r="E3770" s="108"/>
      <c r="F3770" s="109"/>
      <c r="G3770" s="97"/>
      <c r="H3770" s="97"/>
      <c r="I3770" s="97"/>
      <c r="J3770" s="98"/>
      <c r="K3770" s="99"/>
      <c r="L3770" s="98"/>
      <c r="M3770" s="99"/>
      <c r="N3770" s="99"/>
      <c r="O3770" s="18"/>
      <c r="P3770" s="100" t="b">
        <v>0</v>
      </c>
      <c r="Q3770" s="18"/>
      <c r="R3770" s="101" t="str">
        <f t="shared" si="3377"/>
        <v/>
      </c>
      <c r="S3770" s="32"/>
      <c r="T3770" s="102" t="str">
        <f t="shared" si="3378"/>
        <v/>
      </c>
      <c r="U3770" s="18"/>
      <c r="V3770" s="75" t="s">
        <v>29</v>
      </c>
      <c r="W3770" s="104" t="str">
        <f t="shared" si="2828"/>
        <v>/</v>
      </c>
      <c r="X3770" s="111" t="s">
        <v>2107</v>
      </c>
      <c r="Y3770" s="106"/>
      <c r="Z3770" s="26" t="str">
        <f t="shared" si="5"/>
        <v/>
      </c>
      <c r="AA3770" s="26" t="str">
        <f t="shared" si="6"/>
        <v/>
      </c>
      <c r="AB3770" s="32" t="str">
        <f t="shared" si="7"/>
        <v/>
      </c>
      <c r="AC3770" s="32" t="str">
        <f t="shared" ref="AC3770:AG3770" si="3893">IF(J3770&lt;&gt;"", IF(AND($P3770=FALSE, $A3770=FALSE), -J3770, IF(AND($P3770=FALSE, $A3770=TRUE), 0, IF($P3770=TRUE, (J3770 / $R3770) * 100 * ($S3770 / 100)-J3770, ))), )</f>
        <v/>
      </c>
      <c r="AD3770" s="32" t="str">
        <f t="shared" si="3893"/>
        <v/>
      </c>
      <c r="AE3770" s="32" t="str">
        <f t="shared" si="3893"/>
        <v/>
      </c>
      <c r="AF3770" s="32" t="str">
        <f t="shared" si="3893"/>
        <v/>
      </c>
      <c r="AG3770" s="32" t="str">
        <f t="shared" si="3893"/>
        <v/>
      </c>
      <c r="AH3770" s="33"/>
    </row>
    <row r="3771" collapsed="1">
      <c r="A3771" s="95" t="b">
        <v>0</v>
      </c>
      <c r="B3771" s="96"/>
      <c r="C3771" s="18"/>
      <c r="D3771" s="42">
        <v>45977.0</v>
      </c>
      <c r="E3771" s="43" t="s">
        <v>24</v>
      </c>
      <c r="F3771" s="53" t="s">
        <v>2197</v>
      </c>
      <c r="G3771" s="97">
        <v>2.0</v>
      </c>
      <c r="H3771" s="97">
        <v>1.0</v>
      </c>
      <c r="I3771" s="97">
        <v>3.0</v>
      </c>
      <c r="J3771" s="98"/>
      <c r="K3771" s="99"/>
      <c r="L3771" s="98"/>
      <c r="M3771" s="99"/>
      <c r="N3771" s="99"/>
      <c r="O3771" s="18"/>
      <c r="P3771" s="100" t="b">
        <v>0</v>
      </c>
      <c r="Q3771" s="18"/>
      <c r="R3771" s="101">
        <f t="shared" si="3377"/>
        <v>6</v>
      </c>
      <c r="S3771" s="32">
        <v>18.25</v>
      </c>
      <c r="T3771" s="102" t="str">
        <f t="shared" si="3378"/>
        <v>+204</v>
      </c>
      <c r="U3771" s="18"/>
      <c r="V3771" s="103" t="str">
        <f>IF(ISBLANK($D3771), "0",)</f>
        <v/>
      </c>
      <c r="W3771" s="104" t="str">
        <f t="shared" si="2828"/>
        <v/>
      </c>
      <c r="X3771" s="105"/>
      <c r="Y3771" s="106"/>
      <c r="Z3771" s="26">
        <f t="shared" si="5"/>
        <v>-2</v>
      </c>
      <c r="AA3771" s="26">
        <f t="shared" si="6"/>
        <v>-3</v>
      </c>
      <c r="AB3771" s="32">
        <f t="shared" si="7"/>
        <v>-1</v>
      </c>
      <c r="AC3771" s="32" t="str">
        <f t="shared" ref="AC3771:AG3771" si="3894">IF(J3771&lt;&gt;"", IF(AND($P3771=FALSE, $A3771=FALSE), -J3771, IF(AND($P3771=FALSE, $A3771=TRUE), 0, IF($P3771=TRUE, (J3771 / $R3771) * 100 * ($S3771 / 100)-J3771, ))), )</f>
        <v/>
      </c>
      <c r="AD3771" s="32" t="str">
        <f t="shared" si="3894"/>
        <v/>
      </c>
      <c r="AE3771" s="32" t="str">
        <f t="shared" si="3894"/>
        <v/>
      </c>
      <c r="AF3771" s="32" t="str">
        <f t="shared" si="3894"/>
        <v/>
      </c>
      <c r="AG3771" s="32" t="str">
        <f t="shared" si="3894"/>
        <v/>
      </c>
      <c r="AH3771" s="33"/>
    </row>
    <row r="3772" hidden="1" outlineLevel="2">
      <c r="A3772" s="95" t="b">
        <v>0</v>
      </c>
      <c r="B3772" s="96"/>
      <c r="C3772" s="18"/>
      <c r="D3772" s="107"/>
      <c r="E3772" s="108"/>
      <c r="F3772" s="109"/>
      <c r="G3772" s="97"/>
      <c r="H3772" s="97"/>
      <c r="I3772" s="97"/>
      <c r="J3772" s="98"/>
      <c r="K3772" s="99"/>
      <c r="L3772" s="98"/>
      <c r="M3772" s="99"/>
      <c r="N3772" s="99"/>
      <c r="O3772" s="18"/>
      <c r="P3772" s="100" t="b">
        <v>0</v>
      </c>
      <c r="Q3772" s="18"/>
      <c r="R3772" s="101" t="str">
        <f t="shared" si="3377"/>
        <v/>
      </c>
      <c r="S3772" s="32"/>
      <c r="T3772" s="102" t="str">
        <f t="shared" si="3378"/>
        <v/>
      </c>
      <c r="U3772" s="18"/>
      <c r="V3772" s="113">
        <v>193.0</v>
      </c>
      <c r="W3772" s="104" t="str">
        <f t="shared" si="2828"/>
        <v>/</v>
      </c>
      <c r="X3772" s="111" t="s">
        <v>2190</v>
      </c>
      <c r="Y3772" s="106"/>
      <c r="Z3772" s="26" t="str">
        <f t="shared" si="5"/>
        <v/>
      </c>
      <c r="AA3772" s="26" t="str">
        <f t="shared" si="6"/>
        <v/>
      </c>
      <c r="AB3772" s="32" t="str">
        <f t="shared" si="7"/>
        <v/>
      </c>
      <c r="AC3772" s="32" t="str">
        <f t="shared" ref="AC3772:AG3772" si="3895">IF(J3772&lt;&gt;"", IF(AND($P3772=FALSE, $A3772=FALSE), -J3772, IF(AND($P3772=FALSE, $A3772=TRUE), 0, IF($P3772=TRUE, (J3772 / $R3772) * 100 * ($S3772 / 100)-J3772, ))), )</f>
        <v/>
      </c>
      <c r="AD3772" s="32" t="str">
        <f t="shared" si="3895"/>
        <v/>
      </c>
      <c r="AE3772" s="32" t="str">
        <f t="shared" si="3895"/>
        <v/>
      </c>
      <c r="AF3772" s="32" t="str">
        <f t="shared" si="3895"/>
        <v/>
      </c>
      <c r="AG3772" s="32" t="str">
        <f t="shared" si="3895"/>
        <v/>
      </c>
      <c r="AH3772" s="33"/>
    </row>
    <row r="3773" hidden="1" outlineLevel="2">
      <c r="A3773" s="95" t="b">
        <v>0</v>
      </c>
      <c r="B3773" s="96"/>
      <c r="C3773" s="18"/>
      <c r="D3773" s="107"/>
      <c r="E3773" s="108"/>
      <c r="F3773" s="109"/>
      <c r="G3773" s="97"/>
      <c r="H3773" s="97"/>
      <c r="I3773" s="97"/>
      <c r="J3773" s="98"/>
      <c r="K3773" s="99"/>
      <c r="L3773" s="98"/>
      <c r="M3773" s="99"/>
      <c r="N3773" s="99"/>
      <c r="O3773" s="18"/>
      <c r="P3773" s="100" t="b">
        <v>0</v>
      </c>
      <c r="Q3773" s="18"/>
      <c r="R3773" s="101" t="str">
        <f t="shared" si="3377"/>
        <v/>
      </c>
      <c r="S3773" s="32"/>
      <c r="T3773" s="102" t="str">
        <f t="shared" si="3378"/>
        <v/>
      </c>
      <c r="U3773" s="18"/>
      <c r="V3773" s="113">
        <v>173.0</v>
      </c>
      <c r="W3773" s="104" t="str">
        <f t="shared" si="2828"/>
        <v>/</v>
      </c>
      <c r="X3773" s="111" t="s">
        <v>2198</v>
      </c>
      <c r="Y3773" s="106"/>
      <c r="Z3773" s="26" t="str">
        <f t="shared" si="5"/>
        <v/>
      </c>
      <c r="AA3773" s="26" t="str">
        <f t="shared" si="6"/>
        <v/>
      </c>
      <c r="AB3773" s="32" t="str">
        <f t="shared" si="7"/>
        <v/>
      </c>
      <c r="AC3773" s="32" t="str">
        <f t="shared" ref="AC3773:AG3773" si="3896">IF(J3773&lt;&gt;"", IF(AND($P3773=FALSE, $A3773=FALSE), -J3773, IF(AND($P3773=FALSE, $A3773=TRUE), 0, IF($P3773=TRUE, (J3773 / $R3773) * 100 * ($S3773 / 100)-J3773, ))), )</f>
        <v/>
      </c>
      <c r="AD3773" s="32" t="str">
        <f t="shared" si="3896"/>
        <v/>
      </c>
      <c r="AE3773" s="32" t="str">
        <f t="shared" si="3896"/>
        <v/>
      </c>
      <c r="AF3773" s="32" t="str">
        <f t="shared" si="3896"/>
        <v/>
      </c>
      <c r="AG3773" s="32" t="str">
        <f t="shared" si="3896"/>
        <v/>
      </c>
      <c r="AH3773" s="33"/>
    </row>
    <row r="3774" hidden="1" outlineLevel="2">
      <c r="A3774" s="95" t="b">
        <v>0</v>
      </c>
      <c r="B3774" s="96"/>
      <c r="C3774" s="18"/>
      <c r="D3774" s="107"/>
      <c r="E3774" s="108"/>
      <c r="F3774" s="109"/>
      <c r="G3774" s="97"/>
      <c r="H3774" s="97"/>
      <c r="I3774" s="97"/>
      <c r="J3774" s="98"/>
      <c r="K3774" s="99"/>
      <c r="L3774" s="98"/>
      <c r="M3774" s="99"/>
      <c r="N3774" s="99"/>
      <c r="O3774" s="18"/>
      <c r="P3774" s="100" t="b">
        <v>0</v>
      </c>
      <c r="Q3774" s="18"/>
      <c r="R3774" s="101" t="str">
        <f t="shared" si="3377"/>
        <v/>
      </c>
      <c r="S3774" s="32"/>
      <c r="T3774" s="102" t="str">
        <f t="shared" si="3378"/>
        <v/>
      </c>
      <c r="U3774" s="18"/>
      <c r="V3774" s="113">
        <v>169.0</v>
      </c>
      <c r="W3774" s="104" t="str">
        <f t="shared" si="2828"/>
        <v>/</v>
      </c>
      <c r="X3774" s="111" t="s">
        <v>1602</v>
      </c>
      <c r="Y3774" s="106"/>
      <c r="Z3774" s="26" t="str">
        <f t="shared" si="5"/>
        <v/>
      </c>
      <c r="AA3774" s="26" t="str">
        <f t="shared" si="6"/>
        <v/>
      </c>
      <c r="AB3774" s="32" t="str">
        <f t="shared" si="7"/>
        <v/>
      </c>
      <c r="AC3774" s="32" t="str">
        <f t="shared" ref="AC3774:AG3774" si="3897">IF(J3774&lt;&gt;"", IF(AND($P3774=FALSE, $A3774=FALSE), -J3774, IF(AND($P3774=FALSE, $A3774=TRUE), 0, IF($P3774=TRUE, (J3774 / $R3774) * 100 * ($S3774 / 100)-J3774, ))), )</f>
        <v/>
      </c>
      <c r="AD3774" s="32" t="str">
        <f t="shared" si="3897"/>
        <v/>
      </c>
      <c r="AE3774" s="32" t="str">
        <f t="shared" si="3897"/>
        <v/>
      </c>
      <c r="AF3774" s="32" t="str">
        <f t="shared" si="3897"/>
        <v/>
      </c>
      <c r="AG3774" s="32" t="str">
        <f t="shared" si="3897"/>
        <v/>
      </c>
      <c r="AH3774" s="33"/>
    </row>
    <row r="3775" hidden="1" outlineLevel="2">
      <c r="A3775" s="95" t="b">
        <v>0</v>
      </c>
      <c r="B3775" s="96"/>
      <c r="C3775" s="18"/>
      <c r="D3775" s="107"/>
      <c r="E3775" s="108"/>
      <c r="F3775" s="109"/>
      <c r="G3775" s="97"/>
      <c r="H3775" s="97"/>
      <c r="I3775" s="97"/>
      <c r="J3775" s="98"/>
      <c r="K3775" s="99"/>
      <c r="L3775" s="98"/>
      <c r="M3775" s="99"/>
      <c r="N3775" s="99"/>
      <c r="O3775" s="18"/>
      <c r="P3775" s="100" t="b">
        <v>0</v>
      </c>
      <c r="Q3775" s="18"/>
      <c r="R3775" s="101" t="str">
        <f t="shared" si="3377"/>
        <v/>
      </c>
      <c r="S3775" s="32"/>
      <c r="T3775" s="102" t="str">
        <f t="shared" si="3378"/>
        <v/>
      </c>
      <c r="U3775" s="18"/>
      <c r="V3775" s="113">
        <v>199.0</v>
      </c>
      <c r="W3775" s="104" t="str">
        <f t="shared" si="2828"/>
        <v>/</v>
      </c>
      <c r="X3775" s="111" t="s">
        <v>873</v>
      </c>
      <c r="Y3775" s="106"/>
      <c r="Z3775" s="26" t="str">
        <f t="shared" si="5"/>
        <v/>
      </c>
      <c r="AA3775" s="26" t="str">
        <f t="shared" si="6"/>
        <v/>
      </c>
      <c r="AB3775" s="32" t="str">
        <f t="shared" si="7"/>
        <v/>
      </c>
      <c r="AC3775" s="32" t="str">
        <f t="shared" ref="AC3775:AG3775" si="3898">IF(J3775&lt;&gt;"", IF(AND($P3775=FALSE, $A3775=FALSE), -J3775, IF(AND($P3775=FALSE, $A3775=TRUE), 0, IF($P3775=TRUE, (J3775 / $R3775) * 100 * ($S3775 / 100)-J3775, ))), )</f>
        <v/>
      </c>
      <c r="AD3775" s="32" t="str">
        <f t="shared" si="3898"/>
        <v/>
      </c>
      <c r="AE3775" s="32" t="str">
        <f t="shared" si="3898"/>
        <v/>
      </c>
      <c r="AF3775" s="32" t="str">
        <f t="shared" si="3898"/>
        <v/>
      </c>
      <c r="AG3775" s="32" t="str">
        <f t="shared" si="3898"/>
        <v/>
      </c>
      <c r="AH3775" s="33"/>
    </row>
    <row r="3776" hidden="1" outlineLevel="1" collapsed="1">
      <c r="A3776" s="95" t="b">
        <v>0</v>
      </c>
      <c r="B3776" s="96"/>
      <c r="C3776" s="18"/>
      <c r="D3776" s="42">
        <v>45977.0</v>
      </c>
      <c r="E3776" s="43" t="s">
        <v>24</v>
      </c>
      <c r="F3776" s="53" t="s">
        <v>2197</v>
      </c>
      <c r="G3776" s="97">
        <v>2.0</v>
      </c>
      <c r="H3776" s="97">
        <v>2.0</v>
      </c>
      <c r="I3776" s="97">
        <v>2.0</v>
      </c>
      <c r="J3776" s="98"/>
      <c r="K3776" s="99"/>
      <c r="L3776" s="98"/>
      <c r="M3776" s="99"/>
      <c r="N3776" s="99"/>
      <c r="O3776" s="18"/>
      <c r="P3776" s="100" t="b">
        <v>0</v>
      </c>
      <c r="Q3776" s="18"/>
      <c r="R3776" s="101">
        <f t="shared" si="3377"/>
        <v>6</v>
      </c>
      <c r="S3776" s="32">
        <v>15.13</v>
      </c>
      <c r="T3776" s="102" t="str">
        <f t="shared" si="3378"/>
        <v>+152</v>
      </c>
      <c r="U3776" s="18"/>
      <c r="V3776" s="103" t="str">
        <f>IF(ISBLANK($D3776), "0",)</f>
        <v/>
      </c>
      <c r="W3776" s="104" t="str">
        <f t="shared" si="2828"/>
        <v/>
      </c>
      <c r="X3776" s="105"/>
      <c r="Y3776" s="106"/>
      <c r="Z3776" s="26">
        <f t="shared" si="5"/>
        <v>-2</v>
      </c>
      <c r="AA3776" s="26">
        <f t="shared" si="6"/>
        <v>-2</v>
      </c>
      <c r="AB3776" s="32">
        <f t="shared" si="7"/>
        <v>-2</v>
      </c>
      <c r="AC3776" s="32" t="str">
        <f t="shared" ref="AC3776:AG3776" si="3899">IF(J3776&lt;&gt;"", IF(AND($P3776=FALSE, $A3776=FALSE), -J3776, IF(AND($P3776=FALSE, $A3776=TRUE), 0, IF($P3776=TRUE, (J3776 / $R3776) * 100 * ($S3776 / 100)-J3776, ))), )</f>
        <v/>
      </c>
      <c r="AD3776" s="32" t="str">
        <f t="shared" si="3899"/>
        <v/>
      </c>
      <c r="AE3776" s="32" t="str">
        <f t="shared" si="3899"/>
        <v/>
      </c>
      <c r="AF3776" s="32" t="str">
        <f t="shared" si="3899"/>
        <v/>
      </c>
      <c r="AG3776" s="32" t="str">
        <f t="shared" si="3899"/>
        <v/>
      </c>
      <c r="AH3776" s="33"/>
    </row>
    <row r="3777" hidden="1" outlineLevel="2">
      <c r="A3777" s="95" t="b">
        <v>0</v>
      </c>
      <c r="B3777" s="96"/>
      <c r="C3777" s="18"/>
      <c r="D3777" s="107"/>
      <c r="E3777" s="108"/>
      <c r="F3777" s="109"/>
      <c r="G3777" s="97"/>
      <c r="H3777" s="97"/>
      <c r="I3777" s="97"/>
      <c r="J3777" s="98"/>
      <c r="K3777" s="99"/>
      <c r="L3777" s="98"/>
      <c r="M3777" s="99"/>
      <c r="N3777" s="99"/>
      <c r="O3777" s="18"/>
      <c r="P3777" s="100" t="b">
        <v>0</v>
      </c>
      <c r="Q3777" s="18"/>
      <c r="R3777" s="101" t="str">
        <f t="shared" si="3377"/>
        <v/>
      </c>
      <c r="S3777" s="32"/>
      <c r="T3777" s="102" t="str">
        <f t="shared" si="3378"/>
        <v/>
      </c>
      <c r="U3777" s="18"/>
      <c r="V3777" s="75" t="s">
        <v>29</v>
      </c>
      <c r="W3777" s="104" t="str">
        <f t="shared" si="2828"/>
        <v>/</v>
      </c>
      <c r="X3777" s="111" t="s">
        <v>2199</v>
      </c>
      <c r="Y3777" s="106"/>
      <c r="Z3777" s="26" t="str">
        <f t="shared" si="5"/>
        <v/>
      </c>
      <c r="AA3777" s="26" t="str">
        <f t="shared" si="6"/>
        <v/>
      </c>
      <c r="AB3777" s="32" t="str">
        <f t="shared" si="7"/>
        <v/>
      </c>
      <c r="AC3777" s="32" t="str">
        <f t="shared" ref="AC3777:AG3777" si="3900">IF(J3777&lt;&gt;"", IF(AND($P3777=FALSE, $A3777=FALSE), -J3777, IF(AND($P3777=FALSE, $A3777=TRUE), 0, IF($P3777=TRUE, (J3777 / $R3777) * 100 * ($S3777 / 100)-J3777, ))), )</f>
        <v/>
      </c>
      <c r="AD3777" s="32" t="str">
        <f t="shared" si="3900"/>
        <v/>
      </c>
      <c r="AE3777" s="32" t="str">
        <f t="shared" si="3900"/>
        <v/>
      </c>
      <c r="AF3777" s="32" t="str">
        <f t="shared" si="3900"/>
        <v/>
      </c>
      <c r="AG3777" s="32" t="str">
        <f t="shared" si="3900"/>
        <v/>
      </c>
      <c r="AH3777" s="33"/>
    </row>
    <row r="3778" hidden="1" outlineLevel="2">
      <c r="A3778" s="95" t="b">
        <v>0</v>
      </c>
      <c r="B3778" s="96"/>
      <c r="C3778" s="18"/>
      <c r="D3778" s="107"/>
      <c r="E3778" s="108"/>
      <c r="F3778" s="109"/>
      <c r="G3778" s="97"/>
      <c r="H3778" s="97"/>
      <c r="I3778" s="97"/>
      <c r="J3778" s="98"/>
      <c r="K3778" s="99"/>
      <c r="L3778" s="98"/>
      <c r="M3778" s="99"/>
      <c r="N3778" s="99"/>
      <c r="O3778" s="18"/>
      <c r="P3778" s="100" t="b">
        <v>0</v>
      </c>
      <c r="Q3778" s="18"/>
      <c r="R3778" s="101" t="str">
        <f t="shared" si="3377"/>
        <v/>
      </c>
      <c r="S3778" s="32"/>
      <c r="T3778" s="102" t="str">
        <f t="shared" si="3378"/>
        <v/>
      </c>
      <c r="U3778" s="18"/>
      <c r="V3778" s="75" t="s">
        <v>29</v>
      </c>
      <c r="W3778" s="104" t="str">
        <f t="shared" si="2828"/>
        <v>/</v>
      </c>
      <c r="X3778" s="111" t="s">
        <v>1783</v>
      </c>
      <c r="Y3778" s="106"/>
      <c r="Z3778" s="26" t="str">
        <f t="shared" si="5"/>
        <v/>
      </c>
      <c r="AA3778" s="26" t="str">
        <f t="shared" si="6"/>
        <v/>
      </c>
      <c r="AB3778" s="32" t="str">
        <f t="shared" si="7"/>
        <v/>
      </c>
      <c r="AC3778" s="32" t="str">
        <f t="shared" ref="AC3778:AG3778" si="3901">IF(J3778&lt;&gt;"", IF(AND($P3778=FALSE, $A3778=FALSE), -J3778, IF(AND($P3778=FALSE, $A3778=TRUE), 0, IF($P3778=TRUE, (J3778 / $R3778) * 100 * ($S3778 / 100)-J3778, ))), )</f>
        <v/>
      </c>
      <c r="AD3778" s="32" t="str">
        <f t="shared" si="3901"/>
        <v/>
      </c>
      <c r="AE3778" s="32" t="str">
        <f t="shared" si="3901"/>
        <v/>
      </c>
      <c r="AF3778" s="32" t="str">
        <f t="shared" si="3901"/>
        <v/>
      </c>
      <c r="AG3778" s="32" t="str">
        <f t="shared" si="3901"/>
        <v/>
      </c>
      <c r="AH3778" s="33"/>
    </row>
    <row r="3779" hidden="1" outlineLevel="2">
      <c r="A3779" s="95" t="b">
        <v>0</v>
      </c>
      <c r="B3779" s="96"/>
      <c r="C3779" s="18"/>
      <c r="D3779" s="107"/>
      <c r="E3779" s="108"/>
      <c r="F3779" s="109"/>
      <c r="G3779" s="97"/>
      <c r="H3779" s="97"/>
      <c r="I3779" s="97"/>
      <c r="J3779" s="98"/>
      <c r="K3779" s="99"/>
      <c r="L3779" s="98"/>
      <c r="M3779" s="99"/>
      <c r="N3779" s="99"/>
      <c r="O3779" s="18"/>
      <c r="P3779" s="100" t="b">
        <v>0</v>
      </c>
      <c r="Q3779" s="18"/>
      <c r="R3779" s="101" t="str">
        <f t="shared" si="3377"/>
        <v/>
      </c>
      <c r="S3779" s="32"/>
      <c r="T3779" s="102" t="str">
        <f t="shared" si="3378"/>
        <v/>
      </c>
      <c r="U3779" s="18"/>
      <c r="V3779" s="113">
        <v>40.0</v>
      </c>
      <c r="W3779" s="104" t="str">
        <f t="shared" si="2828"/>
        <v>/</v>
      </c>
      <c r="X3779" s="111" t="s">
        <v>2200</v>
      </c>
      <c r="Y3779" s="106"/>
      <c r="Z3779" s="26" t="str">
        <f t="shared" si="5"/>
        <v/>
      </c>
      <c r="AA3779" s="26" t="str">
        <f t="shared" si="6"/>
        <v/>
      </c>
      <c r="AB3779" s="32" t="str">
        <f t="shared" si="7"/>
        <v/>
      </c>
      <c r="AC3779" s="32" t="str">
        <f t="shared" ref="AC3779:AG3779" si="3902">IF(J3779&lt;&gt;"", IF(AND($P3779=FALSE, $A3779=FALSE), -J3779, IF(AND($P3779=FALSE, $A3779=TRUE), 0, IF($P3779=TRUE, (J3779 / $R3779) * 100 * ($S3779 / 100)-J3779, ))), )</f>
        <v/>
      </c>
      <c r="AD3779" s="32" t="str">
        <f t="shared" si="3902"/>
        <v/>
      </c>
      <c r="AE3779" s="32" t="str">
        <f t="shared" si="3902"/>
        <v/>
      </c>
      <c r="AF3779" s="32" t="str">
        <f t="shared" si="3902"/>
        <v/>
      </c>
      <c r="AG3779" s="32" t="str">
        <f t="shared" si="3902"/>
        <v/>
      </c>
      <c r="AH3779" s="33"/>
    </row>
    <row r="3780" hidden="1" outlineLevel="1" collapsed="1">
      <c r="A3780" s="95" t="b">
        <v>0</v>
      </c>
      <c r="B3780" s="96"/>
      <c r="C3780" s="18"/>
      <c r="D3780" s="42">
        <v>45977.0</v>
      </c>
      <c r="E3780" s="43" t="s">
        <v>24</v>
      </c>
      <c r="F3780" s="53" t="s">
        <v>2197</v>
      </c>
      <c r="G3780" s="97">
        <v>2.0</v>
      </c>
      <c r="H3780" s="97"/>
      <c r="I3780" s="97">
        <v>3.0</v>
      </c>
      <c r="J3780" s="98"/>
      <c r="K3780" s="99"/>
      <c r="L3780" s="98"/>
      <c r="M3780" s="99"/>
      <c r="N3780" s="99"/>
      <c r="O3780" s="18"/>
      <c r="P3780" s="100" t="b">
        <v>1</v>
      </c>
      <c r="Q3780" s="18"/>
      <c r="R3780" s="101">
        <f t="shared" si="3377"/>
        <v>5</v>
      </c>
      <c r="S3780" s="32">
        <v>10.64</v>
      </c>
      <c r="T3780" s="102" t="str">
        <f t="shared" si="3378"/>
        <v>+113</v>
      </c>
      <c r="U3780" s="18"/>
      <c r="V3780" s="103" t="str">
        <f>IF(ISBLANK($D3780), "0",)</f>
        <v/>
      </c>
      <c r="W3780" s="104" t="str">
        <f t="shared" si="2828"/>
        <v/>
      </c>
      <c r="X3780" s="105"/>
      <c r="Y3780" s="106"/>
      <c r="Z3780" s="26">
        <f t="shared" si="5"/>
        <v>2.256</v>
      </c>
      <c r="AA3780" s="26">
        <f t="shared" si="6"/>
        <v>3.384</v>
      </c>
      <c r="AB3780" s="32" t="str">
        <f t="shared" si="7"/>
        <v/>
      </c>
      <c r="AC3780" s="32" t="str">
        <f t="shared" ref="AC3780:AG3780" si="3903">IF(J3780&lt;&gt;"", IF(AND($P3780=FALSE, $A3780=FALSE), -J3780, IF(AND($P3780=FALSE, $A3780=TRUE), 0, IF($P3780=TRUE, (J3780 / $R3780) * 100 * ($S3780 / 100)-J3780, ))), )</f>
        <v/>
      </c>
      <c r="AD3780" s="32" t="str">
        <f t="shared" si="3903"/>
        <v/>
      </c>
      <c r="AE3780" s="32" t="str">
        <f t="shared" si="3903"/>
        <v/>
      </c>
      <c r="AF3780" s="32" t="str">
        <f t="shared" si="3903"/>
        <v/>
      </c>
      <c r="AG3780" s="32" t="str">
        <f t="shared" si="3903"/>
        <v/>
      </c>
      <c r="AH3780" s="33"/>
    </row>
    <row r="3781" hidden="1" outlineLevel="2">
      <c r="A3781" s="95" t="b">
        <v>0</v>
      </c>
      <c r="B3781" s="96"/>
      <c r="C3781" s="18"/>
      <c r="D3781" s="107"/>
      <c r="E3781" s="108"/>
      <c r="F3781" s="109"/>
      <c r="G3781" s="97"/>
      <c r="H3781" s="97"/>
      <c r="I3781" s="97"/>
      <c r="J3781" s="98"/>
      <c r="K3781" s="99"/>
      <c r="L3781" s="98"/>
      <c r="M3781" s="99"/>
      <c r="N3781" s="99"/>
      <c r="O3781" s="18"/>
      <c r="P3781" s="100" t="b">
        <v>0</v>
      </c>
      <c r="Q3781" s="18"/>
      <c r="R3781" s="101" t="str">
        <f t="shared" si="3377"/>
        <v/>
      </c>
      <c r="S3781" s="32"/>
      <c r="T3781" s="102" t="str">
        <f t="shared" si="3378"/>
        <v/>
      </c>
      <c r="U3781" s="18"/>
      <c r="V3781" s="75" t="s">
        <v>29</v>
      </c>
      <c r="W3781" s="104" t="str">
        <f t="shared" si="2828"/>
        <v>/</v>
      </c>
      <c r="X3781" s="111" t="s">
        <v>2201</v>
      </c>
      <c r="Y3781" s="106"/>
      <c r="Z3781" s="26" t="str">
        <f t="shared" si="5"/>
        <v/>
      </c>
      <c r="AA3781" s="26" t="str">
        <f t="shared" si="6"/>
        <v/>
      </c>
      <c r="AB3781" s="32" t="str">
        <f t="shared" si="7"/>
        <v/>
      </c>
      <c r="AC3781" s="32" t="str">
        <f t="shared" ref="AC3781:AG3781" si="3904">IF(J3781&lt;&gt;"", IF(AND($P3781=FALSE, $A3781=FALSE), -J3781, IF(AND($P3781=FALSE, $A3781=TRUE), 0, IF($P3781=TRUE, (J3781 / $R3781) * 100 * ($S3781 / 100)-J3781, ))), )</f>
        <v/>
      </c>
      <c r="AD3781" s="32" t="str">
        <f t="shared" si="3904"/>
        <v/>
      </c>
      <c r="AE3781" s="32" t="str">
        <f t="shared" si="3904"/>
        <v/>
      </c>
      <c r="AF3781" s="32" t="str">
        <f t="shared" si="3904"/>
        <v/>
      </c>
      <c r="AG3781" s="32" t="str">
        <f t="shared" si="3904"/>
        <v/>
      </c>
      <c r="AH3781" s="33"/>
    </row>
    <row r="3782" hidden="1" outlineLevel="2">
      <c r="A3782" s="95" t="b">
        <v>0</v>
      </c>
      <c r="B3782" s="96"/>
      <c r="C3782" s="18"/>
      <c r="D3782" s="107"/>
      <c r="E3782" s="108"/>
      <c r="F3782" s="109"/>
      <c r="G3782" s="97"/>
      <c r="H3782" s="97"/>
      <c r="I3782" s="97"/>
      <c r="J3782" s="98"/>
      <c r="K3782" s="99"/>
      <c r="L3782" s="98"/>
      <c r="M3782" s="99"/>
      <c r="N3782" s="99"/>
      <c r="O3782" s="18"/>
      <c r="P3782" s="100" t="b">
        <v>0</v>
      </c>
      <c r="Q3782" s="18"/>
      <c r="R3782" s="101" t="str">
        <f t="shared" si="3377"/>
        <v/>
      </c>
      <c r="S3782" s="32"/>
      <c r="T3782" s="102" t="str">
        <f t="shared" si="3378"/>
        <v/>
      </c>
      <c r="U3782" s="18"/>
      <c r="V3782" s="75" t="s">
        <v>29</v>
      </c>
      <c r="W3782" s="104" t="str">
        <f t="shared" si="2828"/>
        <v>/</v>
      </c>
      <c r="X3782" s="111" t="s">
        <v>1804</v>
      </c>
      <c r="Y3782" s="106"/>
      <c r="Z3782" s="26" t="str">
        <f t="shared" si="5"/>
        <v/>
      </c>
      <c r="AA3782" s="26" t="str">
        <f t="shared" si="6"/>
        <v/>
      </c>
      <c r="AB3782" s="32" t="str">
        <f t="shared" si="7"/>
        <v/>
      </c>
      <c r="AC3782" s="32" t="str">
        <f t="shared" ref="AC3782:AG3782" si="3905">IF(J3782&lt;&gt;"", IF(AND($P3782=FALSE, $A3782=FALSE), -J3782, IF(AND($P3782=FALSE, $A3782=TRUE), 0, IF($P3782=TRUE, (J3782 / $R3782) * 100 * ($S3782 / 100)-J3782, ))), )</f>
        <v/>
      </c>
      <c r="AD3782" s="32" t="str">
        <f t="shared" si="3905"/>
        <v/>
      </c>
      <c r="AE3782" s="32" t="str">
        <f t="shared" si="3905"/>
        <v/>
      </c>
      <c r="AF3782" s="32" t="str">
        <f t="shared" si="3905"/>
        <v/>
      </c>
      <c r="AG3782" s="32" t="str">
        <f t="shared" si="3905"/>
        <v/>
      </c>
      <c r="AH3782" s="33"/>
    </row>
    <row r="3783" hidden="1" outlineLevel="2">
      <c r="A3783" s="95" t="b">
        <v>0</v>
      </c>
      <c r="B3783" s="96"/>
      <c r="C3783" s="18"/>
      <c r="D3783" s="107"/>
      <c r="E3783" s="108"/>
      <c r="F3783" s="109"/>
      <c r="G3783" s="97"/>
      <c r="H3783" s="97"/>
      <c r="I3783" s="97"/>
      <c r="J3783" s="98"/>
      <c r="K3783" s="99"/>
      <c r="L3783" s="98"/>
      <c r="M3783" s="99"/>
      <c r="N3783" s="99"/>
      <c r="O3783" s="18"/>
      <c r="P3783" s="100" t="b">
        <v>0</v>
      </c>
      <c r="Q3783" s="18"/>
      <c r="R3783" s="101" t="str">
        <f t="shared" si="3377"/>
        <v/>
      </c>
      <c r="S3783" s="32"/>
      <c r="T3783" s="102" t="str">
        <f t="shared" si="3378"/>
        <v/>
      </c>
      <c r="U3783" s="18"/>
      <c r="V3783" s="75" t="s">
        <v>29</v>
      </c>
      <c r="W3783" s="104" t="str">
        <f t="shared" si="2828"/>
        <v>/</v>
      </c>
      <c r="X3783" s="111" t="s">
        <v>1652</v>
      </c>
      <c r="Y3783" s="106"/>
      <c r="Z3783" s="26" t="str">
        <f t="shared" si="5"/>
        <v/>
      </c>
      <c r="AA3783" s="26" t="str">
        <f t="shared" si="6"/>
        <v/>
      </c>
      <c r="AB3783" s="32" t="str">
        <f t="shared" si="7"/>
        <v/>
      </c>
      <c r="AC3783" s="32" t="str">
        <f t="shared" ref="AC3783:AG3783" si="3906">IF(J3783&lt;&gt;"", IF(AND($P3783=FALSE, $A3783=FALSE), -J3783, IF(AND($P3783=FALSE, $A3783=TRUE), 0, IF($P3783=TRUE, (J3783 / $R3783) * 100 * ($S3783 / 100)-J3783, ))), )</f>
        <v/>
      </c>
      <c r="AD3783" s="32" t="str">
        <f t="shared" si="3906"/>
        <v/>
      </c>
      <c r="AE3783" s="32" t="str">
        <f t="shared" si="3906"/>
        <v/>
      </c>
      <c r="AF3783" s="32" t="str">
        <f t="shared" si="3906"/>
        <v/>
      </c>
      <c r="AG3783" s="32" t="str">
        <f t="shared" si="3906"/>
        <v/>
      </c>
      <c r="AH3783" s="33"/>
    </row>
    <row r="3784" hidden="1" outlineLevel="1">
      <c r="A3784" s="95" t="b">
        <v>0</v>
      </c>
      <c r="B3784" s="96"/>
      <c r="C3784" s="18"/>
      <c r="D3784" s="42">
        <v>45977.0</v>
      </c>
      <c r="E3784" s="43" t="s">
        <v>24</v>
      </c>
      <c r="F3784" s="53" t="s">
        <v>2197</v>
      </c>
      <c r="G3784" s="97">
        <v>3.0</v>
      </c>
      <c r="H3784" s="97"/>
      <c r="I3784" s="97">
        <v>2.0</v>
      </c>
      <c r="J3784" s="98"/>
      <c r="K3784" s="99"/>
      <c r="L3784" s="98"/>
      <c r="M3784" s="99"/>
      <c r="N3784" s="99"/>
      <c r="O3784" s="18"/>
      <c r="P3784" s="100" t="b">
        <v>0</v>
      </c>
      <c r="Q3784" s="18"/>
      <c r="R3784" s="101">
        <f t="shared" si="3377"/>
        <v>5</v>
      </c>
      <c r="S3784" s="32">
        <v>14.9</v>
      </c>
      <c r="T3784" s="102" t="str">
        <f t="shared" si="3378"/>
        <v>+198</v>
      </c>
      <c r="U3784" s="18"/>
      <c r="V3784" s="103" t="str">
        <f>IF(ISBLANK($D3784), "0",)</f>
        <v/>
      </c>
      <c r="W3784" s="104" t="str">
        <f t="shared" si="2828"/>
        <v/>
      </c>
      <c r="X3784" s="105"/>
      <c r="Y3784" s="106"/>
      <c r="Z3784" s="26">
        <f t="shared" si="5"/>
        <v>-3</v>
      </c>
      <c r="AA3784" s="26">
        <f t="shared" si="6"/>
        <v>-2</v>
      </c>
      <c r="AB3784" s="32" t="str">
        <f t="shared" si="7"/>
        <v/>
      </c>
      <c r="AC3784" s="32" t="str">
        <f t="shared" ref="AC3784:AG3784" si="3907">IF(J3784&lt;&gt;"", IF(AND($P3784=FALSE, $A3784=FALSE), -J3784, IF(AND($P3784=FALSE, $A3784=TRUE), 0, IF($P3784=TRUE, (J3784 / $R3784) * 100 * ($S3784 / 100)-J3784, ))), )</f>
        <v/>
      </c>
      <c r="AD3784" s="32" t="str">
        <f t="shared" si="3907"/>
        <v/>
      </c>
      <c r="AE3784" s="32" t="str">
        <f t="shared" si="3907"/>
        <v/>
      </c>
      <c r="AF3784" s="32" t="str">
        <f t="shared" si="3907"/>
        <v/>
      </c>
      <c r="AG3784" s="32" t="str">
        <f t="shared" si="3907"/>
        <v/>
      </c>
      <c r="AH3784" s="33"/>
    </row>
    <row r="3785" hidden="1" outlineLevel="2">
      <c r="A3785" s="95" t="b">
        <v>0</v>
      </c>
      <c r="B3785" s="96"/>
      <c r="C3785" s="18"/>
      <c r="D3785" s="107"/>
      <c r="E3785" s="108"/>
      <c r="F3785" s="109"/>
      <c r="G3785" s="97"/>
      <c r="H3785" s="97"/>
      <c r="I3785" s="97"/>
      <c r="J3785" s="98"/>
      <c r="K3785" s="99"/>
      <c r="L3785" s="98"/>
      <c r="M3785" s="99"/>
      <c r="N3785" s="99"/>
      <c r="O3785" s="18"/>
      <c r="P3785" s="100" t="b">
        <v>0</v>
      </c>
      <c r="Q3785" s="18"/>
      <c r="R3785" s="101" t="str">
        <f t="shared" si="3377"/>
        <v/>
      </c>
      <c r="S3785" s="32"/>
      <c r="T3785" s="102" t="str">
        <f t="shared" si="3378"/>
        <v/>
      </c>
      <c r="U3785" s="18"/>
      <c r="V3785" s="113">
        <v>200.0</v>
      </c>
      <c r="W3785" s="104" t="str">
        <f t="shared" si="2828"/>
        <v>/</v>
      </c>
      <c r="X3785" s="111" t="s">
        <v>2202</v>
      </c>
      <c r="Y3785" s="106"/>
      <c r="Z3785" s="26" t="str">
        <f t="shared" si="5"/>
        <v/>
      </c>
      <c r="AA3785" s="26" t="str">
        <f t="shared" si="6"/>
        <v/>
      </c>
      <c r="AB3785" s="32" t="str">
        <f t="shared" si="7"/>
        <v/>
      </c>
      <c r="AC3785" s="32" t="str">
        <f t="shared" ref="AC3785:AG3785" si="3908">IF(J3785&lt;&gt;"", IF(AND($P3785=FALSE, $A3785=FALSE), -J3785, IF(AND($P3785=FALSE, $A3785=TRUE), 0, IF($P3785=TRUE, (J3785 / $R3785) * 100 * ($S3785 / 100)-J3785, ))), )</f>
        <v/>
      </c>
      <c r="AD3785" s="32" t="str">
        <f t="shared" si="3908"/>
        <v/>
      </c>
      <c r="AE3785" s="32" t="str">
        <f t="shared" si="3908"/>
        <v/>
      </c>
      <c r="AF3785" s="32" t="str">
        <f t="shared" si="3908"/>
        <v/>
      </c>
      <c r="AG3785" s="32" t="str">
        <f t="shared" si="3908"/>
        <v/>
      </c>
      <c r="AH3785" s="33"/>
    </row>
    <row r="3786" hidden="1" outlineLevel="2">
      <c r="A3786" s="95" t="b">
        <v>0</v>
      </c>
      <c r="B3786" s="96"/>
      <c r="C3786" s="18"/>
      <c r="D3786" s="107"/>
      <c r="E3786" s="108"/>
      <c r="F3786" s="109"/>
      <c r="G3786" s="97"/>
      <c r="H3786" s="97"/>
      <c r="I3786" s="97"/>
      <c r="J3786" s="98"/>
      <c r="K3786" s="99"/>
      <c r="L3786" s="98"/>
      <c r="M3786" s="99"/>
      <c r="N3786" s="99"/>
      <c r="O3786" s="18"/>
      <c r="P3786" s="100" t="b">
        <v>0</v>
      </c>
      <c r="Q3786" s="18"/>
      <c r="R3786" s="101" t="str">
        <f t="shared" si="3377"/>
        <v/>
      </c>
      <c r="S3786" s="32"/>
      <c r="T3786" s="102" t="str">
        <f t="shared" si="3378"/>
        <v/>
      </c>
      <c r="U3786" s="18"/>
      <c r="V3786" s="75" t="s">
        <v>29</v>
      </c>
      <c r="W3786" s="104" t="str">
        <f t="shared" si="2828"/>
        <v>/</v>
      </c>
      <c r="X3786" s="111" t="s">
        <v>498</v>
      </c>
      <c r="Y3786" s="106"/>
      <c r="Z3786" s="26" t="str">
        <f t="shared" si="5"/>
        <v/>
      </c>
      <c r="AA3786" s="26" t="str">
        <f t="shared" si="6"/>
        <v/>
      </c>
      <c r="AB3786" s="32" t="str">
        <f t="shared" si="7"/>
        <v/>
      </c>
      <c r="AC3786" s="32" t="str">
        <f t="shared" ref="AC3786:AG3786" si="3909">IF(J3786&lt;&gt;"", IF(AND($P3786=FALSE, $A3786=FALSE), -J3786, IF(AND($P3786=FALSE, $A3786=TRUE), 0, IF($P3786=TRUE, (J3786 / $R3786) * 100 * ($S3786 / 100)-J3786, ))), )</f>
        <v/>
      </c>
      <c r="AD3786" s="32" t="str">
        <f t="shared" si="3909"/>
        <v/>
      </c>
      <c r="AE3786" s="32" t="str">
        <f t="shared" si="3909"/>
        <v/>
      </c>
      <c r="AF3786" s="32" t="str">
        <f t="shared" si="3909"/>
        <v/>
      </c>
      <c r="AG3786" s="32" t="str">
        <f t="shared" si="3909"/>
        <v/>
      </c>
      <c r="AH3786" s="33"/>
    </row>
    <row r="3787" hidden="1" outlineLevel="2">
      <c r="A3787" s="95" t="b">
        <v>0</v>
      </c>
      <c r="B3787" s="96"/>
      <c r="C3787" s="18"/>
      <c r="D3787" s="107"/>
      <c r="E3787" s="108"/>
      <c r="F3787" s="109"/>
      <c r="G3787" s="97"/>
      <c r="H3787" s="97"/>
      <c r="I3787" s="97"/>
      <c r="J3787" s="98"/>
      <c r="K3787" s="99"/>
      <c r="L3787" s="98"/>
      <c r="M3787" s="99"/>
      <c r="N3787" s="99"/>
      <c r="O3787" s="18"/>
      <c r="P3787" s="100" t="b">
        <v>0</v>
      </c>
      <c r="Q3787" s="18"/>
      <c r="R3787" s="101" t="str">
        <f t="shared" si="3377"/>
        <v/>
      </c>
      <c r="S3787" s="32"/>
      <c r="T3787" s="102" t="str">
        <f t="shared" si="3378"/>
        <v/>
      </c>
      <c r="U3787" s="18"/>
      <c r="V3787" s="75" t="s">
        <v>29</v>
      </c>
      <c r="W3787" s="104" t="str">
        <f t="shared" si="2828"/>
        <v>/</v>
      </c>
      <c r="X3787" s="111" t="s">
        <v>1205</v>
      </c>
      <c r="Y3787" s="106"/>
      <c r="Z3787" s="26" t="str">
        <f t="shared" si="5"/>
        <v/>
      </c>
      <c r="AA3787" s="26" t="str">
        <f t="shared" si="6"/>
        <v/>
      </c>
      <c r="AB3787" s="32" t="str">
        <f t="shared" si="7"/>
        <v/>
      </c>
      <c r="AC3787" s="32" t="str">
        <f t="shared" ref="AC3787:AG3787" si="3910">IF(J3787&lt;&gt;"", IF(AND($P3787=FALSE, $A3787=FALSE), -J3787, IF(AND($P3787=FALSE, $A3787=TRUE), 0, IF($P3787=TRUE, (J3787 / $R3787) * 100 * ($S3787 / 100)-J3787, ))), )</f>
        <v/>
      </c>
      <c r="AD3787" s="32" t="str">
        <f t="shared" si="3910"/>
        <v/>
      </c>
      <c r="AE3787" s="32" t="str">
        <f t="shared" si="3910"/>
        <v/>
      </c>
      <c r="AF3787" s="32" t="str">
        <f t="shared" si="3910"/>
        <v/>
      </c>
      <c r="AG3787" s="32" t="str">
        <f t="shared" si="3910"/>
        <v/>
      </c>
      <c r="AH3787" s="33"/>
    </row>
    <row r="3788" collapsed="1">
      <c r="A3788" s="95" t="b">
        <v>0</v>
      </c>
      <c r="B3788" s="96"/>
      <c r="C3788" s="18"/>
      <c r="D3788" s="42">
        <v>45981.0</v>
      </c>
      <c r="E3788" s="43" t="s">
        <v>24</v>
      </c>
      <c r="F3788" s="53" t="s">
        <v>2203</v>
      </c>
      <c r="G3788" s="97">
        <v>3.0</v>
      </c>
      <c r="H3788" s="97"/>
      <c r="I3788" s="97">
        <v>3.0</v>
      </c>
      <c r="J3788" s="98"/>
      <c r="K3788" s="99"/>
      <c r="L3788" s="98"/>
      <c r="M3788" s="99"/>
      <c r="N3788" s="99"/>
      <c r="O3788" s="18"/>
      <c r="P3788" s="100" t="b">
        <v>0</v>
      </c>
      <c r="Q3788" s="18"/>
      <c r="R3788" s="101">
        <f t="shared" si="3377"/>
        <v>6</v>
      </c>
      <c r="S3788" s="32">
        <v>13.45</v>
      </c>
      <c r="T3788" s="102" t="str">
        <f t="shared" si="3378"/>
        <v>+124</v>
      </c>
      <c r="U3788" s="18"/>
      <c r="V3788" s="103" t="str">
        <f>IF(ISBLANK($D3788), "0",)</f>
        <v/>
      </c>
      <c r="W3788" s="104" t="str">
        <f t="shared" si="2828"/>
        <v/>
      </c>
      <c r="X3788" s="105"/>
      <c r="Y3788" s="106"/>
      <c r="Z3788" s="26">
        <f t="shared" si="5"/>
        <v>-3</v>
      </c>
      <c r="AA3788" s="26">
        <f t="shared" si="6"/>
        <v>-3</v>
      </c>
      <c r="AB3788" s="32" t="str">
        <f t="shared" si="7"/>
        <v/>
      </c>
      <c r="AC3788" s="32" t="str">
        <f t="shared" ref="AC3788:AG3788" si="3911">IF(J3788&lt;&gt;"", IF(AND($P3788=FALSE, $A3788=FALSE), -J3788, IF(AND($P3788=FALSE, $A3788=TRUE), 0, IF($P3788=TRUE, (J3788 / $R3788) * 100 * ($S3788 / 100)-J3788, ))), )</f>
        <v/>
      </c>
      <c r="AD3788" s="32" t="str">
        <f t="shared" si="3911"/>
        <v/>
      </c>
      <c r="AE3788" s="32" t="str">
        <f t="shared" si="3911"/>
        <v/>
      </c>
      <c r="AF3788" s="32" t="str">
        <f t="shared" si="3911"/>
        <v/>
      </c>
      <c r="AG3788" s="32" t="str">
        <f t="shared" si="3911"/>
        <v/>
      </c>
      <c r="AH3788" s="33"/>
    </row>
    <row r="3789" hidden="1" outlineLevel="2">
      <c r="A3789" s="95" t="b">
        <v>0</v>
      </c>
      <c r="B3789" s="96"/>
      <c r="C3789" s="18"/>
      <c r="D3789" s="107"/>
      <c r="E3789" s="108"/>
      <c r="F3789" s="109"/>
      <c r="G3789" s="97"/>
      <c r="H3789" s="97"/>
      <c r="I3789" s="97"/>
      <c r="J3789" s="98"/>
      <c r="K3789" s="99"/>
      <c r="L3789" s="98"/>
      <c r="M3789" s="99"/>
      <c r="N3789" s="99"/>
      <c r="O3789" s="18"/>
      <c r="P3789" s="100" t="b">
        <v>0</v>
      </c>
      <c r="Q3789" s="18"/>
      <c r="R3789" s="101" t="str">
        <f t="shared" si="3377"/>
        <v/>
      </c>
      <c r="S3789" s="32"/>
      <c r="T3789" s="102" t="str">
        <f t="shared" si="3378"/>
        <v/>
      </c>
      <c r="U3789" s="18"/>
      <c r="V3789" s="113">
        <v>20.0</v>
      </c>
      <c r="W3789" s="104" t="str">
        <f t="shared" si="2828"/>
        <v>/</v>
      </c>
      <c r="X3789" s="111" t="s">
        <v>1549</v>
      </c>
      <c r="Y3789" s="106"/>
      <c r="Z3789" s="26" t="str">
        <f t="shared" si="5"/>
        <v/>
      </c>
      <c r="AA3789" s="26" t="str">
        <f t="shared" si="6"/>
        <v/>
      </c>
      <c r="AB3789" s="32" t="str">
        <f t="shared" si="7"/>
        <v/>
      </c>
      <c r="AC3789" s="32" t="str">
        <f t="shared" ref="AC3789:AG3789" si="3912">IF(J3789&lt;&gt;"", IF(AND($P3789=FALSE, $A3789=FALSE), -J3789, IF(AND($P3789=FALSE, $A3789=TRUE), 0, IF($P3789=TRUE, (J3789 / $R3789) * 100 * ($S3789 / 100)-J3789, ))), )</f>
        <v/>
      </c>
      <c r="AD3789" s="32" t="str">
        <f t="shared" si="3912"/>
        <v/>
      </c>
      <c r="AE3789" s="32" t="str">
        <f t="shared" si="3912"/>
        <v/>
      </c>
      <c r="AF3789" s="32" t="str">
        <f t="shared" si="3912"/>
        <v/>
      </c>
      <c r="AG3789" s="32" t="str">
        <f t="shared" si="3912"/>
        <v/>
      </c>
      <c r="AH3789" s="33"/>
    </row>
    <row r="3790" hidden="1" outlineLevel="2">
      <c r="A3790" s="95" t="b">
        <v>0</v>
      </c>
      <c r="B3790" s="96"/>
      <c r="C3790" s="18"/>
      <c r="D3790" s="107"/>
      <c r="E3790" s="108"/>
      <c r="F3790" s="109"/>
      <c r="G3790" s="97"/>
      <c r="H3790" s="97"/>
      <c r="I3790" s="97"/>
      <c r="J3790" s="98"/>
      <c r="K3790" s="99"/>
      <c r="L3790" s="98"/>
      <c r="M3790" s="99"/>
      <c r="N3790" s="99"/>
      <c r="O3790" s="18"/>
      <c r="P3790" s="100" t="b">
        <v>0</v>
      </c>
      <c r="Q3790" s="18"/>
      <c r="R3790" s="101" t="str">
        <f t="shared" si="3377"/>
        <v/>
      </c>
      <c r="S3790" s="32"/>
      <c r="T3790" s="102" t="str">
        <f t="shared" si="3378"/>
        <v/>
      </c>
      <c r="U3790" s="18"/>
      <c r="V3790" s="113">
        <v>3.0</v>
      </c>
      <c r="W3790" s="104" t="str">
        <f t="shared" si="2828"/>
        <v>/</v>
      </c>
      <c r="X3790" s="111" t="s">
        <v>1906</v>
      </c>
      <c r="Y3790" s="106"/>
      <c r="Z3790" s="26" t="str">
        <f t="shared" si="5"/>
        <v/>
      </c>
      <c r="AA3790" s="26" t="str">
        <f t="shared" si="6"/>
        <v/>
      </c>
      <c r="AB3790" s="32" t="str">
        <f t="shared" si="7"/>
        <v/>
      </c>
      <c r="AC3790" s="32" t="str">
        <f t="shared" ref="AC3790:AG3790" si="3913">IF(J3790&lt;&gt;"", IF(AND($P3790=FALSE, $A3790=FALSE), -J3790, IF(AND($P3790=FALSE, $A3790=TRUE), 0, IF($P3790=TRUE, (J3790 / $R3790) * 100 * ($S3790 / 100)-J3790, ))), )</f>
        <v/>
      </c>
      <c r="AD3790" s="32" t="str">
        <f t="shared" si="3913"/>
        <v/>
      </c>
      <c r="AE3790" s="32" t="str">
        <f t="shared" si="3913"/>
        <v/>
      </c>
      <c r="AF3790" s="32" t="str">
        <f t="shared" si="3913"/>
        <v/>
      </c>
      <c r="AG3790" s="32" t="str">
        <f t="shared" si="3913"/>
        <v/>
      </c>
      <c r="AH3790" s="33"/>
    </row>
    <row r="3791" hidden="1" outlineLevel="2">
      <c r="A3791" s="95" t="b">
        <v>0</v>
      </c>
      <c r="B3791" s="96"/>
      <c r="C3791" s="18"/>
      <c r="D3791" s="107"/>
      <c r="E3791" s="108"/>
      <c r="F3791" s="109"/>
      <c r="G3791" s="97"/>
      <c r="H3791" s="97"/>
      <c r="I3791" s="97"/>
      <c r="J3791" s="98"/>
      <c r="K3791" s="99"/>
      <c r="L3791" s="98"/>
      <c r="M3791" s="99"/>
      <c r="N3791" s="99"/>
      <c r="O3791" s="18"/>
      <c r="P3791" s="100" t="b">
        <v>0</v>
      </c>
      <c r="Q3791" s="18"/>
      <c r="R3791" s="101" t="str">
        <f t="shared" si="3377"/>
        <v/>
      </c>
      <c r="S3791" s="32"/>
      <c r="T3791" s="102" t="str">
        <f t="shared" si="3378"/>
        <v/>
      </c>
      <c r="U3791" s="18"/>
      <c r="V3791" s="113">
        <v>1.0</v>
      </c>
      <c r="W3791" s="104" t="str">
        <f t="shared" si="2828"/>
        <v>/</v>
      </c>
      <c r="X3791" s="111" t="s">
        <v>2204</v>
      </c>
      <c r="Y3791" s="106"/>
      <c r="Z3791" s="26" t="str">
        <f t="shared" si="5"/>
        <v/>
      </c>
      <c r="AA3791" s="26" t="str">
        <f t="shared" si="6"/>
        <v/>
      </c>
      <c r="AB3791" s="32" t="str">
        <f t="shared" si="7"/>
        <v/>
      </c>
      <c r="AC3791" s="32" t="str">
        <f t="shared" ref="AC3791:AG3791" si="3914">IF(J3791&lt;&gt;"", IF(AND($P3791=FALSE, $A3791=FALSE), -J3791, IF(AND($P3791=FALSE, $A3791=TRUE), 0, IF($P3791=TRUE, (J3791 / $R3791) * 100 * ($S3791 / 100)-J3791, ))), )</f>
        <v/>
      </c>
      <c r="AD3791" s="32" t="str">
        <f t="shared" si="3914"/>
        <v/>
      </c>
      <c r="AE3791" s="32" t="str">
        <f t="shared" si="3914"/>
        <v/>
      </c>
      <c r="AF3791" s="32" t="str">
        <f t="shared" si="3914"/>
        <v/>
      </c>
      <c r="AG3791" s="32" t="str">
        <f t="shared" si="3914"/>
        <v/>
      </c>
      <c r="AH3791" s="33"/>
    </row>
    <row r="3792" collapsed="1">
      <c r="A3792" s="95" t="b">
        <v>0</v>
      </c>
      <c r="B3792" s="96"/>
      <c r="C3792" s="18"/>
      <c r="D3792" s="42">
        <v>45984.0</v>
      </c>
      <c r="E3792" s="43" t="s">
        <v>24</v>
      </c>
      <c r="F3792" s="53" t="s">
        <v>2203</v>
      </c>
      <c r="G3792" s="97">
        <v>3.0</v>
      </c>
      <c r="H3792" s="97"/>
      <c r="I3792" s="97">
        <v>3.0</v>
      </c>
      <c r="J3792" s="98"/>
      <c r="K3792" s="99"/>
      <c r="L3792" s="98"/>
      <c r="M3792" s="99"/>
      <c r="N3792" s="99"/>
      <c r="O3792" s="18"/>
      <c r="P3792" s="100" t="b">
        <v>0</v>
      </c>
      <c r="Q3792" s="18"/>
      <c r="R3792" s="101">
        <f t="shared" si="3377"/>
        <v>6</v>
      </c>
      <c r="S3792" s="32">
        <v>15.33</v>
      </c>
      <c r="T3792" s="102" t="str">
        <f t="shared" si="3378"/>
        <v>+156</v>
      </c>
      <c r="U3792" s="18"/>
      <c r="V3792" s="103" t="str">
        <f>IF(ISBLANK($D3792), "0",)</f>
        <v/>
      </c>
      <c r="W3792" s="104" t="str">
        <f t="shared" si="2828"/>
        <v/>
      </c>
      <c r="X3792" s="105"/>
      <c r="Y3792" s="106"/>
      <c r="Z3792" s="26">
        <f t="shared" si="5"/>
        <v>-3</v>
      </c>
      <c r="AA3792" s="26">
        <f t="shared" si="6"/>
        <v>-3</v>
      </c>
      <c r="AB3792" s="32" t="str">
        <f t="shared" si="7"/>
        <v/>
      </c>
      <c r="AC3792" s="32" t="str">
        <f t="shared" ref="AC3792:AG3792" si="3915">IF(J3792&lt;&gt;"", IF(AND($P3792=FALSE, $A3792=FALSE), -J3792, IF(AND($P3792=FALSE, $A3792=TRUE), 0, IF($P3792=TRUE, (J3792 / $R3792) * 100 * ($S3792 / 100)-J3792, ))), )</f>
        <v/>
      </c>
      <c r="AD3792" s="32" t="str">
        <f t="shared" si="3915"/>
        <v/>
      </c>
      <c r="AE3792" s="32" t="str">
        <f t="shared" si="3915"/>
        <v/>
      </c>
      <c r="AF3792" s="32" t="str">
        <f t="shared" si="3915"/>
        <v/>
      </c>
      <c r="AG3792" s="32" t="str">
        <f t="shared" si="3915"/>
        <v/>
      </c>
      <c r="AH3792" s="33"/>
    </row>
    <row r="3793" hidden="1" outlineLevel="2">
      <c r="A3793" s="95" t="b">
        <v>0</v>
      </c>
      <c r="B3793" s="96"/>
      <c r="C3793" s="18"/>
      <c r="D3793" s="107"/>
      <c r="E3793" s="108"/>
      <c r="F3793" s="109"/>
      <c r="G3793" s="97"/>
      <c r="H3793" s="97"/>
      <c r="I3793" s="97"/>
      <c r="J3793" s="98"/>
      <c r="K3793" s="99"/>
      <c r="L3793" s="98"/>
      <c r="M3793" s="99"/>
      <c r="N3793" s="99"/>
      <c r="O3793" s="18"/>
      <c r="P3793" s="100" t="b">
        <v>0</v>
      </c>
      <c r="Q3793" s="18"/>
      <c r="R3793" s="101" t="str">
        <f t="shared" si="3377"/>
        <v/>
      </c>
      <c r="S3793" s="32"/>
      <c r="T3793" s="102" t="str">
        <f t="shared" si="3378"/>
        <v/>
      </c>
      <c r="U3793" s="18"/>
      <c r="V3793" s="75" t="s">
        <v>29</v>
      </c>
      <c r="W3793" s="104" t="str">
        <f t="shared" si="2828"/>
        <v>/</v>
      </c>
      <c r="X3793" s="111" t="s">
        <v>2205</v>
      </c>
      <c r="Y3793" s="106"/>
      <c r="Z3793" s="26" t="str">
        <f t="shared" si="5"/>
        <v/>
      </c>
      <c r="AA3793" s="26" t="str">
        <f t="shared" si="6"/>
        <v/>
      </c>
      <c r="AB3793" s="32" t="str">
        <f t="shared" si="7"/>
        <v/>
      </c>
      <c r="AC3793" s="32" t="str">
        <f t="shared" ref="AC3793:AG3793" si="3916">IF(J3793&lt;&gt;"", IF(AND($P3793=FALSE, $A3793=FALSE), -J3793, IF(AND($P3793=FALSE, $A3793=TRUE), 0, IF($P3793=TRUE, (J3793 / $R3793) * 100 * ($S3793 / 100)-J3793, ))), )</f>
        <v/>
      </c>
      <c r="AD3793" s="32" t="str">
        <f t="shared" si="3916"/>
        <v/>
      </c>
      <c r="AE3793" s="32" t="str">
        <f t="shared" si="3916"/>
        <v/>
      </c>
      <c r="AF3793" s="32" t="str">
        <f t="shared" si="3916"/>
        <v/>
      </c>
      <c r="AG3793" s="32" t="str">
        <f t="shared" si="3916"/>
        <v/>
      </c>
      <c r="AH3793" s="33"/>
    </row>
    <row r="3794" hidden="1" outlineLevel="2">
      <c r="A3794" s="95" t="b">
        <v>0</v>
      </c>
      <c r="B3794" s="96"/>
      <c r="C3794" s="18"/>
      <c r="D3794" s="107"/>
      <c r="E3794" s="108"/>
      <c r="F3794" s="109"/>
      <c r="G3794" s="97"/>
      <c r="H3794" s="97"/>
      <c r="I3794" s="97"/>
      <c r="J3794" s="98"/>
      <c r="K3794" s="99"/>
      <c r="L3794" s="98"/>
      <c r="M3794" s="99"/>
      <c r="N3794" s="99"/>
      <c r="O3794" s="18"/>
      <c r="P3794" s="100" t="b">
        <v>0</v>
      </c>
      <c r="Q3794" s="18"/>
      <c r="R3794" s="101" t="str">
        <f t="shared" si="3377"/>
        <v/>
      </c>
      <c r="S3794" s="32"/>
      <c r="T3794" s="102" t="str">
        <f t="shared" si="3378"/>
        <v/>
      </c>
      <c r="U3794" s="18"/>
      <c r="V3794" s="75" t="s">
        <v>29</v>
      </c>
      <c r="W3794" s="104" t="str">
        <f t="shared" si="2828"/>
        <v>/</v>
      </c>
      <c r="X3794" s="111" t="s">
        <v>331</v>
      </c>
      <c r="Y3794" s="106"/>
      <c r="Z3794" s="26" t="str">
        <f t="shared" si="5"/>
        <v/>
      </c>
      <c r="AA3794" s="26" t="str">
        <f t="shared" si="6"/>
        <v/>
      </c>
      <c r="AB3794" s="32" t="str">
        <f t="shared" si="7"/>
        <v/>
      </c>
      <c r="AC3794" s="32" t="str">
        <f t="shared" ref="AC3794:AG3794" si="3917">IF(J3794&lt;&gt;"", IF(AND($P3794=FALSE, $A3794=FALSE), -J3794, IF(AND($P3794=FALSE, $A3794=TRUE), 0, IF($P3794=TRUE, (J3794 / $R3794) * 100 * ($S3794 / 100)-J3794, ))), )</f>
        <v/>
      </c>
      <c r="AD3794" s="32" t="str">
        <f t="shared" si="3917"/>
        <v/>
      </c>
      <c r="AE3794" s="32" t="str">
        <f t="shared" si="3917"/>
        <v/>
      </c>
      <c r="AF3794" s="32" t="str">
        <f t="shared" si="3917"/>
        <v/>
      </c>
      <c r="AG3794" s="32" t="str">
        <f t="shared" si="3917"/>
        <v/>
      </c>
      <c r="AH3794" s="33"/>
    </row>
    <row r="3795" hidden="1" outlineLevel="2">
      <c r="A3795" s="95" t="b">
        <v>0</v>
      </c>
      <c r="B3795" s="96"/>
      <c r="C3795" s="18"/>
      <c r="D3795" s="107"/>
      <c r="E3795" s="108"/>
      <c r="F3795" s="109"/>
      <c r="G3795" s="97"/>
      <c r="H3795" s="97"/>
      <c r="I3795" s="97"/>
      <c r="J3795" s="98"/>
      <c r="K3795" s="99"/>
      <c r="L3795" s="98"/>
      <c r="M3795" s="99"/>
      <c r="N3795" s="99"/>
      <c r="O3795" s="18"/>
      <c r="P3795" s="100" t="b">
        <v>0</v>
      </c>
      <c r="Q3795" s="18"/>
      <c r="R3795" s="101" t="str">
        <f t="shared" si="3377"/>
        <v/>
      </c>
      <c r="S3795" s="32"/>
      <c r="T3795" s="102" t="str">
        <f t="shared" si="3378"/>
        <v/>
      </c>
      <c r="U3795" s="18"/>
      <c r="V3795" s="113">
        <v>181.0</v>
      </c>
      <c r="W3795" s="104" t="str">
        <f t="shared" si="2828"/>
        <v>/</v>
      </c>
      <c r="X3795" s="111" t="s">
        <v>2189</v>
      </c>
      <c r="Y3795" s="106"/>
      <c r="Z3795" s="26" t="str">
        <f t="shared" si="5"/>
        <v/>
      </c>
      <c r="AA3795" s="26" t="str">
        <f t="shared" si="6"/>
        <v/>
      </c>
      <c r="AB3795" s="32" t="str">
        <f t="shared" si="7"/>
        <v/>
      </c>
      <c r="AC3795" s="32" t="str">
        <f t="shared" ref="AC3795:AG3795" si="3918">IF(J3795&lt;&gt;"", IF(AND($P3795=FALSE, $A3795=FALSE), -J3795, IF(AND($P3795=FALSE, $A3795=TRUE), 0, IF($P3795=TRUE, (J3795 / $R3795) * 100 * ($S3795 / 100)-J3795, ))), )</f>
        <v/>
      </c>
      <c r="AD3795" s="32" t="str">
        <f t="shared" si="3918"/>
        <v/>
      </c>
      <c r="AE3795" s="32" t="str">
        <f t="shared" si="3918"/>
        <v/>
      </c>
      <c r="AF3795" s="32" t="str">
        <f t="shared" si="3918"/>
        <v/>
      </c>
      <c r="AG3795" s="32" t="str">
        <f t="shared" si="3918"/>
        <v/>
      </c>
      <c r="AH3795" s="33"/>
    </row>
    <row r="3796" hidden="1" outlineLevel="1" collapsed="1">
      <c r="A3796" s="95" t="b">
        <v>0</v>
      </c>
      <c r="B3796" s="96"/>
      <c r="C3796" s="18"/>
      <c r="D3796" s="42">
        <v>45984.0</v>
      </c>
      <c r="E3796" s="43" t="s">
        <v>24</v>
      </c>
      <c r="F3796" s="53" t="s">
        <v>2203</v>
      </c>
      <c r="G3796" s="97">
        <v>3.0</v>
      </c>
      <c r="H3796" s="97"/>
      <c r="I3796" s="97">
        <v>3.0</v>
      </c>
      <c r="J3796" s="98"/>
      <c r="K3796" s="99"/>
      <c r="L3796" s="98"/>
      <c r="M3796" s="99"/>
      <c r="N3796" s="99"/>
      <c r="O3796" s="18"/>
      <c r="P3796" s="100" t="b">
        <v>0</v>
      </c>
      <c r="Q3796" s="18"/>
      <c r="R3796" s="101">
        <f t="shared" si="3377"/>
        <v>6</v>
      </c>
      <c r="S3796" s="32">
        <v>15.33</v>
      </c>
      <c r="T3796" s="102" t="str">
        <f t="shared" si="3378"/>
        <v>+156</v>
      </c>
      <c r="U3796" s="18"/>
      <c r="V3796" s="103" t="str">
        <f>IF(ISBLANK($D3796), "0",)</f>
        <v/>
      </c>
      <c r="W3796" s="104" t="str">
        <f t="shared" si="2828"/>
        <v/>
      </c>
      <c r="X3796" s="105"/>
      <c r="Y3796" s="106"/>
      <c r="Z3796" s="26">
        <f t="shared" si="5"/>
        <v>-3</v>
      </c>
      <c r="AA3796" s="26">
        <f t="shared" si="6"/>
        <v>-3</v>
      </c>
      <c r="AB3796" s="32" t="str">
        <f t="shared" si="7"/>
        <v/>
      </c>
      <c r="AC3796" s="32" t="str">
        <f t="shared" ref="AC3796:AG3796" si="3919">IF(J3796&lt;&gt;"", IF(AND($P3796=FALSE, $A3796=FALSE), -J3796, IF(AND($P3796=FALSE, $A3796=TRUE), 0, IF($P3796=TRUE, (J3796 / $R3796) * 100 * ($S3796 / 100)-J3796, ))), )</f>
        <v/>
      </c>
      <c r="AD3796" s="32" t="str">
        <f t="shared" si="3919"/>
        <v/>
      </c>
      <c r="AE3796" s="32" t="str">
        <f t="shared" si="3919"/>
        <v/>
      </c>
      <c r="AF3796" s="32" t="str">
        <f t="shared" si="3919"/>
        <v/>
      </c>
      <c r="AG3796" s="32" t="str">
        <f t="shared" si="3919"/>
        <v/>
      </c>
      <c r="AH3796" s="33"/>
    </row>
    <row r="3797" hidden="1" outlineLevel="2">
      <c r="A3797" s="95" t="b">
        <v>0</v>
      </c>
      <c r="B3797" s="96"/>
      <c r="C3797" s="18"/>
      <c r="D3797" s="107"/>
      <c r="E3797" s="108"/>
      <c r="F3797" s="109"/>
      <c r="G3797" s="97"/>
      <c r="H3797" s="97"/>
      <c r="I3797" s="97"/>
      <c r="J3797" s="98"/>
      <c r="K3797" s="99"/>
      <c r="L3797" s="98"/>
      <c r="M3797" s="99"/>
      <c r="N3797" s="99"/>
      <c r="O3797" s="18"/>
      <c r="P3797" s="100" t="b">
        <v>0</v>
      </c>
      <c r="Q3797" s="18"/>
      <c r="R3797" s="101" t="str">
        <f t="shared" si="3377"/>
        <v/>
      </c>
      <c r="S3797" s="32"/>
      <c r="T3797" s="102" t="str">
        <f t="shared" si="3378"/>
        <v/>
      </c>
      <c r="U3797" s="18"/>
      <c r="V3797" s="113">
        <v>2.0</v>
      </c>
      <c r="W3797" s="104" t="str">
        <f t="shared" si="2828"/>
        <v>/</v>
      </c>
      <c r="X3797" s="111" t="s">
        <v>1162</v>
      </c>
      <c r="Y3797" s="106"/>
      <c r="Z3797" s="26" t="str">
        <f t="shared" si="5"/>
        <v/>
      </c>
      <c r="AA3797" s="26" t="str">
        <f t="shared" si="6"/>
        <v/>
      </c>
      <c r="AB3797" s="32" t="str">
        <f t="shared" si="7"/>
        <v/>
      </c>
      <c r="AC3797" s="32" t="str">
        <f t="shared" ref="AC3797:AG3797" si="3920">IF(J3797&lt;&gt;"", IF(AND($P3797=FALSE, $A3797=FALSE), -J3797, IF(AND($P3797=FALSE, $A3797=TRUE), 0, IF($P3797=TRUE, (J3797 / $R3797) * 100 * ($S3797 / 100)-J3797, ))), )</f>
        <v/>
      </c>
      <c r="AD3797" s="32" t="str">
        <f t="shared" si="3920"/>
        <v/>
      </c>
      <c r="AE3797" s="32" t="str">
        <f t="shared" si="3920"/>
        <v/>
      </c>
      <c r="AF3797" s="32" t="str">
        <f t="shared" si="3920"/>
        <v/>
      </c>
      <c r="AG3797" s="32" t="str">
        <f t="shared" si="3920"/>
        <v/>
      </c>
      <c r="AH3797" s="33"/>
    </row>
    <row r="3798" hidden="1" outlineLevel="2">
      <c r="A3798" s="95" t="b">
        <v>0</v>
      </c>
      <c r="B3798" s="96"/>
      <c r="C3798" s="18"/>
      <c r="D3798" s="107"/>
      <c r="E3798" s="108"/>
      <c r="F3798" s="109"/>
      <c r="G3798" s="97"/>
      <c r="H3798" s="97"/>
      <c r="I3798" s="97"/>
      <c r="J3798" s="98"/>
      <c r="K3798" s="99"/>
      <c r="L3798" s="98"/>
      <c r="M3798" s="99"/>
      <c r="N3798" s="99"/>
      <c r="O3798" s="18"/>
      <c r="P3798" s="100" t="b">
        <v>0</v>
      </c>
      <c r="Q3798" s="18"/>
      <c r="R3798" s="101" t="str">
        <f t="shared" si="3377"/>
        <v/>
      </c>
      <c r="S3798" s="32"/>
      <c r="T3798" s="102" t="str">
        <f t="shared" si="3378"/>
        <v/>
      </c>
      <c r="U3798" s="18"/>
      <c r="V3798" s="113">
        <v>4.0</v>
      </c>
      <c r="W3798" s="104" t="str">
        <f t="shared" si="2828"/>
        <v>/</v>
      </c>
      <c r="X3798" s="111" t="s">
        <v>1879</v>
      </c>
      <c r="Y3798" s="106"/>
      <c r="Z3798" s="26" t="str">
        <f t="shared" si="5"/>
        <v/>
      </c>
      <c r="AA3798" s="26" t="str">
        <f t="shared" si="6"/>
        <v/>
      </c>
      <c r="AB3798" s="32" t="str">
        <f t="shared" si="7"/>
        <v/>
      </c>
      <c r="AC3798" s="32" t="str">
        <f t="shared" ref="AC3798:AG3798" si="3921">IF(J3798&lt;&gt;"", IF(AND($P3798=FALSE, $A3798=FALSE), -J3798, IF(AND($P3798=FALSE, $A3798=TRUE), 0, IF($P3798=TRUE, (J3798 / $R3798) * 100 * ($S3798 / 100)-J3798, ))), )</f>
        <v/>
      </c>
      <c r="AD3798" s="32" t="str">
        <f t="shared" si="3921"/>
        <v/>
      </c>
      <c r="AE3798" s="32" t="str">
        <f t="shared" si="3921"/>
        <v/>
      </c>
      <c r="AF3798" s="32" t="str">
        <f t="shared" si="3921"/>
        <v/>
      </c>
      <c r="AG3798" s="32" t="str">
        <f t="shared" si="3921"/>
        <v/>
      </c>
      <c r="AH3798" s="33"/>
    </row>
    <row r="3799" hidden="1" outlineLevel="2">
      <c r="A3799" s="95" t="b">
        <v>0</v>
      </c>
      <c r="B3799" s="96"/>
      <c r="C3799" s="18"/>
      <c r="D3799" s="107"/>
      <c r="E3799" s="108"/>
      <c r="F3799" s="109"/>
      <c r="G3799" s="97"/>
      <c r="H3799" s="97"/>
      <c r="I3799" s="97"/>
      <c r="J3799" s="98"/>
      <c r="K3799" s="99"/>
      <c r="L3799" s="98"/>
      <c r="M3799" s="99"/>
      <c r="N3799" s="99"/>
      <c r="O3799" s="18"/>
      <c r="P3799" s="100" t="b">
        <v>0</v>
      </c>
      <c r="Q3799" s="18"/>
      <c r="R3799" s="101" t="str">
        <f t="shared" si="3377"/>
        <v/>
      </c>
      <c r="S3799" s="32"/>
      <c r="T3799" s="102" t="str">
        <f t="shared" si="3378"/>
        <v/>
      </c>
      <c r="U3799" s="18"/>
      <c r="V3799" s="75" t="s">
        <v>29</v>
      </c>
      <c r="W3799" s="104" t="str">
        <f t="shared" si="2828"/>
        <v>/</v>
      </c>
      <c r="X3799" s="111" t="s">
        <v>2206</v>
      </c>
      <c r="Y3799" s="106"/>
      <c r="Z3799" s="26" t="str">
        <f t="shared" si="5"/>
        <v/>
      </c>
      <c r="AA3799" s="26" t="str">
        <f t="shared" si="6"/>
        <v/>
      </c>
      <c r="AB3799" s="32" t="str">
        <f t="shared" si="7"/>
        <v/>
      </c>
      <c r="AC3799" s="32" t="str">
        <f t="shared" ref="AC3799:AG3799" si="3922">IF(J3799&lt;&gt;"", IF(AND($P3799=FALSE, $A3799=FALSE), -J3799, IF(AND($P3799=FALSE, $A3799=TRUE), 0, IF($P3799=TRUE, (J3799 / $R3799) * 100 * ($S3799 / 100)-J3799, ))), )</f>
        <v/>
      </c>
      <c r="AD3799" s="32" t="str">
        <f t="shared" si="3922"/>
        <v/>
      </c>
      <c r="AE3799" s="32" t="str">
        <f t="shared" si="3922"/>
        <v/>
      </c>
      <c r="AF3799" s="32" t="str">
        <f t="shared" si="3922"/>
        <v/>
      </c>
      <c r="AG3799" s="32" t="str">
        <f t="shared" si="3922"/>
        <v/>
      </c>
      <c r="AH3799" s="33"/>
    </row>
    <row r="3800" hidden="1" outlineLevel="1" collapsed="1">
      <c r="A3800" s="95" t="b">
        <v>0</v>
      </c>
      <c r="B3800" s="96"/>
      <c r="C3800" s="18"/>
      <c r="D3800" s="42">
        <v>45984.0</v>
      </c>
      <c r="E3800" s="43" t="s">
        <v>24</v>
      </c>
      <c r="F3800" s="53" t="s">
        <v>2203</v>
      </c>
      <c r="G3800" s="97">
        <v>1.0</v>
      </c>
      <c r="H3800" s="97"/>
      <c r="I3800" s="97">
        <v>1.0</v>
      </c>
      <c r="J3800" s="98"/>
      <c r="K3800" s="99"/>
      <c r="L3800" s="98"/>
      <c r="M3800" s="99"/>
      <c r="N3800" s="99"/>
      <c r="O3800" s="18"/>
      <c r="P3800" s="100" t="b">
        <v>0</v>
      </c>
      <c r="Q3800" s="18"/>
      <c r="R3800" s="101">
        <f t="shared" si="3377"/>
        <v>2</v>
      </c>
      <c r="S3800" s="32">
        <v>165.59</v>
      </c>
      <c r="T3800" s="102" t="str">
        <f t="shared" si="3378"/>
        <v>+8180</v>
      </c>
      <c r="U3800" s="18"/>
      <c r="V3800" s="103" t="str">
        <f>IF(ISBLANK($D3800), "0",)</f>
        <v/>
      </c>
      <c r="W3800" s="104" t="str">
        <f t="shared" si="2828"/>
        <v/>
      </c>
      <c r="X3800" s="105"/>
      <c r="Y3800" s="106"/>
      <c r="Z3800" s="26">
        <f t="shared" si="5"/>
        <v>-1</v>
      </c>
      <c r="AA3800" s="26">
        <f t="shared" si="6"/>
        <v>-1</v>
      </c>
      <c r="AB3800" s="32" t="str">
        <f t="shared" si="7"/>
        <v/>
      </c>
      <c r="AC3800" s="32" t="str">
        <f t="shared" ref="AC3800:AG3800" si="3923">IF(J3800&lt;&gt;"", IF(AND($P3800=FALSE, $A3800=FALSE), -J3800, IF(AND($P3800=FALSE, $A3800=TRUE), 0, IF($P3800=TRUE, (J3800 / $R3800) * 100 * ($S3800 / 100)-J3800, ))), )</f>
        <v/>
      </c>
      <c r="AD3800" s="32" t="str">
        <f t="shared" si="3923"/>
        <v/>
      </c>
      <c r="AE3800" s="32" t="str">
        <f t="shared" si="3923"/>
        <v/>
      </c>
      <c r="AF3800" s="32" t="str">
        <f t="shared" si="3923"/>
        <v/>
      </c>
      <c r="AG3800" s="32" t="str">
        <f t="shared" si="3923"/>
        <v/>
      </c>
      <c r="AH3800" s="33"/>
    </row>
    <row r="3801" hidden="1" outlineLevel="2">
      <c r="A3801" s="95" t="b">
        <v>0</v>
      </c>
      <c r="B3801" s="96"/>
      <c r="C3801" s="18"/>
      <c r="D3801" s="107"/>
      <c r="E3801" s="108"/>
      <c r="F3801" s="109"/>
      <c r="G3801" s="97"/>
      <c r="H3801" s="97"/>
      <c r="I3801" s="97"/>
      <c r="J3801" s="98"/>
      <c r="K3801" s="99"/>
      <c r="L3801" s="98"/>
      <c r="M3801" s="99"/>
      <c r="N3801" s="99"/>
      <c r="O3801" s="18"/>
      <c r="P3801" s="100" t="b">
        <v>0</v>
      </c>
      <c r="Q3801" s="18"/>
      <c r="R3801" s="101" t="str">
        <f t="shared" si="3377"/>
        <v/>
      </c>
      <c r="S3801" s="32"/>
      <c r="T3801" s="102" t="str">
        <f t="shared" si="3378"/>
        <v/>
      </c>
      <c r="U3801" s="18"/>
      <c r="V3801" s="75" t="s">
        <v>29</v>
      </c>
      <c r="W3801" s="104" t="str">
        <f t="shared" si="2828"/>
        <v>/</v>
      </c>
      <c r="X3801" s="111" t="s">
        <v>2207</v>
      </c>
      <c r="Y3801" s="106"/>
      <c r="Z3801" s="26" t="str">
        <f t="shared" si="5"/>
        <v/>
      </c>
      <c r="AA3801" s="26" t="str">
        <f t="shared" si="6"/>
        <v/>
      </c>
      <c r="AB3801" s="32" t="str">
        <f t="shared" si="7"/>
        <v/>
      </c>
      <c r="AC3801" s="32" t="str">
        <f t="shared" ref="AC3801:AG3801" si="3924">IF(J3801&lt;&gt;"", IF(AND($P3801=FALSE, $A3801=FALSE), -J3801, IF(AND($P3801=FALSE, $A3801=TRUE), 0, IF($P3801=TRUE, (J3801 / $R3801) * 100 * ($S3801 / 100)-J3801, ))), )</f>
        <v/>
      </c>
      <c r="AD3801" s="32" t="str">
        <f t="shared" si="3924"/>
        <v/>
      </c>
      <c r="AE3801" s="32" t="str">
        <f t="shared" si="3924"/>
        <v/>
      </c>
      <c r="AF3801" s="32" t="str">
        <f t="shared" si="3924"/>
        <v/>
      </c>
      <c r="AG3801" s="32" t="str">
        <f t="shared" si="3924"/>
        <v/>
      </c>
      <c r="AH3801" s="33"/>
    </row>
    <row r="3802" hidden="1" outlineLevel="2">
      <c r="A3802" s="95" t="b">
        <v>0</v>
      </c>
      <c r="B3802" s="96"/>
      <c r="C3802" s="18"/>
      <c r="D3802" s="107"/>
      <c r="E3802" s="108"/>
      <c r="F3802" s="109"/>
      <c r="G3802" s="97"/>
      <c r="H3802" s="97"/>
      <c r="I3802" s="97"/>
      <c r="J3802" s="98"/>
      <c r="K3802" s="99"/>
      <c r="L3802" s="98"/>
      <c r="M3802" s="99"/>
      <c r="N3802" s="99"/>
      <c r="O3802" s="18"/>
      <c r="P3802" s="100" t="b">
        <v>0</v>
      </c>
      <c r="Q3802" s="18"/>
      <c r="R3802" s="101" t="str">
        <f t="shared" si="3377"/>
        <v/>
      </c>
      <c r="S3802" s="32"/>
      <c r="T3802" s="102" t="str">
        <f t="shared" si="3378"/>
        <v/>
      </c>
      <c r="U3802" s="18"/>
      <c r="V3802" s="103" t="str">
        <f t="shared" ref="V3802:V3806" si="3926">IF(ISBLANK($D3802), "0",)</f>
        <v>0</v>
      </c>
      <c r="W3802" s="104" t="str">
        <f t="shared" si="2828"/>
        <v>/</v>
      </c>
      <c r="X3802" s="111" t="s">
        <v>379</v>
      </c>
      <c r="Y3802" s="106"/>
      <c r="Z3802" s="26" t="str">
        <f t="shared" si="5"/>
        <v/>
      </c>
      <c r="AA3802" s="26" t="str">
        <f t="shared" si="6"/>
        <v/>
      </c>
      <c r="AB3802" s="32" t="str">
        <f t="shared" si="7"/>
        <v/>
      </c>
      <c r="AC3802" s="32" t="str">
        <f t="shared" ref="AC3802:AG3802" si="3925">IF(J3802&lt;&gt;"", IF(AND($P3802=FALSE, $A3802=FALSE), -J3802, IF(AND($P3802=FALSE, $A3802=TRUE), 0, IF($P3802=TRUE, (J3802 / $R3802) * 100 * ($S3802 / 100)-J3802, ))), )</f>
        <v/>
      </c>
      <c r="AD3802" s="32" t="str">
        <f t="shared" si="3925"/>
        <v/>
      </c>
      <c r="AE3802" s="32" t="str">
        <f t="shared" si="3925"/>
        <v/>
      </c>
      <c r="AF3802" s="32" t="str">
        <f t="shared" si="3925"/>
        <v/>
      </c>
      <c r="AG3802" s="32" t="str">
        <f t="shared" si="3925"/>
        <v/>
      </c>
      <c r="AH3802" s="33"/>
    </row>
    <row r="3803" hidden="1" outlineLevel="2">
      <c r="A3803" s="95" t="b">
        <v>0</v>
      </c>
      <c r="B3803" s="96"/>
      <c r="C3803" s="18"/>
      <c r="D3803" s="107"/>
      <c r="E3803" s="108"/>
      <c r="F3803" s="109"/>
      <c r="G3803" s="97"/>
      <c r="H3803" s="97"/>
      <c r="I3803" s="97"/>
      <c r="J3803" s="98"/>
      <c r="K3803" s="99"/>
      <c r="L3803" s="98"/>
      <c r="M3803" s="99"/>
      <c r="N3803" s="99"/>
      <c r="O3803" s="18"/>
      <c r="P3803" s="100" t="b">
        <v>0</v>
      </c>
      <c r="Q3803" s="18"/>
      <c r="R3803" s="101" t="str">
        <f t="shared" si="3377"/>
        <v/>
      </c>
      <c r="S3803" s="32"/>
      <c r="T3803" s="102" t="str">
        <f t="shared" si="3378"/>
        <v/>
      </c>
      <c r="U3803" s="18"/>
      <c r="V3803" s="103" t="str">
        <f t="shared" si="3926"/>
        <v>0</v>
      </c>
      <c r="W3803" s="104" t="str">
        <f t="shared" si="2828"/>
        <v>/</v>
      </c>
      <c r="X3803" s="111" t="s">
        <v>2208</v>
      </c>
      <c r="Y3803" s="106"/>
      <c r="Z3803" s="26" t="str">
        <f t="shared" si="5"/>
        <v/>
      </c>
      <c r="AA3803" s="26" t="str">
        <f t="shared" si="6"/>
        <v/>
      </c>
      <c r="AB3803" s="32" t="str">
        <f t="shared" si="7"/>
        <v/>
      </c>
      <c r="AC3803" s="32" t="str">
        <f t="shared" ref="AC3803:AG3803" si="3927">IF(J3803&lt;&gt;"", IF(AND($P3803=FALSE, $A3803=FALSE), -J3803, IF(AND($P3803=FALSE, $A3803=TRUE), 0, IF($P3803=TRUE, (J3803 / $R3803) * 100 * ($S3803 / 100)-J3803, ))), )</f>
        <v/>
      </c>
      <c r="AD3803" s="32" t="str">
        <f t="shared" si="3927"/>
        <v/>
      </c>
      <c r="AE3803" s="32" t="str">
        <f t="shared" si="3927"/>
        <v/>
      </c>
      <c r="AF3803" s="32" t="str">
        <f t="shared" si="3927"/>
        <v/>
      </c>
      <c r="AG3803" s="32" t="str">
        <f t="shared" si="3927"/>
        <v/>
      </c>
      <c r="AH3803" s="33"/>
    </row>
    <row r="3804" hidden="1" outlineLevel="2">
      <c r="A3804" s="95" t="b">
        <v>0</v>
      </c>
      <c r="B3804" s="96"/>
      <c r="C3804" s="18"/>
      <c r="D3804" s="107"/>
      <c r="E3804" s="108"/>
      <c r="F3804" s="109"/>
      <c r="G3804" s="97"/>
      <c r="H3804" s="97"/>
      <c r="I3804" s="97"/>
      <c r="J3804" s="98"/>
      <c r="K3804" s="99"/>
      <c r="L3804" s="98"/>
      <c r="M3804" s="99"/>
      <c r="N3804" s="99"/>
      <c r="O3804" s="18"/>
      <c r="P3804" s="100" t="b">
        <v>0</v>
      </c>
      <c r="Q3804" s="18"/>
      <c r="R3804" s="101" t="str">
        <f t="shared" si="3377"/>
        <v/>
      </c>
      <c r="S3804" s="32"/>
      <c r="T3804" s="102" t="str">
        <f t="shared" si="3378"/>
        <v/>
      </c>
      <c r="U3804" s="18"/>
      <c r="V3804" s="103" t="str">
        <f t="shared" si="3926"/>
        <v>0</v>
      </c>
      <c r="W3804" s="104" t="str">
        <f t="shared" si="2828"/>
        <v>/</v>
      </c>
      <c r="X3804" s="111" t="s">
        <v>2209</v>
      </c>
      <c r="Y3804" s="106"/>
      <c r="Z3804" s="26" t="str">
        <f t="shared" si="5"/>
        <v/>
      </c>
      <c r="AA3804" s="26" t="str">
        <f t="shared" si="6"/>
        <v/>
      </c>
      <c r="AB3804" s="32" t="str">
        <f t="shared" si="7"/>
        <v/>
      </c>
      <c r="AC3804" s="32" t="str">
        <f t="shared" ref="AC3804:AG3804" si="3928">IF(J3804&lt;&gt;"", IF(AND($P3804=FALSE, $A3804=FALSE), -J3804, IF(AND($P3804=FALSE, $A3804=TRUE), 0, IF($P3804=TRUE, (J3804 / $R3804) * 100 * ($S3804 / 100)-J3804, ))), )</f>
        <v/>
      </c>
      <c r="AD3804" s="32" t="str">
        <f t="shared" si="3928"/>
        <v/>
      </c>
      <c r="AE3804" s="32" t="str">
        <f t="shared" si="3928"/>
        <v/>
      </c>
      <c r="AF3804" s="32" t="str">
        <f t="shared" si="3928"/>
        <v/>
      </c>
      <c r="AG3804" s="32" t="str">
        <f t="shared" si="3928"/>
        <v/>
      </c>
      <c r="AH3804" s="33"/>
    </row>
    <row r="3805" hidden="1" outlineLevel="2">
      <c r="A3805" s="95" t="b">
        <v>0</v>
      </c>
      <c r="B3805" s="96"/>
      <c r="C3805" s="18"/>
      <c r="D3805" s="107"/>
      <c r="E3805" s="108"/>
      <c r="F3805" s="109"/>
      <c r="G3805" s="97"/>
      <c r="H3805" s="97"/>
      <c r="I3805" s="97"/>
      <c r="J3805" s="98"/>
      <c r="K3805" s="99"/>
      <c r="L3805" s="98"/>
      <c r="M3805" s="99"/>
      <c r="N3805" s="99"/>
      <c r="O3805" s="18"/>
      <c r="P3805" s="100" t="b">
        <v>0</v>
      </c>
      <c r="Q3805" s="18"/>
      <c r="R3805" s="101" t="str">
        <f t="shared" si="3377"/>
        <v/>
      </c>
      <c r="S3805" s="32"/>
      <c r="T3805" s="102" t="str">
        <f t="shared" si="3378"/>
        <v/>
      </c>
      <c r="U3805" s="18"/>
      <c r="V3805" s="103" t="str">
        <f t="shared" si="3926"/>
        <v>0</v>
      </c>
      <c r="W3805" s="104" t="str">
        <f t="shared" si="2828"/>
        <v>/</v>
      </c>
      <c r="X3805" s="111" t="s">
        <v>2210</v>
      </c>
      <c r="Y3805" s="106"/>
      <c r="Z3805" s="26" t="str">
        <f t="shared" si="5"/>
        <v/>
      </c>
      <c r="AA3805" s="26" t="str">
        <f t="shared" si="6"/>
        <v/>
      </c>
      <c r="AB3805" s="32" t="str">
        <f t="shared" si="7"/>
        <v/>
      </c>
      <c r="AC3805" s="32" t="str">
        <f t="shared" ref="AC3805:AG3805" si="3929">IF(J3805&lt;&gt;"", IF(AND($P3805=FALSE, $A3805=FALSE), -J3805, IF(AND($P3805=FALSE, $A3805=TRUE), 0, IF($P3805=TRUE, (J3805 / $R3805) * 100 * ($S3805 / 100)-J3805, ))), )</f>
        <v/>
      </c>
      <c r="AD3805" s="32" t="str">
        <f t="shared" si="3929"/>
        <v/>
      </c>
      <c r="AE3805" s="32" t="str">
        <f t="shared" si="3929"/>
        <v/>
      </c>
      <c r="AF3805" s="32" t="str">
        <f t="shared" si="3929"/>
        <v/>
      </c>
      <c r="AG3805" s="32" t="str">
        <f t="shared" si="3929"/>
        <v/>
      </c>
      <c r="AH3805" s="33"/>
    </row>
    <row r="3806" hidden="1" outlineLevel="1" collapsed="1">
      <c r="A3806" s="95" t="b">
        <v>0</v>
      </c>
      <c r="B3806" s="96"/>
      <c r="C3806" s="18"/>
      <c r="D3806" s="42">
        <v>45984.0</v>
      </c>
      <c r="E3806" s="43" t="s">
        <v>24</v>
      </c>
      <c r="F3806" s="53" t="s">
        <v>2203</v>
      </c>
      <c r="G3806" s="97">
        <v>2.0</v>
      </c>
      <c r="H3806" s="97"/>
      <c r="I3806" s="97"/>
      <c r="J3806" s="98"/>
      <c r="K3806" s="99"/>
      <c r="L3806" s="98"/>
      <c r="M3806" s="99"/>
      <c r="N3806" s="99"/>
      <c r="O3806" s="18"/>
      <c r="P3806" s="100" t="b">
        <v>0</v>
      </c>
      <c r="Q3806" s="18"/>
      <c r="R3806" s="101">
        <f t="shared" si="3377"/>
        <v>2</v>
      </c>
      <c r="S3806" s="32">
        <v>3.75</v>
      </c>
      <c r="T3806" s="102">
        <f t="shared" si="3378"/>
        <v>-114</v>
      </c>
      <c r="U3806" s="18"/>
      <c r="V3806" s="103" t="str">
        <f t="shared" si="3926"/>
        <v/>
      </c>
      <c r="W3806" s="104" t="str">
        <f t="shared" si="2828"/>
        <v/>
      </c>
      <c r="X3806" s="105"/>
      <c r="Y3806" s="106"/>
      <c r="Z3806" s="26">
        <f t="shared" si="5"/>
        <v>-2</v>
      </c>
      <c r="AA3806" s="26" t="str">
        <f t="shared" si="6"/>
        <v/>
      </c>
      <c r="AB3806" s="32" t="str">
        <f t="shared" si="7"/>
        <v/>
      </c>
      <c r="AC3806" s="32" t="str">
        <f t="shared" ref="AC3806:AG3806" si="3930">IF(J3806&lt;&gt;"", IF(AND($P3806=FALSE, $A3806=FALSE), -J3806, IF(AND($P3806=FALSE, $A3806=TRUE), 0, IF($P3806=TRUE, (J3806 / $R3806) * 100 * ($S3806 / 100)-J3806, ))), )</f>
        <v/>
      </c>
      <c r="AD3806" s="32" t="str">
        <f t="shared" si="3930"/>
        <v/>
      </c>
      <c r="AE3806" s="32" t="str">
        <f t="shared" si="3930"/>
        <v/>
      </c>
      <c r="AF3806" s="32" t="str">
        <f t="shared" si="3930"/>
        <v/>
      </c>
      <c r="AG3806" s="32" t="str">
        <f t="shared" si="3930"/>
        <v/>
      </c>
      <c r="AH3806" s="33"/>
    </row>
    <row r="3807" hidden="1" outlineLevel="2">
      <c r="A3807" s="95" t="b">
        <v>0</v>
      </c>
      <c r="B3807" s="96"/>
      <c r="C3807" s="18"/>
      <c r="D3807" s="107"/>
      <c r="E3807" s="108"/>
      <c r="F3807" s="109"/>
      <c r="G3807" s="97"/>
      <c r="H3807" s="97"/>
      <c r="I3807" s="97"/>
      <c r="J3807" s="98"/>
      <c r="K3807" s="99"/>
      <c r="L3807" s="98"/>
      <c r="M3807" s="99"/>
      <c r="N3807" s="99"/>
      <c r="O3807" s="18"/>
      <c r="P3807" s="100" t="b">
        <v>0</v>
      </c>
      <c r="Q3807" s="18"/>
      <c r="R3807" s="101" t="str">
        <f t="shared" si="3377"/>
        <v/>
      </c>
      <c r="S3807" s="32"/>
      <c r="T3807" s="102" t="str">
        <f t="shared" si="3378"/>
        <v/>
      </c>
      <c r="U3807" s="18"/>
      <c r="V3807" s="120">
        <v>-13.0</v>
      </c>
      <c r="W3807" s="104" t="str">
        <f t="shared" si="2828"/>
        <v>/</v>
      </c>
      <c r="X3807" s="111" t="s">
        <v>2211</v>
      </c>
      <c r="Y3807" s="106"/>
      <c r="Z3807" s="26" t="str">
        <f t="shared" si="5"/>
        <v/>
      </c>
      <c r="AA3807" s="26" t="str">
        <f t="shared" si="6"/>
        <v/>
      </c>
      <c r="AB3807" s="32" t="str">
        <f t="shared" si="7"/>
        <v/>
      </c>
      <c r="AC3807" s="32" t="str">
        <f t="shared" ref="AC3807:AG3807" si="3931">IF(J3807&lt;&gt;"", IF(AND($P3807=FALSE, $A3807=FALSE), -J3807, IF(AND($P3807=FALSE, $A3807=TRUE), 0, IF($P3807=TRUE, (J3807 / $R3807) * 100 * ($S3807 / 100)-J3807, ))), )</f>
        <v/>
      </c>
      <c r="AD3807" s="32" t="str">
        <f t="shared" si="3931"/>
        <v/>
      </c>
      <c r="AE3807" s="32" t="str">
        <f t="shared" si="3931"/>
        <v/>
      </c>
      <c r="AF3807" s="32" t="str">
        <f t="shared" si="3931"/>
        <v/>
      </c>
      <c r="AG3807" s="32" t="str">
        <f t="shared" si="3931"/>
        <v/>
      </c>
      <c r="AH3807" s="33"/>
    </row>
    <row r="3808" hidden="1" outlineLevel="1" collapsed="1">
      <c r="A3808" s="95" t="b">
        <v>0</v>
      </c>
      <c r="B3808" s="96"/>
      <c r="C3808" s="18"/>
      <c r="D3808" s="42">
        <v>45984.0</v>
      </c>
      <c r="E3808" s="43" t="s">
        <v>24</v>
      </c>
      <c r="F3808" s="53" t="s">
        <v>2203</v>
      </c>
      <c r="G3808" s="97">
        <v>2.0</v>
      </c>
      <c r="H3808" s="97"/>
      <c r="I3808" s="97"/>
      <c r="J3808" s="98"/>
      <c r="K3808" s="99"/>
      <c r="L3808" s="98"/>
      <c r="M3808" s="99"/>
      <c r="N3808" s="99"/>
      <c r="O3808" s="18"/>
      <c r="P3808" s="100" t="b">
        <v>0</v>
      </c>
      <c r="Q3808" s="18"/>
      <c r="R3808" s="101">
        <f t="shared" si="3377"/>
        <v>2</v>
      </c>
      <c r="S3808" s="32">
        <v>3.74</v>
      </c>
      <c r="T3808" s="102">
        <f t="shared" si="3378"/>
        <v>-115</v>
      </c>
      <c r="U3808" s="18"/>
      <c r="V3808" s="103" t="str">
        <f>IF(ISBLANK($D3808), "0",)</f>
        <v/>
      </c>
      <c r="W3808" s="104" t="str">
        <f t="shared" si="2828"/>
        <v/>
      </c>
      <c r="X3808" s="105"/>
      <c r="Y3808" s="106"/>
      <c r="Z3808" s="26">
        <f t="shared" si="5"/>
        <v>-2</v>
      </c>
      <c r="AA3808" s="26" t="str">
        <f t="shared" si="6"/>
        <v/>
      </c>
      <c r="AB3808" s="32" t="str">
        <f t="shared" si="7"/>
        <v/>
      </c>
      <c r="AC3808" s="32" t="str">
        <f t="shared" ref="AC3808:AG3808" si="3932">IF(J3808&lt;&gt;"", IF(AND($P3808=FALSE, $A3808=FALSE), -J3808, IF(AND($P3808=FALSE, $A3808=TRUE), 0, IF($P3808=TRUE, (J3808 / $R3808) * 100 * ($S3808 / 100)-J3808, ))), )</f>
        <v/>
      </c>
      <c r="AD3808" s="32" t="str">
        <f t="shared" si="3932"/>
        <v/>
      </c>
      <c r="AE3808" s="32" t="str">
        <f t="shared" si="3932"/>
        <v/>
      </c>
      <c r="AF3808" s="32" t="str">
        <f t="shared" si="3932"/>
        <v/>
      </c>
      <c r="AG3808" s="32" t="str">
        <f t="shared" si="3932"/>
        <v/>
      </c>
      <c r="AH3808" s="33"/>
    </row>
    <row r="3809" hidden="1" outlineLevel="2">
      <c r="A3809" s="95" t="b">
        <v>0</v>
      </c>
      <c r="B3809" s="96"/>
      <c r="C3809" s="18"/>
      <c r="D3809" s="107"/>
      <c r="E3809" s="108"/>
      <c r="F3809" s="109"/>
      <c r="G3809" s="97"/>
      <c r="H3809" s="97"/>
      <c r="I3809" s="97"/>
      <c r="J3809" s="98"/>
      <c r="K3809" s="99"/>
      <c r="L3809" s="98"/>
      <c r="M3809" s="99"/>
      <c r="N3809" s="99"/>
      <c r="O3809" s="18"/>
      <c r="P3809" s="100" t="b">
        <v>0</v>
      </c>
      <c r="Q3809" s="18"/>
      <c r="R3809" s="101" t="str">
        <f t="shared" si="3377"/>
        <v/>
      </c>
      <c r="S3809" s="32"/>
      <c r="T3809" s="102" t="str">
        <f t="shared" si="3378"/>
        <v/>
      </c>
      <c r="U3809" s="18"/>
      <c r="V3809" s="113">
        <v>-6.0</v>
      </c>
      <c r="W3809" s="104" t="str">
        <f t="shared" si="2828"/>
        <v>/</v>
      </c>
      <c r="X3809" s="111" t="s">
        <v>2212</v>
      </c>
      <c r="Y3809" s="106"/>
      <c r="Z3809" s="26" t="str">
        <f t="shared" si="5"/>
        <v/>
      </c>
      <c r="AA3809" s="26" t="str">
        <f t="shared" si="6"/>
        <v/>
      </c>
      <c r="AB3809" s="32" t="str">
        <f t="shared" si="7"/>
        <v/>
      </c>
      <c r="AC3809" s="32" t="str">
        <f t="shared" ref="AC3809:AG3809" si="3933">IF(J3809&lt;&gt;"", IF(AND($P3809=FALSE, $A3809=FALSE), -J3809, IF(AND($P3809=FALSE, $A3809=TRUE), 0, IF($P3809=TRUE, (J3809 / $R3809) * 100 * ($S3809 / 100)-J3809, ))), )</f>
        <v/>
      </c>
      <c r="AD3809" s="32" t="str">
        <f t="shared" si="3933"/>
        <v/>
      </c>
      <c r="AE3809" s="32" t="str">
        <f t="shared" si="3933"/>
        <v/>
      </c>
      <c r="AF3809" s="32" t="str">
        <f t="shared" si="3933"/>
        <v/>
      </c>
      <c r="AG3809" s="32" t="str">
        <f t="shared" si="3933"/>
        <v/>
      </c>
      <c r="AH3809" s="33"/>
    </row>
    <row r="3810" hidden="1" outlineLevel="1" collapsed="1">
      <c r="A3810" s="95" t="b">
        <v>0</v>
      </c>
      <c r="B3810" s="96"/>
      <c r="C3810" s="18"/>
      <c r="D3810" s="42">
        <v>45984.0</v>
      </c>
      <c r="E3810" s="43" t="s">
        <v>24</v>
      </c>
      <c r="F3810" s="53" t="s">
        <v>2203</v>
      </c>
      <c r="G3810" s="97">
        <v>2.0</v>
      </c>
      <c r="H3810" s="97"/>
      <c r="I3810" s="97"/>
      <c r="J3810" s="98"/>
      <c r="K3810" s="99"/>
      <c r="L3810" s="98"/>
      <c r="M3810" s="99"/>
      <c r="N3810" s="99"/>
      <c r="O3810" s="18"/>
      <c r="P3810" s="100" t="b">
        <v>0</v>
      </c>
      <c r="Q3810" s="18"/>
      <c r="R3810" s="101">
        <f t="shared" si="3377"/>
        <v>2</v>
      </c>
      <c r="S3810" s="32">
        <v>3.67</v>
      </c>
      <c r="T3810" s="102">
        <f t="shared" si="3378"/>
        <v>-120</v>
      </c>
      <c r="U3810" s="18"/>
      <c r="V3810" s="103" t="str">
        <f>IF(ISBLANK($D3810), "0",)</f>
        <v/>
      </c>
      <c r="W3810" s="104" t="str">
        <f t="shared" si="2828"/>
        <v/>
      </c>
      <c r="X3810" s="105"/>
      <c r="Y3810" s="106"/>
      <c r="Z3810" s="26">
        <f t="shared" si="5"/>
        <v>-2</v>
      </c>
      <c r="AA3810" s="26" t="str">
        <f t="shared" si="6"/>
        <v/>
      </c>
      <c r="AB3810" s="32" t="str">
        <f t="shared" si="7"/>
        <v/>
      </c>
      <c r="AC3810" s="32" t="str">
        <f t="shared" ref="AC3810:AG3810" si="3934">IF(J3810&lt;&gt;"", IF(AND($P3810=FALSE, $A3810=FALSE), -J3810, IF(AND($P3810=FALSE, $A3810=TRUE), 0, IF($P3810=TRUE, (J3810 / $R3810) * 100 * ($S3810 / 100)-J3810, ))), )</f>
        <v/>
      </c>
      <c r="AD3810" s="32" t="str">
        <f t="shared" si="3934"/>
        <v/>
      </c>
      <c r="AE3810" s="32" t="str">
        <f t="shared" si="3934"/>
        <v/>
      </c>
      <c r="AF3810" s="32" t="str">
        <f t="shared" si="3934"/>
        <v/>
      </c>
      <c r="AG3810" s="32" t="str">
        <f t="shared" si="3934"/>
        <v/>
      </c>
      <c r="AH3810" s="33"/>
    </row>
    <row r="3811" hidden="1" outlineLevel="2">
      <c r="A3811" s="95" t="b">
        <v>0</v>
      </c>
      <c r="B3811" s="96"/>
      <c r="C3811" s="18"/>
      <c r="D3811" s="107"/>
      <c r="E3811" s="108"/>
      <c r="F3811" s="109"/>
      <c r="G3811" s="97"/>
      <c r="H3811" s="97"/>
      <c r="I3811" s="97"/>
      <c r="J3811" s="98"/>
      <c r="K3811" s="99"/>
      <c r="L3811" s="98"/>
      <c r="M3811" s="99"/>
      <c r="N3811" s="99"/>
      <c r="O3811" s="18"/>
      <c r="P3811" s="100" t="b">
        <v>0</v>
      </c>
      <c r="Q3811" s="18"/>
      <c r="R3811" s="101" t="str">
        <f t="shared" si="3377"/>
        <v/>
      </c>
      <c r="S3811" s="32"/>
      <c r="T3811" s="102" t="str">
        <f t="shared" si="3378"/>
        <v/>
      </c>
      <c r="U3811" s="18"/>
      <c r="V3811" s="112" t="s">
        <v>1123</v>
      </c>
      <c r="W3811" s="104" t="str">
        <f t="shared" si="2828"/>
        <v>/</v>
      </c>
      <c r="X3811" s="111" t="s">
        <v>2213</v>
      </c>
      <c r="Y3811" s="106"/>
      <c r="Z3811" s="26" t="str">
        <f t="shared" si="5"/>
        <v/>
      </c>
      <c r="AA3811" s="26" t="str">
        <f t="shared" si="6"/>
        <v/>
      </c>
      <c r="AB3811" s="32" t="str">
        <f t="shared" si="7"/>
        <v/>
      </c>
      <c r="AC3811" s="32" t="str">
        <f t="shared" ref="AC3811:AG3811" si="3935">IF(J3811&lt;&gt;"", IF(AND($P3811=FALSE, $A3811=FALSE), -J3811, IF(AND($P3811=FALSE, $A3811=TRUE), 0, IF($P3811=TRUE, (J3811 / $R3811) * 100 * ($S3811 / 100)-J3811, ))), )</f>
        <v/>
      </c>
      <c r="AD3811" s="32" t="str">
        <f t="shared" si="3935"/>
        <v/>
      </c>
      <c r="AE3811" s="32" t="str">
        <f t="shared" si="3935"/>
        <v/>
      </c>
      <c r="AF3811" s="32" t="str">
        <f t="shared" si="3935"/>
        <v/>
      </c>
      <c r="AG3811" s="32" t="str">
        <f t="shared" si="3935"/>
        <v/>
      </c>
      <c r="AH3811" s="33"/>
    </row>
    <row r="3812" hidden="1" outlineLevel="1" collapsed="1">
      <c r="A3812" s="95" t="b">
        <v>0</v>
      </c>
      <c r="B3812" s="96"/>
      <c r="C3812" s="18"/>
      <c r="D3812" s="42">
        <v>45984.0</v>
      </c>
      <c r="E3812" s="43" t="s">
        <v>24</v>
      </c>
      <c r="F3812" s="53" t="s">
        <v>2203</v>
      </c>
      <c r="G3812" s="97">
        <v>2.0</v>
      </c>
      <c r="H3812" s="97"/>
      <c r="I3812" s="97">
        <v>3.0</v>
      </c>
      <c r="J3812" s="98"/>
      <c r="K3812" s="99"/>
      <c r="L3812" s="98"/>
      <c r="M3812" s="99"/>
      <c r="N3812" s="99"/>
      <c r="O3812" s="18"/>
      <c r="P3812" s="100" t="b">
        <v>1</v>
      </c>
      <c r="Q3812" s="18"/>
      <c r="R3812" s="101">
        <f t="shared" si="3377"/>
        <v>5</v>
      </c>
      <c r="S3812" s="32">
        <v>20.37</v>
      </c>
      <c r="T3812" s="102" t="str">
        <f t="shared" si="3378"/>
        <v>+307</v>
      </c>
      <c r="U3812" s="18"/>
      <c r="V3812" s="103" t="str">
        <f>IF(ISBLANK($D3812), "0",)</f>
        <v/>
      </c>
      <c r="W3812" s="104" t="str">
        <f t="shared" si="2828"/>
        <v/>
      </c>
      <c r="X3812" s="105"/>
      <c r="Y3812" s="106"/>
      <c r="Z3812" s="26">
        <f t="shared" si="5"/>
        <v>6.148</v>
      </c>
      <c r="AA3812" s="26">
        <f t="shared" si="6"/>
        <v>9.222</v>
      </c>
      <c r="AB3812" s="32" t="str">
        <f t="shared" si="7"/>
        <v/>
      </c>
      <c r="AC3812" s="32" t="str">
        <f t="shared" ref="AC3812:AG3812" si="3936">IF(J3812&lt;&gt;"", IF(AND($P3812=FALSE, $A3812=FALSE), -J3812, IF(AND($P3812=FALSE, $A3812=TRUE), 0, IF($P3812=TRUE, (J3812 / $R3812) * 100 * ($S3812 / 100)-J3812, ))), )</f>
        <v/>
      </c>
      <c r="AD3812" s="32" t="str">
        <f t="shared" si="3936"/>
        <v/>
      </c>
      <c r="AE3812" s="32" t="str">
        <f t="shared" si="3936"/>
        <v/>
      </c>
      <c r="AF3812" s="32" t="str">
        <f t="shared" si="3936"/>
        <v/>
      </c>
      <c r="AG3812" s="32" t="str">
        <f t="shared" si="3936"/>
        <v/>
      </c>
      <c r="AH3812" s="33"/>
    </row>
    <row r="3813" hidden="1" outlineLevel="2">
      <c r="A3813" s="95" t="b">
        <v>0</v>
      </c>
      <c r="B3813" s="96"/>
      <c r="C3813" s="18"/>
      <c r="D3813" s="107"/>
      <c r="E3813" s="108"/>
      <c r="F3813" s="109"/>
      <c r="G3813" s="97"/>
      <c r="H3813" s="97"/>
      <c r="I3813" s="97"/>
      <c r="J3813" s="98"/>
      <c r="K3813" s="99"/>
      <c r="L3813" s="98"/>
      <c r="M3813" s="99"/>
      <c r="N3813" s="99"/>
      <c r="O3813" s="18"/>
      <c r="P3813" s="100" t="b">
        <v>0</v>
      </c>
      <c r="Q3813" s="18"/>
      <c r="R3813" s="101" t="str">
        <f t="shared" si="3377"/>
        <v/>
      </c>
      <c r="S3813" s="32"/>
      <c r="T3813" s="102" t="str">
        <f t="shared" si="3378"/>
        <v/>
      </c>
      <c r="U3813" s="18"/>
      <c r="V3813" s="75" t="s">
        <v>29</v>
      </c>
      <c r="W3813" s="104" t="str">
        <f t="shared" si="2828"/>
        <v>/</v>
      </c>
      <c r="X3813" s="111" t="s">
        <v>791</v>
      </c>
      <c r="Y3813" s="106"/>
      <c r="Z3813" s="26" t="str">
        <f t="shared" si="5"/>
        <v/>
      </c>
      <c r="AA3813" s="26" t="str">
        <f t="shared" si="6"/>
        <v/>
      </c>
      <c r="AB3813" s="32" t="str">
        <f t="shared" si="7"/>
        <v/>
      </c>
      <c r="AC3813" s="32" t="str">
        <f t="shared" ref="AC3813:AG3813" si="3937">IF(J3813&lt;&gt;"", IF(AND($P3813=FALSE, $A3813=FALSE), -J3813, IF(AND($P3813=FALSE, $A3813=TRUE), 0, IF($P3813=TRUE, (J3813 / $R3813) * 100 * ($S3813 / 100)-J3813, ))), )</f>
        <v/>
      </c>
      <c r="AD3813" s="32" t="str">
        <f t="shared" si="3937"/>
        <v/>
      </c>
      <c r="AE3813" s="32" t="str">
        <f t="shared" si="3937"/>
        <v/>
      </c>
      <c r="AF3813" s="32" t="str">
        <f t="shared" si="3937"/>
        <v/>
      </c>
      <c r="AG3813" s="32" t="str">
        <f t="shared" si="3937"/>
        <v/>
      </c>
      <c r="AH3813" s="33"/>
    </row>
    <row r="3814" hidden="1" outlineLevel="2">
      <c r="A3814" s="95" t="b">
        <v>0</v>
      </c>
      <c r="B3814" s="96"/>
      <c r="C3814" s="18"/>
      <c r="D3814" s="107"/>
      <c r="E3814" s="108"/>
      <c r="F3814" s="109"/>
      <c r="G3814" s="97"/>
      <c r="H3814" s="97"/>
      <c r="I3814" s="97"/>
      <c r="J3814" s="98"/>
      <c r="K3814" s="99"/>
      <c r="L3814" s="98"/>
      <c r="M3814" s="99"/>
      <c r="N3814" s="99"/>
      <c r="O3814" s="18"/>
      <c r="P3814" s="100" t="b">
        <v>0</v>
      </c>
      <c r="Q3814" s="18"/>
      <c r="R3814" s="101" t="str">
        <f t="shared" si="3377"/>
        <v/>
      </c>
      <c r="S3814" s="32"/>
      <c r="T3814" s="102" t="str">
        <f t="shared" si="3378"/>
        <v/>
      </c>
      <c r="U3814" s="18"/>
      <c r="V3814" s="75" t="s">
        <v>29</v>
      </c>
      <c r="W3814" s="104" t="str">
        <f t="shared" si="2828"/>
        <v>/</v>
      </c>
      <c r="X3814" s="111" t="s">
        <v>679</v>
      </c>
      <c r="Y3814" s="106"/>
      <c r="Z3814" s="26" t="str">
        <f t="shared" si="5"/>
        <v/>
      </c>
      <c r="AA3814" s="26" t="str">
        <f t="shared" si="6"/>
        <v/>
      </c>
      <c r="AB3814" s="32" t="str">
        <f t="shared" si="7"/>
        <v/>
      </c>
      <c r="AC3814" s="32" t="str">
        <f t="shared" ref="AC3814:AG3814" si="3938">IF(J3814&lt;&gt;"", IF(AND($P3814=FALSE, $A3814=FALSE), -J3814, IF(AND($P3814=FALSE, $A3814=TRUE), 0, IF($P3814=TRUE, (J3814 / $R3814) * 100 * ($S3814 / 100)-J3814, ))), )</f>
        <v/>
      </c>
      <c r="AD3814" s="32" t="str">
        <f t="shared" si="3938"/>
        <v/>
      </c>
      <c r="AE3814" s="32" t="str">
        <f t="shared" si="3938"/>
        <v/>
      </c>
      <c r="AF3814" s="32" t="str">
        <f t="shared" si="3938"/>
        <v/>
      </c>
      <c r="AG3814" s="32" t="str">
        <f t="shared" si="3938"/>
        <v/>
      </c>
      <c r="AH3814" s="33"/>
    </row>
    <row r="3815" hidden="1" outlineLevel="2">
      <c r="A3815" s="95" t="b">
        <v>0</v>
      </c>
      <c r="B3815" s="96"/>
      <c r="C3815" s="18"/>
      <c r="D3815" s="107"/>
      <c r="E3815" s="108"/>
      <c r="F3815" s="109"/>
      <c r="G3815" s="97"/>
      <c r="H3815" s="97"/>
      <c r="I3815" s="97"/>
      <c r="J3815" s="98"/>
      <c r="K3815" s="99"/>
      <c r="L3815" s="98"/>
      <c r="M3815" s="99"/>
      <c r="N3815" s="99"/>
      <c r="O3815" s="18"/>
      <c r="P3815" s="100" t="b">
        <v>0</v>
      </c>
      <c r="Q3815" s="18"/>
      <c r="R3815" s="101" t="str">
        <f t="shared" si="3377"/>
        <v/>
      </c>
      <c r="S3815" s="32"/>
      <c r="T3815" s="102" t="str">
        <f t="shared" si="3378"/>
        <v/>
      </c>
      <c r="U3815" s="18"/>
      <c r="V3815" s="75" t="s">
        <v>29</v>
      </c>
      <c r="W3815" s="104" t="str">
        <f t="shared" si="2828"/>
        <v>/</v>
      </c>
      <c r="X3815" s="111" t="s">
        <v>685</v>
      </c>
      <c r="Y3815" s="106"/>
      <c r="Z3815" s="26" t="str">
        <f t="shared" si="5"/>
        <v/>
      </c>
      <c r="AA3815" s="26" t="str">
        <f t="shared" si="6"/>
        <v/>
      </c>
      <c r="AB3815" s="32" t="str">
        <f t="shared" si="7"/>
        <v/>
      </c>
      <c r="AC3815" s="32" t="str">
        <f t="shared" ref="AC3815:AG3815" si="3939">IF(J3815&lt;&gt;"", IF(AND($P3815=FALSE, $A3815=FALSE), -J3815, IF(AND($P3815=FALSE, $A3815=TRUE), 0, IF($P3815=TRUE, (J3815 / $R3815) * 100 * ($S3815 / 100)-J3815, ))), )</f>
        <v/>
      </c>
      <c r="AD3815" s="32" t="str">
        <f t="shared" si="3939"/>
        <v/>
      </c>
      <c r="AE3815" s="32" t="str">
        <f t="shared" si="3939"/>
        <v/>
      </c>
      <c r="AF3815" s="32" t="str">
        <f t="shared" si="3939"/>
        <v/>
      </c>
      <c r="AG3815" s="32" t="str">
        <f t="shared" si="3939"/>
        <v/>
      </c>
      <c r="AH3815" s="33"/>
    </row>
    <row r="3816" collapsed="1">
      <c r="A3816" s="95" t="b">
        <v>0</v>
      </c>
      <c r="B3816" s="96"/>
      <c r="C3816" s="18"/>
      <c r="D3816" s="42">
        <v>45984.0</v>
      </c>
      <c r="E3816" s="43" t="s">
        <v>24</v>
      </c>
      <c r="F3816" s="53" t="s">
        <v>2203</v>
      </c>
      <c r="G3816" s="97">
        <v>3.0</v>
      </c>
      <c r="H3816" s="97"/>
      <c r="I3816" s="97">
        <v>3.0</v>
      </c>
      <c r="J3816" s="98"/>
      <c r="K3816" s="99"/>
      <c r="L3816" s="98"/>
      <c r="M3816" s="99"/>
      <c r="N3816" s="99"/>
      <c r="O3816" s="18"/>
      <c r="P3816" s="100" t="b">
        <v>0</v>
      </c>
      <c r="Q3816" s="18"/>
      <c r="R3816" s="101">
        <f t="shared" si="3377"/>
        <v>6</v>
      </c>
      <c r="S3816" s="32">
        <v>19.54</v>
      </c>
      <c r="T3816" s="102" t="str">
        <f t="shared" si="3378"/>
        <v>+226</v>
      </c>
      <c r="U3816" s="18"/>
      <c r="V3816" s="103" t="str">
        <f>IF(ISBLANK($D3816), "0",)</f>
        <v/>
      </c>
      <c r="W3816" s="104" t="str">
        <f t="shared" si="2828"/>
        <v/>
      </c>
      <c r="X3816" s="105"/>
      <c r="Y3816" s="106"/>
      <c r="Z3816" s="26">
        <f t="shared" si="5"/>
        <v>-3</v>
      </c>
      <c r="AA3816" s="26">
        <f t="shared" si="6"/>
        <v>-3</v>
      </c>
      <c r="AB3816" s="32" t="str">
        <f t="shared" si="7"/>
        <v/>
      </c>
      <c r="AC3816" s="32" t="str">
        <f t="shared" ref="AC3816:AG3816" si="3940">IF(J3816&lt;&gt;"", IF(AND($P3816=FALSE, $A3816=FALSE), -J3816, IF(AND($P3816=FALSE, $A3816=TRUE), 0, IF($P3816=TRUE, (J3816 / $R3816) * 100 * ($S3816 / 100)-J3816, ))), )</f>
        <v/>
      </c>
      <c r="AD3816" s="32" t="str">
        <f t="shared" si="3940"/>
        <v/>
      </c>
      <c r="AE3816" s="32" t="str">
        <f t="shared" si="3940"/>
        <v/>
      </c>
      <c r="AF3816" s="32" t="str">
        <f t="shared" si="3940"/>
        <v/>
      </c>
      <c r="AG3816" s="32" t="str">
        <f t="shared" si="3940"/>
        <v/>
      </c>
      <c r="AH3816" s="33"/>
    </row>
    <row r="3817" hidden="1" outlineLevel="2">
      <c r="A3817" s="95" t="b">
        <v>0</v>
      </c>
      <c r="B3817" s="96"/>
      <c r="C3817" s="18"/>
      <c r="D3817" s="107"/>
      <c r="E3817" s="108"/>
      <c r="F3817" s="109"/>
      <c r="G3817" s="97"/>
      <c r="H3817" s="97"/>
      <c r="I3817" s="97"/>
      <c r="J3817" s="98"/>
      <c r="K3817" s="99"/>
      <c r="L3817" s="98"/>
      <c r="M3817" s="99"/>
      <c r="N3817" s="99"/>
      <c r="O3817" s="18"/>
      <c r="P3817" s="100" t="b">
        <v>0</v>
      </c>
      <c r="Q3817" s="18"/>
      <c r="R3817" s="101" t="str">
        <f t="shared" si="3377"/>
        <v/>
      </c>
      <c r="S3817" s="32"/>
      <c r="T3817" s="102" t="str">
        <f t="shared" si="3378"/>
        <v/>
      </c>
      <c r="U3817" s="18"/>
      <c r="V3817" s="113">
        <v>192.0</v>
      </c>
      <c r="W3817" s="104" t="str">
        <f t="shared" si="2828"/>
        <v>/</v>
      </c>
      <c r="X3817" s="111" t="s">
        <v>312</v>
      </c>
      <c r="Y3817" s="106"/>
      <c r="Z3817" s="26" t="str">
        <f t="shared" si="5"/>
        <v/>
      </c>
      <c r="AA3817" s="26" t="str">
        <f t="shared" si="6"/>
        <v/>
      </c>
      <c r="AB3817" s="32" t="str">
        <f t="shared" si="7"/>
        <v/>
      </c>
      <c r="AC3817" s="32" t="str">
        <f t="shared" ref="AC3817:AG3817" si="3941">IF(J3817&lt;&gt;"", IF(AND($P3817=FALSE, $A3817=FALSE), -J3817, IF(AND($P3817=FALSE, $A3817=TRUE), 0, IF($P3817=TRUE, (J3817 / $R3817) * 100 * ($S3817 / 100)-J3817, ))), )</f>
        <v/>
      </c>
      <c r="AD3817" s="32" t="str">
        <f t="shared" si="3941"/>
        <v/>
      </c>
      <c r="AE3817" s="32" t="str">
        <f t="shared" si="3941"/>
        <v/>
      </c>
      <c r="AF3817" s="32" t="str">
        <f t="shared" si="3941"/>
        <v/>
      </c>
      <c r="AG3817" s="32" t="str">
        <f t="shared" si="3941"/>
        <v/>
      </c>
      <c r="AH3817" s="33"/>
    </row>
    <row r="3818" hidden="1" outlineLevel="2">
      <c r="A3818" s="95" t="b">
        <v>0</v>
      </c>
      <c r="B3818" s="96"/>
      <c r="C3818" s="18"/>
      <c r="D3818" s="107"/>
      <c r="E3818" s="108"/>
      <c r="F3818" s="109"/>
      <c r="G3818" s="97"/>
      <c r="H3818" s="97"/>
      <c r="I3818" s="97"/>
      <c r="J3818" s="98"/>
      <c r="K3818" s="99"/>
      <c r="L3818" s="98"/>
      <c r="M3818" s="99"/>
      <c r="N3818" s="99"/>
      <c r="O3818" s="18"/>
      <c r="P3818" s="100" t="b">
        <v>0</v>
      </c>
      <c r="Q3818" s="18"/>
      <c r="R3818" s="101" t="str">
        <f t="shared" si="3377"/>
        <v/>
      </c>
      <c r="S3818" s="32"/>
      <c r="T3818" s="102" t="str">
        <f t="shared" si="3378"/>
        <v/>
      </c>
      <c r="U3818" s="18"/>
      <c r="V3818" s="75" t="s">
        <v>29</v>
      </c>
      <c r="W3818" s="104" t="str">
        <f t="shared" si="2828"/>
        <v>/</v>
      </c>
      <c r="X3818" s="111" t="s">
        <v>1205</v>
      </c>
      <c r="Y3818" s="106"/>
      <c r="Z3818" s="26" t="str">
        <f t="shared" si="5"/>
        <v/>
      </c>
      <c r="AA3818" s="26" t="str">
        <f t="shared" si="6"/>
        <v/>
      </c>
      <c r="AB3818" s="32" t="str">
        <f t="shared" si="7"/>
        <v/>
      </c>
      <c r="AC3818" s="32" t="str">
        <f t="shared" ref="AC3818:AG3818" si="3942">IF(J3818&lt;&gt;"", IF(AND($P3818=FALSE, $A3818=FALSE), -J3818, IF(AND($P3818=FALSE, $A3818=TRUE), 0, IF($P3818=TRUE, (J3818 / $R3818) * 100 * ($S3818 / 100)-J3818, ))), )</f>
        <v/>
      </c>
      <c r="AD3818" s="32" t="str">
        <f t="shared" si="3942"/>
        <v/>
      </c>
      <c r="AE3818" s="32" t="str">
        <f t="shared" si="3942"/>
        <v/>
      </c>
      <c r="AF3818" s="32" t="str">
        <f t="shared" si="3942"/>
        <v/>
      </c>
      <c r="AG3818" s="32" t="str">
        <f t="shared" si="3942"/>
        <v/>
      </c>
      <c r="AH3818" s="33"/>
    </row>
    <row r="3819" hidden="1" outlineLevel="2">
      <c r="A3819" s="95" t="b">
        <v>0</v>
      </c>
      <c r="B3819" s="96"/>
      <c r="C3819" s="18"/>
      <c r="D3819" s="107"/>
      <c r="E3819" s="108"/>
      <c r="F3819" s="109"/>
      <c r="G3819" s="97"/>
      <c r="H3819" s="97"/>
      <c r="I3819" s="97"/>
      <c r="J3819" s="98"/>
      <c r="K3819" s="99"/>
      <c r="L3819" s="98"/>
      <c r="M3819" s="99"/>
      <c r="N3819" s="99"/>
      <c r="O3819" s="18"/>
      <c r="P3819" s="100" t="b">
        <v>0</v>
      </c>
      <c r="Q3819" s="18"/>
      <c r="R3819" s="101" t="str">
        <f t="shared" si="3377"/>
        <v/>
      </c>
      <c r="S3819" s="32"/>
      <c r="T3819" s="102" t="str">
        <f t="shared" si="3378"/>
        <v/>
      </c>
      <c r="U3819" s="18"/>
      <c r="V3819" s="113">
        <v>2.0</v>
      </c>
      <c r="W3819" s="104" t="str">
        <f t="shared" si="2828"/>
        <v>/</v>
      </c>
      <c r="X3819" s="111" t="s">
        <v>2214</v>
      </c>
      <c r="Y3819" s="106"/>
      <c r="Z3819" s="26" t="str">
        <f t="shared" si="5"/>
        <v/>
      </c>
      <c r="AA3819" s="26" t="str">
        <f t="shared" si="6"/>
        <v/>
      </c>
      <c r="AB3819" s="32" t="str">
        <f t="shared" si="7"/>
        <v/>
      </c>
      <c r="AC3819" s="32" t="str">
        <f t="shared" ref="AC3819:AG3819" si="3943">IF(J3819&lt;&gt;"", IF(AND($P3819=FALSE, $A3819=FALSE), -J3819, IF(AND($P3819=FALSE, $A3819=TRUE), 0, IF($P3819=TRUE, (J3819 / $R3819) * 100 * ($S3819 / 100)-J3819, ))), )</f>
        <v/>
      </c>
      <c r="AD3819" s="32" t="str">
        <f t="shared" si="3943"/>
        <v/>
      </c>
      <c r="AE3819" s="32" t="str">
        <f t="shared" si="3943"/>
        <v/>
      </c>
      <c r="AF3819" s="32" t="str">
        <f t="shared" si="3943"/>
        <v/>
      </c>
      <c r="AG3819" s="32" t="str">
        <f t="shared" si="3943"/>
        <v/>
      </c>
      <c r="AH3819" s="33"/>
    </row>
    <row r="3820" hidden="1" outlineLevel="1" collapsed="1">
      <c r="A3820" s="95" t="b">
        <v>0</v>
      </c>
      <c r="B3820" s="96"/>
      <c r="C3820" s="18"/>
      <c r="D3820" s="42">
        <v>45984.0</v>
      </c>
      <c r="E3820" s="43" t="s">
        <v>24</v>
      </c>
      <c r="F3820" s="53" t="s">
        <v>2203</v>
      </c>
      <c r="G3820" s="97">
        <v>2.0</v>
      </c>
      <c r="H3820" s="97"/>
      <c r="I3820" s="97">
        <v>3.0</v>
      </c>
      <c r="J3820" s="98"/>
      <c r="K3820" s="99"/>
      <c r="L3820" s="98"/>
      <c r="M3820" s="99"/>
      <c r="N3820" s="99"/>
      <c r="O3820" s="18"/>
      <c r="P3820" s="100" t="b">
        <v>0</v>
      </c>
      <c r="Q3820" s="18"/>
      <c r="R3820" s="101">
        <f t="shared" si="3377"/>
        <v>5</v>
      </c>
      <c r="S3820" s="32">
        <v>11.25</v>
      </c>
      <c r="T3820" s="102" t="str">
        <f t="shared" si="3378"/>
        <v>+125</v>
      </c>
      <c r="U3820" s="18"/>
      <c r="V3820" s="103" t="str">
        <f t="shared" ref="V3820:V3826" si="3945">IF(ISBLANK($D3820), "0",)</f>
        <v/>
      </c>
      <c r="W3820" s="104" t="str">
        <f t="shared" si="2828"/>
        <v/>
      </c>
      <c r="X3820" s="105"/>
      <c r="Y3820" s="106"/>
      <c r="Z3820" s="26">
        <f t="shared" si="5"/>
        <v>-2</v>
      </c>
      <c r="AA3820" s="26">
        <f t="shared" si="6"/>
        <v>-3</v>
      </c>
      <c r="AB3820" s="32" t="str">
        <f t="shared" si="7"/>
        <v/>
      </c>
      <c r="AC3820" s="32" t="str">
        <f t="shared" ref="AC3820:AG3820" si="3944">IF(J3820&lt;&gt;"", IF(AND($P3820=FALSE, $A3820=FALSE), -J3820, IF(AND($P3820=FALSE, $A3820=TRUE), 0, IF($P3820=TRUE, (J3820 / $R3820) * 100 * ($S3820 / 100)-J3820, ))), )</f>
        <v/>
      </c>
      <c r="AD3820" s="32" t="str">
        <f t="shared" si="3944"/>
        <v/>
      </c>
      <c r="AE3820" s="32" t="str">
        <f t="shared" si="3944"/>
        <v/>
      </c>
      <c r="AF3820" s="32" t="str">
        <f t="shared" si="3944"/>
        <v/>
      </c>
      <c r="AG3820" s="32" t="str">
        <f t="shared" si="3944"/>
        <v/>
      </c>
      <c r="AH3820" s="33"/>
    </row>
    <row r="3821" hidden="1" outlineLevel="2">
      <c r="A3821" s="95" t="b">
        <v>0</v>
      </c>
      <c r="B3821" s="96"/>
      <c r="C3821" s="18"/>
      <c r="D3821" s="107"/>
      <c r="E3821" s="108"/>
      <c r="F3821" s="109"/>
      <c r="G3821" s="97"/>
      <c r="H3821" s="97"/>
      <c r="I3821" s="97"/>
      <c r="J3821" s="98"/>
      <c r="K3821" s="99"/>
      <c r="L3821" s="98"/>
      <c r="M3821" s="99"/>
      <c r="N3821" s="99"/>
      <c r="O3821" s="18"/>
      <c r="P3821" s="100" t="b">
        <v>0</v>
      </c>
      <c r="Q3821" s="18"/>
      <c r="R3821" s="101" t="str">
        <f t="shared" si="3377"/>
        <v/>
      </c>
      <c r="S3821" s="32"/>
      <c r="T3821" s="102" t="str">
        <f t="shared" si="3378"/>
        <v/>
      </c>
      <c r="U3821" s="18"/>
      <c r="V3821" s="103" t="str">
        <f t="shared" si="3945"/>
        <v>0</v>
      </c>
      <c r="W3821" s="104" t="str">
        <f t="shared" si="2828"/>
        <v>/</v>
      </c>
      <c r="X3821" s="111" t="s">
        <v>1732</v>
      </c>
      <c r="Y3821" s="106"/>
      <c r="Z3821" s="26" t="str">
        <f t="shared" si="5"/>
        <v/>
      </c>
      <c r="AA3821" s="26" t="str">
        <f t="shared" si="6"/>
        <v/>
      </c>
      <c r="AB3821" s="32" t="str">
        <f t="shared" si="7"/>
        <v/>
      </c>
      <c r="AC3821" s="32" t="str">
        <f t="shared" ref="AC3821:AG3821" si="3946">IF(J3821&lt;&gt;"", IF(AND($P3821=FALSE, $A3821=FALSE), -J3821, IF(AND($P3821=FALSE, $A3821=TRUE), 0, IF($P3821=TRUE, (J3821 / $R3821) * 100 * ($S3821 / 100)-J3821, ))), )</f>
        <v/>
      </c>
      <c r="AD3821" s="32" t="str">
        <f t="shared" si="3946"/>
        <v/>
      </c>
      <c r="AE3821" s="32" t="str">
        <f t="shared" si="3946"/>
        <v/>
      </c>
      <c r="AF3821" s="32" t="str">
        <f t="shared" si="3946"/>
        <v/>
      </c>
      <c r="AG3821" s="32" t="str">
        <f t="shared" si="3946"/>
        <v/>
      </c>
      <c r="AH3821" s="33"/>
    </row>
    <row r="3822" hidden="1" outlineLevel="1" collapsed="1">
      <c r="A3822" s="95" t="b">
        <v>0</v>
      </c>
      <c r="B3822" s="96"/>
      <c r="C3822" s="18"/>
      <c r="D3822" s="42">
        <v>45984.0</v>
      </c>
      <c r="E3822" s="43" t="s">
        <v>24</v>
      </c>
      <c r="F3822" s="53" t="s">
        <v>2203</v>
      </c>
      <c r="G3822" s="97">
        <v>0.5</v>
      </c>
      <c r="H3822" s="97"/>
      <c r="I3822" s="97">
        <v>0.5</v>
      </c>
      <c r="J3822" s="98"/>
      <c r="K3822" s="99"/>
      <c r="L3822" s="98"/>
      <c r="M3822" s="99"/>
      <c r="N3822" s="99"/>
      <c r="O3822" s="18"/>
      <c r="P3822" s="100" t="b">
        <v>0</v>
      </c>
      <c r="Q3822" s="18"/>
      <c r="R3822" s="101">
        <f t="shared" si="3377"/>
        <v>1</v>
      </c>
      <c r="S3822" s="32">
        <v>251.0</v>
      </c>
      <c r="T3822" s="102" t="str">
        <f t="shared" si="3378"/>
        <v>+25000</v>
      </c>
      <c r="U3822" s="18"/>
      <c r="V3822" s="103" t="str">
        <f t="shared" si="3945"/>
        <v/>
      </c>
      <c r="W3822" s="104" t="str">
        <f t="shared" si="2828"/>
        <v/>
      </c>
      <c r="X3822" s="105"/>
      <c r="Y3822" s="106"/>
      <c r="Z3822" s="26">
        <f t="shared" si="5"/>
        <v>-0.5</v>
      </c>
      <c r="AA3822" s="26">
        <f t="shared" si="6"/>
        <v>-0.5</v>
      </c>
      <c r="AB3822" s="32" t="str">
        <f t="shared" si="7"/>
        <v/>
      </c>
      <c r="AC3822" s="32" t="str">
        <f t="shared" ref="AC3822:AG3822" si="3947">IF(J3822&lt;&gt;"", IF(AND($P3822=FALSE, $A3822=FALSE), -J3822, IF(AND($P3822=FALSE, $A3822=TRUE), 0, IF($P3822=TRUE, (J3822 / $R3822) * 100 * ($S3822 / 100)-J3822, ))), )</f>
        <v/>
      </c>
      <c r="AD3822" s="32" t="str">
        <f t="shared" si="3947"/>
        <v/>
      </c>
      <c r="AE3822" s="32" t="str">
        <f t="shared" si="3947"/>
        <v/>
      </c>
      <c r="AF3822" s="32" t="str">
        <f t="shared" si="3947"/>
        <v/>
      </c>
      <c r="AG3822" s="32" t="str">
        <f t="shared" si="3947"/>
        <v/>
      </c>
      <c r="AH3822" s="33"/>
    </row>
    <row r="3823" hidden="1" outlineLevel="2">
      <c r="A3823" s="95" t="b">
        <v>0</v>
      </c>
      <c r="B3823" s="96"/>
      <c r="C3823" s="18"/>
      <c r="D3823" s="107"/>
      <c r="E3823" s="108"/>
      <c r="F3823" s="109"/>
      <c r="G3823" s="97"/>
      <c r="H3823" s="97"/>
      <c r="I3823" s="97"/>
      <c r="J3823" s="98"/>
      <c r="K3823" s="99"/>
      <c r="L3823" s="98"/>
      <c r="M3823" s="99"/>
      <c r="N3823" s="99"/>
      <c r="O3823" s="18"/>
      <c r="P3823" s="100" t="b">
        <v>0</v>
      </c>
      <c r="Q3823" s="18"/>
      <c r="R3823" s="101" t="str">
        <f t="shared" si="3377"/>
        <v/>
      </c>
      <c r="S3823" s="32"/>
      <c r="T3823" s="102" t="str">
        <f t="shared" si="3378"/>
        <v/>
      </c>
      <c r="U3823" s="18"/>
      <c r="V3823" s="103" t="str">
        <f t="shared" si="3945"/>
        <v>0</v>
      </c>
      <c r="W3823" s="104" t="str">
        <f t="shared" si="2828"/>
        <v>/</v>
      </c>
      <c r="X3823" s="111" t="s">
        <v>2215</v>
      </c>
      <c r="Y3823" s="106"/>
      <c r="Z3823" s="26" t="str">
        <f t="shared" si="5"/>
        <v/>
      </c>
      <c r="AA3823" s="26" t="str">
        <f t="shared" si="6"/>
        <v/>
      </c>
      <c r="AB3823" s="32" t="str">
        <f t="shared" si="7"/>
        <v/>
      </c>
      <c r="AC3823" s="32" t="str">
        <f t="shared" ref="AC3823:AG3823" si="3948">IF(J3823&lt;&gt;"", IF(AND($P3823=FALSE, $A3823=FALSE), -J3823, IF(AND($P3823=FALSE, $A3823=TRUE), 0, IF($P3823=TRUE, (J3823 / $R3823) * 100 * ($S3823 / 100)-J3823, ))), )</f>
        <v/>
      </c>
      <c r="AD3823" s="32" t="str">
        <f t="shared" si="3948"/>
        <v/>
      </c>
      <c r="AE3823" s="32" t="str">
        <f t="shared" si="3948"/>
        <v/>
      </c>
      <c r="AF3823" s="32" t="str">
        <f t="shared" si="3948"/>
        <v/>
      </c>
      <c r="AG3823" s="32" t="str">
        <f t="shared" si="3948"/>
        <v/>
      </c>
      <c r="AH3823" s="33"/>
    </row>
    <row r="3824" hidden="1" outlineLevel="1">
      <c r="A3824" s="95" t="b">
        <v>0</v>
      </c>
      <c r="B3824" s="96"/>
      <c r="C3824" s="18"/>
      <c r="D3824" s="42">
        <v>45984.0</v>
      </c>
      <c r="E3824" s="43" t="s">
        <v>24</v>
      </c>
      <c r="F3824" s="53" t="s">
        <v>2203</v>
      </c>
      <c r="G3824" s="97">
        <v>1.0</v>
      </c>
      <c r="H3824" s="97"/>
      <c r="I3824" s="97">
        <v>1.0</v>
      </c>
      <c r="J3824" s="98"/>
      <c r="K3824" s="99"/>
      <c r="L3824" s="98"/>
      <c r="M3824" s="99"/>
      <c r="N3824" s="99"/>
      <c r="O3824" s="18"/>
      <c r="P3824" s="100" t="b">
        <v>1</v>
      </c>
      <c r="Q3824" s="18"/>
      <c r="R3824" s="101">
        <f t="shared" si="3377"/>
        <v>2</v>
      </c>
      <c r="S3824" s="32">
        <v>5.0</v>
      </c>
      <c r="T3824" s="102" t="str">
        <f t="shared" si="3378"/>
        <v>+150</v>
      </c>
      <c r="U3824" s="18"/>
      <c r="V3824" s="103" t="str">
        <f t="shared" si="3945"/>
        <v/>
      </c>
      <c r="W3824" s="104" t="str">
        <f t="shared" si="2828"/>
        <v/>
      </c>
      <c r="X3824" s="105"/>
      <c r="Y3824" s="106"/>
      <c r="Z3824" s="26">
        <f t="shared" si="5"/>
        <v>1.5</v>
      </c>
      <c r="AA3824" s="26">
        <f t="shared" si="6"/>
        <v>1.5</v>
      </c>
      <c r="AB3824" s="32" t="str">
        <f t="shared" si="7"/>
        <v/>
      </c>
      <c r="AC3824" s="32" t="str">
        <f t="shared" ref="AC3824:AG3824" si="3949">IF(J3824&lt;&gt;"", IF(AND($P3824=FALSE, $A3824=FALSE), -J3824, IF(AND($P3824=FALSE, $A3824=TRUE), 0, IF($P3824=TRUE, (J3824 / $R3824) * 100 * ($S3824 / 100)-J3824, ))), )</f>
        <v/>
      </c>
      <c r="AD3824" s="32" t="str">
        <f t="shared" si="3949"/>
        <v/>
      </c>
      <c r="AE3824" s="32" t="str">
        <f t="shared" si="3949"/>
        <v/>
      </c>
      <c r="AF3824" s="32" t="str">
        <f t="shared" si="3949"/>
        <v/>
      </c>
      <c r="AG3824" s="32" t="str">
        <f t="shared" si="3949"/>
        <v/>
      </c>
      <c r="AH3824" s="33"/>
    </row>
    <row r="3825" hidden="1" outlineLevel="2">
      <c r="A3825" s="95" t="b">
        <v>0</v>
      </c>
      <c r="B3825" s="96"/>
      <c r="C3825" s="18"/>
      <c r="D3825" s="107"/>
      <c r="E3825" s="108"/>
      <c r="F3825" s="109"/>
      <c r="G3825" s="97"/>
      <c r="H3825" s="97"/>
      <c r="I3825" s="97"/>
      <c r="J3825" s="98"/>
      <c r="K3825" s="99"/>
      <c r="L3825" s="98"/>
      <c r="M3825" s="99"/>
      <c r="N3825" s="99"/>
      <c r="O3825" s="18"/>
      <c r="P3825" s="100" t="b">
        <v>0</v>
      </c>
      <c r="Q3825" s="18"/>
      <c r="R3825" s="101" t="str">
        <f t="shared" si="3377"/>
        <v/>
      </c>
      <c r="S3825" s="32"/>
      <c r="T3825" s="102" t="str">
        <f t="shared" si="3378"/>
        <v/>
      </c>
      <c r="U3825" s="18"/>
      <c r="V3825" s="103" t="str">
        <f t="shared" si="3945"/>
        <v>0</v>
      </c>
      <c r="W3825" s="104" t="str">
        <f t="shared" si="2828"/>
        <v>/</v>
      </c>
      <c r="X3825" s="111" t="s">
        <v>2216</v>
      </c>
      <c r="Y3825" s="106"/>
      <c r="Z3825" s="26" t="str">
        <f t="shared" si="5"/>
        <v/>
      </c>
      <c r="AA3825" s="26" t="str">
        <f t="shared" si="6"/>
        <v/>
      </c>
      <c r="AB3825" s="32" t="str">
        <f t="shared" si="7"/>
        <v/>
      </c>
      <c r="AC3825" s="32" t="str">
        <f t="shared" ref="AC3825:AG3825" si="3950">IF(J3825&lt;&gt;"", IF(AND($P3825=FALSE, $A3825=FALSE), -J3825, IF(AND($P3825=FALSE, $A3825=TRUE), 0, IF($P3825=TRUE, (J3825 / $R3825) * 100 * ($S3825 / 100)-J3825, ))), )</f>
        <v/>
      </c>
      <c r="AD3825" s="32" t="str">
        <f t="shared" si="3950"/>
        <v/>
      </c>
      <c r="AE3825" s="32" t="str">
        <f t="shared" si="3950"/>
        <v/>
      </c>
      <c r="AF3825" s="32" t="str">
        <f t="shared" si="3950"/>
        <v/>
      </c>
      <c r="AG3825" s="32" t="str">
        <f t="shared" si="3950"/>
        <v/>
      </c>
      <c r="AH3825" s="33"/>
    </row>
    <row r="3826" collapsed="1">
      <c r="A3826" s="95" t="b">
        <v>0</v>
      </c>
      <c r="B3826" s="96"/>
      <c r="C3826" s="18"/>
      <c r="D3826" s="42">
        <v>45984.0</v>
      </c>
      <c r="E3826" s="43" t="s">
        <v>24</v>
      </c>
      <c r="F3826" s="53" t="s">
        <v>2203</v>
      </c>
      <c r="G3826" s="97">
        <v>2.0</v>
      </c>
      <c r="H3826" s="97"/>
      <c r="I3826" s="97">
        <v>5.0</v>
      </c>
      <c r="J3826" s="98"/>
      <c r="K3826" s="99"/>
      <c r="L3826" s="98"/>
      <c r="M3826" s="99"/>
      <c r="N3826" s="99"/>
      <c r="O3826" s="18"/>
      <c r="P3826" s="100" t="b">
        <v>1</v>
      </c>
      <c r="Q3826" s="18"/>
      <c r="R3826" s="101">
        <f t="shared" si="3377"/>
        <v>7</v>
      </c>
      <c r="S3826" s="32">
        <v>13.14</v>
      </c>
      <c r="T3826" s="102">
        <f t="shared" si="3378"/>
        <v>-114</v>
      </c>
      <c r="U3826" s="18"/>
      <c r="V3826" s="103" t="str">
        <f t="shared" si="3945"/>
        <v/>
      </c>
      <c r="W3826" s="104" t="str">
        <f t="shared" si="2828"/>
        <v/>
      </c>
      <c r="X3826" s="105"/>
      <c r="Y3826" s="106"/>
      <c r="Z3826" s="26">
        <f t="shared" si="5"/>
        <v>1.754285714</v>
      </c>
      <c r="AA3826" s="26">
        <f t="shared" si="6"/>
        <v>4.385714286</v>
      </c>
      <c r="AB3826" s="32" t="str">
        <f t="shared" si="7"/>
        <v/>
      </c>
      <c r="AC3826" s="32" t="str">
        <f t="shared" ref="AC3826:AG3826" si="3951">IF(J3826&lt;&gt;"", IF(AND($P3826=FALSE, $A3826=FALSE), -J3826, IF(AND($P3826=FALSE, $A3826=TRUE), 0, IF($P3826=TRUE, (J3826 / $R3826) * 100 * ($S3826 / 100)-J3826, ))), )</f>
        <v/>
      </c>
      <c r="AD3826" s="32" t="str">
        <f t="shared" si="3951"/>
        <v/>
      </c>
      <c r="AE3826" s="32" t="str">
        <f t="shared" si="3951"/>
        <v/>
      </c>
      <c r="AF3826" s="32" t="str">
        <f t="shared" si="3951"/>
        <v/>
      </c>
      <c r="AG3826" s="32" t="str">
        <f t="shared" si="3951"/>
        <v/>
      </c>
      <c r="AH3826" s="33"/>
    </row>
    <row r="3827" hidden="1" outlineLevel="2">
      <c r="A3827" s="95" t="b">
        <v>0</v>
      </c>
      <c r="B3827" s="96"/>
      <c r="C3827" s="18"/>
      <c r="D3827" s="107"/>
      <c r="E3827" s="108"/>
      <c r="F3827" s="109"/>
      <c r="G3827" s="97"/>
      <c r="H3827" s="97"/>
      <c r="I3827" s="97"/>
      <c r="J3827" s="98"/>
      <c r="K3827" s="99"/>
      <c r="L3827" s="98"/>
      <c r="M3827" s="99"/>
      <c r="N3827" s="99"/>
      <c r="O3827" s="18"/>
      <c r="P3827" s="100" t="b">
        <v>0</v>
      </c>
      <c r="Q3827" s="18"/>
      <c r="R3827" s="101" t="str">
        <f t="shared" si="3377"/>
        <v/>
      </c>
      <c r="S3827" s="32"/>
      <c r="T3827" s="102" t="str">
        <f t="shared" si="3378"/>
        <v/>
      </c>
      <c r="U3827" s="18"/>
      <c r="V3827" s="75" t="s">
        <v>29</v>
      </c>
      <c r="W3827" s="104" t="str">
        <f t="shared" si="2828"/>
        <v>/</v>
      </c>
      <c r="X3827" s="111" t="s">
        <v>2217</v>
      </c>
      <c r="Y3827" s="106"/>
      <c r="Z3827" s="26" t="str">
        <f t="shared" si="5"/>
        <v/>
      </c>
      <c r="AA3827" s="26" t="str">
        <f t="shared" si="6"/>
        <v/>
      </c>
      <c r="AB3827" s="32" t="str">
        <f t="shared" si="7"/>
        <v/>
      </c>
      <c r="AC3827" s="32" t="str">
        <f t="shared" ref="AC3827:AG3827" si="3952">IF(J3827&lt;&gt;"", IF(AND($P3827=FALSE, $A3827=FALSE), -J3827, IF(AND($P3827=FALSE, $A3827=TRUE), 0, IF($P3827=TRUE, (J3827 / $R3827) * 100 * ($S3827 / 100)-J3827, ))), )</f>
        <v/>
      </c>
      <c r="AD3827" s="32" t="str">
        <f t="shared" si="3952"/>
        <v/>
      </c>
      <c r="AE3827" s="32" t="str">
        <f t="shared" si="3952"/>
        <v/>
      </c>
      <c r="AF3827" s="32" t="str">
        <f t="shared" si="3952"/>
        <v/>
      </c>
      <c r="AG3827" s="32" t="str">
        <f t="shared" si="3952"/>
        <v/>
      </c>
      <c r="AH3827" s="33"/>
    </row>
    <row r="3828" collapsed="1">
      <c r="A3828" s="95" t="b">
        <v>0</v>
      </c>
      <c r="B3828" s="96"/>
      <c r="C3828" s="18"/>
      <c r="D3828" s="42">
        <v>46009.0</v>
      </c>
      <c r="E3828" s="43" t="s">
        <v>24</v>
      </c>
      <c r="F3828" s="53" t="s">
        <v>2218</v>
      </c>
      <c r="G3828" s="97">
        <v>2.0</v>
      </c>
      <c r="H3828" s="97"/>
      <c r="I3828" s="97">
        <v>4.0</v>
      </c>
      <c r="J3828" s="98"/>
      <c r="K3828" s="99"/>
      <c r="L3828" s="98"/>
      <c r="M3828" s="99"/>
      <c r="N3828" s="99"/>
      <c r="O3828" s="18"/>
      <c r="P3828" s="100" t="b">
        <v>1</v>
      </c>
      <c r="Q3828" s="18"/>
      <c r="R3828" s="101">
        <f t="shared" si="3377"/>
        <v>6</v>
      </c>
      <c r="S3828" s="32">
        <v>27.13</v>
      </c>
      <c r="T3828" s="102" t="str">
        <f t="shared" si="3378"/>
        <v>+352</v>
      </c>
      <c r="U3828" s="18"/>
      <c r="V3828" s="103" t="str">
        <f>IF(ISBLANK($D3828), "0",)</f>
        <v/>
      </c>
      <c r="W3828" s="104" t="str">
        <f t="shared" si="2828"/>
        <v/>
      </c>
      <c r="X3828" s="105"/>
      <c r="Y3828" s="106"/>
      <c r="Z3828" s="26">
        <f t="shared" si="5"/>
        <v>7.043333333</v>
      </c>
      <c r="AA3828" s="26">
        <f t="shared" si="6"/>
        <v>14.08666667</v>
      </c>
      <c r="AB3828" s="32" t="str">
        <f t="shared" si="7"/>
        <v/>
      </c>
      <c r="AC3828" s="32" t="str">
        <f t="shared" ref="AC3828:AG3828" si="3953">IF(J3828&lt;&gt;"", IF(AND($P3828=FALSE, $A3828=FALSE), -J3828, IF(AND($P3828=FALSE, $A3828=TRUE), 0, IF($P3828=TRUE, (J3828 / $R3828) * 100 * ($S3828 / 100)-J3828, ))), )</f>
        <v/>
      </c>
      <c r="AD3828" s="32" t="str">
        <f t="shared" si="3953"/>
        <v/>
      </c>
      <c r="AE3828" s="32" t="str">
        <f t="shared" si="3953"/>
        <v/>
      </c>
      <c r="AF3828" s="32" t="str">
        <f t="shared" si="3953"/>
        <v/>
      </c>
      <c r="AG3828" s="32" t="str">
        <f t="shared" si="3953"/>
        <v/>
      </c>
      <c r="AH3828" s="33"/>
    </row>
    <row r="3829" hidden="1" outlineLevel="2">
      <c r="A3829" s="95" t="b">
        <v>0</v>
      </c>
      <c r="B3829" s="96"/>
      <c r="C3829" s="18"/>
      <c r="D3829" s="107"/>
      <c r="E3829" s="108"/>
      <c r="F3829" s="109"/>
      <c r="G3829" s="97"/>
      <c r="H3829" s="97"/>
      <c r="I3829" s="97"/>
      <c r="J3829" s="98"/>
      <c r="K3829" s="99"/>
      <c r="L3829" s="98"/>
      <c r="M3829" s="99"/>
      <c r="N3829" s="99"/>
      <c r="O3829" s="18"/>
      <c r="P3829" s="100" t="b">
        <v>0</v>
      </c>
      <c r="Q3829" s="18"/>
      <c r="R3829" s="101" t="str">
        <f t="shared" si="3377"/>
        <v/>
      </c>
      <c r="S3829" s="32"/>
      <c r="T3829" s="102" t="str">
        <f t="shared" si="3378"/>
        <v/>
      </c>
      <c r="U3829" s="18"/>
      <c r="V3829" s="75" t="s">
        <v>29</v>
      </c>
      <c r="W3829" s="104" t="str">
        <f t="shared" si="2828"/>
        <v>/</v>
      </c>
      <c r="X3829" s="111" t="s">
        <v>2219</v>
      </c>
      <c r="Y3829" s="106"/>
      <c r="Z3829" s="26" t="str">
        <f t="shared" si="5"/>
        <v/>
      </c>
      <c r="AA3829" s="26" t="str">
        <f t="shared" si="6"/>
        <v/>
      </c>
      <c r="AB3829" s="32" t="str">
        <f t="shared" si="7"/>
        <v/>
      </c>
      <c r="AC3829" s="32" t="str">
        <f t="shared" ref="AC3829:AG3829" si="3954">IF(J3829&lt;&gt;"", IF(AND($P3829=FALSE, $A3829=FALSE), -J3829, IF(AND($P3829=FALSE, $A3829=TRUE), 0, IF($P3829=TRUE, (J3829 / $R3829) * 100 * ($S3829 / 100)-J3829, ))), )</f>
        <v/>
      </c>
      <c r="AD3829" s="32" t="str">
        <f t="shared" si="3954"/>
        <v/>
      </c>
      <c r="AE3829" s="32" t="str">
        <f t="shared" si="3954"/>
        <v/>
      </c>
      <c r="AF3829" s="32" t="str">
        <f t="shared" si="3954"/>
        <v/>
      </c>
      <c r="AG3829" s="32" t="str">
        <f t="shared" si="3954"/>
        <v/>
      </c>
      <c r="AH3829" s="33"/>
    </row>
    <row r="3830" hidden="1" outlineLevel="2">
      <c r="A3830" s="95" t="b">
        <v>0</v>
      </c>
      <c r="B3830" s="96"/>
      <c r="C3830" s="18"/>
      <c r="D3830" s="107"/>
      <c r="E3830" s="108"/>
      <c r="F3830" s="109"/>
      <c r="G3830" s="97"/>
      <c r="H3830" s="97"/>
      <c r="I3830" s="97"/>
      <c r="J3830" s="98"/>
      <c r="K3830" s="99"/>
      <c r="L3830" s="98"/>
      <c r="M3830" s="99"/>
      <c r="N3830" s="99"/>
      <c r="O3830" s="18"/>
      <c r="P3830" s="100" t="b">
        <v>0</v>
      </c>
      <c r="Q3830" s="18"/>
      <c r="R3830" s="101" t="str">
        <f t="shared" si="3377"/>
        <v/>
      </c>
      <c r="S3830" s="32"/>
      <c r="T3830" s="102" t="str">
        <f t="shared" si="3378"/>
        <v/>
      </c>
      <c r="U3830" s="18"/>
      <c r="V3830" s="75" t="s">
        <v>29</v>
      </c>
      <c r="W3830" s="104" t="str">
        <f t="shared" si="2828"/>
        <v>/</v>
      </c>
      <c r="X3830" s="111" t="s">
        <v>2220</v>
      </c>
      <c r="Y3830" s="106"/>
      <c r="Z3830" s="26" t="str">
        <f t="shared" si="5"/>
        <v/>
      </c>
      <c r="AA3830" s="26" t="str">
        <f t="shared" si="6"/>
        <v/>
      </c>
      <c r="AB3830" s="32" t="str">
        <f t="shared" si="7"/>
        <v/>
      </c>
      <c r="AC3830" s="32" t="str">
        <f t="shared" ref="AC3830:AG3830" si="3955">IF(J3830&lt;&gt;"", IF(AND($P3830=FALSE, $A3830=FALSE), -J3830, IF(AND($P3830=FALSE, $A3830=TRUE), 0, IF($P3830=TRUE, (J3830 / $R3830) * 100 * ($S3830 / 100)-J3830, ))), )</f>
        <v/>
      </c>
      <c r="AD3830" s="32" t="str">
        <f t="shared" si="3955"/>
        <v/>
      </c>
      <c r="AE3830" s="32" t="str">
        <f t="shared" si="3955"/>
        <v/>
      </c>
      <c r="AF3830" s="32" t="str">
        <f t="shared" si="3955"/>
        <v/>
      </c>
      <c r="AG3830" s="32" t="str">
        <f t="shared" si="3955"/>
        <v/>
      </c>
      <c r="AH3830" s="33"/>
    </row>
    <row r="3831" hidden="1" outlineLevel="2">
      <c r="A3831" s="95" t="b">
        <v>0</v>
      </c>
      <c r="B3831" s="96"/>
      <c r="C3831" s="18"/>
      <c r="D3831" s="107"/>
      <c r="E3831" s="108"/>
      <c r="F3831" s="109"/>
      <c r="G3831" s="97"/>
      <c r="H3831" s="97"/>
      <c r="I3831" s="97"/>
      <c r="J3831" s="98"/>
      <c r="K3831" s="99"/>
      <c r="L3831" s="98"/>
      <c r="M3831" s="99"/>
      <c r="N3831" s="99"/>
      <c r="O3831" s="18"/>
      <c r="P3831" s="100" t="b">
        <v>0</v>
      </c>
      <c r="Q3831" s="18"/>
      <c r="R3831" s="101" t="str">
        <f t="shared" si="3377"/>
        <v/>
      </c>
      <c r="S3831" s="32"/>
      <c r="T3831" s="102" t="str">
        <f t="shared" si="3378"/>
        <v/>
      </c>
      <c r="U3831" s="18"/>
      <c r="V3831" s="75" t="s">
        <v>29</v>
      </c>
      <c r="W3831" s="104" t="str">
        <f t="shared" si="2828"/>
        <v>/</v>
      </c>
      <c r="X3831" s="111" t="s">
        <v>2080</v>
      </c>
      <c r="Y3831" s="106"/>
      <c r="Z3831" s="26" t="str">
        <f t="shared" si="5"/>
        <v/>
      </c>
      <c r="AA3831" s="26" t="str">
        <f t="shared" si="6"/>
        <v/>
      </c>
      <c r="AB3831" s="32" t="str">
        <f t="shared" si="7"/>
        <v/>
      </c>
      <c r="AC3831" s="32" t="str">
        <f t="shared" ref="AC3831:AG3831" si="3956">IF(J3831&lt;&gt;"", IF(AND($P3831=FALSE, $A3831=FALSE), -J3831, IF(AND($P3831=FALSE, $A3831=TRUE), 0, IF($P3831=TRUE, (J3831 / $R3831) * 100 * ($S3831 / 100)-J3831, ))), )</f>
        <v/>
      </c>
      <c r="AD3831" s="32" t="str">
        <f t="shared" si="3956"/>
        <v/>
      </c>
      <c r="AE3831" s="32" t="str">
        <f t="shared" si="3956"/>
        <v/>
      </c>
      <c r="AF3831" s="32" t="str">
        <f t="shared" si="3956"/>
        <v/>
      </c>
      <c r="AG3831" s="32" t="str">
        <f t="shared" si="3956"/>
        <v/>
      </c>
      <c r="AH3831" s="33"/>
    </row>
    <row r="3832" hidden="1" outlineLevel="2">
      <c r="A3832" s="95" t="b">
        <v>0</v>
      </c>
      <c r="B3832" s="96"/>
      <c r="C3832" s="18"/>
      <c r="D3832" s="107"/>
      <c r="E3832" s="108"/>
      <c r="F3832" s="109"/>
      <c r="G3832" s="97"/>
      <c r="H3832" s="97"/>
      <c r="I3832" s="97"/>
      <c r="J3832" s="98"/>
      <c r="K3832" s="99"/>
      <c r="L3832" s="98"/>
      <c r="M3832" s="99"/>
      <c r="N3832" s="99"/>
      <c r="O3832" s="18"/>
      <c r="P3832" s="100" t="b">
        <v>0</v>
      </c>
      <c r="Q3832" s="18"/>
      <c r="R3832" s="101" t="str">
        <f t="shared" si="3377"/>
        <v/>
      </c>
      <c r="S3832" s="32"/>
      <c r="T3832" s="102" t="str">
        <f t="shared" si="3378"/>
        <v/>
      </c>
      <c r="U3832" s="18"/>
      <c r="V3832" s="75" t="s">
        <v>29</v>
      </c>
      <c r="W3832" s="104" t="str">
        <f t="shared" si="2828"/>
        <v>/</v>
      </c>
      <c r="X3832" s="111" t="s">
        <v>2221</v>
      </c>
      <c r="Y3832" s="106"/>
      <c r="Z3832" s="26" t="str">
        <f t="shared" si="5"/>
        <v/>
      </c>
      <c r="AA3832" s="26" t="str">
        <f t="shared" si="6"/>
        <v/>
      </c>
      <c r="AB3832" s="32" t="str">
        <f t="shared" si="7"/>
        <v/>
      </c>
      <c r="AC3832" s="32" t="str">
        <f t="shared" ref="AC3832:AG3832" si="3957">IF(J3832&lt;&gt;"", IF(AND($P3832=FALSE, $A3832=FALSE), -J3832, IF(AND($P3832=FALSE, $A3832=TRUE), 0, IF($P3832=TRUE, (J3832 / $R3832) * 100 * ($S3832 / 100)-J3832, ))), )</f>
        <v/>
      </c>
      <c r="AD3832" s="32" t="str">
        <f t="shared" si="3957"/>
        <v/>
      </c>
      <c r="AE3832" s="32" t="str">
        <f t="shared" si="3957"/>
        <v/>
      </c>
      <c r="AF3832" s="32" t="str">
        <f t="shared" si="3957"/>
        <v/>
      </c>
      <c r="AG3832" s="32" t="str">
        <f t="shared" si="3957"/>
        <v/>
      </c>
      <c r="AH3832" s="33"/>
    </row>
    <row r="3833" hidden="1" outlineLevel="1">
      <c r="A3833" s="95" t="b">
        <v>0</v>
      </c>
      <c r="B3833" s="96"/>
      <c r="C3833" s="18"/>
      <c r="D3833" s="42">
        <v>46009.0</v>
      </c>
      <c r="E3833" s="43" t="s">
        <v>24</v>
      </c>
      <c r="F3833" s="53" t="s">
        <v>2218</v>
      </c>
      <c r="G3833" s="97">
        <v>2.0</v>
      </c>
      <c r="H3833" s="97"/>
      <c r="I3833" s="97">
        <v>4.0</v>
      </c>
      <c r="J3833" s="98"/>
      <c r="K3833" s="99"/>
      <c r="L3833" s="98"/>
      <c r="M3833" s="99"/>
      <c r="N3833" s="99"/>
      <c r="O3833" s="18"/>
      <c r="P3833" s="100" t="b">
        <v>1</v>
      </c>
      <c r="Q3833" s="18"/>
      <c r="R3833" s="101">
        <f t="shared" si="3377"/>
        <v>6</v>
      </c>
      <c r="S3833" s="32">
        <v>14.66</v>
      </c>
      <c r="T3833" s="102" t="str">
        <f t="shared" si="3378"/>
        <v>+144</v>
      </c>
      <c r="U3833" s="18"/>
      <c r="V3833" s="103" t="str">
        <f>IF(ISBLANK($D3833), "0",)</f>
        <v/>
      </c>
      <c r="W3833" s="104" t="str">
        <f t="shared" si="2828"/>
        <v/>
      </c>
      <c r="X3833" s="105"/>
      <c r="Y3833" s="106"/>
      <c r="Z3833" s="26">
        <f t="shared" si="5"/>
        <v>2.886666667</v>
      </c>
      <c r="AA3833" s="26">
        <f t="shared" si="6"/>
        <v>5.773333333</v>
      </c>
      <c r="AB3833" s="32" t="str">
        <f t="shared" si="7"/>
        <v/>
      </c>
      <c r="AC3833" s="32" t="str">
        <f t="shared" ref="AC3833:AG3833" si="3958">IF(J3833&lt;&gt;"", IF(AND($P3833=FALSE, $A3833=FALSE), -J3833, IF(AND($P3833=FALSE, $A3833=TRUE), 0, IF($P3833=TRUE, (J3833 / $R3833) * 100 * ($S3833 / 100)-J3833, ))), )</f>
        <v/>
      </c>
      <c r="AD3833" s="32" t="str">
        <f t="shared" si="3958"/>
        <v/>
      </c>
      <c r="AE3833" s="32" t="str">
        <f t="shared" si="3958"/>
        <v/>
      </c>
      <c r="AF3833" s="32" t="str">
        <f t="shared" si="3958"/>
        <v/>
      </c>
      <c r="AG3833" s="32" t="str">
        <f t="shared" si="3958"/>
        <v/>
      </c>
      <c r="AH3833" s="33"/>
    </row>
    <row r="3834" hidden="1" outlineLevel="2">
      <c r="A3834" s="95" t="b">
        <v>0</v>
      </c>
      <c r="B3834" s="96"/>
      <c r="C3834" s="18"/>
      <c r="D3834" s="107"/>
      <c r="E3834" s="108"/>
      <c r="F3834" s="109"/>
      <c r="G3834" s="97"/>
      <c r="H3834" s="97"/>
      <c r="I3834" s="97"/>
      <c r="J3834" s="98"/>
      <c r="K3834" s="99"/>
      <c r="L3834" s="98"/>
      <c r="M3834" s="99"/>
      <c r="N3834" s="99"/>
      <c r="O3834" s="18"/>
      <c r="P3834" s="100" t="b">
        <v>0</v>
      </c>
      <c r="Q3834" s="18"/>
      <c r="R3834" s="101" t="str">
        <f t="shared" si="3377"/>
        <v/>
      </c>
      <c r="S3834" s="32"/>
      <c r="T3834" s="102" t="str">
        <f t="shared" si="3378"/>
        <v/>
      </c>
      <c r="U3834" s="18"/>
      <c r="V3834" s="75" t="s">
        <v>29</v>
      </c>
      <c r="W3834" s="104" t="str">
        <f t="shared" si="2828"/>
        <v>/</v>
      </c>
      <c r="X3834" s="111" t="s">
        <v>1602</v>
      </c>
      <c r="Y3834" s="106"/>
      <c r="Z3834" s="26" t="str">
        <f t="shared" si="5"/>
        <v/>
      </c>
      <c r="AA3834" s="26" t="str">
        <f t="shared" si="6"/>
        <v/>
      </c>
      <c r="AB3834" s="32" t="str">
        <f t="shared" si="7"/>
        <v/>
      </c>
      <c r="AC3834" s="32" t="str">
        <f t="shared" ref="AC3834:AG3834" si="3959">IF(J3834&lt;&gt;"", IF(AND($P3834=FALSE, $A3834=FALSE), -J3834, IF(AND($P3834=FALSE, $A3834=TRUE), 0, IF($P3834=TRUE, (J3834 / $R3834) * 100 * ($S3834 / 100)-J3834, ))), )</f>
        <v/>
      </c>
      <c r="AD3834" s="32" t="str">
        <f t="shared" si="3959"/>
        <v/>
      </c>
      <c r="AE3834" s="32" t="str">
        <f t="shared" si="3959"/>
        <v/>
      </c>
      <c r="AF3834" s="32" t="str">
        <f t="shared" si="3959"/>
        <v/>
      </c>
      <c r="AG3834" s="32" t="str">
        <f t="shared" si="3959"/>
        <v/>
      </c>
      <c r="AH3834" s="33"/>
    </row>
    <row r="3835" hidden="1" outlineLevel="2">
      <c r="A3835" s="95" t="b">
        <v>0</v>
      </c>
      <c r="B3835" s="96"/>
      <c r="C3835" s="18"/>
      <c r="D3835" s="107"/>
      <c r="E3835" s="108"/>
      <c r="F3835" s="109"/>
      <c r="G3835" s="97"/>
      <c r="H3835" s="97"/>
      <c r="I3835" s="97"/>
      <c r="J3835" s="98"/>
      <c r="K3835" s="99"/>
      <c r="L3835" s="98"/>
      <c r="M3835" s="99"/>
      <c r="N3835" s="99"/>
      <c r="O3835" s="18"/>
      <c r="P3835" s="100" t="b">
        <v>0</v>
      </c>
      <c r="Q3835" s="18"/>
      <c r="R3835" s="101" t="str">
        <f t="shared" si="3377"/>
        <v/>
      </c>
      <c r="S3835" s="32"/>
      <c r="T3835" s="102" t="str">
        <f t="shared" si="3378"/>
        <v/>
      </c>
      <c r="U3835" s="18"/>
      <c r="V3835" s="75" t="s">
        <v>29</v>
      </c>
      <c r="W3835" s="104" t="str">
        <f t="shared" si="2828"/>
        <v>/</v>
      </c>
      <c r="X3835" s="111" t="s">
        <v>765</v>
      </c>
      <c r="Y3835" s="106"/>
      <c r="Z3835" s="26" t="str">
        <f t="shared" si="5"/>
        <v/>
      </c>
      <c r="AA3835" s="26" t="str">
        <f t="shared" si="6"/>
        <v/>
      </c>
      <c r="AB3835" s="32" t="str">
        <f t="shared" si="7"/>
        <v/>
      </c>
      <c r="AC3835" s="32" t="str">
        <f t="shared" ref="AC3835:AG3835" si="3960">IF(J3835&lt;&gt;"", IF(AND($P3835=FALSE, $A3835=FALSE), -J3835, IF(AND($P3835=FALSE, $A3835=TRUE), 0, IF($P3835=TRUE, (J3835 / $R3835) * 100 * ($S3835 / 100)-J3835, ))), )</f>
        <v/>
      </c>
      <c r="AD3835" s="32" t="str">
        <f t="shared" si="3960"/>
        <v/>
      </c>
      <c r="AE3835" s="32" t="str">
        <f t="shared" si="3960"/>
        <v/>
      </c>
      <c r="AF3835" s="32" t="str">
        <f t="shared" si="3960"/>
        <v/>
      </c>
      <c r="AG3835" s="32" t="str">
        <f t="shared" si="3960"/>
        <v/>
      </c>
      <c r="AH3835" s="33"/>
    </row>
    <row r="3836" hidden="1" outlineLevel="2">
      <c r="A3836" s="95" t="b">
        <v>0</v>
      </c>
      <c r="B3836" s="96"/>
      <c r="C3836" s="18"/>
      <c r="D3836" s="107"/>
      <c r="E3836" s="108"/>
      <c r="F3836" s="109"/>
      <c r="G3836" s="97"/>
      <c r="H3836" s="97"/>
      <c r="I3836" s="97"/>
      <c r="J3836" s="98"/>
      <c r="K3836" s="99"/>
      <c r="L3836" s="98"/>
      <c r="M3836" s="99"/>
      <c r="N3836" s="99"/>
      <c r="O3836" s="18"/>
      <c r="P3836" s="100" t="b">
        <v>0</v>
      </c>
      <c r="Q3836" s="18"/>
      <c r="R3836" s="101" t="str">
        <f t="shared" si="3377"/>
        <v/>
      </c>
      <c r="S3836" s="32"/>
      <c r="T3836" s="102" t="str">
        <f t="shared" si="3378"/>
        <v/>
      </c>
      <c r="U3836" s="18"/>
      <c r="V3836" s="75" t="s">
        <v>29</v>
      </c>
      <c r="W3836" s="104" t="str">
        <f t="shared" si="2828"/>
        <v>/</v>
      </c>
      <c r="X3836" s="111" t="s">
        <v>1874</v>
      </c>
      <c r="Y3836" s="106"/>
      <c r="Z3836" s="26" t="str">
        <f t="shared" si="5"/>
        <v/>
      </c>
      <c r="AA3836" s="26" t="str">
        <f t="shared" si="6"/>
        <v/>
      </c>
      <c r="AB3836" s="32" t="str">
        <f t="shared" si="7"/>
        <v/>
      </c>
      <c r="AC3836" s="32" t="str">
        <f t="shared" ref="AC3836:AG3836" si="3961">IF(J3836&lt;&gt;"", IF(AND($P3836=FALSE, $A3836=FALSE), -J3836, IF(AND($P3836=FALSE, $A3836=TRUE), 0, IF($P3836=TRUE, (J3836 / $R3836) * 100 * ($S3836 / 100)-J3836, ))), )</f>
        <v/>
      </c>
      <c r="AD3836" s="32" t="str">
        <f t="shared" si="3961"/>
        <v/>
      </c>
      <c r="AE3836" s="32" t="str">
        <f t="shared" si="3961"/>
        <v/>
      </c>
      <c r="AF3836" s="32" t="str">
        <f t="shared" si="3961"/>
        <v/>
      </c>
      <c r="AG3836" s="32" t="str">
        <f t="shared" si="3961"/>
        <v/>
      </c>
      <c r="AH3836" s="33"/>
    </row>
    <row r="3837" hidden="1" outlineLevel="2">
      <c r="A3837" s="95" t="b">
        <v>0</v>
      </c>
      <c r="B3837" s="96"/>
      <c r="C3837" s="18"/>
      <c r="D3837" s="107"/>
      <c r="E3837" s="108"/>
      <c r="F3837" s="109"/>
      <c r="G3837" s="97"/>
      <c r="H3837" s="97"/>
      <c r="I3837" s="97"/>
      <c r="J3837" s="98"/>
      <c r="K3837" s="99"/>
      <c r="L3837" s="98"/>
      <c r="M3837" s="99"/>
      <c r="N3837" s="99"/>
      <c r="O3837" s="18"/>
      <c r="P3837" s="100" t="b">
        <v>0</v>
      </c>
      <c r="Q3837" s="18"/>
      <c r="R3837" s="101" t="str">
        <f t="shared" si="3377"/>
        <v/>
      </c>
      <c r="S3837" s="32"/>
      <c r="T3837" s="102" t="str">
        <f t="shared" si="3378"/>
        <v/>
      </c>
      <c r="U3837" s="18"/>
      <c r="V3837" s="75" t="s">
        <v>29</v>
      </c>
      <c r="W3837" s="104" t="str">
        <f t="shared" si="2828"/>
        <v>/</v>
      </c>
      <c r="X3837" s="111" t="s">
        <v>1090</v>
      </c>
      <c r="Y3837" s="106"/>
      <c r="Z3837" s="26" t="str">
        <f t="shared" si="5"/>
        <v/>
      </c>
      <c r="AA3837" s="26" t="str">
        <f t="shared" si="6"/>
        <v/>
      </c>
      <c r="AB3837" s="32" t="str">
        <f t="shared" si="7"/>
        <v/>
      </c>
      <c r="AC3837" s="32" t="str">
        <f t="shared" ref="AC3837:AG3837" si="3962">IF(J3837&lt;&gt;"", IF(AND($P3837=FALSE, $A3837=FALSE), -J3837, IF(AND($P3837=FALSE, $A3837=TRUE), 0, IF($P3837=TRUE, (J3837 / $R3837) * 100 * ($S3837 / 100)-J3837, ))), )</f>
        <v/>
      </c>
      <c r="AD3837" s="32" t="str">
        <f t="shared" si="3962"/>
        <v/>
      </c>
      <c r="AE3837" s="32" t="str">
        <f t="shared" si="3962"/>
        <v/>
      </c>
      <c r="AF3837" s="32" t="str">
        <f t="shared" si="3962"/>
        <v/>
      </c>
      <c r="AG3837" s="32" t="str">
        <f t="shared" si="3962"/>
        <v/>
      </c>
      <c r="AH3837" s="33"/>
    </row>
    <row r="3838" collapsed="1">
      <c r="A3838" s="95" t="b">
        <v>0</v>
      </c>
      <c r="B3838" s="96"/>
      <c r="C3838" s="18"/>
      <c r="D3838" s="42">
        <v>46012.0</v>
      </c>
      <c r="E3838" s="43" t="s">
        <v>24</v>
      </c>
      <c r="F3838" s="53" t="s">
        <v>2218</v>
      </c>
      <c r="G3838" s="97">
        <v>2.0</v>
      </c>
      <c r="H3838" s="97"/>
      <c r="I3838" s="97">
        <v>3.0</v>
      </c>
      <c r="J3838" s="98"/>
      <c r="K3838" s="99"/>
      <c r="L3838" s="98"/>
      <c r="M3838" s="99"/>
      <c r="N3838" s="99"/>
      <c r="O3838" s="18"/>
      <c r="P3838" s="100" t="b">
        <v>0</v>
      </c>
      <c r="Q3838" s="18"/>
      <c r="R3838" s="101">
        <f t="shared" si="3377"/>
        <v>5</v>
      </c>
      <c r="S3838" s="32">
        <v>20.0</v>
      </c>
      <c r="T3838" s="102" t="str">
        <f t="shared" si="3378"/>
        <v>+300</v>
      </c>
      <c r="U3838" s="18"/>
      <c r="V3838" s="103" t="str">
        <f t="shared" ref="V3838:V3842" si="3964">IF(ISBLANK($D3838), "0",)</f>
        <v/>
      </c>
      <c r="W3838" s="104" t="str">
        <f t="shared" si="2828"/>
        <v/>
      </c>
      <c r="X3838" s="105"/>
      <c r="Y3838" s="106"/>
      <c r="Z3838" s="26">
        <f t="shared" si="5"/>
        <v>-2</v>
      </c>
      <c r="AA3838" s="26">
        <f t="shared" si="6"/>
        <v>-3</v>
      </c>
      <c r="AB3838" s="32" t="str">
        <f t="shared" si="7"/>
        <v/>
      </c>
      <c r="AC3838" s="32" t="str">
        <f t="shared" ref="AC3838:AG3838" si="3963">IF(J3838&lt;&gt;"", IF(AND($P3838=FALSE, $A3838=FALSE), -J3838, IF(AND($P3838=FALSE, $A3838=TRUE), 0, IF($P3838=TRUE, (J3838 / $R3838) * 100 * ($S3838 / 100)-J3838, ))), )</f>
        <v/>
      </c>
      <c r="AD3838" s="32" t="str">
        <f t="shared" si="3963"/>
        <v/>
      </c>
      <c r="AE3838" s="32" t="str">
        <f t="shared" si="3963"/>
        <v/>
      </c>
      <c r="AF3838" s="32" t="str">
        <f t="shared" si="3963"/>
        <v/>
      </c>
      <c r="AG3838" s="32" t="str">
        <f t="shared" si="3963"/>
        <v/>
      </c>
      <c r="AH3838" s="33"/>
    </row>
    <row r="3839" hidden="1" outlineLevel="2">
      <c r="A3839" s="95" t="b">
        <v>0</v>
      </c>
      <c r="B3839" s="96"/>
      <c r="C3839" s="18"/>
      <c r="D3839" s="107"/>
      <c r="E3839" s="108"/>
      <c r="F3839" s="109"/>
      <c r="G3839" s="97"/>
      <c r="H3839" s="97"/>
      <c r="I3839" s="97"/>
      <c r="J3839" s="98"/>
      <c r="K3839" s="99"/>
      <c r="L3839" s="98"/>
      <c r="M3839" s="99"/>
      <c r="N3839" s="99"/>
      <c r="O3839" s="18"/>
      <c r="P3839" s="100" t="b">
        <v>0</v>
      </c>
      <c r="Q3839" s="18"/>
      <c r="R3839" s="101" t="str">
        <f t="shared" si="3377"/>
        <v/>
      </c>
      <c r="S3839" s="32"/>
      <c r="T3839" s="102" t="str">
        <f t="shared" si="3378"/>
        <v/>
      </c>
      <c r="U3839" s="18"/>
      <c r="V3839" s="103" t="str">
        <f t="shared" si="3964"/>
        <v>0</v>
      </c>
      <c r="W3839" s="104" t="str">
        <f t="shared" si="2828"/>
        <v>/</v>
      </c>
      <c r="X3839" s="111" t="s">
        <v>2222</v>
      </c>
      <c r="Y3839" s="106"/>
      <c r="Z3839" s="26" t="str">
        <f t="shared" si="5"/>
        <v/>
      </c>
      <c r="AA3839" s="26" t="str">
        <f t="shared" si="6"/>
        <v/>
      </c>
      <c r="AB3839" s="32" t="str">
        <f t="shared" si="7"/>
        <v/>
      </c>
      <c r="AC3839" s="32" t="str">
        <f t="shared" ref="AC3839:AG3839" si="3965">IF(J3839&lt;&gt;"", IF(AND($P3839=FALSE, $A3839=FALSE), -J3839, IF(AND($P3839=FALSE, $A3839=TRUE), 0, IF($P3839=TRUE, (J3839 / $R3839) * 100 * ($S3839 / 100)-J3839, ))), )</f>
        <v/>
      </c>
      <c r="AD3839" s="32" t="str">
        <f t="shared" si="3965"/>
        <v/>
      </c>
      <c r="AE3839" s="32" t="str">
        <f t="shared" si="3965"/>
        <v/>
      </c>
      <c r="AF3839" s="32" t="str">
        <f t="shared" si="3965"/>
        <v/>
      </c>
      <c r="AG3839" s="32" t="str">
        <f t="shared" si="3965"/>
        <v/>
      </c>
      <c r="AH3839" s="33"/>
    </row>
    <row r="3840" hidden="1" outlineLevel="1" collapsed="1">
      <c r="A3840" s="95" t="b">
        <v>0</v>
      </c>
      <c r="B3840" s="96"/>
      <c r="C3840" s="18"/>
      <c r="D3840" s="42">
        <v>46012.0</v>
      </c>
      <c r="E3840" s="43" t="s">
        <v>24</v>
      </c>
      <c r="F3840" s="53" t="s">
        <v>2218</v>
      </c>
      <c r="G3840" s="97">
        <v>1.0</v>
      </c>
      <c r="H3840" s="97"/>
      <c r="I3840" s="97">
        <v>2.0</v>
      </c>
      <c r="J3840" s="98"/>
      <c r="K3840" s="99"/>
      <c r="L3840" s="98"/>
      <c r="M3840" s="99"/>
      <c r="N3840" s="99"/>
      <c r="O3840" s="18"/>
      <c r="P3840" s="100" t="b">
        <v>0</v>
      </c>
      <c r="Q3840" s="18"/>
      <c r="R3840" s="101">
        <f t="shared" si="3377"/>
        <v>3</v>
      </c>
      <c r="S3840" s="32">
        <v>12.6</v>
      </c>
      <c r="T3840" s="102" t="str">
        <f t="shared" si="3378"/>
        <v>+320</v>
      </c>
      <c r="U3840" s="18"/>
      <c r="V3840" s="103" t="str">
        <f t="shared" si="3964"/>
        <v/>
      </c>
      <c r="W3840" s="104" t="str">
        <f t="shared" si="2828"/>
        <v/>
      </c>
      <c r="X3840" s="105"/>
      <c r="Y3840" s="106"/>
      <c r="Z3840" s="26">
        <f t="shared" si="5"/>
        <v>-1</v>
      </c>
      <c r="AA3840" s="26">
        <f t="shared" si="6"/>
        <v>-2</v>
      </c>
      <c r="AB3840" s="32" t="str">
        <f t="shared" si="7"/>
        <v/>
      </c>
      <c r="AC3840" s="32" t="str">
        <f t="shared" ref="AC3840:AG3840" si="3966">IF(J3840&lt;&gt;"", IF(AND($P3840=FALSE, $A3840=FALSE), -J3840, IF(AND($P3840=FALSE, $A3840=TRUE), 0, IF($P3840=TRUE, (J3840 / $R3840) * 100 * ($S3840 / 100)-J3840, ))), )</f>
        <v/>
      </c>
      <c r="AD3840" s="32" t="str">
        <f t="shared" si="3966"/>
        <v/>
      </c>
      <c r="AE3840" s="32" t="str">
        <f t="shared" si="3966"/>
        <v/>
      </c>
      <c r="AF3840" s="32" t="str">
        <f t="shared" si="3966"/>
        <v/>
      </c>
      <c r="AG3840" s="32" t="str">
        <f t="shared" si="3966"/>
        <v/>
      </c>
      <c r="AH3840" s="33"/>
    </row>
    <row r="3841" hidden="1" outlineLevel="2">
      <c r="A3841" s="95" t="b">
        <v>0</v>
      </c>
      <c r="B3841" s="96"/>
      <c r="C3841" s="18"/>
      <c r="D3841" s="107"/>
      <c r="E3841" s="108"/>
      <c r="F3841" s="109"/>
      <c r="G3841" s="97"/>
      <c r="H3841" s="97"/>
      <c r="I3841" s="97"/>
      <c r="J3841" s="98"/>
      <c r="K3841" s="99"/>
      <c r="L3841" s="98"/>
      <c r="M3841" s="99"/>
      <c r="N3841" s="99"/>
      <c r="O3841" s="18"/>
      <c r="P3841" s="100" t="b">
        <v>0</v>
      </c>
      <c r="Q3841" s="18"/>
      <c r="R3841" s="101" t="str">
        <f t="shared" si="3377"/>
        <v/>
      </c>
      <c r="S3841" s="32"/>
      <c r="T3841" s="102" t="str">
        <f t="shared" si="3378"/>
        <v/>
      </c>
      <c r="U3841" s="18"/>
      <c r="V3841" s="103" t="str">
        <f t="shared" si="3964"/>
        <v>0</v>
      </c>
      <c r="W3841" s="104" t="str">
        <f t="shared" si="2828"/>
        <v>/</v>
      </c>
      <c r="X3841" s="111" t="s">
        <v>2223</v>
      </c>
      <c r="Y3841" s="106"/>
      <c r="Z3841" s="26" t="str">
        <f t="shared" si="5"/>
        <v/>
      </c>
      <c r="AA3841" s="26" t="str">
        <f t="shared" si="6"/>
        <v/>
      </c>
      <c r="AB3841" s="32" t="str">
        <f t="shared" si="7"/>
        <v/>
      </c>
      <c r="AC3841" s="32" t="str">
        <f t="shared" ref="AC3841:AG3841" si="3967">IF(J3841&lt;&gt;"", IF(AND($P3841=FALSE, $A3841=FALSE), -J3841, IF(AND($P3841=FALSE, $A3841=TRUE), 0, IF($P3841=TRUE, (J3841 / $R3841) * 100 * ($S3841 / 100)-J3841, ))), )</f>
        <v/>
      </c>
      <c r="AD3841" s="32" t="str">
        <f t="shared" si="3967"/>
        <v/>
      </c>
      <c r="AE3841" s="32" t="str">
        <f t="shared" si="3967"/>
        <v/>
      </c>
      <c r="AF3841" s="32" t="str">
        <f t="shared" si="3967"/>
        <v/>
      </c>
      <c r="AG3841" s="32" t="str">
        <f t="shared" si="3967"/>
        <v/>
      </c>
      <c r="AH3841" s="33"/>
    </row>
    <row r="3842" hidden="1" outlineLevel="1" collapsed="1">
      <c r="A3842" s="95" t="b">
        <v>0</v>
      </c>
      <c r="B3842" s="96"/>
      <c r="C3842" s="18"/>
      <c r="D3842" s="42">
        <v>46012.0</v>
      </c>
      <c r="E3842" s="43" t="s">
        <v>24</v>
      </c>
      <c r="F3842" s="53" t="s">
        <v>2218</v>
      </c>
      <c r="G3842" s="97">
        <v>2.0</v>
      </c>
      <c r="H3842" s="97"/>
      <c r="I3842" s="97">
        <v>3.0</v>
      </c>
      <c r="J3842" s="98"/>
      <c r="K3842" s="99"/>
      <c r="L3842" s="98"/>
      <c r="M3842" s="99"/>
      <c r="N3842" s="99"/>
      <c r="O3842" s="18"/>
      <c r="P3842" s="100" t="b">
        <v>1</v>
      </c>
      <c r="Q3842" s="18"/>
      <c r="R3842" s="101">
        <f t="shared" si="3377"/>
        <v>5</v>
      </c>
      <c r="S3842" s="32">
        <v>9.39</v>
      </c>
      <c r="T3842" s="102">
        <f t="shared" si="3378"/>
        <v>-114</v>
      </c>
      <c r="U3842" s="18"/>
      <c r="V3842" s="103" t="str">
        <f t="shared" si="3964"/>
        <v/>
      </c>
      <c r="W3842" s="104" t="str">
        <f t="shared" si="2828"/>
        <v/>
      </c>
      <c r="X3842" s="105"/>
      <c r="Y3842" s="106"/>
      <c r="Z3842" s="26">
        <f t="shared" si="5"/>
        <v>1.756</v>
      </c>
      <c r="AA3842" s="26">
        <f t="shared" si="6"/>
        <v>2.634</v>
      </c>
      <c r="AB3842" s="32" t="str">
        <f t="shared" si="7"/>
        <v/>
      </c>
      <c r="AC3842" s="32" t="str">
        <f t="shared" ref="AC3842:AG3842" si="3968">IF(J3842&lt;&gt;"", IF(AND($P3842=FALSE, $A3842=FALSE), -J3842, IF(AND($P3842=FALSE, $A3842=TRUE), 0, IF($P3842=TRUE, (J3842 / $R3842) * 100 * ($S3842 / 100)-J3842, ))), )</f>
        <v/>
      </c>
      <c r="AD3842" s="32" t="str">
        <f t="shared" si="3968"/>
        <v/>
      </c>
      <c r="AE3842" s="32" t="str">
        <f t="shared" si="3968"/>
        <v/>
      </c>
      <c r="AF3842" s="32" t="str">
        <f t="shared" si="3968"/>
        <v/>
      </c>
      <c r="AG3842" s="32" t="str">
        <f t="shared" si="3968"/>
        <v/>
      </c>
      <c r="AH3842" s="33"/>
    </row>
    <row r="3843" hidden="1" outlineLevel="2">
      <c r="A3843" s="95" t="b">
        <v>0</v>
      </c>
      <c r="B3843" s="96"/>
      <c r="C3843" s="18"/>
      <c r="D3843" s="107"/>
      <c r="E3843" s="108"/>
      <c r="F3843" s="109"/>
      <c r="G3843" s="97"/>
      <c r="H3843" s="97"/>
      <c r="I3843" s="97"/>
      <c r="J3843" s="98"/>
      <c r="K3843" s="99"/>
      <c r="L3843" s="98"/>
      <c r="M3843" s="99"/>
      <c r="N3843" s="99"/>
      <c r="O3843" s="18"/>
      <c r="P3843" s="100" t="b">
        <v>0</v>
      </c>
      <c r="Q3843" s="18"/>
      <c r="R3843" s="101" t="str">
        <f t="shared" si="3377"/>
        <v/>
      </c>
      <c r="S3843" s="32"/>
      <c r="T3843" s="102" t="str">
        <f t="shared" si="3378"/>
        <v/>
      </c>
      <c r="U3843" s="18"/>
      <c r="V3843" s="75" t="s">
        <v>29</v>
      </c>
      <c r="W3843" s="104" t="str">
        <f t="shared" si="2828"/>
        <v>/</v>
      </c>
      <c r="X3843" s="111" t="s">
        <v>2224</v>
      </c>
      <c r="Y3843" s="106"/>
      <c r="Z3843" s="26" t="str">
        <f t="shared" si="5"/>
        <v/>
      </c>
      <c r="AA3843" s="26" t="str">
        <f t="shared" si="6"/>
        <v/>
      </c>
      <c r="AB3843" s="32" t="str">
        <f t="shared" si="7"/>
        <v/>
      </c>
      <c r="AC3843" s="32" t="str">
        <f t="shared" ref="AC3843:AG3843" si="3969">IF(J3843&lt;&gt;"", IF(AND($P3843=FALSE, $A3843=FALSE), -J3843, IF(AND($P3843=FALSE, $A3843=TRUE), 0, IF($P3843=TRUE, (J3843 / $R3843) * 100 * ($S3843 / 100)-J3843, ))), )</f>
        <v/>
      </c>
      <c r="AD3843" s="32" t="str">
        <f t="shared" si="3969"/>
        <v/>
      </c>
      <c r="AE3843" s="32" t="str">
        <f t="shared" si="3969"/>
        <v/>
      </c>
      <c r="AF3843" s="32" t="str">
        <f t="shared" si="3969"/>
        <v/>
      </c>
      <c r="AG3843" s="32" t="str">
        <f t="shared" si="3969"/>
        <v/>
      </c>
      <c r="AH3843" s="33"/>
    </row>
    <row r="3844" hidden="1" outlineLevel="1">
      <c r="A3844" s="95" t="b">
        <v>0</v>
      </c>
      <c r="B3844" s="96"/>
      <c r="C3844" s="18"/>
      <c r="D3844" s="42">
        <v>46012.0</v>
      </c>
      <c r="E3844" s="43" t="s">
        <v>24</v>
      </c>
      <c r="F3844" s="53" t="s">
        <v>2218</v>
      </c>
      <c r="G3844" s="97">
        <v>2.0</v>
      </c>
      <c r="H3844" s="97"/>
      <c r="I3844" s="97">
        <v>3.0</v>
      </c>
      <c r="J3844" s="98"/>
      <c r="K3844" s="99"/>
      <c r="L3844" s="98"/>
      <c r="M3844" s="99"/>
      <c r="N3844" s="99"/>
      <c r="O3844" s="18"/>
      <c r="P3844" s="100" t="b">
        <v>1</v>
      </c>
      <c r="Q3844" s="18"/>
      <c r="R3844" s="101">
        <f t="shared" si="3377"/>
        <v>5</v>
      </c>
      <c r="S3844" s="32">
        <v>7.23</v>
      </c>
      <c r="T3844" s="102">
        <f t="shared" si="3378"/>
        <v>-224</v>
      </c>
      <c r="U3844" s="18"/>
      <c r="V3844" s="103" t="str">
        <f>IF(ISBLANK($D3844), "0",)</f>
        <v/>
      </c>
      <c r="W3844" s="104" t="str">
        <f t="shared" si="2828"/>
        <v/>
      </c>
      <c r="X3844" s="105"/>
      <c r="Y3844" s="106"/>
      <c r="Z3844" s="26">
        <f t="shared" si="5"/>
        <v>0.892</v>
      </c>
      <c r="AA3844" s="26">
        <f t="shared" si="6"/>
        <v>1.338</v>
      </c>
      <c r="AB3844" s="32" t="str">
        <f t="shared" si="7"/>
        <v/>
      </c>
      <c r="AC3844" s="32" t="str">
        <f t="shared" ref="AC3844:AG3844" si="3970">IF(J3844&lt;&gt;"", IF(AND($P3844=FALSE, $A3844=FALSE), -J3844, IF(AND($P3844=FALSE, $A3844=TRUE), 0, IF($P3844=TRUE, (J3844 / $R3844) * 100 * ($S3844 / 100)-J3844, ))), )</f>
        <v/>
      </c>
      <c r="AD3844" s="32" t="str">
        <f t="shared" si="3970"/>
        <v/>
      </c>
      <c r="AE3844" s="32" t="str">
        <f t="shared" si="3970"/>
        <v/>
      </c>
      <c r="AF3844" s="32" t="str">
        <f t="shared" si="3970"/>
        <v/>
      </c>
      <c r="AG3844" s="32" t="str">
        <f t="shared" si="3970"/>
        <v/>
      </c>
      <c r="AH3844" s="33"/>
    </row>
    <row r="3845" hidden="1" outlineLevel="2">
      <c r="A3845" s="95" t="b">
        <v>0</v>
      </c>
      <c r="B3845" s="96"/>
      <c r="C3845" s="18"/>
      <c r="D3845" s="107"/>
      <c r="E3845" s="108"/>
      <c r="F3845" s="109"/>
      <c r="G3845" s="97"/>
      <c r="H3845" s="97"/>
      <c r="I3845" s="97"/>
      <c r="J3845" s="98"/>
      <c r="K3845" s="99"/>
      <c r="L3845" s="98"/>
      <c r="M3845" s="99"/>
      <c r="N3845" s="99"/>
      <c r="O3845" s="18"/>
      <c r="P3845" s="100" t="b">
        <v>0</v>
      </c>
      <c r="Q3845" s="18"/>
      <c r="R3845" s="101" t="str">
        <f t="shared" si="3377"/>
        <v/>
      </c>
      <c r="S3845" s="32"/>
      <c r="T3845" s="102" t="str">
        <f t="shared" si="3378"/>
        <v/>
      </c>
      <c r="U3845" s="18"/>
      <c r="V3845" s="75" t="s">
        <v>29</v>
      </c>
      <c r="W3845" s="104" t="str">
        <f t="shared" si="2828"/>
        <v>/</v>
      </c>
      <c r="X3845" s="111" t="s">
        <v>2225</v>
      </c>
      <c r="Y3845" s="106"/>
      <c r="Z3845" s="26" t="str">
        <f t="shared" si="5"/>
        <v/>
      </c>
      <c r="AA3845" s="26" t="str">
        <f t="shared" si="6"/>
        <v/>
      </c>
      <c r="AB3845" s="32" t="str">
        <f t="shared" si="7"/>
        <v/>
      </c>
      <c r="AC3845" s="32" t="str">
        <f t="shared" ref="AC3845:AG3845" si="3971">IF(J3845&lt;&gt;"", IF(AND($P3845=FALSE, $A3845=FALSE), -J3845, IF(AND($P3845=FALSE, $A3845=TRUE), 0, IF($P3845=TRUE, (J3845 / $R3845) * 100 * ($S3845 / 100)-J3845, ))), )</f>
        <v/>
      </c>
      <c r="AD3845" s="32" t="str">
        <f t="shared" si="3971"/>
        <v/>
      </c>
      <c r="AE3845" s="32" t="str">
        <f t="shared" si="3971"/>
        <v/>
      </c>
      <c r="AF3845" s="32" t="str">
        <f t="shared" si="3971"/>
        <v/>
      </c>
      <c r="AG3845" s="32" t="str">
        <f t="shared" si="3971"/>
        <v/>
      </c>
      <c r="AH3845" s="33"/>
    </row>
    <row r="3846" hidden="1" outlineLevel="2">
      <c r="A3846" s="95" t="b">
        <v>0</v>
      </c>
      <c r="B3846" s="96"/>
      <c r="C3846" s="18"/>
      <c r="D3846" s="107"/>
      <c r="E3846" s="108"/>
      <c r="F3846" s="109"/>
      <c r="G3846" s="97"/>
      <c r="H3846" s="97"/>
      <c r="I3846" s="97"/>
      <c r="J3846" s="98"/>
      <c r="K3846" s="99"/>
      <c r="L3846" s="98"/>
      <c r="M3846" s="99"/>
      <c r="N3846" s="99"/>
      <c r="O3846" s="18"/>
      <c r="P3846" s="100" t="b">
        <v>0</v>
      </c>
      <c r="Q3846" s="18"/>
      <c r="R3846" s="101" t="str">
        <f t="shared" si="3377"/>
        <v/>
      </c>
      <c r="S3846" s="32"/>
      <c r="T3846" s="102" t="str">
        <f t="shared" si="3378"/>
        <v/>
      </c>
      <c r="U3846" s="18"/>
      <c r="V3846" s="75" t="s">
        <v>29</v>
      </c>
      <c r="W3846" s="104" t="str">
        <f t="shared" si="2828"/>
        <v>/</v>
      </c>
      <c r="X3846" s="111" t="s">
        <v>2226</v>
      </c>
      <c r="Y3846" s="106"/>
      <c r="Z3846" s="26" t="str">
        <f t="shared" si="5"/>
        <v/>
      </c>
      <c r="AA3846" s="26" t="str">
        <f t="shared" si="6"/>
        <v/>
      </c>
      <c r="AB3846" s="32" t="str">
        <f t="shared" si="7"/>
        <v/>
      </c>
      <c r="AC3846" s="32" t="str">
        <f t="shared" ref="AC3846:AG3846" si="3972">IF(J3846&lt;&gt;"", IF(AND($P3846=FALSE, $A3846=FALSE), -J3846, IF(AND($P3846=FALSE, $A3846=TRUE), 0, IF($P3846=TRUE, (J3846 / $R3846) * 100 * ($S3846 / 100)-J3846, ))), )</f>
        <v/>
      </c>
      <c r="AD3846" s="32" t="str">
        <f t="shared" si="3972"/>
        <v/>
      </c>
      <c r="AE3846" s="32" t="str">
        <f t="shared" si="3972"/>
        <v/>
      </c>
      <c r="AF3846" s="32" t="str">
        <f t="shared" si="3972"/>
        <v/>
      </c>
      <c r="AG3846" s="32" t="str">
        <f t="shared" si="3972"/>
        <v/>
      </c>
      <c r="AH3846" s="33"/>
    </row>
    <row r="3847" collapsed="1">
      <c r="A3847" s="95" t="b">
        <v>0</v>
      </c>
      <c r="B3847" s="96"/>
      <c r="C3847" s="18"/>
      <c r="D3847" s="42">
        <v>46019.0</v>
      </c>
      <c r="E3847" s="43" t="s">
        <v>24</v>
      </c>
      <c r="F3847" s="53" t="s">
        <v>2227</v>
      </c>
      <c r="G3847" s="97">
        <v>1.0</v>
      </c>
      <c r="H3847" s="97"/>
      <c r="I3847" s="97">
        <v>1.0</v>
      </c>
      <c r="J3847" s="98"/>
      <c r="K3847" s="99"/>
      <c r="L3847" s="98"/>
      <c r="M3847" s="99"/>
      <c r="N3847" s="99"/>
      <c r="O3847" s="18"/>
      <c r="P3847" s="100" t="b">
        <v>1</v>
      </c>
      <c r="Q3847" s="18"/>
      <c r="R3847" s="101">
        <f t="shared" si="3377"/>
        <v>2</v>
      </c>
      <c r="S3847" s="32">
        <v>12.0</v>
      </c>
      <c r="T3847" s="102" t="str">
        <f t="shared" si="3378"/>
        <v>+500</v>
      </c>
      <c r="U3847" s="18"/>
      <c r="V3847" s="103" t="str">
        <f>IF(ISBLANK($D3847), "0",)</f>
        <v/>
      </c>
      <c r="W3847" s="104" t="str">
        <f t="shared" si="2828"/>
        <v/>
      </c>
      <c r="X3847" s="105"/>
      <c r="Y3847" s="106"/>
      <c r="Z3847" s="26">
        <f t="shared" si="5"/>
        <v>5</v>
      </c>
      <c r="AA3847" s="26">
        <f t="shared" si="6"/>
        <v>5</v>
      </c>
      <c r="AB3847" s="32" t="str">
        <f t="shared" si="7"/>
        <v/>
      </c>
      <c r="AC3847" s="32" t="str">
        <f t="shared" ref="AC3847:AG3847" si="3973">IF(J3847&lt;&gt;"", IF(AND($P3847=FALSE, $A3847=FALSE), -J3847, IF(AND($P3847=FALSE, $A3847=TRUE), 0, IF($P3847=TRUE, (J3847 / $R3847) * 100 * ($S3847 / 100)-J3847, ))), )</f>
        <v/>
      </c>
      <c r="AD3847" s="32" t="str">
        <f t="shared" si="3973"/>
        <v/>
      </c>
      <c r="AE3847" s="32" t="str">
        <f t="shared" si="3973"/>
        <v/>
      </c>
      <c r="AF3847" s="32" t="str">
        <f t="shared" si="3973"/>
        <v/>
      </c>
      <c r="AG3847" s="32" t="str">
        <f t="shared" si="3973"/>
        <v/>
      </c>
      <c r="AH3847" s="33"/>
    </row>
    <row r="3848" hidden="1" outlineLevel="2">
      <c r="A3848" s="95" t="b">
        <v>0</v>
      </c>
      <c r="B3848" s="96"/>
      <c r="C3848" s="18"/>
      <c r="D3848" s="107"/>
      <c r="E3848" s="108"/>
      <c r="F3848" s="109"/>
      <c r="G3848" s="97"/>
      <c r="H3848" s="97"/>
      <c r="I3848" s="97"/>
      <c r="J3848" s="98"/>
      <c r="K3848" s="99"/>
      <c r="L3848" s="98"/>
      <c r="M3848" s="99"/>
      <c r="N3848" s="99"/>
      <c r="O3848" s="18"/>
      <c r="P3848" s="100" t="b">
        <v>0</v>
      </c>
      <c r="Q3848" s="18"/>
      <c r="R3848" s="101" t="str">
        <f t="shared" si="3377"/>
        <v/>
      </c>
      <c r="S3848" s="32"/>
      <c r="T3848" s="102" t="str">
        <f t="shared" si="3378"/>
        <v/>
      </c>
      <c r="U3848" s="18"/>
      <c r="V3848" s="75" t="s">
        <v>29</v>
      </c>
      <c r="W3848" s="104" t="str">
        <f t="shared" si="2828"/>
        <v>/</v>
      </c>
      <c r="X3848" s="111" t="s">
        <v>2228</v>
      </c>
      <c r="Y3848" s="106"/>
      <c r="Z3848" s="26" t="str">
        <f t="shared" si="5"/>
        <v/>
      </c>
      <c r="AA3848" s="26" t="str">
        <f t="shared" si="6"/>
        <v/>
      </c>
      <c r="AB3848" s="32" t="str">
        <f t="shared" si="7"/>
        <v/>
      </c>
      <c r="AC3848" s="32" t="str">
        <f t="shared" ref="AC3848:AG3848" si="3974">IF(J3848&lt;&gt;"", IF(AND($P3848=FALSE, $A3848=FALSE), -J3848, IF(AND($P3848=FALSE, $A3848=TRUE), 0, IF($P3848=TRUE, (J3848 / $R3848) * 100 * ($S3848 / 100)-J3848, ))), )</f>
        <v/>
      </c>
      <c r="AD3848" s="32" t="str">
        <f t="shared" si="3974"/>
        <v/>
      </c>
      <c r="AE3848" s="32" t="str">
        <f t="shared" si="3974"/>
        <v/>
      </c>
      <c r="AF3848" s="32" t="str">
        <f t="shared" si="3974"/>
        <v/>
      </c>
      <c r="AG3848" s="32" t="str">
        <f t="shared" si="3974"/>
        <v/>
      </c>
      <c r="AH3848" s="33"/>
    </row>
    <row r="3849" hidden="1" outlineLevel="1">
      <c r="A3849" s="95" t="b">
        <v>0</v>
      </c>
      <c r="B3849" s="96"/>
      <c r="C3849" s="18"/>
      <c r="D3849" s="42">
        <v>46019.0</v>
      </c>
      <c r="E3849" s="43" t="s">
        <v>24</v>
      </c>
      <c r="F3849" s="53" t="s">
        <v>2227</v>
      </c>
      <c r="G3849" s="97">
        <v>2.0</v>
      </c>
      <c r="H3849" s="97"/>
      <c r="I3849" s="97">
        <v>2.0</v>
      </c>
      <c r="J3849" s="98"/>
      <c r="K3849" s="99"/>
      <c r="L3849" s="98"/>
      <c r="M3849" s="99"/>
      <c r="N3849" s="99"/>
      <c r="O3849" s="18"/>
      <c r="P3849" s="100" t="b">
        <v>1</v>
      </c>
      <c r="Q3849" s="18"/>
      <c r="R3849" s="101">
        <f t="shared" si="3377"/>
        <v>4</v>
      </c>
      <c r="S3849" s="32">
        <v>10.88</v>
      </c>
      <c r="T3849" s="102" t="str">
        <f t="shared" si="3378"/>
        <v>+172</v>
      </c>
      <c r="U3849" s="18"/>
      <c r="V3849" s="103" t="str">
        <f>IF(ISBLANK($D3849), "0",)</f>
        <v/>
      </c>
      <c r="W3849" s="104" t="str">
        <f t="shared" si="2828"/>
        <v/>
      </c>
      <c r="X3849" s="105"/>
      <c r="Y3849" s="106"/>
      <c r="Z3849" s="26">
        <f t="shared" si="5"/>
        <v>3.44</v>
      </c>
      <c r="AA3849" s="26">
        <f t="shared" si="6"/>
        <v>3.44</v>
      </c>
      <c r="AB3849" s="32" t="str">
        <f t="shared" si="7"/>
        <v/>
      </c>
      <c r="AC3849" s="32" t="str">
        <f t="shared" ref="AC3849:AG3849" si="3975">IF(J3849&lt;&gt;"", IF(AND($P3849=FALSE, $A3849=FALSE), -J3849, IF(AND($P3849=FALSE, $A3849=TRUE), 0, IF($P3849=TRUE, (J3849 / $R3849) * 100 * ($S3849 / 100)-J3849, ))), )</f>
        <v/>
      </c>
      <c r="AD3849" s="32" t="str">
        <f t="shared" si="3975"/>
        <v/>
      </c>
      <c r="AE3849" s="32" t="str">
        <f t="shared" si="3975"/>
        <v/>
      </c>
      <c r="AF3849" s="32" t="str">
        <f t="shared" si="3975"/>
        <v/>
      </c>
      <c r="AG3849" s="32" t="str">
        <f t="shared" si="3975"/>
        <v/>
      </c>
      <c r="AH3849" s="33"/>
    </row>
    <row r="3850" hidden="1" outlineLevel="2">
      <c r="A3850" s="95" t="b">
        <v>0</v>
      </c>
      <c r="B3850" s="96"/>
      <c r="C3850" s="18"/>
      <c r="D3850" s="107"/>
      <c r="E3850" s="108"/>
      <c r="F3850" s="109"/>
      <c r="G3850" s="97"/>
      <c r="H3850" s="97"/>
      <c r="I3850" s="97"/>
      <c r="J3850" s="98"/>
      <c r="K3850" s="99"/>
      <c r="L3850" s="98"/>
      <c r="M3850" s="99"/>
      <c r="N3850" s="99"/>
      <c r="O3850" s="18"/>
      <c r="P3850" s="100" t="b">
        <v>0</v>
      </c>
      <c r="Q3850" s="18"/>
      <c r="R3850" s="101" t="str">
        <f t="shared" si="3377"/>
        <v/>
      </c>
      <c r="S3850" s="32"/>
      <c r="T3850" s="102" t="str">
        <f t="shared" si="3378"/>
        <v/>
      </c>
      <c r="U3850" s="18"/>
      <c r="V3850" s="75" t="s">
        <v>29</v>
      </c>
      <c r="W3850" s="104" t="str">
        <f t="shared" si="2828"/>
        <v>/</v>
      </c>
      <c r="X3850" s="111" t="s">
        <v>2229</v>
      </c>
      <c r="Y3850" s="106"/>
      <c r="Z3850" s="26" t="str">
        <f t="shared" si="5"/>
        <v/>
      </c>
      <c r="AA3850" s="26" t="str">
        <f t="shared" si="6"/>
        <v/>
      </c>
      <c r="AB3850" s="32" t="str">
        <f t="shared" si="7"/>
        <v/>
      </c>
      <c r="AC3850" s="32" t="str">
        <f t="shared" ref="AC3850:AG3850" si="3976">IF(J3850&lt;&gt;"", IF(AND($P3850=FALSE, $A3850=FALSE), -J3850, IF(AND($P3850=FALSE, $A3850=TRUE), 0, IF($P3850=TRUE, (J3850 / $R3850) * 100 * ($S3850 / 100)-J3850, ))), )</f>
        <v/>
      </c>
      <c r="AD3850" s="32" t="str">
        <f t="shared" si="3976"/>
        <v/>
      </c>
      <c r="AE3850" s="32" t="str">
        <f t="shared" si="3976"/>
        <v/>
      </c>
      <c r="AF3850" s="32" t="str">
        <f t="shared" si="3976"/>
        <v/>
      </c>
      <c r="AG3850" s="32" t="str">
        <f t="shared" si="3976"/>
        <v/>
      </c>
      <c r="AH3850" s="33"/>
    </row>
    <row r="3851" hidden="1" outlineLevel="1">
      <c r="A3851" s="95" t="b">
        <v>0</v>
      </c>
      <c r="B3851" s="96"/>
      <c r="C3851" s="18"/>
      <c r="D3851" s="42">
        <v>46019.0</v>
      </c>
      <c r="E3851" s="43" t="s">
        <v>24</v>
      </c>
      <c r="F3851" s="53" t="s">
        <v>2227</v>
      </c>
      <c r="G3851" s="97">
        <v>3.0</v>
      </c>
      <c r="H3851" s="97"/>
      <c r="I3851" s="97">
        <v>2.0</v>
      </c>
      <c r="J3851" s="98"/>
      <c r="K3851" s="99"/>
      <c r="L3851" s="98"/>
      <c r="M3851" s="99"/>
      <c r="N3851" s="99"/>
      <c r="O3851" s="18"/>
      <c r="P3851" s="100" t="b">
        <v>1</v>
      </c>
      <c r="Q3851" s="18"/>
      <c r="R3851" s="101">
        <f t="shared" si="3377"/>
        <v>5</v>
      </c>
      <c r="S3851" s="32">
        <v>10.83</v>
      </c>
      <c r="T3851" s="102" t="str">
        <f t="shared" si="3378"/>
        <v>+117</v>
      </c>
      <c r="U3851" s="18"/>
      <c r="V3851" s="103" t="str">
        <f>IF(ISBLANK($D3851), "0",)</f>
        <v/>
      </c>
      <c r="W3851" s="104" t="str">
        <f t="shared" si="2828"/>
        <v/>
      </c>
      <c r="X3851" s="105"/>
      <c r="Y3851" s="106"/>
      <c r="Z3851" s="26">
        <f t="shared" si="5"/>
        <v>3.498</v>
      </c>
      <c r="AA3851" s="26">
        <f t="shared" si="6"/>
        <v>2.332</v>
      </c>
      <c r="AB3851" s="32" t="str">
        <f t="shared" si="7"/>
        <v/>
      </c>
      <c r="AC3851" s="32" t="str">
        <f t="shared" ref="AC3851:AG3851" si="3977">IF(J3851&lt;&gt;"", IF(AND($P3851=FALSE, $A3851=FALSE), -J3851, IF(AND($P3851=FALSE, $A3851=TRUE), 0, IF($P3851=TRUE, (J3851 / $R3851) * 100 * ($S3851 / 100)-J3851, ))), )</f>
        <v/>
      </c>
      <c r="AD3851" s="32" t="str">
        <f t="shared" si="3977"/>
        <v/>
      </c>
      <c r="AE3851" s="32" t="str">
        <f t="shared" si="3977"/>
        <v/>
      </c>
      <c r="AF3851" s="32" t="str">
        <f t="shared" si="3977"/>
        <v/>
      </c>
      <c r="AG3851" s="32" t="str">
        <f t="shared" si="3977"/>
        <v/>
      </c>
      <c r="AH3851" s="33"/>
    </row>
    <row r="3852" hidden="1" outlineLevel="2">
      <c r="A3852" s="95" t="b">
        <v>0</v>
      </c>
      <c r="B3852" s="96"/>
      <c r="C3852" s="18"/>
      <c r="D3852" s="107"/>
      <c r="E3852" s="108"/>
      <c r="F3852" s="109"/>
      <c r="G3852" s="97"/>
      <c r="H3852" s="97"/>
      <c r="I3852" s="97"/>
      <c r="J3852" s="98"/>
      <c r="K3852" s="99"/>
      <c r="L3852" s="98"/>
      <c r="M3852" s="99"/>
      <c r="N3852" s="99"/>
      <c r="O3852" s="18"/>
      <c r="P3852" s="100" t="b">
        <v>0</v>
      </c>
      <c r="Q3852" s="18"/>
      <c r="R3852" s="101" t="str">
        <f t="shared" si="3377"/>
        <v/>
      </c>
      <c r="S3852" s="32"/>
      <c r="T3852" s="102" t="str">
        <f t="shared" si="3378"/>
        <v/>
      </c>
      <c r="U3852" s="18"/>
      <c r="V3852" s="75" t="s">
        <v>29</v>
      </c>
      <c r="W3852" s="104" t="str">
        <f t="shared" si="2828"/>
        <v>/</v>
      </c>
      <c r="X3852" s="111" t="s">
        <v>899</v>
      </c>
      <c r="Y3852" s="106"/>
      <c r="Z3852" s="26" t="str">
        <f t="shared" si="5"/>
        <v/>
      </c>
      <c r="AA3852" s="26" t="str">
        <f t="shared" si="6"/>
        <v/>
      </c>
      <c r="AB3852" s="32" t="str">
        <f t="shared" si="7"/>
        <v/>
      </c>
      <c r="AC3852" s="32" t="str">
        <f t="shared" ref="AC3852:AG3852" si="3978">IF(J3852&lt;&gt;"", IF(AND($P3852=FALSE, $A3852=FALSE), -J3852, IF(AND($P3852=FALSE, $A3852=TRUE), 0, IF($P3852=TRUE, (J3852 / $R3852) * 100 * ($S3852 / 100)-J3852, ))), )</f>
        <v/>
      </c>
      <c r="AD3852" s="32" t="str">
        <f t="shared" si="3978"/>
        <v/>
      </c>
      <c r="AE3852" s="32" t="str">
        <f t="shared" si="3978"/>
        <v/>
      </c>
      <c r="AF3852" s="32" t="str">
        <f t="shared" si="3978"/>
        <v/>
      </c>
      <c r="AG3852" s="32" t="str">
        <f t="shared" si="3978"/>
        <v/>
      </c>
      <c r="AH3852" s="33"/>
    </row>
    <row r="3853" hidden="1" outlineLevel="2">
      <c r="A3853" s="95" t="b">
        <v>0</v>
      </c>
      <c r="B3853" s="96"/>
      <c r="C3853" s="18"/>
      <c r="D3853" s="107"/>
      <c r="E3853" s="108"/>
      <c r="F3853" s="109"/>
      <c r="G3853" s="97"/>
      <c r="H3853" s="97"/>
      <c r="I3853" s="97"/>
      <c r="J3853" s="98"/>
      <c r="K3853" s="99"/>
      <c r="L3853" s="98"/>
      <c r="M3853" s="99"/>
      <c r="N3853" s="99"/>
      <c r="O3853" s="18"/>
      <c r="P3853" s="100" t="b">
        <v>0</v>
      </c>
      <c r="Q3853" s="18"/>
      <c r="R3853" s="101" t="str">
        <f t="shared" si="3377"/>
        <v/>
      </c>
      <c r="S3853" s="32"/>
      <c r="T3853" s="102" t="str">
        <f t="shared" si="3378"/>
        <v/>
      </c>
      <c r="U3853" s="18"/>
      <c r="V3853" s="75" t="s">
        <v>29</v>
      </c>
      <c r="W3853" s="104" t="str">
        <f t="shared" si="2828"/>
        <v>/</v>
      </c>
      <c r="X3853" s="111" t="s">
        <v>2230</v>
      </c>
      <c r="Y3853" s="106"/>
      <c r="Z3853" s="26" t="str">
        <f t="shared" si="5"/>
        <v/>
      </c>
      <c r="AA3853" s="26" t="str">
        <f t="shared" si="6"/>
        <v/>
      </c>
      <c r="AB3853" s="32" t="str">
        <f t="shared" si="7"/>
        <v/>
      </c>
      <c r="AC3853" s="32" t="str">
        <f t="shared" ref="AC3853:AG3853" si="3979">IF(J3853&lt;&gt;"", IF(AND($P3853=FALSE, $A3853=FALSE), -J3853, IF(AND($P3853=FALSE, $A3853=TRUE), 0, IF($P3853=TRUE, (J3853 / $R3853) * 100 * ($S3853 / 100)-J3853, ))), )</f>
        <v/>
      </c>
      <c r="AD3853" s="32" t="str">
        <f t="shared" si="3979"/>
        <v/>
      </c>
      <c r="AE3853" s="32" t="str">
        <f t="shared" si="3979"/>
        <v/>
      </c>
      <c r="AF3853" s="32" t="str">
        <f t="shared" si="3979"/>
        <v/>
      </c>
      <c r="AG3853" s="32" t="str">
        <f t="shared" si="3979"/>
        <v/>
      </c>
      <c r="AH3853" s="33"/>
    </row>
    <row r="3854" collapsed="1">
      <c r="A3854" s="95" t="b">
        <v>0</v>
      </c>
      <c r="B3854" s="96"/>
      <c r="C3854" s="18"/>
      <c r="D3854" s="42">
        <v>46025.0</v>
      </c>
      <c r="E3854" s="43" t="s">
        <v>24</v>
      </c>
      <c r="F3854" s="53" t="s">
        <v>2231</v>
      </c>
      <c r="G3854" s="97">
        <v>6.0</v>
      </c>
      <c r="H3854" s="97"/>
      <c r="I3854" s="97">
        <v>7.0</v>
      </c>
      <c r="J3854" s="98"/>
      <c r="K3854" s="99"/>
      <c r="L3854" s="98"/>
      <c r="M3854" s="99"/>
      <c r="N3854" s="99"/>
      <c r="O3854" s="18"/>
      <c r="P3854" s="100" t="b">
        <v>0</v>
      </c>
      <c r="Q3854" s="18"/>
      <c r="R3854" s="101">
        <f t="shared" si="3377"/>
        <v>13</v>
      </c>
      <c r="S3854" s="32"/>
      <c r="T3854" s="102">
        <f t="shared" si="3378"/>
        <v>100</v>
      </c>
      <c r="U3854" s="18"/>
      <c r="V3854" s="103" t="str">
        <f t="shared" ref="V3854:V3857" si="3981">IF(ISBLANK($D3854), "0",)</f>
        <v/>
      </c>
      <c r="W3854" s="104" t="str">
        <f t="shared" si="2828"/>
        <v/>
      </c>
      <c r="X3854" s="105"/>
      <c r="Y3854" s="106"/>
      <c r="Z3854" s="26">
        <f t="shared" si="5"/>
        <v>-6</v>
      </c>
      <c r="AA3854" s="26">
        <f t="shared" si="6"/>
        <v>-7</v>
      </c>
      <c r="AB3854" s="32" t="str">
        <f t="shared" si="7"/>
        <v/>
      </c>
      <c r="AC3854" s="32" t="str">
        <f t="shared" ref="AC3854:AG3854" si="3980">IF(J3854&lt;&gt;"", IF(AND($P3854=FALSE, $A3854=FALSE), -J3854, IF(AND($P3854=FALSE, $A3854=TRUE), 0, IF($P3854=TRUE, (J3854 / $R3854) * 100 * ($S3854 / 100)-J3854, ))), )</f>
        <v/>
      </c>
      <c r="AD3854" s="32" t="str">
        <f t="shared" si="3980"/>
        <v/>
      </c>
      <c r="AE3854" s="32" t="str">
        <f t="shared" si="3980"/>
        <v/>
      </c>
      <c r="AF3854" s="32" t="str">
        <f t="shared" si="3980"/>
        <v/>
      </c>
      <c r="AG3854" s="32" t="str">
        <f t="shared" si="3980"/>
        <v/>
      </c>
      <c r="AH3854" s="33"/>
    </row>
    <row r="3855" hidden="1" outlineLevel="2">
      <c r="A3855" s="95" t="b">
        <v>0</v>
      </c>
      <c r="B3855" s="96"/>
      <c r="C3855" s="18"/>
      <c r="D3855" s="107"/>
      <c r="E3855" s="108"/>
      <c r="F3855" s="109"/>
      <c r="G3855" s="97"/>
      <c r="H3855" s="97"/>
      <c r="I3855" s="97"/>
      <c r="J3855" s="98"/>
      <c r="K3855" s="99"/>
      <c r="L3855" s="98"/>
      <c r="M3855" s="99"/>
      <c r="N3855" s="99"/>
      <c r="O3855" s="18"/>
      <c r="P3855" s="100" t="b">
        <v>0</v>
      </c>
      <c r="Q3855" s="18"/>
      <c r="R3855" s="101" t="str">
        <f t="shared" si="3377"/>
        <v/>
      </c>
      <c r="S3855" s="32"/>
      <c r="T3855" s="102" t="str">
        <f t="shared" si="3378"/>
        <v/>
      </c>
      <c r="U3855" s="18"/>
      <c r="V3855" s="103" t="str">
        <f t="shared" si="3981"/>
        <v>0</v>
      </c>
      <c r="W3855" s="104" t="str">
        <f t="shared" si="2828"/>
        <v>/</v>
      </c>
      <c r="X3855" s="111" t="s">
        <v>2232</v>
      </c>
      <c r="Y3855" s="106"/>
      <c r="Z3855" s="26" t="str">
        <f t="shared" si="5"/>
        <v/>
      </c>
      <c r="AA3855" s="26" t="str">
        <f t="shared" si="6"/>
        <v/>
      </c>
      <c r="AB3855" s="32" t="str">
        <f t="shared" si="7"/>
        <v/>
      </c>
      <c r="AC3855" s="32" t="str">
        <f t="shared" ref="AC3855:AG3855" si="3982">IF(J3855&lt;&gt;"", IF(AND($P3855=FALSE, $A3855=FALSE), -J3855, IF(AND($P3855=FALSE, $A3855=TRUE), 0, IF($P3855=TRUE, (J3855 / $R3855) * 100 * ($S3855 / 100)-J3855, ))), )</f>
        <v/>
      </c>
      <c r="AD3855" s="32" t="str">
        <f t="shared" si="3982"/>
        <v/>
      </c>
      <c r="AE3855" s="32" t="str">
        <f t="shared" si="3982"/>
        <v/>
      </c>
      <c r="AF3855" s="32" t="str">
        <f t="shared" si="3982"/>
        <v/>
      </c>
      <c r="AG3855" s="32" t="str">
        <f t="shared" si="3982"/>
        <v/>
      </c>
      <c r="AH3855" s="33"/>
    </row>
    <row r="3856">
      <c r="A3856" s="95" t="b">
        <v>0</v>
      </c>
      <c r="B3856" s="96"/>
      <c r="C3856" s="18"/>
      <c r="D3856" s="42">
        <v>46025.0</v>
      </c>
      <c r="E3856" s="43" t="s">
        <v>24</v>
      </c>
      <c r="F3856" s="53" t="s">
        <v>2231</v>
      </c>
      <c r="G3856" s="97">
        <v>6.0</v>
      </c>
      <c r="H3856" s="97"/>
      <c r="I3856" s="97">
        <v>7.0</v>
      </c>
      <c r="J3856" s="98"/>
      <c r="K3856" s="99"/>
      <c r="L3856" s="98"/>
      <c r="M3856" s="99"/>
      <c r="N3856" s="99"/>
      <c r="O3856" s="18"/>
      <c r="P3856" s="100" t="b">
        <v>0</v>
      </c>
      <c r="Q3856" s="18"/>
      <c r="R3856" s="101">
        <f t="shared" si="3377"/>
        <v>13</v>
      </c>
      <c r="S3856" s="32"/>
      <c r="T3856" s="102">
        <f t="shared" si="3378"/>
        <v>100</v>
      </c>
      <c r="U3856" s="18"/>
      <c r="V3856" s="103" t="str">
        <f t="shared" si="3981"/>
        <v/>
      </c>
      <c r="W3856" s="104" t="str">
        <f t="shared" si="2828"/>
        <v/>
      </c>
      <c r="X3856" s="105"/>
      <c r="Y3856" s="106"/>
      <c r="Z3856" s="26">
        <f t="shared" si="5"/>
        <v>-6</v>
      </c>
      <c r="AA3856" s="26">
        <f t="shared" si="6"/>
        <v>-7</v>
      </c>
      <c r="AB3856" s="32" t="str">
        <f t="shared" si="7"/>
        <v/>
      </c>
      <c r="AC3856" s="32" t="str">
        <f t="shared" ref="AC3856:AG3856" si="3983">IF(J3856&lt;&gt;"", IF(AND($P3856=FALSE, $A3856=FALSE), -J3856, IF(AND($P3856=FALSE, $A3856=TRUE), 0, IF($P3856=TRUE, (J3856 / $R3856) * 100 * ($S3856 / 100)-J3856, ))), )</f>
        <v/>
      </c>
      <c r="AD3856" s="32" t="str">
        <f t="shared" si="3983"/>
        <v/>
      </c>
      <c r="AE3856" s="32" t="str">
        <f t="shared" si="3983"/>
        <v/>
      </c>
      <c r="AF3856" s="32" t="str">
        <f t="shared" si="3983"/>
        <v/>
      </c>
      <c r="AG3856" s="32" t="str">
        <f t="shared" si="3983"/>
        <v/>
      </c>
      <c r="AH3856" s="33"/>
    </row>
    <row r="3857" outlineLevel="1" collapsed="1">
      <c r="A3857" s="95" t="b">
        <v>0</v>
      </c>
      <c r="B3857" s="96"/>
      <c r="C3857" s="18"/>
      <c r="D3857" s="42">
        <v>46061.0</v>
      </c>
      <c r="E3857" s="43" t="s">
        <v>24</v>
      </c>
      <c r="F3857" s="53" t="s">
        <v>2233</v>
      </c>
      <c r="G3857" s="97">
        <v>1.5</v>
      </c>
      <c r="H3857" s="97"/>
      <c r="I3857" s="97">
        <v>12.0</v>
      </c>
      <c r="J3857" s="98"/>
      <c r="K3857" s="99">
        <v>1.5</v>
      </c>
      <c r="L3857" s="98"/>
      <c r="M3857" s="99"/>
      <c r="N3857" s="99"/>
      <c r="O3857" s="18"/>
      <c r="P3857" s="100" t="b">
        <v>0</v>
      </c>
      <c r="Q3857" s="18"/>
      <c r="R3857" s="101">
        <f t="shared" si="3377"/>
        <v>15</v>
      </c>
      <c r="S3857" s="32"/>
      <c r="T3857" s="102">
        <f t="shared" si="3378"/>
        <v>100</v>
      </c>
      <c r="U3857" s="18"/>
      <c r="V3857" s="103" t="str">
        <f t="shared" si="3981"/>
        <v/>
      </c>
      <c r="W3857" s="104" t="str">
        <f t="shared" si="2828"/>
        <v/>
      </c>
      <c r="X3857" s="105"/>
      <c r="Y3857" s="106"/>
      <c r="Z3857" s="26">
        <f t="shared" si="5"/>
        <v>-1.5</v>
      </c>
      <c r="AA3857" s="26">
        <f t="shared" si="6"/>
        <v>-12</v>
      </c>
      <c r="AB3857" s="32" t="str">
        <f t="shared" si="7"/>
        <v/>
      </c>
      <c r="AC3857" s="32" t="str">
        <f t="shared" ref="AC3857:AG3857" si="3984">IF(J3857&lt;&gt;"", IF(AND($P3857=FALSE, $A3857=FALSE), -J3857, IF(AND($P3857=FALSE, $A3857=TRUE), 0, IF($P3857=TRUE, (J3857 / $R3857) * 100 * ($S3857 / 100)-J3857, ))), )</f>
        <v/>
      </c>
      <c r="AD3857" s="32">
        <f t="shared" si="3984"/>
        <v>-1.5</v>
      </c>
      <c r="AE3857" s="32" t="str">
        <f t="shared" si="3984"/>
        <v/>
      </c>
      <c r="AF3857" s="32" t="str">
        <f t="shared" si="3984"/>
        <v/>
      </c>
      <c r="AG3857" s="32" t="str">
        <f t="shared" si="3984"/>
        <v/>
      </c>
      <c r="AH3857" s="32">
        <f>IF(P3857&lt;&gt;"", IF(AND($P3857=FALSE, $A3857=FALSE), -P3857, IF(AND($P3857=FALSE, $A3857=TRUE), 0, IF($P3857=TRUE, (P3857 / $R3857) * 100 * ($S3857 / 100)-P3857, ))), )</f>
        <v>0</v>
      </c>
    </row>
    <row r="3858" hidden="1" outlineLevel="2">
      <c r="A3858" s="95" t="b">
        <v>0</v>
      </c>
      <c r="B3858" s="96"/>
      <c r="C3858" s="18"/>
      <c r="D3858" s="107"/>
      <c r="E3858" s="108"/>
      <c r="F3858" s="109"/>
      <c r="G3858" s="97"/>
      <c r="H3858" s="97"/>
      <c r="I3858" s="97"/>
      <c r="J3858" s="98"/>
      <c r="K3858" s="99"/>
      <c r="L3858" s="98"/>
      <c r="M3858" s="99"/>
      <c r="N3858" s="99"/>
      <c r="O3858" s="18"/>
      <c r="P3858" s="100" t="b">
        <v>0</v>
      </c>
      <c r="Q3858" s="18"/>
      <c r="R3858" s="101" t="str">
        <f t="shared" si="3377"/>
        <v/>
      </c>
      <c r="S3858" s="32"/>
      <c r="T3858" s="102" t="str">
        <f t="shared" si="3378"/>
        <v/>
      </c>
      <c r="U3858" s="18"/>
      <c r="V3858" s="75" t="s">
        <v>29</v>
      </c>
      <c r="W3858" s="104" t="str">
        <f t="shared" si="2828"/>
        <v>/</v>
      </c>
      <c r="X3858" s="111" t="s">
        <v>2234</v>
      </c>
      <c r="Y3858" s="106"/>
      <c r="Z3858" s="26" t="str">
        <f t="shared" si="5"/>
        <v/>
      </c>
      <c r="AA3858" s="26" t="str">
        <f t="shared" si="6"/>
        <v/>
      </c>
      <c r="AB3858" s="32" t="str">
        <f t="shared" si="7"/>
        <v/>
      </c>
      <c r="AC3858" s="32" t="str">
        <f t="shared" ref="AC3858:AG3858" si="3985">IF(J3858&lt;&gt;"", IF(AND($P3858=FALSE, $A3858=FALSE), -J3858, IF(AND($P3858=FALSE, $A3858=TRUE), 0, IF($P3858=TRUE, (J3858 / $R3858) * 100 * ($S3858 / 100)-J3858, ))), )</f>
        <v/>
      </c>
      <c r="AD3858" s="32" t="str">
        <f t="shared" si="3985"/>
        <v/>
      </c>
      <c r="AE3858" s="32" t="str">
        <f t="shared" si="3985"/>
        <v/>
      </c>
      <c r="AF3858" s="32" t="str">
        <f t="shared" si="3985"/>
        <v/>
      </c>
      <c r="AG3858" s="32" t="str">
        <f t="shared" si="3985"/>
        <v/>
      </c>
      <c r="AH3858" s="33"/>
    </row>
    <row r="3859" outlineLevel="1" collapsed="1">
      <c r="A3859" s="95" t="b">
        <v>0</v>
      </c>
      <c r="B3859" s="96"/>
      <c r="C3859" s="18"/>
      <c r="D3859" s="42">
        <v>46061.0</v>
      </c>
      <c r="E3859" s="43" t="s">
        <v>24</v>
      </c>
      <c r="F3859" s="53" t="s">
        <v>2233</v>
      </c>
      <c r="G3859" s="97">
        <v>3.0</v>
      </c>
      <c r="H3859" s="97"/>
      <c r="I3859" s="97">
        <v>4.0</v>
      </c>
      <c r="J3859" s="98"/>
      <c r="K3859" s="97">
        <v>3.0</v>
      </c>
      <c r="L3859" s="98"/>
      <c r="M3859" s="99"/>
      <c r="N3859" s="99"/>
      <c r="O3859" s="18"/>
      <c r="P3859" s="100" t="b">
        <v>0</v>
      </c>
      <c r="Q3859" s="18"/>
      <c r="R3859" s="101">
        <f t="shared" si="3377"/>
        <v>10</v>
      </c>
      <c r="S3859" s="32"/>
      <c r="T3859" s="102">
        <f t="shared" si="3378"/>
        <v>100</v>
      </c>
      <c r="U3859" s="18"/>
      <c r="V3859" s="103" t="str">
        <f>IF(ISBLANK($D3859), "0",)</f>
        <v/>
      </c>
      <c r="W3859" s="104" t="str">
        <f t="shared" si="2828"/>
        <v/>
      </c>
      <c r="X3859" s="111"/>
      <c r="Y3859" s="106"/>
      <c r="Z3859" s="26">
        <f t="shared" si="5"/>
        <v>-3</v>
      </c>
      <c r="AA3859" s="26">
        <f t="shared" si="6"/>
        <v>-4</v>
      </c>
      <c r="AB3859" s="32" t="str">
        <f t="shared" si="7"/>
        <v/>
      </c>
      <c r="AC3859" s="32" t="str">
        <f t="shared" ref="AC3859:AG3859" si="3986">IF(J3859&lt;&gt;"", IF(AND($P3859=FALSE, $A3859=FALSE), -J3859, IF(AND($P3859=FALSE, $A3859=TRUE), 0, IF($P3859=TRUE, (J3859 / $R3859) * 100 * ($S3859 / 100)-J3859, ))), )</f>
        <v/>
      </c>
      <c r="AD3859" s="32">
        <f t="shared" si="3986"/>
        <v>-3</v>
      </c>
      <c r="AE3859" s="32" t="str">
        <f t="shared" si="3986"/>
        <v/>
      </c>
      <c r="AF3859" s="32" t="str">
        <f t="shared" si="3986"/>
        <v/>
      </c>
      <c r="AG3859" s="32" t="str">
        <f t="shared" si="3986"/>
        <v/>
      </c>
      <c r="AH3859" s="33"/>
    </row>
    <row r="3860" hidden="1" outlineLevel="2">
      <c r="A3860" s="95" t="b">
        <v>0</v>
      </c>
      <c r="B3860" s="96"/>
      <c r="C3860" s="18"/>
      <c r="D3860" s="107"/>
      <c r="E3860" s="108"/>
      <c r="F3860" s="109"/>
      <c r="G3860" s="97"/>
      <c r="H3860" s="97"/>
      <c r="I3860" s="97"/>
      <c r="J3860" s="98"/>
      <c r="K3860" s="99"/>
      <c r="L3860" s="98"/>
      <c r="M3860" s="99"/>
      <c r="N3860" s="99"/>
      <c r="O3860" s="18"/>
      <c r="P3860" s="100" t="b">
        <v>0</v>
      </c>
      <c r="Q3860" s="18"/>
      <c r="R3860" s="101" t="str">
        <f t="shared" si="3377"/>
        <v/>
      </c>
      <c r="S3860" s="32"/>
      <c r="T3860" s="102" t="str">
        <f t="shared" si="3378"/>
        <v/>
      </c>
      <c r="U3860" s="18"/>
      <c r="V3860" s="75" t="s">
        <v>29</v>
      </c>
      <c r="W3860" s="104" t="str">
        <f t="shared" si="2828"/>
        <v>/</v>
      </c>
      <c r="X3860" s="111" t="s">
        <v>2171</v>
      </c>
      <c r="Y3860" s="106"/>
      <c r="Z3860" s="26" t="str">
        <f t="shared" si="5"/>
        <v/>
      </c>
      <c r="AA3860" s="26" t="str">
        <f t="shared" si="6"/>
        <v/>
      </c>
      <c r="AB3860" s="32" t="str">
        <f t="shared" si="7"/>
        <v/>
      </c>
      <c r="AC3860" s="32" t="str">
        <f t="shared" ref="AC3860:AG3860" si="3987">IF(J3860&lt;&gt;"", IF(AND($P3860=FALSE, $A3860=FALSE), -J3860, IF(AND($P3860=FALSE, $A3860=TRUE), 0, IF($P3860=TRUE, (J3860 / $R3860) * 100 * ($S3860 / 100)-J3860, ))), )</f>
        <v/>
      </c>
      <c r="AD3860" s="32" t="str">
        <f t="shared" si="3987"/>
        <v/>
      </c>
      <c r="AE3860" s="32" t="str">
        <f t="shared" si="3987"/>
        <v/>
      </c>
      <c r="AF3860" s="32" t="str">
        <f t="shared" si="3987"/>
        <v/>
      </c>
      <c r="AG3860" s="32" t="str">
        <f t="shared" si="3987"/>
        <v/>
      </c>
      <c r="AH3860" s="33"/>
    </row>
    <row r="3861" outlineLevel="1" collapsed="1">
      <c r="A3861" s="95" t="b">
        <v>0</v>
      </c>
      <c r="B3861" s="96"/>
      <c r="C3861" s="18"/>
      <c r="D3861" s="42">
        <v>46061.0</v>
      </c>
      <c r="E3861" s="43" t="s">
        <v>24</v>
      </c>
      <c r="F3861" s="53" t="s">
        <v>2233</v>
      </c>
      <c r="G3861" s="97">
        <v>2.0</v>
      </c>
      <c r="H3861" s="97"/>
      <c r="I3861" s="97">
        <v>4.0</v>
      </c>
      <c r="J3861" s="98"/>
      <c r="K3861" s="99"/>
      <c r="L3861" s="98"/>
      <c r="M3861" s="99"/>
      <c r="N3861" s="99"/>
      <c r="O3861" s="18"/>
      <c r="P3861" s="100" t="b">
        <v>0</v>
      </c>
      <c r="Q3861" s="18"/>
      <c r="R3861" s="101">
        <f t="shared" si="3377"/>
        <v>6</v>
      </c>
      <c r="S3861" s="32"/>
      <c r="T3861" s="102">
        <f t="shared" si="3378"/>
        <v>100</v>
      </c>
      <c r="U3861" s="18"/>
      <c r="V3861" s="103" t="str">
        <f t="shared" ref="V3861:V3863" si="3989">IF(ISBLANK($D3861), "0",)</f>
        <v/>
      </c>
      <c r="W3861" s="104" t="str">
        <f t="shared" si="2828"/>
        <v/>
      </c>
      <c r="X3861" s="105"/>
      <c r="Y3861" s="106"/>
      <c r="Z3861" s="26">
        <f t="shared" si="5"/>
        <v>-2</v>
      </c>
      <c r="AA3861" s="26">
        <f t="shared" si="6"/>
        <v>-4</v>
      </c>
      <c r="AB3861" s="32" t="str">
        <f t="shared" si="7"/>
        <v/>
      </c>
      <c r="AC3861" s="32" t="str">
        <f t="shared" ref="AC3861:AG3861" si="3988">IF(J3861&lt;&gt;"", IF(AND($P3861=FALSE, $A3861=FALSE), -J3861, IF(AND($P3861=FALSE, $A3861=TRUE), 0, IF($P3861=TRUE, (J3861 / $R3861) * 100 * ($S3861 / 100)-J3861, ))), )</f>
        <v/>
      </c>
      <c r="AD3861" s="32" t="str">
        <f t="shared" si="3988"/>
        <v/>
      </c>
      <c r="AE3861" s="32" t="str">
        <f t="shared" si="3988"/>
        <v/>
      </c>
      <c r="AF3861" s="32" t="str">
        <f t="shared" si="3988"/>
        <v/>
      </c>
      <c r="AG3861" s="32" t="str">
        <f t="shared" si="3988"/>
        <v/>
      </c>
      <c r="AH3861" s="33"/>
    </row>
    <row r="3862" hidden="1" outlineLevel="2">
      <c r="A3862" s="95" t="b">
        <v>0</v>
      </c>
      <c r="B3862" s="96"/>
      <c r="C3862" s="18"/>
      <c r="D3862" s="107"/>
      <c r="E3862" s="108"/>
      <c r="F3862" s="109"/>
      <c r="G3862" s="97"/>
      <c r="H3862" s="97"/>
      <c r="I3862" s="97"/>
      <c r="J3862" s="98"/>
      <c r="K3862" s="99"/>
      <c r="L3862" s="98"/>
      <c r="M3862" s="99"/>
      <c r="N3862" s="99"/>
      <c r="O3862" s="18"/>
      <c r="P3862" s="100" t="b">
        <v>0</v>
      </c>
      <c r="Q3862" s="18"/>
      <c r="R3862" s="101" t="str">
        <f t="shared" si="3377"/>
        <v/>
      </c>
      <c r="S3862" s="32"/>
      <c r="T3862" s="102" t="str">
        <f t="shared" si="3378"/>
        <v/>
      </c>
      <c r="U3862" s="18"/>
      <c r="V3862" s="103" t="str">
        <f t="shared" si="3989"/>
        <v>0</v>
      </c>
      <c r="W3862" s="104" t="str">
        <f t="shared" si="2828"/>
        <v>/</v>
      </c>
      <c r="X3862" s="111" t="s">
        <v>2235</v>
      </c>
      <c r="Y3862" s="106"/>
      <c r="Z3862" s="26" t="str">
        <f t="shared" si="5"/>
        <v/>
      </c>
      <c r="AA3862" s="26" t="str">
        <f t="shared" si="6"/>
        <v/>
      </c>
      <c r="AB3862" s="32" t="str">
        <f t="shared" si="7"/>
        <v/>
      </c>
      <c r="AC3862" s="32" t="str">
        <f t="shared" ref="AC3862:AG3862" si="3990">IF(J3862&lt;&gt;"", IF(AND($P3862=FALSE, $A3862=FALSE), -J3862, IF(AND($P3862=FALSE, $A3862=TRUE), 0, IF($P3862=TRUE, (J3862 / $R3862) * 100 * ($S3862 / 100)-J3862, ))), )</f>
        <v/>
      </c>
      <c r="AD3862" s="32" t="str">
        <f t="shared" si="3990"/>
        <v/>
      </c>
      <c r="AE3862" s="32" t="str">
        <f t="shared" si="3990"/>
        <v/>
      </c>
      <c r="AF3862" s="32" t="str">
        <f t="shared" si="3990"/>
        <v/>
      </c>
      <c r="AG3862" s="32" t="str">
        <f t="shared" si="3990"/>
        <v/>
      </c>
      <c r="AH3862" s="33"/>
    </row>
    <row r="3863" outlineLevel="1" collapsed="1">
      <c r="A3863" s="95" t="b">
        <v>0</v>
      </c>
      <c r="B3863" s="96"/>
      <c r="C3863" s="18"/>
      <c r="D3863" s="42">
        <v>46061.0</v>
      </c>
      <c r="E3863" s="43" t="s">
        <v>24</v>
      </c>
      <c r="F3863" s="53" t="s">
        <v>2233</v>
      </c>
      <c r="G3863" s="97">
        <v>3.0</v>
      </c>
      <c r="H3863" s="97">
        <v>3.0</v>
      </c>
      <c r="I3863" s="97">
        <v>9.0</v>
      </c>
      <c r="J3863" s="98">
        <v>5.0</v>
      </c>
      <c r="K3863" s="99">
        <v>3.0</v>
      </c>
      <c r="L3863" s="98"/>
      <c r="M3863" s="99"/>
      <c r="N3863" s="99"/>
      <c r="O3863" s="18"/>
      <c r="P3863" s="100" t="b">
        <v>0</v>
      </c>
      <c r="Q3863" s="18"/>
      <c r="R3863" s="101">
        <f t="shared" si="3377"/>
        <v>23</v>
      </c>
      <c r="S3863" s="32"/>
      <c r="T3863" s="102">
        <f t="shared" si="3378"/>
        <v>100</v>
      </c>
      <c r="U3863" s="18"/>
      <c r="V3863" s="103" t="str">
        <f t="shared" si="3989"/>
        <v/>
      </c>
      <c r="W3863" s="104" t="str">
        <f t="shared" si="2828"/>
        <v/>
      </c>
      <c r="X3863" s="105"/>
      <c r="Y3863" s="106"/>
      <c r="Z3863" s="26">
        <f t="shared" si="5"/>
        <v>-3</v>
      </c>
      <c r="AA3863" s="26">
        <f t="shared" si="6"/>
        <v>-9</v>
      </c>
      <c r="AB3863" s="32">
        <f t="shared" si="7"/>
        <v>-3</v>
      </c>
      <c r="AC3863" s="32">
        <f t="shared" ref="AC3863:AG3863" si="3991">IF(J3863&lt;&gt;"", IF(AND($P3863=FALSE, $A3863=FALSE), -J3863, IF(AND($P3863=FALSE, $A3863=TRUE), 0, IF($P3863=TRUE, (J3863 / $R3863) * 100 * ($S3863 / 100)-J3863, ))), )</f>
        <v>-5</v>
      </c>
      <c r="AD3863" s="32">
        <f t="shared" si="3991"/>
        <v>-3</v>
      </c>
      <c r="AE3863" s="32" t="str">
        <f t="shared" si="3991"/>
        <v/>
      </c>
      <c r="AF3863" s="32" t="str">
        <f t="shared" si="3991"/>
        <v/>
      </c>
      <c r="AG3863" s="32" t="str">
        <f t="shared" si="3991"/>
        <v/>
      </c>
      <c r="AH3863" s="33"/>
    </row>
    <row r="3864" hidden="1" outlineLevel="2">
      <c r="A3864" s="95" t="b">
        <v>0</v>
      </c>
      <c r="B3864" s="96"/>
      <c r="C3864" s="18"/>
      <c r="D3864" s="107"/>
      <c r="E3864" s="108"/>
      <c r="F3864" s="109"/>
      <c r="G3864" s="97"/>
      <c r="H3864" s="97"/>
      <c r="I3864" s="97"/>
      <c r="J3864" s="98"/>
      <c r="K3864" s="99"/>
      <c r="L3864" s="98"/>
      <c r="M3864" s="99"/>
      <c r="N3864" s="99"/>
      <c r="O3864" s="18"/>
      <c r="P3864" s="100" t="b">
        <v>0</v>
      </c>
      <c r="Q3864" s="18"/>
      <c r="R3864" s="101" t="str">
        <f t="shared" si="3377"/>
        <v/>
      </c>
      <c r="S3864" s="32"/>
      <c r="T3864" s="102" t="str">
        <f t="shared" si="3378"/>
        <v/>
      </c>
      <c r="U3864" s="18"/>
      <c r="V3864" s="113">
        <v>-16.0</v>
      </c>
      <c r="W3864" s="104" t="str">
        <f t="shared" si="2828"/>
        <v>/</v>
      </c>
      <c r="X3864" s="111" t="s">
        <v>2171</v>
      </c>
      <c r="Y3864" s="106"/>
      <c r="Z3864" s="26" t="str">
        <f t="shared" si="5"/>
        <v/>
      </c>
      <c r="AA3864" s="26" t="str">
        <f t="shared" si="6"/>
        <v/>
      </c>
      <c r="AB3864" s="32" t="str">
        <f t="shared" si="7"/>
        <v/>
      </c>
      <c r="AC3864" s="32" t="str">
        <f t="shared" ref="AC3864:AG3864" si="3992">IF(J3864&lt;&gt;"", IF(AND($P3864=FALSE, $A3864=FALSE), -J3864, IF(AND($P3864=FALSE, $A3864=TRUE), 0, IF($P3864=TRUE, (J3864 / $R3864) * 100 * ($S3864 / 100)-J3864, ))), )</f>
        <v/>
      </c>
      <c r="AD3864" s="32" t="str">
        <f t="shared" si="3992"/>
        <v/>
      </c>
      <c r="AE3864" s="32" t="str">
        <f t="shared" si="3992"/>
        <v/>
      </c>
      <c r="AF3864" s="32" t="str">
        <f t="shared" si="3992"/>
        <v/>
      </c>
      <c r="AG3864" s="32" t="str">
        <f t="shared" si="3992"/>
        <v/>
      </c>
      <c r="AH3864" s="33"/>
    </row>
    <row r="3865" hidden="1" outlineLevel="2">
      <c r="A3865" s="95" t="b">
        <v>0</v>
      </c>
      <c r="B3865" s="96"/>
      <c r="C3865" s="18"/>
      <c r="D3865" s="107"/>
      <c r="E3865" s="108"/>
      <c r="F3865" s="109"/>
      <c r="G3865" s="97"/>
      <c r="H3865" s="97"/>
      <c r="I3865" s="97"/>
      <c r="J3865" s="98"/>
      <c r="K3865" s="99"/>
      <c r="L3865" s="98"/>
      <c r="M3865" s="99"/>
      <c r="N3865" s="99"/>
      <c r="O3865" s="18"/>
      <c r="P3865" s="100" t="b">
        <v>0</v>
      </c>
      <c r="Q3865" s="18"/>
      <c r="R3865" s="101" t="str">
        <f t="shared" si="3377"/>
        <v/>
      </c>
      <c r="S3865" s="32"/>
      <c r="T3865" s="102" t="str">
        <f t="shared" si="3378"/>
        <v/>
      </c>
      <c r="U3865" s="18"/>
      <c r="V3865" s="75" t="s">
        <v>29</v>
      </c>
      <c r="W3865" s="104" t="str">
        <f t="shared" si="2828"/>
        <v>/</v>
      </c>
      <c r="X3865" s="111" t="s">
        <v>2236</v>
      </c>
      <c r="Y3865" s="106"/>
      <c r="Z3865" s="26" t="str">
        <f t="shared" si="5"/>
        <v/>
      </c>
      <c r="AA3865" s="26" t="str">
        <f t="shared" si="6"/>
        <v/>
      </c>
      <c r="AB3865" s="32" t="str">
        <f t="shared" si="7"/>
        <v/>
      </c>
      <c r="AC3865" s="32" t="str">
        <f t="shared" ref="AC3865:AG3865" si="3993">IF(J3865&lt;&gt;"", IF(AND($P3865=FALSE, $A3865=FALSE), -J3865, IF(AND($P3865=FALSE, $A3865=TRUE), 0, IF($P3865=TRUE, (J3865 / $R3865) * 100 * ($S3865 / 100)-J3865, ))), )</f>
        <v/>
      </c>
      <c r="AD3865" s="32" t="str">
        <f t="shared" si="3993"/>
        <v/>
      </c>
      <c r="AE3865" s="32" t="str">
        <f t="shared" si="3993"/>
        <v/>
      </c>
      <c r="AF3865" s="32" t="str">
        <f t="shared" si="3993"/>
        <v/>
      </c>
      <c r="AG3865" s="32" t="str">
        <f t="shared" si="3993"/>
        <v/>
      </c>
      <c r="AH3865" s="33"/>
    </row>
    <row r="3866" hidden="1" outlineLevel="2">
      <c r="A3866" s="95" t="b">
        <v>0</v>
      </c>
      <c r="B3866" s="96"/>
      <c r="C3866" s="18"/>
      <c r="D3866" s="107"/>
      <c r="E3866" s="108"/>
      <c r="F3866" s="109"/>
      <c r="G3866" s="97"/>
      <c r="H3866" s="97"/>
      <c r="I3866" s="97"/>
      <c r="J3866" s="98"/>
      <c r="K3866" s="99"/>
      <c r="L3866" s="98"/>
      <c r="M3866" s="99"/>
      <c r="N3866" s="99"/>
      <c r="O3866" s="18"/>
      <c r="P3866" s="100" t="b">
        <v>0</v>
      </c>
      <c r="Q3866" s="18"/>
      <c r="R3866" s="101" t="str">
        <f t="shared" si="3377"/>
        <v/>
      </c>
      <c r="S3866" s="32"/>
      <c r="T3866" s="102" t="str">
        <f t="shared" si="3378"/>
        <v/>
      </c>
      <c r="U3866" s="18"/>
      <c r="V3866" s="103" t="str">
        <f>IF(ISBLANK($D3866), "0",)</f>
        <v>0</v>
      </c>
      <c r="W3866" s="104" t="str">
        <f t="shared" si="2828"/>
        <v>/</v>
      </c>
      <c r="X3866" s="111" t="s">
        <v>2237</v>
      </c>
      <c r="Y3866" s="106"/>
      <c r="Z3866" s="26" t="str">
        <f t="shared" si="5"/>
        <v/>
      </c>
      <c r="AA3866" s="26" t="str">
        <f t="shared" si="6"/>
        <v/>
      </c>
      <c r="AB3866" s="32" t="str">
        <f t="shared" si="7"/>
        <v/>
      </c>
      <c r="AC3866" s="32" t="str">
        <f t="shared" ref="AC3866:AG3866" si="3994">IF(J3866&lt;&gt;"", IF(AND($P3866=FALSE, $A3866=FALSE), -J3866, IF(AND($P3866=FALSE, $A3866=TRUE), 0, IF($P3866=TRUE, (J3866 / $R3866) * 100 * ($S3866 / 100)-J3866, ))), )</f>
        <v/>
      </c>
      <c r="AD3866" s="32" t="str">
        <f t="shared" si="3994"/>
        <v/>
      </c>
      <c r="AE3866" s="32" t="str">
        <f t="shared" si="3994"/>
        <v/>
      </c>
      <c r="AF3866" s="32" t="str">
        <f t="shared" si="3994"/>
        <v/>
      </c>
      <c r="AG3866" s="32" t="str">
        <f t="shared" si="3994"/>
        <v/>
      </c>
      <c r="AH3866" s="33"/>
    </row>
    <row r="3867" hidden="1" outlineLevel="2">
      <c r="A3867" s="95" t="b">
        <v>0</v>
      </c>
      <c r="B3867" s="96"/>
      <c r="C3867" s="18"/>
      <c r="D3867" s="107"/>
      <c r="E3867" s="108"/>
      <c r="F3867" s="109"/>
      <c r="G3867" s="97"/>
      <c r="H3867" s="97"/>
      <c r="I3867" s="97"/>
      <c r="J3867" s="98"/>
      <c r="K3867" s="99"/>
      <c r="L3867" s="98"/>
      <c r="M3867" s="99"/>
      <c r="N3867" s="99"/>
      <c r="O3867" s="18"/>
      <c r="P3867" s="100" t="b">
        <v>0</v>
      </c>
      <c r="Q3867" s="18"/>
      <c r="R3867" s="101" t="str">
        <f t="shared" si="3377"/>
        <v/>
      </c>
      <c r="S3867" s="32"/>
      <c r="T3867" s="102" t="str">
        <f t="shared" si="3378"/>
        <v/>
      </c>
      <c r="U3867" s="18"/>
      <c r="V3867" s="113">
        <v>4.0</v>
      </c>
      <c r="W3867" s="104" t="str">
        <f t="shared" si="2828"/>
        <v>/</v>
      </c>
      <c r="X3867" s="111" t="s">
        <v>2238</v>
      </c>
      <c r="Y3867" s="106"/>
      <c r="Z3867" s="26" t="str">
        <f t="shared" si="5"/>
        <v/>
      </c>
      <c r="AA3867" s="26" t="str">
        <f t="shared" si="6"/>
        <v/>
      </c>
      <c r="AB3867" s="32" t="str">
        <f t="shared" si="7"/>
        <v/>
      </c>
      <c r="AC3867" s="32" t="str">
        <f t="shared" ref="AC3867:AG3867" si="3995">IF(J3867&lt;&gt;"", IF(AND($P3867=FALSE, $A3867=FALSE), -J3867, IF(AND($P3867=FALSE, $A3867=TRUE), 0, IF($P3867=TRUE, (J3867 / $R3867) * 100 * ($S3867 / 100)-J3867, ))), )</f>
        <v/>
      </c>
      <c r="AD3867" s="32" t="str">
        <f t="shared" si="3995"/>
        <v/>
      </c>
      <c r="AE3867" s="32" t="str">
        <f t="shared" si="3995"/>
        <v/>
      </c>
      <c r="AF3867" s="32" t="str">
        <f t="shared" si="3995"/>
        <v/>
      </c>
      <c r="AG3867" s="32" t="str">
        <f t="shared" si="3995"/>
        <v/>
      </c>
      <c r="AH3867" s="33"/>
    </row>
    <row r="3868" hidden="1" outlineLevel="2">
      <c r="A3868" s="95" t="b">
        <v>0</v>
      </c>
      <c r="B3868" s="96"/>
      <c r="C3868" s="18"/>
      <c r="D3868" s="107"/>
      <c r="E3868" s="108"/>
      <c r="F3868" s="109"/>
      <c r="G3868" s="97"/>
      <c r="H3868" s="97"/>
      <c r="I3868" s="97"/>
      <c r="J3868" s="98"/>
      <c r="K3868" s="99"/>
      <c r="L3868" s="98"/>
      <c r="M3868" s="99"/>
      <c r="N3868" s="99"/>
      <c r="O3868" s="18"/>
      <c r="P3868" s="100" t="b">
        <v>0</v>
      </c>
      <c r="Q3868" s="18"/>
      <c r="R3868" s="101" t="str">
        <f t="shared" si="3377"/>
        <v/>
      </c>
      <c r="S3868" s="32"/>
      <c r="T3868" s="102" t="str">
        <f t="shared" si="3378"/>
        <v/>
      </c>
      <c r="U3868" s="18"/>
      <c r="V3868" s="75" t="s">
        <v>29</v>
      </c>
      <c r="W3868" s="104" t="str">
        <f t="shared" si="2828"/>
        <v>/</v>
      </c>
      <c r="X3868" s="111" t="s">
        <v>2239</v>
      </c>
      <c r="Y3868" s="106"/>
      <c r="Z3868" s="26" t="str">
        <f t="shared" si="5"/>
        <v/>
      </c>
      <c r="AA3868" s="26" t="str">
        <f t="shared" si="6"/>
        <v/>
      </c>
      <c r="AB3868" s="32" t="str">
        <f t="shared" si="7"/>
        <v/>
      </c>
      <c r="AC3868" s="32" t="str">
        <f t="shared" ref="AC3868:AG3868" si="3996">IF(J3868&lt;&gt;"", IF(AND($P3868=FALSE, $A3868=FALSE), -J3868, IF(AND($P3868=FALSE, $A3868=TRUE), 0, IF($P3868=TRUE, (J3868 / $R3868) * 100 * ($S3868 / 100)-J3868, ))), )</f>
        <v/>
      </c>
      <c r="AD3868" s="32" t="str">
        <f t="shared" si="3996"/>
        <v/>
      </c>
      <c r="AE3868" s="32" t="str">
        <f t="shared" si="3996"/>
        <v/>
      </c>
      <c r="AF3868" s="32" t="str">
        <f t="shared" si="3996"/>
        <v/>
      </c>
      <c r="AG3868" s="32" t="str">
        <f t="shared" si="3996"/>
        <v/>
      </c>
      <c r="AH3868" s="33"/>
    </row>
    <row r="3869" hidden="1" outlineLevel="2">
      <c r="A3869" s="95" t="b">
        <v>0</v>
      </c>
      <c r="B3869" s="96"/>
      <c r="C3869" s="18"/>
      <c r="D3869" s="107"/>
      <c r="E3869" s="108"/>
      <c r="F3869" s="109"/>
      <c r="G3869" s="97"/>
      <c r="H3869" s="97"/>
      <c r="I3869" s="97"/>
      <c r="J3869" s="98"/>
      <c r="K3869" s="99"/>
      <c r="L3869" s="98"/>
      <c r="M3869" s="99"/>
      <c r="N3869" s="99"/>
      <c r="O3869" s="18"/>
      <c r="P3869" s="100" t="b">
        <v>0</v>
      </c>
      <c r="Q3869" s="18"/>
      <c r="R3869" s="101" t="str">
        <f t="shared" si="3377"/>
        <v/>
      </c>
      <c r="S3869" s="32"/>
      <c r="T3869" s="102" t="str">
        <f t="shared" si="3378"/>
        <v/>
      </c>
      <c r="U3869" s="18"/>
      <c r="V3869" s="113">
        <v>202.0</v>
      </c>
      <c r="W3869" s="104" t="str">
        <f t="shared" si="2828"/>
        <v>/</v>
      </c>
      <c r="X3869" s="111" t="s">
        <v>2240</v>
      </c>
      <c r="Y3869" s="106"/>
      <c r="Z3869" s="26" t="str">
        <f t="shared" si="5"/>
        <v/>
      </c>
      <c r="AA3869" s="26" t="str">
        <f t="shared" si="6"/>
        <v/>
      </c>
      <c r="AB3869" s="32" t="str">
        <f t="shared" si="7"/>
        <v/>
      </c>
      <c r="AC3869" s="32" t="str">
        <f t="shared" ref="AC3869:AG3869" si="3997">IF(J3869&lt;&gt;"", IF(AND($P3869=FALSE, $A3869=FALSE), -J3869, IF(AND($P3869=FALSE, $A3869=TRUE), 0, IF($P3869=TRUE, (J3869 / $R3869) * 100 * ($S3869 / 100)-J3869, ))), )</f>
        <v/>
      </c>
      <c r="AD3869" s="32" t="str">
        <f t="shared" si="3997"/>
        <v/>
      </c>
      <c r="AE3869" s="32" t="str">
        <f t="shared" si="3997"/>
        <v/>
      </c>
      <c r="AF3869" s="32" t="str">
        <f t="shared" si="3997"/>
        <v/>
      </c>
      <c r="AG3869" s="32" t="str">
        <f t="shared" si="3997"/>
        <v/>
      </c>
      <c r="AH3869" s="33"/>
    </row>
    <row r="3870" hidden="1" outlineLevel="2">
      <c r="A3870" s="95" t="b">
        <v>0</v>
      </c>
      <c r="B3870" s="96"/>
      <c r="C3870" s="18"/>
      <c r="D3870" s="107"/>
      <c r="E3870" s="108"/>
      <c r="F3870" s="109"/>
      <c r="G3870" s="97"/>
      <c r="H3870" s="97"/>
      <c r="I3870" s="97"/>
      <c r="J3870" s="98"/>
      <c r="K3870" s="99"/>
      <c r="L3870" s="98"/>
      <c r="M3870" s="99"/>
      <c r="N3870" s="99"/>
      <c r="O3870" s="18"/>
      <c r="P3870" s="100" t="b">
        <v>0</v>
      </c>
      <c r="Q3870" s="18"/>
      <c r="R3870" s="101" t="str">
        <f t="shared" si="3377"/>
        <v/>
      </c>
      <c r="S3870" s="32"/>
      <c r="T3870" s="102" t="str">
        <f t="shared" si="3378"/>
        <v/>
      </c>
      <c r="U3870" s="18"/>
      <c r="V3870" s="75" t="s">
        <v>29</v>
      </c>
      <c r="W3870" s="104" t="str">
        <f t="shared" si="2828"/>
        <v>/</v>
      </c>
      <c r="X3870" s="111" t="s">
        <v>2241</v>
      </c>
      <c r="Y3870" s="106"/>
      <c r="Z3870" s="26" t="str">
        <f t="shared" si="5"/>
        <v/>
      </c>
      <c r="AA3870" s="26" t="str">
        <f t="shared" si="6"/>
        <v/>
      </c>
      <c r="AB3870" s="32" t="str">
        <f t="shared" si="7"/>
        <v/>
      </c>
      <c r="AC3870" s="32" t="str">
        <f t="shared" ref="AC3870:AG3870" si="3998">IF(J3870&lt;&gt;"", IF(AND($P3870=FALSE, $A3870=FALSE), -J3870, IF(AND($P3870=FALSE, $A3870=TRUE), 0, IF($P3870=TRUE, (J3870 / $R3870) * 100 * ($S3870 / 100)-J3870, ))), )</f>
        <v/>
      </c>
      <c r="AD3870" s="32" t="str">
        <f t="shared" si="3998"/>
        <v/>
      </c>
      <c r="AE3870" s="32" t="str">
        <f t="shared" si="3998"/>
        <v/>
      </c>
      <c r="AF3870" s="32" t="str">
        <f t="shared" si="3998"/>
        <v/>
      </c>
      <c r="AG3870" s="32" t="str">
        <f t="shared" si="3998"/>
        <v/>
      </c>
      <c r="AH3870" s="33"/>
    </row>
    <row r="3871" hidden="1" outlineLevel="2">
      <c r="A3871" s="95" t="b">
        <v>0</v>
      </c>
      <c r="B3871" s="96"/>
      <c r="C3871" s="18"/>
      <c r="D3871" s="107"/>
      <c r="E3871" s="108"/>
      <c r="F3871" s="109"/>
      <c r="G3871" s="97"/>
      <c r="H3871" s="97"/>
      <c r="I3871" s="97"/>
      <c r="J3871" s="98"/>
      <c r="K3871" s="99"/>
      <c r="L3871" s="98"/>
      <c r="M3871" s="99"/>
      <c r="N3871" s="99"/>
      <c r="O3871" s="18"/>
      <c r="P3871" s="100" t="b">
        <v>0</v>
      </c>
      <c r="Q3871" s="18"/>
      <c r="R3871" s="101" t="str">
        <f t="shared" si="3377"/>
        <v/>
      </c>
      <c r="S3871" s="32"/>
      <c r="T3871" s="102" t="str">
        <f t="shared" si="3378"/>
        <v/>
      </c>
      <c r="U3871" s="18"/>
      <c r="V3871" s="75" t="s">
        <v>29</v>
      </c>
      <c r="W3871" s="104" t="str">
        <f t="shared" si="2828"/>
        <v>/</v>
      </c>
      <c r="X3871" s="111" t="s">
        <v>2242</v>
      </c>
      <c r="Y3871" s="106"/>
      <c r="Z3871" s="26" t="str">
        <f t="shared" si="5"/>
        <v/>
      </c>
      <c r="AA3871" s="26" t="str">
        <f t="shared" si="6"/>
        <v/>
      </c>
      <c r="AB3871" s="32" t="str">
        <f t="shared" si="7"/>
        <v/>
      </c>
      <c r="AC3871" s="32" t="str">
        <f t="shared" ref="AC3871:AG3871" si="3999">IF(J3871&lt;&gt;"", IF(AND($P3871=FALSE, $A3871=FALSE), -J3871, IF(AND($P3871=FALSE, $A3871=TRUE), 0, IF($P3871=TRUE, (J3871 / $R3871) * 100 * ($S3871 / 100)-J3871, ))), )</f>
        <v/>
      </c>
      <c r="AD3871" s="32" t="str">
        <f t="shared" si="3999"/>
        <v/>
      </c>
      <c r="AE3871" s="32" t="str">
        <f t="shared" si="3999"/>
        <v/>
      </c>
      <c r="AF3871" s="32" t="str">
        <f t="shared" si="3999"/>
        <v/>
      </c>
      <c r="AG3871" s="32" t="str">
        <f t="shared" si="3999"/>
        <v/>
      </c>
      <c r="AH3871" s="33"/>
    </row>
    <row r="3872" hidden="1" outlineLevel="2">
      <c r="A3872" s="95" t="b">
        <v>0</v>
      </c>
      <c r="B3872" s="96"/>
      <c r="C3872" s="18"/>
      <c r="D3872" s="107"/>
      <c r="E3872" s="108"/>
      <c r="F3872" s="109"/>
      <c r="G3872" s="97"/>
      <c r="H3872" s="97"/>
      <c r="I3872" s="97"/>
      <c r="J3872" s="98"/>
      <c r="K3872" s="99"/>
      <c r="L3872" s="98"/>
      <c r="M3872" s="99"/>
      <c r="N3872" s="99"/>
      <c r="O3872" s="18"/>
      <c r="P3872" s="100" t="b">
        <v>0</v>
      </c>
      <c r="Q3872" s="18"/>
      <c r="R3872" s="101" t="str">
        <f t="shared" si="3377"/>
        <v/>
      </c>
      <c r="S3872" s="32"/>
      <c r="T3872" s="102" t="str">
        <f t="shared" si="3378"/>
        <v/>
      </c>
      <c r="U3872" s="18"/>
      <c r="V3872" s="75" t="s">
        <v>29</v>
      </c>
      <c r="W3872" s="104" t="str">
        <f t="shared" si="2828"/>
        <v>/</v>
      </c>
      <c r="X3872" s="111" t="s">
        <v>2243</v>
      </c>
      <c r="Y3872" s="106"/>
      <c r="Z3872" s="26" t="str">
        <f t="shared" si="5"/>
        <v/>
      </c>
      <c r="AA3872" s="26" t="str">
        <f t="shared" si="6"/>
        <v/>
      </c>
      <c r="AB3872" s="32" t="str">
        <f t="shared" si="7"/>
        <v/>
      </c>
      <c r="AC3872" s="32" t="str">
        <f t="shared" ref="AC3872:AG3872" si="4000">IF(J3872&lt;&gt;"", IF(AND($P3872=FALSE, $A3872=FALSE), -J3872, IF(AND($P3872=FALSE, $A3872=TRUE), 0, IF($P3872=TRUE, (J3872 / $R3872) * 100 * ($S3872 / 100)-J3872, ))), )</f>
        <v/>
      </c>
      <c r="AD3872" s="32" t="str">
        <f t="shared" si="4000"/>
        <v/>
      </c>
      <c r="AE3872" s="32" t="str">
        <f t="shared" si="4000"/>
        <v/>
      </c>
      <c r="AF3872" s="32" t="str">
        <f t="shared" si="4000"/>
        <v/>
      </c>
      <c r="AG3872" s="32" t="str">
        <f t="shared" si="4000"/>
        <v/>
      </c>
      <c r="AH3872" s="33"/>
    </row>
    <row r="3873" hidden="1" outlineLevel="2">
      <c r="A3873" s="95" t="b">
        <v>0</v>
      </c>
      <c r="B3873" s="96"/>
      <c r="C3873" s="18"/>
      <c r="D3873" s="107"/>
      <c r="E3873" s="108"/>
      <c r="F3873" s="109"/>
      <c r="G3873" s="97"/>
      <c r="H3873" s="97"/>
      <c r="I3873" s="97"/>
      <c r="J3873" s="98"/>
      <c r="K3873" s="99"/>
      <c r="L3873" s="98"/>
      <c r="M3873" s="99"/>
      <c r="N3873" s="99"/>
      <c r="O3873" s="18"/>
      <c r="P3873" s="100" t="b">
        <v>0</v>
      </c>
      <c r="Q3873" s="18"/>
      <c r="R3873" s="101" t="str">
        <f t="shared" si="3377"/>
        <v/>
      </c>
      <c r="S3873" s="32"/>
      <c r="T3873" s="102" t="str">
        <f t="shared" si="3378"/>
        <v/>
      </c>
      <c r="U3873" s="18"/>
      <c r="V3873" s="75" t="s">
        <v>29</v>
      </c>
      <c r="W3873" s="104" t="str">
        <f t="shared" si="2828"/>
        <v>/</v>
      </c>
      <c r="X3873" s="111" t="s">
        <v>2244</v>
      </c>
      <c r="Y3873" s="106"/>
      <c r="Z3873" s="26" t="str">
        <f t="shared" si="5"/>
        <v/>
      </c>
      <c r="AA3873" s="26" t="str">
        <f t="shared" si="6"/>
        <v/>
      </c>
      <c r="AB3873" s="32" t="str">
        <f t="shared" si="7"/>
        <v/>
      </c>
      <c r="AC3873" s="32" t="str">
        <f t="shared" ref="AC3873:AG3873" si="4001">IF(J3873&lt;&gt;"", IF(AND($P3873=FALSE, $A3873=FALSE), -J3873, IF(AND($P3873=FALSE, $A3873=TRUE), 0, IF($P3873=TRUE, (J3873 / $R3873) * 100 * ($S3873 / 100)-J3873, ))), )</f>
        <v/>
      </c>
      <c r="AD3873" s="32" t="str">
        <f t="shared" si="4001"/>
        <v/>
      </c>
      <c r="AE3873" s="32" t="str">
        <f t="shared" si="4001"/>
        <v/>
      </c>
      <c r="AF3873" s="32" t="str">
        <f t="shared" si="4001"/>
        <v/>
      </c>
      <c r="AG3873" s="32" t="str">
        <f t="shared" si="4001"/>
        <v/>
      </c>
      <c r="AH3873" s="33"/>
    </row>
    <row r="3874" hidden="1" outlineLevel="2">
      <c r="A3874" s="95" t="b">
        <v>0</v>
      </c>
      <c r="B3874" s="96"/>
      <c r="C3874" s="18"/>
      <c r="D3874" s="107"/>
      <c r="E3874" s="108"/>
      <c r="F3874" s="109"/>
      <c r="G3874" s="97"/>
      <c r="H3874" s="97"/>
      <c r="I3874" s="97"/>
      <c r="J3874" s="98"/>
      <c r="K3874" s="99"/>
      <c r="L3874" s="98"/>
      <c r="M3874" s="99"/>
      <c r="N3874" s="99"/>
      <c r="O3874" s="18"/>
      <c r="P3874" s="100" t="b">
        <v>0</v>
      </c>
      <c r="Q3874" s="18"/>
      <c r="R3874" s="101" t="str">
        <f t="shared" si="3377"/>
        <v/>
      </c>
      <c r="S3874" s="32"/>
      <c r="T3874" s="102" t="str">
        <f t="shared" si="3378"/>
        <v/>
      </c>
      <c r="U3874" s="18"/>
      <c r="V3874" s="75" t="s">
        <v>29</v>
      </c>
      <c r="W3874" s="104" t="str">
        <f t="shared" si="2828"/>
        <v>/</v>
      </c>
      <c r="X3874" s="111" t="s">
        <v>2245</v>
      </c>
      <c r="Y3874" s="106"/>
      <c r="Z3874" s="26" t="str">
        <f t="shared" si="5"/>
        <v/>
      </c>
      <c r="AA3874" s="26" t="str">
        <f t="shared" si="6"/>
        <v/>
      </c>
      <c r="AB3874" s="32" t="str">
        <f t="shared" si="7"/>
        <v/>
      </c>
      <c r="AC3874" s="32" t="str">
        <f t="shared" ref="AC3874:AG3874" si="4002">IF(J3874&lt;&gt;"", IF(AND($P3874=FALSE, $A3874=FALSE), -J3874, IF(AND($P3874=FALSE, $A3874=TRUE), 0, IF($P3874=TRUE, (J3874 / $R3874) * 100 * ($S3874 / 100)-J3874, ))), )</f>
        <v/>
      </c>
      <c r="AD3874" s="32" t="str">
        <f t="shared" si="4002"/>
        <v/>
      </c>
      <c r="AE3874" s="32" t="str">
        <f t="shared" si="4002"/>
        <v/>
      </c>
      <c r="AF3874" s="32" t="str">
        <f t="shared" si="4002"/>
        <v/>
      </c>
      <c r="AG3874" s="32" t="str">
        <f t="shared" si="4002"/>
        <v/>
      </c>
      <c r="AH3874" s="33"/>
    </row>
    <row r="3875" outlineLevel="1" collapsed="1">
      <c r="A3875" s="95" t="b">
        <v>0</v>
      </c>
      <c r="B3875" s="96"/>
      <c r="C3875" s="18"/>
      <c r="D3875" s="42">
        <v>46061.0</v>
      </c>
      <c r="E3875" s="43" t="s">
        <v>24</v>
      </c>
      <c r="F3875" s="53" t="s">
        <v>2233</v>
      </c>
      <c r="G3875" s="97">
        <v>2.0</v>
      </c>
      <c r="H3875" s="97"/>
      <c r="I3875" s="97">
        <v>8.0</v>
      </c>
      <c r="J3875" s="98"/>
      <c r="K3875" s="99">
        <v>2.0</v>
      </c>
      <c r="L3875" s="98"/>
      <c r="M3875" s="99"/>
      <c r="N3875" s="99"/>
      <c r="O3875" s="18"/>
      <c r="P3875" s="100" t="b">
        <v>0</v>
      </c>
      <c r="Q3875" s="18"/>
      <c r="R3875" s="101">
        <f t="shared" si="3377"/>
        <v>12</v>
      </c>
      <c r="S3875" s="32"/>
      <c r="T3875" s="102">
        <f t="shared" si="3378"/>
        <v>100</v>
      </c>
      <c r="U3875" s="18"/>
      <c r="V3875" s="103" t="str">
        <f t="shared" ref="V3875:V3881" si="4004">IF(ISBLANK($D3875), "0",)</f>
        <v/>
      </c>
      <c r="W3875" s="104" t="str">
        <f t="shared" si="2828"/>
        <v/>
      </c>
      <c r="X3875" s="105"/>
      <c r="Y3875" s="106"/>
      <c r="Z3875" s="26">
        <f t="shared" si="5"/>
        <v>-2</v>
      </c>
      <c r="AA3875" s="26">
        <f t="shared" si="6"/>
        <v>-8</v>
      </c>
      <c r="AB3875" s="32" t="str">
        <f t="shared" si="7"/>
        <v/>
      </c>
      <c r="AC3875" s="32" t="str">
        <f t="shared" ref="AC3875:AG3875" si="4003">IF(J3875&lt;&gt;"", IF(AND($P3875=FALSE, $A3875=FALSE), -J3875, IF(AND($P3875=FALSE, $A3875=TRUE), 0, IF($P3875=TRUE, (J3875 / $R3875) * 100 * ($S3875 / 100)-J3875, ))), )</f>
        <v/>
      </c>
      <c r="AD3875" s="32">
        <f t="shared" si="4003"/>
        <v>-2</v>
      </c>
      <c r="AE3875" s="32" t="str">
        <f t="shared" si="4003"/>
        <v/>
      </c>
      <c r="AF3875" s="32" t="str">
        <f t="shared" si="4003"/>
        <v/>
      </c>
      <c r="AG3875" s="32" t="str">
        <f t="shared" si="4003"/>
        <v/>
      </c>
      <c r="AH3875" s="33"/>
    </row>
    <row r="3876" hidden="1" outlineLevel="2">
      <c r="A3876" s="95" t="b">
        <v>0</v>
      </c>
      <c r="B3876" s="96"/>
      <c r="C3876" s="18"/>
      <c r="D3876" s="107"/>
      <c r="E3876" s="108"/>
      <c r="F3876" s="109"/>
      <c r="G3876" s="97"/>
      <c r="H3876" s="97"/>
      <c r="I3876" s="97"/>
      <c r="J3876" s="98"/>
      <c r="K3876" s="99"/>
      <c r="L3876" s="98"/>
      <c r="M3876" s="99"/>
      <c r="N3876" s="99"/>
      <c r="O3876" s="18"/>
      <c r="P3876" s="100" t="b">
        <v>0</v>
      </c>
      <c r="Q3876" s="18"/>
      <c r="R3876" s="101" t="str">
        <f t="shared" si="3377"/>
        <v/>
      </c>
      <c r="S3876" s="32"/>
      <c r="T3876" s="102" t="str">
        <f t="shared" si="3378"/>
        <v/>
      </c>
      <c r="U3876" s="18"/>
      <c r="V3876" s="103" t="str">
        <f t="shared" si="4004"/>
        <v>0</v>
      </c>
      <c r="W3876" s="104" t="str">
        <f t="shared" si="2828"/>
        <v>/</v>
      </c>
      <c r="X3876" s="111" t="s">
        <v>2246</v>
      </c>
      <c r="Y3876" s="106"/>
      <c r="Z3876" s="26" t="str">
        <f t="shared" si="5"/>
        <v/>
      </c>
      <c r="AA3876" s="26" t="str">
        <f t="shared" si="6"/>
        <v/>
      </c>
      <c r="AB3876" s="32" t="str">
        <f t="shared" si="7"/>
        <v/>
      </c>
      <c r="AC3876" s="32" t="str">
        <f t="shared" ref="AC3876:AG3876" si="4005">IF(J3876&lt;&gt;"", IF(AND($P3876=FALSE, $A3876=FALSE), -J3876, IF(AND($P3876=FALSE, $A3876=TRUE), 0, IF($P3876=TRUE, (J3876 / $R3876) * 100 * ($S3876 / 100)-J3876, ))), )</f>
        <v/>
      </c>
      <c r="AD3876" s="32" t="str">
        <f t="shared" si="4005"/>
        <v/>
      </c>
      <c r="AE3876" s="32" t="str">
        <f t="shared" si="4005"/>
        <v/>
      </c>
      <c r="AF3876" s="32" t="str">
        <f t="shared" si="4005"/>
        <v/>
      </c>
      <c r="AG3876" s="32" t="str">
        <f t="shared" si="4005"/>
        <v/>
      </c>
      <c r="AH3876" s="33"/>
    </row>
    <row r="3877" outlineLevel="1" collapsed="1">
      <c r="A3877" s="95" t="b">
        <v>0</v>
      </c>
      <c r="B3877" s="96"/>
      <c r="C3877" s="18"/>
      <c r="D3877" s="42">
        <v>46061.0</v>
      </c>
      <c r="E3877" s="43" t="s">
        <v>24</v>
      </c>
      <c r="F3877" s="53" t="s">
        <v>2233</v>
      </c>
      <c r="G3877" s="97">
        <v>2.0</v>
      </c>
      <c r="H3877" s="97"/>
      <c r="I3877" s="97"/>
      <c r="J3877" s="98"/>
      <c r="K3877" s="99"/>
      <c r="L3877" s="98"/>
      <c r="M3877" s="99"/>
      <c r="N3877" s="99"/>
      <c r="O3877" s="18"/>
      <c r="P3877" s="100" t="b">
        <v>0</v>
      </c>
      <c r="Q3877" s="18"/>
      <c r="R3877" s="101">
        <f t="shared" si="3377"/>
        <v>2</v>
      </c>
      <c r="S3877" s="32"/>
      <c r="T3877" s="102">
        <f t="shared" si="3378"/>
        <v>100</v>
      </c>
      <c r="U3877" s="18"/>
      <c r="V3877" s="103" t="str">
        <f t="shared" si="4004"/>
        <v/>
      </c>
      <c r="W3877" s="104" t="str">
        <f t="shared" si="2828"/>
        <v/>
      </c>
      <c r="X3877" s="105"/>
      <c r="Y3877" s="106"/>
      <c r="Z3877" s="26">
        <f t="shared" si="5"/>
        <v>-2</v>
      </c>
      <c r="AA3877" s="26" t="str">
        <f t="shared" si="6"/>
        <v/>
      </c>
      <c r="AB3877" s="32" t="str">
        <f t="shared" si="7"/>
        <v/>
      </c>
      <c r="AC3877" s="32" t="str">
        <f t="shared" ref="AC3877:AG3877" si="4006">IF(J3877&lt;&gt;"", IF(AND($P3877=FALSE, $A3877=FALSE), -J3877, IF(AND($P3877=FALSE, $A3877=TRUE), 0, IF($P3877=TRUE, (J3877 / $R3877) * 100 * ($S3877 / 100)-J3877, ))), )</f>
        <v/>
      </c>
      <c r="AD3877" s="32" t="str">
        <f t="shared" si="4006"/>
        <v/>
      </c>
      <c r="AE3877" s="32" t="str">
        <f t="shared" si="4006"/>
        <v/>
      </c>
      <c r="AF3877" s="32" t="str">
        <f t="shared" si="4006"/>
        <v/>
      </c>
      <c r="AG3877" s="32" t="str">
        <f t="shared" si="4006"/>
        <v/>
      </c>
      <c r="AH3877" s="33"/>
    </row>
    <row r="3878" hidden="1" outlineLevel="2">
      <c r="A3878" s="95" t="b">
        <v>0</v>
      </c>
      <c r="B3878" s="96"/>
      <c r="C3878" s="18"/>
      <c r="D3878" s="107"/>
      <c r="E3878" s="108"/>
      <c r="F3878" s="109"/>
      <c r="G3878" s="97"/>
      <c r="H3878" s="97"/>
      <c r="I3878" s="97"/>
      <c r="J3878" s="98"/>
      <c r="K3878" s="99"/>
      <c r="L3878" s="98"/>
      <c r="M3878" s="99"/>
      <c r="N3878" s="99"/>
      <c r="O3878" s="18"/>
      <c r="P3878" s="100" t="b">
        <v>0</v>
      </c>
      <c r="Q3878" s="18"/>
      <c r="R3878" s="101" t="str">
        <f t="shared" si="3377"/>
        <v/>
      </c>
      <c r="S3878" s="32"/>
      <c r="T3878" s="102" t="str">
        <f t="shared" si="3378"/>
        <v/>
      </c>
      <c r="U3878" s="18"/>
      <c r="V3878" s="103" t="str">
        <f t="shared" si="4004"/>
        <v>0</v>
      </c>
      <c r="W3878" s="104" t="str">
        <f t="shared" si="2828"/>
        <v>/</v>
      </c>
      <c r="X3878" s="111" t="s">
        <v>2247</v>
      </c>
      <c r="Y3878" s="106"/>
      <c r="Z3878" s="26" t="str">
        <f t="shared" si="5"/>
        <v/>
      </c>
      <c r="AA3878" s="26" t="str">
        <f t="shared" si="6"/>
        <v/>
      </c>
      <c r="AB3878" s="32" t="str">
        <f t="shared" si="7"/>
        <v/>
      </c>
      <c r="AC3878" s="32" t="str">
        <f t="shared" ref="AC3878:AG3878" si="4007">IF(J3878&lt;&gt;"", IF(AND($P3878=FALSE, $A3878=FALSE), -J3878, IF(AND($P3878=FALSE, $A3878=TRUE), 0, IF($P3878=TRUE, (J3878 / $R3878) * 100 * ($S3878 / 100)-J3878, ))), )</f>
        <v/>
      </c>
      <c r="AD3878" s="32" t="str">
        <f t="shared" si="4007"/>
        <v/>
      </c>
      <c r="AE3878" s="32" t="str">
        <f t="shared" si="4007"/>
        <v/>
      </c>
      <c r="AF3878" s="32" t="str">
        <f t="shared" si="4007"/>
        <v/>
      </c>
      <c r="AG3878" s="32" t="str">
        <f t="shared" si="4007"/>
        <v/>
      </c>
      <c r="AH3878" s="33"/>
    </row>
    <row r="3879" outlineLevel="1" collapsed="1">
      <c r="A3879" s="95" t="b">
        <v>0</v>
      </c>
      <c r="B3879" s="96"/>
      <c r="C3879" s="18"/>
      <c r="D3879" s="42">
        <v>46061.0</v>
      </c>
      <c r="E3879" s="43" t="s">
        <v>24</v>
      </c>
      <c r="F3879" s="53" t="s">
        <v>2233</v>
      </c>
      <c r="G3879" s="97">
        <v>2.0</v>
      </c>
      <c r="H3879" s="97"/>
      <c r="I3879" s="97">
        <v>3.0</v>
      </c>
      <c r="J3879" s="98"/>
      <c r="K3879" s="99"/>
      <c r="L3879" s="98"/>
      <c r="M3879" s="99"/>
      <c r="N3879" s="99"/>
      <c r="O3879" s="18"/>
      <c r="P3879" s="100" t="b">
        <v>0</v>
      </c>
      <c r="Q3879" s="18"/>
      <c r="R3879" s="101">
        <f t="shared" si="3377"/>
        <v>5</v>
      </c>
      <c r="S3879" s="32"/>
      <c r="T3879" s="102">
        <f t="shared" si="3378"/>
        <v>100</v>
      </c>
      <c r="U3879" s="18"/>
      <c r="V3879" s="103" t="str">
        <f t="shared" si="4004"/>
        <v/>
      </c>
      <c r="W3879" s="104" t="str">
        <f t="shared" si="2828"/>
        <v/>
      </c>
      <c r="X3879" s="105"/>
      <c r="Y3879" s="106"/>
      <c r="Z3879" s="26">
        <f t="shared" si="5"/>
        <v>-2</v>
      </c>
      <c r="AA3879" s="26">
        <f t="shared" si="6"/>
        <v>-3</v>
      </c>
      <c r="AB3879" s="32" t="str">
        <f t="shared" si="7"/>
        <v/>
      </c>
      <c r="AC3879" s="32" t="str">
        <f t="shared" ref="AC3879:AG3879" si="4008">IF(J3879&lt;&gt;"", IF(AND($P3879=FALSE, $A3879=FALSE), -J3879, IF(AND($P3879=FALSE, $A3879=TRUE), 0, IF($P3879=TRUE, (J3879 / $R3879) * 100 * ($S3879 / 100)-J3879, ))), )</f>
        <v/>
      </c>
      <c r="AD3879" s="32" t="str">
        <f t="shared" si="4008"/>
        <v/>
      </c>
      <c r="AE3879" s="32" t="str">
        <f t="shared" si="4008"/>
        <v/>
      </c>
      <c r="AF3879" s="32" t="str">
        <f t="shared" si="4008"/>
        <v/>
      </c>
      <c r="AG3879" s="32" t="str">
        <f t="shared" si="4008"/>
        <v/>
      </c>
      <c r="AH3879" s="33"/>
    </row>
    <row r="3880" ht="15.0" hidden="1" customHeight="1" outlineLevel="2">
      <c r="A3880" s="95" t="b">
        <v>0</v>
      </c>
      <c r="B3880" s="96"/>
      <c r="C3880" s="18"/>
      <c r="D3880" s="107"/>
      <c r="E3880" s="108"/>
      <c r="F3880" s="109"/>
      <c r="G3880" s="97"/>
      <c r="H3880" s="97"/>
      <c r="I3880" s="97"/>
      <c r="J3880" s="98"/>
      <c r="K3880" s="99"/>
      <c r="L3880" s="98"/>
      <c r="M3880" s="99"/>
      <c r="N3880" s="99"/>
      <c r="O3880" s="18"/>
      <c r="P3880" s="100" t="b">
        <v>0</v>
      </c>
      <c r="Q3880" s="18"/>
      <c r="R3880" s="101" t="str">
        <f t="shared" si="3377"/>
        <v/>
      </c>
      <c r="S3880" s="32"/>
      <c r="T3880" s="102" t="str">
        <f t="shared" si="3378"/>
        <v/>
      </c>
      <c r="U3880" s="18"/>
      <c r="V3880" s="103" t="str">
        <f t="shared" si="4004"/>
        <v>0</v>
      </c>
      <c r="W3880" s="104" t="str">
        <f t="shared" si="2828"/>
        <v>/</v>
      </c>
      <c r="X3880" s="111" t="s">
        <v>2248</v>
      </c>
      <c r="Y3880" s="106"/>
      <c r="Z3880" s="26" t="str">
        <f t="shared" si="5"/>
        <v/>
      </c>
      <c r="AA3880" s="26" t="str">
        <f t="shared" si="6"/>
        <v/>
      </c>
      <c r="AB3880" s="32" t="str">
        <f t="shared" si="7"/>
        <v/>
      </c>
      <c r="AC3880" s="32" t="str">
        <f t="shared" ref="AC3880:AG3880" si="4009">IF(J3880&lt;&gt;"", IF(AND($P3880=FALSE, $A3880=FALSE), -J3880, IF(AND($P3880=FALSE, $A3880=TRUE), 0, IF($P3880=TRUE, (J3880 / $R3880) * 100 * ($S3880 / 100)-J3880, ))), )</f>
        <v/>
      </c>
      <c r="AD3880" s="32" t="str">
        <f t="shared" si="4009"/>
        <v/>
      </c>
      <c r="AE3880" s="32" t="str">
        <f t="shared" si="4009"/>
        <v/>
      </c>
      <c r="AF3880" s="32" t="str">
        <f t="shared" si="4009"/>
        <v/>
      </c>
      <c r="AG3880" s="32" t="str">
        <f t="shared" si="4009"/>
        <v/>
      </c>
      <c r="AH3880" s="33"/>
    </row>
    <row r="3881" outlineLevel="1" collapsed="1">
      <c r="A3881" s="95" t="b">
        <v>0</v>
      </c>
      <c r="B3881" s="96"/>
      <c r="C3881" s="18"/>
      <c r="D3881" s="42">
        <v>46061.0</v>
      </c>
      <c r="E3881" s="43" t="s">
        <v>24</v>
      </c>
      <c r="F3881" s="53" t="s">
        <v>2233</v>
      </c>
      <c r="G3881" s="97">
        <v>2.0</v>
      </c>
      <c r="H3881" s="97"/>
      <c r="I3881" s="97">
        <v>2.0</v>
      </c>
      <c r="J3881" s="98"/>
      <c r="K3881" s="99"/>
      <c r="L3881" s="98"/>
      <c r="M3881" s="99"/>
      <c r="N3881" s="99"/>
      <c r="O3881" s="18"/>
      <c r="P3881" s="100" t="b">
        <v>0</v>
      </c>
      <c r="Q3881" s="18"/>
      <c r="R3881" s="101">
        <f t="shared" si="3377"/>
        <v>4</v>
      </c>
      <c r="S3881" s="32"/>
      <c r="T3881" s="102">
        <f t="shared" si="3378"/>
        <v>100</v>
      </c>
      <c r="U3881" s="18"/>
      <c r="V3881" s="103" t="str">
        <f t="shared" si="4004"/>
        <v/>
      </c>
      <c r="W3881" s="104" t="str">
        <f t="shared" si="2828"/>
        <v/>
      </c>
      <c r="X3881" s="105"/>
      <c r="Y3881" s="106"/>
      <c r="Z3881" s="26">
        <f t="shared" si="5"/>
        <v>-2</v>
      </c>
      <c r="AA3881" s="26">
        <f t="shared" si="6"/>
        <v>-2</v>
      </c>
      <c r="AB3881" s="32" t="str">
        <f t="shared" si="7"/>
        <v/>
      </c>
      <c r="AC3881" s="32" t="str">
        <f t="shared" ref="AC3881:AG3881" si="4010">IF(J3881&lt;&gt;"", IF(AND($P3881=FALSE, $A3881=FALSE), -J3881, IF(AND($P3881=FALSE, $A3881=TRUE), 0, IF($P3881=TRUE, (J3881 / $R3881) * 100 * ($S3881 / 100)-J3881, ))), )</f>
        <v/>
      </c>
      <c r="AD3881" s="32" t="str">
        <f t="shared" si="4010"/>
        <v/>
      </c>
      <c r="AE3881" s="32" t="str">
        <f t="shared" si="4010"/>
        <v/>
      </c>
      <c r="AF3881" s="32" t="str">
        <f t="shared" si="4010"/>
        <v/>
      </c>
      <c r="AG3881" s="32" t="str">
        <f t="shared" si="4010"/>
        <v/>
      </c>
      <c r="AH3881" s="33"/>
    </row>
    <row r="3882" hidden="1" outlineLevel="2">
      <c r="A3882" s="95" t="b">
        <v>0</v>
      </c>
      <c r="B3882" s="96"/>
      <c r="C3882" s="18"/>
      <c r="D3882" s="107"/>
      <c r="E3882" s="108"/>
      <c r="F3882" s="109"/>
      <c r="G3882" s="97"/>
      <c r="H3882" s="97"/>
      <c r="I3882" s="97"/>
      <c r="J3882" s="98"/>
      <c r="K3882" s="99"/>
      <c r="L3882" s="98"/>
      <c r="M3882" s="99"/>
      <c r="N3882" s="99"/>
      <c r="O3882" s="18"/>
      <c r="P3882" s="100" t="b">
        <v>0</v>
      </c>
      <c r="Q3882" s="18"/>
      <c r="R3882" s="101" t="str">
        <f t="shared" si="3377"/>
        <v/>
      </c>
      <c r="S3882" s="32"/>
      <c r="T3882" s="102" t="str">
        <f t="shared" si="3378"/>
        <v/>
      </c>
      <c r="U3882" s="18"/>
      <c r="V3882" s="75" t="s">
        <v>29</v>
      </c>
      <c r="W3882" s="104" t="str">
        <f t="shared" si="2828"/>
        <v>/</v>
      </c>
      <c r="X3882" s="111" t="s">
        <v>2249</v>
      </c>
      <c r="Y3882" s="106"/>
      <c r="Z3882" s="26" t="str">
        <f t="shared" si="5"/>
        <v/>
      </c>
      <c r="AA3882" s="26" t="str">
        <f t="shared" si="6"/>
        <v/>
      </c>
      <c r="AB3882" s="32" t="str">
        <f t="shared" si="7"/>
        <v/>
      </c>
      <c r="AC3882" s="32" t="str">
        <f t="shared" ref="AC3882:AG3882" si="4011">IF(J3882&lt;&gt;"", IF(AND($P3882=FALSE, $A3882=FALSE), -J3882, IF(AND($P3882=FALSE, $A3882=TRUE), 0, IF($P3882=TRUE, (J3882 / $R3882) * 100 * ($S3882 / 100)-J3882, ))), )</f>
        <v/>
      </c>
      <c r="AD3882" s="32" t="str">
        <f t="shared" si="4011"/>
        <v/>
      </c>
      <c r="AE3882" s="32" t="str">
        <f t="shared" si="4011"/>
        <v/>
      </c>
      <c r="AF3882" s="32" t="str">
        <f t="shared" si="4011"/>
        <v/>
      </c>
      <c r="AG3882" s="32" t="str">
        <f t="shared" si="4011"/>
        <v/>
      </c>
      <c r="AH3882" s="33"/>
    </row>
    <row r="3883" outlineLevel="1">
      <c r="A3883" s="95" t="b">
        <v>0</v>
      </c>
      <c r="B3883" s="96"/>
      <c r="C3883" s="18"/>
      <c r="D3883" s="42">
        <v>46061.0</v>
      </c>
      <c r="E3883" s="43" t="s">
        <v>24</v>
      </c>
      <c r="F3883" s="53" t="s">
        <v>2233</v>
      </c>
      <c r="G3883" s="97">
        <v>2.0</v>
      </c>
      <c r="H3883" s="97"/>
      <c r="I3883" s="97">
        <v>2.0</v>
      </c>
      <c r="J3883" s="98"/>
      <c r="K3883" s="99">
        <v>2.0</v>
      </c>
      <c r="L3883" s="98"/>
      <c r="M3883" s="99"/>
      <c r="N3883" s="99"/>
      <c r="O3883" s="18"/>
      <c r="P3883" s="100" t="b">
        <v>0</v>
      </c>
      <c r="Q3883" s="18"/>
      <c r="R3883" s="101">
        <f t="shared" si="3377"/>
        <v>6</v>
      </c>
      <c r="S3883" s="32"/>
      <c r="T3883" s="102">
        <f t="shared" si="3378"/>
        <v>100</v>
      </c>
      <c r="U3883" s="18"/>
      <c r="V3883" s="103" t="str">
        <f>IF(ISBLANK($D3883), "0",)</f>
        <v/>
      </c>
      <c r="W3883" s="104" t="str">
        <f t="shared" si="2828"/>
        <v/>
      </c>
      <c r="X3883" s="105"/>
      <c r="Y3883" s="106"/>
      <c r="Z3883" s="26">
        <f t="shared" si="5"/>
        <v>-2</v>
      </c>
      <c r="AA3883" s="26">
        <f t="shared" si="6"/>
        <v>-2</v>
      </c>
      <c r="AB3883" s="32" t="str">
        <f t="shared" si="7"/>
        <v/>
      </c>
      <c r="AC3883" s="32" t="str">
        <f t="shared" ref="AC3883:AG3883" si="4012">IF(J3883&lt;&gt;"", IF(AND($P3883=FALSE, $A3883=FALSE), -J3883, IF(AND($P3883=FALSE, $A3883=TRUE), 0, IF($P3883=TRUE, (J3883 / $R3883) * 100 * ($S3883 / 100)-J3883, ))), )</f>
        <v/>
      </c>
      <c r="AD3883" s="32">
        <f t="shared" si="4012"/>
        <v>-2</v>
      </c>
      <c r="AE3883" s="32" t="str">
        <f t="shared" si="4012"/>
        <v/>
      </c>
      <c r="AF3883" s="32" t="str">
        <f t="shared" si="4012"/>
        <v/>
      </c>
      <c r="AG3883" s="32" t="str">
        <f t="shared" si="4012"/>
        <v/>
      </c>
      <c r="AH3883" s="33"/>
    </row>
    <row r="3884" outlineLevel="2">
      <c r="A3884" s="95" t="b">
        <v>0</v>
      </c>
      <c r="B3884" s="96"/>
      <c r="C3884" s="18"/>
      <c r="D3884" s="107"/>
      <c r="E3884" s="108"/>
      <c r="F3884" s="109"/>
      <c r="G3884" s="97"/>
      <c r="H3884" s="97"/>
      <c r="I3884" s="97"/>
      <c r="J3884" s="98"/>
      <c r="K3884" s="99"/>
      <c r="L3884" s="98"/>
      <c r="M3884" s="99"/>
      <c r="N3884" s="99"/>
      <c r="O3884" s="18"/>
      <c r="P3884" s="100" t="b">
        <v>0</v>
      </c>
      <c r="Q3884" s="18"/>
      <c r="R3884" s="101" t="str">
        <f t="shared" si="3377"/>
        <v/>
      </c>
      <c r="S3884" s="32"/>
      <c r="T3884" s="102" t="str">
        <f t="shared" si="3378"/>
        <v/>
      </c>
      <c r="U3884" s="18"/>
      <c r="V3884" s="75" t="s">
        <v>29</v>
      </c>
      <c r="W3884" s="104" t="str">
        <f t="shared" si="2828"/>
        <v>/</v>
      </c>
      <c r="X3884" s="111" t="s">
        <v>2249</v>
      </c>
      <c r="Y3884" s="106"/>
      <c r="Z3884" s="26" t="str">
        <f t="shared" si="5"/>
        <v/>
      </c>
      <c r="AA3884" s="26" t="str">
        <f t="shared" si="6"/>
        <v/>
      </c>
      <c r="AB3884" s="32" t="str">
        <f t="shared" si="7"/>
        <v/>
      </c>
      <c r="AC3884" s="32" t="str">
        <f t="shared" ref="AC3884:AG3884" si="4013">IF(J3884&lt;&gt;"", IF(AND($P3884=FALSE, $A3884=FALSE), -J3884, IF(AND($P3884=FALSE, $A3884=TRUE), 0, IF($P3884=TRUE, (J3884 / $R3884) * 100 * ($S3884 / 100)-J3884, ))), )</f>
        <v/>
      </c>
      <c r="AD3884" s="32" t="str">
        <f t="shared" si="4013"/>
        <v/>
      </c>
      <c r="AE3884" s="32" t="str">
        <f t="shared" si="4013"/>
        <v/>
      </c>
      <c r="AF3884" s="32" t="str">
        <f t="shared" si="4013"/>
        <v/>
      </c>
      <c r="AG3884" s="32" t="str">
        <f t="shared" si="4013"/>
        <v/>
      </c>
      <c r="AH3884" s="33"/>
    </row>
    <row r="3885" outlineLevel="2">
      <c r="A3885" s="95" t="b">
        <v>0</v>
      </c>
      <c r="B3885" s="96"/>
      <c r="C3885" s="18"/>
      <c r="D3885" s="107"/>
      <c r="E3885" s="108"/>
      <c r="F3885" s="109"/>
      <c r="G3885" s="97"/>
      <c r="H3885" s="97"/>
      <c r="I3885" s="97"/>
      <c r="J3885" s="98"/>
      <c r="K3885" s="99"/>
      <c r="L3885" s="98"/>
      <c r="M3885" s="99"/>
      <c r="N3885" s="99"/>
      <c r="O3885" s="18"/>
      <c r="P3885" s="100" t="b">
        <v>0</v>
      </c>
      <c r="Q3885" s="18"/>
      <c r="R3885" s="101" t="str">
        <f t="shared" si="3377"/>
        <v/>
      </c>
      <c r="S3885" s="32"/>
      <c r="T3885" s="102" t="str">
        <f t="shared" si="3378"/>
        <v/>
      </c>
      <c r="U3885" s="18"/>
      <c r="V3885" s="75" t="s">
        <v>29</v>
      </c>
      <c r="W3885" s="104" t="str">
        <f t="shared" si="2828"/>
        <v>/</v>
      </c>
      <c r="X3885" s="111" t="s">
        <v>1874</v>
      </c>
      <c r="Y3885" s="106"/>
      <c r="Z3885" s="26" t="str">
        <f t="shared" si="5"/>
        <v/>
      </c>
      <c r="AA3885" s="26" t="str">
        <f t="shared" si="6"/>
        <v/>
      </c>
      <c r="AB3885" s="32" t="str">
        <f t="shared" si="7"/>
        <v/>
      </c>
      <c r="AC3885" s="32" t="str">
        <f t="shared" ref="AC3885:AG3885" si="4014">IF(J3885&lt;&gt;"", IF(AND($P3885=FALSE, $A3885=FALSE), -J3885, IF(AND($P3885=FALSE, $A3885=TRUE), 0, IF($P3885=TRUE, (J3885 / $R3885) * 100 * ($S3885 / 100)-J3885, ))), )</f>
        <v/>
      </c>
      <c r="AD3885" s="32" t="str">
        <f t="shared" si="4014"/>
        <v/>
      </c>
      <c r="AE3885" s="32" t="str">
        <f t="shared" si="4014"/>
        <v/>
      </c>
      <c r="AF3885" s="32" t="str">
        <f t="shared" si="4014"/>
        <v/>
      </c>
      <c r="AG3885" s="32" t="str">
        <f t="shared" si="4014"/>
        <v/>
      </c>
      <c r="AH3885" s="33"/>
    </row>
    <row r="3886" collapsed="1">
      <c r="A3886" s="95"/>
      <c r="B3886" s="96"/>
      <c r="C3886" s="18"/>
      <c r="D3886" s="42">
        <v>46184.0</v>
      </c>
      <c r="E3886" s="80" t="s">
        <v>2013</v>
      </c>
      <c r="F3886" s="115" t="s">
        <v>2250</v>
      </c>
      <c r="G3886" s="97">
        <v>2.0</v>
      </c>
      <c r="H3886" s="97"/>
      <c r="I3886" s="97">
        <v>3.0</v>
      </c>
      <c r="J3886" s="98"/>
      <c r="K3886" s="99"/>
      <c r="L3886" s="98"/>
      <c r="M3886" s="99"/>
      <c r="N3886" s="99"/>
      <c r="O3886" s="18"/>
      <c r="P3886" s="100" t="b">
        <v>1</v>
      </c>
      <c r="Q3886" s="18"/>
      <c r="R3886" s="101">
        <f t="shared" si="3377"/>
        <v>5</v>
      </c>
      <c r="S3886" s="32">
        <v>9.8</v>
      </c>
      <c r="T3886" s="102">
        <f t="shared" si="3378"/>
        <v>-104</v>
      </c>
      <c r="U3886" s="18"/>
      <c r="V3886" s="103"/>
      <c r="W3886" s="104"/>
      <c r="X3886" s="105"/>
      <c r="Y3886" s="106"/>
      <c r="Z3886" s="26">
        <f t="shared" si="5"/>
        <v>1.92</v>
      </c>
      <c r="AA3886" s="26">
        <f t="shared" si="6"/>
        <v>2.88</v>
      </c>
      <c r="AB3886" s="32" t="str">
        <f t="shared" si="7"/>
        <v/>
      </c>
      <c r="AC3886" s="32" t="str">
        <f t="shared" ref="AC3886:AG3886" si="4015">IF(J3886&lt;&gt;"", IF(AND($P3886=FALSE, $A3886=FALSE), -J3886, IF(AND($P3886=FALSE, $A3886=TRUE), 0, IF($P3886=TRUE, (J3886 / $R3886) * 100 * ($S3886 / 100)-J3886, ))), )</f>
        <v/>
      </c>
      <c r="AD3886" s="32" t="str">
        <f t="shared" si="4015"/>
        <v/>
      </c>
      <c r="AE3886" s="32" t="str">
        <f t="shared" si="4015"/>
        <v/>
      </c>
      <c r="AF3886" s="32" t="str">
        <f t="shared" si="4015"/>
        <v/>
      </c>
      <c r="AG3886" s="32" t="str">
        <f t="shared" si="4015"/>
        <v/>
      </c>
      <c r="AH3886" s="33"/>
    </row>
    <row r="3887" hidden="1" outlineLevel="1">
      <c r="A3887" s="95" t="b">
        <v>0</v>
      </c>
      <c r="B3887" s="96"/>
      <c r="C3887" s="18"/>
      <c r="D3887" s="107"/>
      <c r="E3887" s="108"/>
      <c r="F3887" s="109"/>
      <c r="G3887" s="97"/>
      <c r="H3887" s="97"/>
      <c r="I3887" s="97"/>
      <c r="J3887" s="98"/>
      <c r="K3887" s="99"/>
      <c r="L3887" s="98"/>
      <c r="M3887" s="99"/>
      <c r="N3887" s="99"/>
      <c r="O3887" s="18"/>
      <c r="P3887" s="100" t="b">
        <v>0</v>
      </c>
      <c r="Q3887" s="18"/>
      <c r="R3887" s="101" t="str">
        <f t="shared" si="3377"/>
        <v/>
      </c>
      <c r="S3887" s="32"/>
      <c r="T3887" s="102" t="str">
        <f t="shared" si="3378"/>
        <v/>
      </c>
      <c r="U3887" s="18"/>
      <c r="V3887" s="75" t="s">
        <v>29</v>
      </c>
      <c r="W3887" s="104" t="str">
        <f t="shared" ref="W3887:W3976" si="4017">IF(ISBLANK($D3887), "/",)</f>
        <v>/</v>
      </c>
      <c r="X3887" s="111" t="s">
        <v>2251</v>
      </c>
      <c r="Y3887" s="106"/>
      <c r="Z3887" s="26" t="str">
        <f t="shared" si="5"/>
        <v/>
      </c>
      <c r="AA3887" s="26" t="str">
        <f t="shared" si="6"/>
        <v/>
      </c>
      <c r="AB3887" s="32" t="str">
        <f t="shared" si="7"/>
        <v/>
      </c>
      <c r="AC3887" s="32" t="str">
        <f t="shared" ref="AC3887:AG3887" si="4016">IF(J3887&lt;&gt;"", IF(AND($P3887=FALSE, $A3887=FALSE), -J3887, IF(AND($P3887=FALSE, $A3887=TRUE), 0, IF($P3887=TRUE, (J3887 / $R3887) * 100 * ($S3887 / 100)-J3887, ))), )</f>
        <v/>
      </c>
      <c r="AD3887" s="32" t="str">
        <f t="shared" si="4016"/>
        <v/>
      </c>
      <c r="AE3887" s="32" t="str">
        <f t="shared" si="4016"/>
        <v/>
      </c>
      <c r="AF3887" s="32" t="str">
        <f t="shared" si="4016"/>
        <v/>
      </c>
      <c r="AG3887" s="32" t="str">
        <f t="shared" si="4016"/>
        <v/>
      </c>
      <c r="AH3887" s="33"/>
    </row>
    <row r="3888" hidden="1" outlineLevel="1">
      <c r="A3888" s="95" t="b">
        <v>0</v>
      </c>
      <c r="B3888" s="96"/>
      <c r="C3888" s="18"/>
      <c r="D3888" s="107"/>
      <c r="E3888" s="108"/>
      <c r="F3888" s="109"/>
      <c r="G3888" s="97"/>
      <c r="H3888" s="97"/>
      <c r="I3888" s="97"/>
      <c r="J3888" s="98"/>
      <c r="K3888" s="99"/>
      <c r="L3888" s="98"/>
      <c r="M3888" s="99"/>
      <c r="N3888" s="99"/>
      <c r="O3888" s="18"/>
      <c r="P3888" s="100" t="b">
        <v>0</v>
      </c>
      <c r="Q3888" s="18"/>
      <c r="R3888" s="101" t="str">
        <f t="shared" si="3377"/>
        <v/>
      </c>
      <c r="S3888" s="32"/>
      <c r="T3888" s="102" t="str">
        <f t="shared" si="3378"/>
        <v/>
      </c>
      <c r="U3888" s="18"/>
      <c r="V3888" s="75" t="s">
        <v>29</v>
      </c>
      <c r="W3888" s="104" t="str">
        <f t="shared" si="4017"/>
        <v>/</v>
      </c>
      <c r="X3888" s="111" t="s">
        <v>2252</v>
      </c>
      <c r="Y3888" s="106"/>
      <c r="Z3888" s="26" t="str">
        <f t="shared" si="5"/>
        <v/>
      </c>
      <c r="AA3888" s="26" t="str">
        <f t="shared" si="6"/>
        <v/>
      </c>
      <c r="AB3888" s="32" t="str">
        <f t="shared" si="7"/>
        <v/>
      </c>
      <c r="AC3888" s="32" t="str">
        <f t="shared" ref="AC3888:AG3888" si="4018">IF(J3888&lt;&gt;"", IF(AND($P3888=FALSE, $A3888=FALSE), -J3888, IF(AND($P3888=FALSE, $A3888=TRUE), 0, IF($P3888=TRUE, (J3888 / $R3888) * 100 * ($S3888 / 100)-J3888, ))), )</f>
        <v/>
      </c>
      <c r="AD3888" s="32" t="str">
        <f t="shared" si="4018"/>
        <v/>
      </c>
      <c r="AE3888" s="32" t="str">
        <f t="shared" si="4018"/>
        <v/>
      </c>
      <c r="AF3888" s="32" t="str">
        <f t="shared" si="4018"/>
        <v/>
      </c>
      <c r="AG3888" s="32" t="str">
        <f t="shared" si="4018"/>
        <v/>
      </c>
      <c r="AH3888" s="33"/>
    </row>
    <row r="3889">
      <c r="A3889" s="95" t="b">
        <v>0</v>
      </c>
      <c r="B3889" s="96"/>
      <c r="C3889" s="18"/>
      <c r="D3889" s="107"/>
      <c r="E3889" s="108"/>
      <c r="F3889" s="109"/>
      <c r="G3889" s="97"/>
      <c r="H3889" s="97"/>
      <c r="I3889" s="97"/>
      <c r="J3889" s="98"/>
      <c r="K3889" s="99"/>
      <c r="L3889" s="98"/>
      <c r="M3889" s="99"/>
      <c r="N3889" s="99"/>
      <c r="O3889" s="18"/>
      <c r="P3889" s="100" t="b">
        <v>0</v>
      </c>
      <c r="Q3889" s="18"/>
      <c r="R3889" s="101" t="str">
        <f t="shared" si="3377"/>
        <v/>
      </c>
      <c r="S3889" s="32"/>
      <c r="T3889" s="102" t="str">
        <f t="shared" si="3378"/>
        <v/>
      </c>
      <c r="U3889" s="18"/>
      <c r="V3889" s="103" t="str">
        <f t="shared" ref="V3889:V3976" si="4020">IF(ISBLANK($D3889), "0",)</f>
        <v>0</v>
      </c>
      <c r="W3889" s="104" t="str">
        <f t="shared" si="4017"/>
        <v>/</v>
      </c>
      <c r="X3889" s="105"/>
      <c r="Y3889" s="106"/>
      <c r="Z3889" s="26" t="str">
        <f t="shared" si="5"/>
        <v/>
      </c>
      <c r="AA3889" s="26" t="str">
        <f t="shared" si="6"/>
        <v/>
      </c>
      <c r="AB3889" s="32" t="str">
        <f t="shared" si="7"/>
        <v/>
      </c>
      <c r="AC3889" s="32" t="str">
        <f t="shared" ref="AC3889:AG3889" si="4019">IF(J3889&lt;&gt;"", IF(AND($P3889=FALSE, $A3889=FALSE), -J3889, IF(AND($P3889=FALSE, $A3889=TRUE), 0, IF($P3889=TRUE, (J3889 / $R3889) * 100 * ($S3889 / 100)-J3889, ))), )</f>
        <v/>
      </c>
      <c r="AD3889" s="32" t="str">
        <f t="shared" si="4019"/>
        <v/>
      </c>
      <c r="AE3889" s="32" t="str">
        <f t="shared" si="4019"/>
        <v/>
      </c>
      <c r="AF3889" s="32" t="str">
        <f t="shared" si="4019"/>
        <v/>
      </c>
      <c r="AG3889" s="32" t="str">
        <f t="shared" si="4019"/>
        <v/>
      </c>
      <c r="AH3889" s="33"/>
    </row>
    <row r="3890">
      <c r="A3890" s="95" t="b">
        <v>0</v>
      </c>
      <c r="B3890" s="96"/>
      <c r="C3890" s="18"/>
      <c r="D3890" s="107"/>
      <c r="E3890" s="108"/>
      <c r="F3890" s="109"/>
      <c r="G3890" s="97"/>
      <c r="H3890" s="97"/>
      <c r="I3890" s="97"/>
      <c r="J3890" s="98"/>
      <c r="K3890" s="99"/>
      <c r="L3890" s="98"/>
      <c r="M3890" s="99"/>
      <c r="N3890" s="99"/>
      <c r="O3890" s="18"/>
      <c r="P3890" s="100" t="b">
        <v>0</v>
      </c>
      <c r="Q3890" s="18"/>
      <c r="R3890" s="101" t="str">
        <f t="shared" si="3377"/>
        <v/>
      </c>
      <c r="S3890" s="32"/>
      <c r="T3890" s="102" t="str">
        <f t="shared" si="3378"/>
        <v/>
      </c>
      <c r="U3890" s="18"/>
      <c r="V3890" s="103" t="str">
        <f t="shared" si="4020"/>
        <v>0</v>
      </c>
      <c r="W3890" s="104" t="str">
        <f t="shared" si="4017"/>
        <v>/</v>
      </c>
      <c r="X3890" s="105"/>
      <c r="Y3890" s="106"/>
      <c r="Z3890" s="26" t="str">
        <f t="shared" si="5"/>
        <v/>
      </c>
      <c r="AA3890" s="26" t="str">
        <f t="shared" si="6"/>
        <v/>
      </c>
      <c r="AB3890" s="32" t="str">
        <f t="shared" si="7"/>
        <v/>
      </c>
      <c r="AC3890" s="32" t="str">
        <f t="shared" ref="AC3890:AG3890" si="4021">IF(J3890&lt;&gt;"", IF(AND($P3890=FALSE, $A3890=FALSE), -J3890, IF(AND($P3890=FALSE, $A3890=TRUE), 0, IF($P3890=TRUE, (J3890 / $R3890) * 100 * ($S3890 / 100)-J3890, ))), )</f>
        <v/>
      </c>
      <c r="AD3890" s="32" t="str">
        <f t="shared" si="4021"/>
        <v/>
      </c>
      <c r="AE3890" s="32" t="str">
        <f t="shared" si="4021"/>
        <v/>
      </c>
      <c r="AF3890" s="32" t="str">
        <f t="shared" si="4021"/>
        <v/>
      </c>
      <c r="AG3890" s="32" t="str">
        <f t="shared" si="4021"/>
        <v/>
      </c>
      <c r="AH3890" s="33"/>
    </row>
    <row r="3891">
      <c r="A3891" s="95" t="b">
        <v>0</v>
      </c>
      <c r="B3891" s="96"/>
      <c r="C3891" s="18"/>
      <c r="D3891" s="107"/>
      <c r="E3891" s="108"/>
      <c r="F3891" s="109"/>
      <c r="G3891" s="97"/>
      <c r="H3891" s="97"/>
      <c r="I3891" s="97"/>
      <c r="J3891" s="98"/>
      <c r="K3891" s="99"/>
      <c r="L3891" s="98"/>
      <c r="M3891" s="99"/>
      <c r="N3891" s="99"/>
      <c r="O3891" s="18"/>
      <c r="P3891" s="100" t="b">
        <v>0</v>
      </c>
      <c r="Q3891" s="18"/>
      <c r="R3891" s="101" t="str">
        <f t="shared" si="3377"/>
        <v/>
      </c>
      <c r="S3891" s="32"/>
      <c r="T3891" s="102" t="str">
        <f t="shared" si="3378"/>
        <v/>
      </c>
      <c r="U3891" s="18"/>
      <c r="V3891" s="103" t="str">
        <f t="shared" si="4020"/>
        <v>0</v>
      </c>
      <c r="W3891" s="104" t="str">
        <f t="shared" si="4017"/>
        <v>/</v>
      </c>
      <c r="X3891" s="105"/>
      <c r="Y3891" s="106"/>
      <c r="Z3891" s="26" t="str">
        <f t="shared" si="5"/>
        <v/>
      </c>
      <c r="AA3891" s="26" t="str">
        <f t="shared" si="6"/>
        <v/>
      </c>
      <c r="AB3891" s="32" t="str">
        <f t="shared" si="7"/>
        <v/>
      </c>
      <c r="AC3891" s="32" t="str">
        <f t="shared" ref="AC3891:AG3891" si="4022">IF(J3891&lt;&gt;"", IF(AND($P3891=FALSE, $A3891=FALSE), -J3891, IF(AND($P3891=FALSE, $A3891=TRUE), 0, IF($P3891=TRUE, (J3891 / $R3891) * 100 * ($S3891 / 100)-J3891, ))), )</f>
        <v/>
      </c>
      <c r="AD3891" s="32" t="str">
        <f t="shared" si="4022"/>
        <v/>
      </c>
      <c r="AE3891" s="32" t="str">
        <f t="shared" si="4022"/>
        <v/>
      </c>
      <c r="AF3891" s="32" t="str">
        <f t="shared" si="4022"/>
        <v/>
      </c>
      <c r="AG3891" s="32" t="str">
        <f t="shared" si="4022"/>
        <v/>
      </c>
      <c r="AH3891" s="33"/>
    </row>
    <row r="3892">
      <c r="A3892" s="95" t="b">
        <v>0</v>
      </c>
      <c r="B3892" s="96"/>
      <c r="C3892" s="18"/>
      <c r="D3892" s="107"/>
      <c r="E3892" s="108"/>
      <c r="F3892" s="109"/>
      <c r="G3892" s="97"/>
      <c r="H3892" s="97"/>
      <c r="I3892" s="97"/>
      <c r="J3892" s="98"/>
      <c r="K3892" s="99"/>
      <c r="L3892" s="98"/>
      <c r="M3892" s="99"/>
      <c r="N3892" s="99"/>
      <c r="O3892" s="18"/>
      <c r="P3892" s="100" t="b">
        <v>0</v>
      </c>
      <c r="Q3892" s="18"/>
      <c r="R3892" s="101" t="str">
        <f t="shared" si="3377"/>
        <v/>
      </c>
      <c r="S3892" s="32"/>
      <c r="T3892" s="102" t="str">
        <f t="shared" si="3378"/>
        <v/>
      </c>
      <c r="U3892" s="18"/>
      <c r="V3892" s="103" t="str">
        <f t="shared" si="4020"/>
        <v>0</v>
      </c>
      <c r="W3892" s="104" t="str">
        <f t="shared" si="4017"/>
        <v>/</v>
      </c>
      <c r="X3892" s="105"/>
      <c r="Y3892" s="106"/>
      <c r="Z3892" s="26" t="str">
        <f t="shared" si="5"/>
        <v/>
      </c>
      <c r="AA3892" s="26" t="str">
        <f t="shared" si="6"/>
        <v/>
      </c>
      <c r="AB3892" s="32" t="str">
        <f t="shared" si="7"/>
        <v/>
      </c>
      <c r="AC3892" s="32" t="str">
        <f t="shared" ref="AC3892:AG3892" si="4023">IF(J3892&lt;&gt;"", IF(AND($P3892=FALSE, $A3892=FALSE), -J3892, IF(AND($P3892=FALSE, $A3892=TRUE), 0, IF($P3892=TRUE, (J3892 / $R3892) * 100 * ($S3892 / 100)-J3892, ))), )</f>
        <v/>
      </c>
      <c r="AD3892" s="32" t="str">
        <f t="shared" si="4023"/>
        <v/>
      </c>
      <c r="AE3892" s="32" t="str">
        <f t="shared" si="4023"/>
        <v/>
      </c>
      <c r="AF3892" s="32" t="str">
        <f t="shared" si="4023"/>
        <v/>
      </c>
      <c r="AG3892" s="32" t="str">
        <f t="shared" si="4023"/>
        <v/>
      </c>
      <c r="AH3892" s="33"/>
    </row>
    <row r="3893">
      <c r="A3893" s="95" t="b">
        <v>0</v>
      </c>
      <c r="B3893" s="96"/>
      <c r="C3893" s="18"/>
      <c r="D3893" s="107"/>
      <c r="E3893" s="108"/>
      <c r="F3893" s="109"/>
      <c r="G3893" s="97"/>
      <c r="H3893" s="97"/>
      <c r="I3893" s="97"/>
      <c r="J3893" s="98"/>
      <c r="K3893" s="99"/>
      <c r="L3893" s="98"/>
      <c r="M3893" s="99"/>
      <c r="N3893" s="99"/>
      <c r="O3893" s="18"/>
      <c r="P3893" s="100" t="b">
        <v>0</v>
      </c>
      <c r="Q3893" s="18"/>
      <c r="R3893" s="101" t="str">
        <f t="shared" si="3377"/>
        <v/>
      </c>
      <c r="S3893" s="32"/>
      <c r="T3893" s="102" t="str">
        <f t="shared" si="3378"/>
        <v/>
      </c>
      <c r="U3893" s="18"/>
      <c r="V3893" s="103" t="str">
        <f t="shared" si="4020"/>
        <v>0</v>
      </c>
      <c r="W3893" s="104" t="str">
        <f t="shared" si="4017"/>
        <v>/</v>
      </c>
      <c r="X3893" s="105"/>
      <c r="Y3893" s="106"/>
      <c r="Z3893" s="26" t="str">
        <f t="shared" si="5"/>
        <v/>
      </c>
      <c r="AA3893" s="26" t="str">
        <f t="shared" si="6"/>
        <v/>
      </c>
      <c r="AB3893" s="32" t="str">
        <f t="shared" si="7"/>
        <v/>
      </c>
      <c r="AC3893" s="32" t="str">
        <f t="shared" ref="AC3893:AG3893" si="4024">IF(J3893&lt;&gt;"", IF(AND($P3893=FALSE, $A3893=FALSE), -J3893, IF(AND($P3893=FALSE, $A3893=TRUE), 0, IF($P3893=TRUE, (J3893 / $R3893) * 100 * ($S3893 / 100)-J3893, ))), )</f>
        <v/>
      </c>
      <c r="AD3893" s="32" t="str">
        <f t="shared" si="4024"/>
        <v/>
      </c>
      <c r="AE3893" s="32" t="str">
        <f t="shared" si="4024"/>
        <v/>
      </c>
      <c r="AF3893" s="32" t="str">
        <f t="shared" si="4024"/>
        <v/>
      </c>
      <c r="AG3893" s="32" t="str">
        <f t="shared" si="4024"/>
        <v/>
      </c>
      <c r="AH3893" s="33"/>
    </row>
    <row r="3894">
      <c r="A3894" s="95" t="b">
        <v>0</v>
      </c>
      <c r="B3894" s="96"/>
      <c r="C3894" s="18"/>
      <c r="D3894" s="107"/>
      <c r="E3894" s="108"/>
      <c r="F3894" s="109"/>
      <c r="G3894" s="97"/>
      <c r="H3894" s="97"/>
      <c r="I3894" s="97"/>
      <c r="J3894" s="98"/>
      <c r="K3894" s="99"/>
      <c r="L3894" s="98"/>
      <c r="M3894" s="99"/>
      <c r="N3894" s="99"/>
      <c r="O3894" s="18"/>
      <c r="P3894" s="100" t="b">
        <v>0</v>
      </c>
      <c r="Q3894" s="18"/>
      <c r="R3894" s="101" t="str">
        <f t="shared" si="3377"/>
        <v/>
      </c>
      <c r="S3894" s="32"/>
      <c r="T3894" s="102" t="str">
        <f t="shared" si="3378"/>
        <v/>
      </c>
      <c r="U3894" s="18"/>
      <c r="V3894" s="103" t="str">
        <f t="shared" si="4020"/>
        <v>0</v>
      </c>
      <c r="W3894" s="104" t="str">
        <f t="shared" si="4017"/>
        <v>/</v>
      </c>
      <c r="X3894" s="105"/>
      <c r="Y3894" s="106"/>
      <c r="Z3894" s="26" t="str">
        <f t="shared" si="5"/>
        <v/>
      </c>
      <c r="AA3894" s="26" t="str">
        <f t="shared" si="6"/>
        <v/>
      </c>
      <c r="AB3894" s="32" t="str">
        <f t="shared" si="7"/>
        <v/>
      </c>
      <c r="AC3894" s="32" t="str">
        <f t="shared" ref="AC3894:AG3894" si="4025">IF(J3894&lt;&gt;"", IF(AND($P3894=FALSE, $A3894=FALSE), -J3894, IF(AND($P3894=FALSE, $A3894=TRUE), 0, IF($P3894=TRUE, (J3894 / $R3894) * 100 * ($S3894 / 100)-J3894, ))), )</f>
        <v/>
      </c>
      <c r="AD3894" s="32" t="str">
        <f t="shared" si="4025"/>
        <v/>
      </c>
      <c r="AE3894" s="32" t="str">
        <f t="shared" si="4025"/>
        <v/>
      </c>
      <c r="AF3894" s="32" t="str">
        <f t="shared" si="4025"/>
        <v/>
      </c>
      <c r="AG3894" s="32" t="str">
        <f t="shared" si="4025"/>
        <v/>
      </c>
      <c r="AH3894" s="33"/>
    </row>
    <row r="3895">
      <c r="A3895" s="95" t="b">
        <v>0</v>
      </c>
      <c r="B3895" s="96"/>
      <c r="C3895" s="18"/>
      <c r="D3895" s="107"/>
      <c r="E3895" s="108"/>
      <c r="F3895" s="109"/>
      <c r="G3895" s="97"/>
      <c r="H3895" s="97"/>
      <c r="I3895" s="97"/>
      <c r="J3895" s="98"/>
      <c r="K3895" s="99"/>
      <c r="L3895" s="98"/>
      <c r="M3895" s="99"/>
      <c r="N3895" s="99"/>
      <c r="O3895" s="18"/>
      <c r="P3895" s="100" t="b">
        <v>0</v>
      </c>
      <c r="Q3895" s="18"/>
      <c r="R3895" s="101" t="str">
        <f t="shared" si="3377"/>
        <v/>
      </c>
      <c r="S3895" s="32"/>
      <c r="T3895" s="102" t="str">
        <f t="shared" si="3378"/>
        <v/>
      </c>
      <c r="U3895" s="18"/>
      <c r="V3895" s="103" t="str">
        <f t="shared" si="4020"/>
        <v>0</v>
      </c>
      <c r="W3895" s="104" t="str">
        <f t="shared" si="4017"/>
        <v>/</v>
      </c>
      <c r="X3895" s="105"/>
      <c r="Y3895" s="106"/>
      <c r="Z3895" s="26" t="str">
        <f t="shared" si="5"/>
        <v/>
      </c>
      <c r="AA3895" s="26" t="str">
        <f t="shared" si="6"/>
        <v/>
      </c>
      <c r="AB3895" s="32" t="str">
        <f t="shared" si="7"/>
        <v/>
      </c>
      <c r="AC3895" s="32" t="str">
        <f t="shared" ref="AC3895:AG3895" si="4026">IF(J3895&lt;&gt;"", IF(AND($P3895=FALSE, $A3895=FALSE), -J3895, IF(AND($P3895=FALSE, $A3895=TRUE), 0, IF($P3895=TRUE, (J3895 / $R3895) * 100 * ($S3895 / 100)-J3895, ))), )</f>
        <v/>
      </c>
      <c r="AD3895" s="32" t="str">
        <f t="shared" si="4026"/>
        <v/>
      </c>
      <c r="AE3895" s="32" t="str">
        <f t="shared" si="4026"/>
        <v/>
      </c>
      <c r="AF3895" s="32" t="str">
        <f t="shared" si="4026"/>
        <v/>
      </c>
      <c r="AG3895" s="32" t="str">
        <f t="shared" si="4026"/>
        <v/>
      </c>
      <c r="AH3895" s="33"/>
    </row>
    <row r="3896">
      <c r="A3896" s="95" t="b">
        <v>0</v>
      </c>
      <c r="B3896" s="96"/>
      <c r="C3896" s="18"/>
      <c r="D3896" s="107"/>
      <c r="E3896" s="108"/>
      <c r="F3896" s="109"/>
      <c r="G3896" s="97"/>
      <c r="H3896" s="97"/>
      <c r="I3896" s="97"/>
      <c r="J3896" s="98"/>
      <c r="K3896" s="99"/>
      <c r="L3896" s="98"/>
      <c r="M3896" s="99"/>
      <c r="N3896" s="99"/>
      <c r="O3896" s="18"/>
      <c r="P3896" s="100" t="b">
        <v>0</v>
      </c>
      <c r="Q3896" s="18"/>
      <c r="R3896" s="101" t="str">
        <f t="shared" si="3377"/>
        <v/>
      </c>
      <c r="S3896" s="32"/>
      <c r="T3896" s="102" t="str">
        <f t="shared" si="3378"/>
        <v/>
      </c>
      <c r="U3896" s="18"/>
      <c r="V3896" s="103" t="str">
        <f t="shared" si="4020"/>
        <v>0</v>
      </c>
      <c r="W3896" s="104" t="str">
        <f t="shared" si="4017"/>
        <v>/</v>
      </c>
      <c r="X3896" s="105"/>
      <c r="Y3896" s="106"/>
      <c r="Z3896" s="26" t="str">
        <f t="shared" si="5"/>
        <v/>
      </c>
      <c r="AA3896" s="26" t="str">
        <f t="shared" si="6"/>
        <v/>
      </c>
      <c r="AB3896" s="32" t="str">
        <f t="shared" si="7"/>
        <v/>
      </c>
      <c r="AC3896" s="32" t="str">
        <f t="shared" ref="AC3896:AG3896" si="4027">IF(J3896&lt;&gt;"", IF(AND($P3896=FALSE, $A3896=FALSE), -J3896, IF(AND($P3896=FALSE, $A3896=TRUE), 0, IF($P3896=TRUE, (J3896 / $R3896) * 100 * ($S3896 / 100)-J3896, ))), )</f>
        <v/>
      </c>
      <c r="AD3896" s="32" t="str">
        <f t="shared" si="4027"/>
        <v/>
      </c>
      <c r="AE3896" s="32" t="str">
        <f t="shared" si="4027"/>
        <v/>
      </c>
      <c r="AF3896" s="32" t="str">
        <f t="shared" si="4027"/>
        <v/>
      </c>
      <c r="AG3896" s="32" t="str">
        <f t="shared" si="4027"/>
        <v/>
      </c>
      <c r="AH3896" s="33"/>
    </row>
    <row r="3897">
      <c r="A3897" s="95" t="b">
        <v>0</v>
      </c>
      <c r="B3897" s="96"/>
      <c r="C3897" s="18"/>
      <c r="D3897" s="107"/>
      <c r="E3897" s="108"/>
      <c r="F3897" s="109"/>
      <c r="G3897" s="97"/>
      <c r="H3897" s="97"/>
      <c r="I3897" s="97"/>
      <c r="J3897" s="98"/>
      <c r="K3897" s="99"/>
      <c r="L3897" s="98"/>
      <c r="M3897" s="99"/>
      <c r="N3897" s="99"/>
      <c r="O3897" s="18"/>
      <c r="P3897" s="100" t="b">
        <v>0</v>
      </c>
      <c r="Q3897" s="18"/>
      <c r="R3897" s="101" t="str">
        <f t="shared" si="3377"/>
        <v/>
      </c>
      <c r="S3897" s="32"/>
      <c r="T3897" s="102" t="str">
        <f t="shared" si="3378"/>
        <v/>
      </c>
      <c r="U3897" s="18"/>
      <c r="V3897" s="103" t="str">
        <f t="shared" si="4020"/>
        <v>0</v>
      </c>
      <c r="W3897" s="104" t="str">
        <f t="shared" si="4017"/>
        <v>/</v>
      </c>
      <c r="X3897" s="105"/>
      <c r="Y3897" s="106"/>
      <c r="Z3897" s="26" t="str">
        <f t="shared" si="5"/>
        <v/>
      </c>
      <c r="AA3897" s="26" t="str">
        <f t="shared" si="6"/>
        <v/>
      </c>
      <c r="AB3897" s="32" t="str">
        <f t="shared" si="7"/>
        <v/>
      </c>
      <c r="AC3897" s="32" t="str">
        <f t="shared" ref="AC3897:AG3897" si="4028">IF(J3897&lt;&gt;"", IF(AND($P3897=FALSE, $A3897=FALSE), -J3897, IF(AND($P3897=FALSE, $A3897=TRUE), 0, IF($P3897=TRUE, (J3897 / $R3897) * 100 * ($S3897 / 100)-J3897, ))), )</f>
        <v/>
      </c>
      <c r="AD3897" s="32" t="str">
        <f t="shared" si="4028"/>
        <v/>
      </c>
      <c r="AE3897" s="32" t="str">
        <f t="shared" si="4028"/>
        <v/>
      </c>
      <c r="AF3897" s="32" t="str">
        <f t="shared" si="4028"/>
        <v/>
      </c>
      <c r="AG3897" s="32" t="str">
        <f t="shared" si="4028"/>
        <v/>
      </c>
      <c r="AH3897" s="33"/>
    </row>
    <row r="3898">
      <c r="A3898" s="95" t="b">
        <v>0</v>
      </c>
      <c r="B3898" s="96"/>
      <c r="C3898" s="18"/>
      <c r="D3898" s="107"/>
      <c r="E3898" s="108"/>
      <c r="F3898" s="109"/>
      <c r="G3898" s="97"/>
      <c r="H3898" s="97"/>
      <c r="I3898" s="97"/>
      <c r="J3898" s="98"/>
      <c r="K3898" s="99"/>
      <c r="L3898" s="98"/>
      <c r="M3898" s="99"/>
      <c r="N3898" s="99"/>
      <c r="O3898" s="18"/>
      <c r="P3898" s="100" t="b">
        <v>0</v>
      </c>
      <c r="Q3898" s="18"/>
      <c r="R3898" s="101" t="str">
        <f t="shared" si="3377"/>
        <v/>
      </c>
      <c r="S3898" s="32"/>
      <c r="T3898" s="102" t="str">
        <f t="shared" si="3378"/>
        <v/>
      </c>
      <c r="U3898" s="18"/>
      <c r="V3898" s="103" t="str">
        <f t="shared" si="4020"/>
        <v>0</v>
      </c>
      <c r="W3898" s="104" t="str">
        <f t="shared" si="4017"/>
        <v>/</v>
      </c>
      <c r="X3898" s="105"/>
      <c r="Y3898" s="106"/>
      <c r="Z3898" s="26" t="str">
        <f t="shared" si="5"/>
        <v/>
      </c>
      <c r="AA3898" s="26" t="str">
        <f t="shared" si="6"/>
        <v/>
      </c>
      <c r="AB3898" s="32" t="str">
        <f t="shared" si="7"/>
        <v/>
      </c>
      <c r="AC3898" s="32" t="str">
        <f t="shared" ref="AC3898:AG3898" si="4029">IF(J3898&lt;&gt;"", IF(AND($P3898=FALSE, $A3898=FALSE), -J3898, IF(AND($P3898=FALSE, $A3898=TRUE), 0, IF($P3898=TRUE, (J3898 / $R3898) * 100 * ($S3898 / 100)-J3898, ))), )</f>
        <v/>
      </c>
      <c r="AD3898" s="32" t="str">
        <f t="shared" si="4029"/>
        <v/>
      </c>
      <c r="AE3898" s="32" t="str">
        <f t="shared" si="4029"/>
        <v/>
      </c>
      <c r="AF3898" s="32" t="str">
        <f t="shared" si="4029"/>
        <v/>
      </c>
      <c r="AG3898" s="32" t="str">
        <f t="shared" si="4029"/>
        <v/>
      </c>
      <c r="AH3898" s="33"/>
    </row>
    <row r="3899">
      <c r="A3899" s="95" t="b">
        <v>0</v>
      </c>
      <c r="B3899" s="96"/>
      <c r="C3899" s="18"/>
      <c r="D3899" s="107"/>
      <c r="E3899" s="108"/>
      <c r="F3899" s="109"/>
      <c r="G3899" s="97"/>
      <c r="H3899" s="97"/>
      <c r="I3899" s="97"/>
      <c r="J3899" s="98"/>
      <c r="K3899" s="99"/>
      <c r="L3899" s="98"/>
      <c r="M3899" s="99"/>
      <c r="N3899" s="99"/>
      <c r="O3899" s="18"/>
      <c r="P3899" s="100" t="b">
        <v>0</v>
      </c>
      <c r="Q3899" s="18"/>
      <c r="R3899" s="101" t="str">
        <f t="shared" si="3377"/>
        <v/>
      </c>
      <c r="S3899" s="32"/>
      <c r="T3899" s="102" t="str">
        <f t="shared" si="3378"/>
        <v/>
      </c>
      <c r="U3899" s="18"/>
      <c r="V3899" s="103" t="str">
        <f t="shared" si="4020"/>
        <v>0</v>
      </c>
      <c r="W3899" s="104" t="str">
        <f t="shared" si="4017"/>
        <v>/</v>
      </c>
      <c r="X3899" s="105"/>
      <c r="Y3899" s="106"/>
      <c r="Z3899" s="26" t="str">
        <f t="shared" si="5"/>
        <v/>
      </c>
      <c r="AA3899" s="26" t="str">
        <f t="shared" si="6"/>
        <v/>
      </c>
      <c r="AB3899" s="32" t="str">
        <f t="shared" si="7"/>
        <v/>
      </c>
      <c r="AC3899" s="32" t="str">
        <f t="shared" ref="AC3899:AG3899" si="4030">IF(J3899&lt;&gt;"", IF(AND($P3899=FALSE, $A3899=FALSE), -J3899, IF(AND($P3899=FALSE, $A3899=TRUE), 0, IF($P3899=TRUE, (J3899 / $R3899) * 100 * ($S3899 / 100)-J3899, ))), )</f>
        <v/>
      </c>
      <c r="AD3899" s="32" t="str">
        <f t="shared" si="4030"/>
        <v/>
      </c>
      <c r="AE3899" s="32" t="str">
        <f t="shared" si="4030"/>
        <v/>
      </c>
      <c r="AF3899" s="32" t="str">
        <f t="shared" si="4030"/>
        <v/>
      </c>
      <c r="AG3899" s="32" t="str">
        <f t="shared" si="4030"/>
        <v/>
      </c>
      <c r="AH3899" s="33"/>
    </row>
    <row r="3900">
      <c r="A3900" s="95" t="b">
        <v>0</v>
      </c>
      <c r="B3900" s="96"/>
      <c r="C3900" s="18"/>
      <c r="D3900" s="107"/>
      <c r="E3900" s="108"/>
      <c r="F3900" s="109"/>
      <c r="G3900" s="97"/>
      <c r="H3900" s="97"/>
      <c r="I3900" s="97"/>
      <c r="J3900" s="98"/>
      <c r="K3900" s="99"/>
      <c r="L3900" s="98"/>
      <c r="M3900" s="99"/>
      <c r="N3900" s="99"/>
      <c r="O3900" s="18"/>
      <c r="P3900" s="100" t="b">
        <v>0</v>
      </c>
      <c r="Q3900" s="18"/>
      <c r="R3900" s="101" t="str">
        <f t="shared" si="3377"/>
        <v/>
      </c>
      <c r="S3900" s="32"/>
      <c r="T3900" s="102" t="str">
        <f t="shared" si="3378"/>
        <v/>
      </c>
      <c r="U3900" s="18"/>
      <c r="V3900" s="103" t="str">
        <f t="shared" si="4020"/>
        <v>0</v>
      </c>
      <c r="W3900" s="104" t="str">
        <f t="shared" si="4017"/>
        <v>/</v>
      </c>
      <c r="X3900" s="105"/>
      <c r="Y3900" s="106"/>
      <c r="Z3900" s="26" t="str">
        <f t="shared" si="5"/>
        <v/>
      </c>
      <c r="AA3900" s="26" t="str">
        <f t="shared" si="6"/>
        <v/>
      </c>
      <c r="AB3900" s="32" t="str">
        <f t="shared" si="7"/>
        <v/>
      </c>
      <c r="AC3900" s="32" t="str">
        <f t="shared" ref="AC3900:AG3900" si="4031">IF(J3900&lt;&gt;"", IF(AND($P3900=FALSE, $A3900=FALSE), -J3900, IF(AND($P3900=FALSE, $A3900=TRUE), 0, IF($P3900=TRUE, (J3900 / $R3900) * 100 * ($S3900 / 100)-J3900, ))), )</f>
        <v/>
      </c>
      <c r="AD3900" s="32" t="str">
        <f t="shared" si="4031"/>
        <v/>
      </c>
      <c r="AE3900" s="32" t="str">
        <f t="shared" si="4031"/>
        <v/>
      </c>
      <c r="AF3900" s="32" t="str">
        <f t="shared" si="4031"/>
        <v/>
      </c>
      <c r="AG3900" s="32" t="str">
        <f t="shared" si="4031"/>
        <v/>
      </c>
      <c r="AH3900" s="33"/>
    </row>
    <row r="3901">
      <c r="A3901" s="95" t="b">
        <v>0</v>
      </c>
      <c r="B3901" s="96"/>
      <c r="C3901" s="18"/>
      <c r="D3901" s="107"/>
      <c r="E3901" s="108"/>
      <c r="F3901" s="109"/>
      <c r="G3901" s="97"/>
      <c r="H3901" s="97"/>
      <c r="I3901" s="97"/>
      <c r="J3901" s="98"/>
      <c r="K3901" s="99"/>
      <c r="L3901" s="98"/>
      <c r="M3901" s="99"/>
      <c r="N3901" s="99"/>
      <c r="O3901" s="18"/>
      <c r="P3901" s="100" t="b">
        <v>0</v>
      </c>
      <c r="Q3901" s="18"/>
      <c r="R3901" s="101" t="str">
        <f t="shared" si="3377"/>
        <v/>
      </c>
      <c r="S3901" s="32"/>
      <c r="T3901" s="102" t="str">
        <f t="shared" si="3378"/>
        <v/>
      </c>
      <c r="U3901" s="18"/>
      <c r="V3901" s="103" t="str">
        <f t="shared" si="4020"/>
        <v>0</v>
      </c>
      <c r="W3901" s="104" t="str">
        <f t="shared" si="4017"/>
        <v>/</v>
      </c>
      <c r="X3901" s="105"/>
      <c r="Y3901" s="106"/>
      <c r="Z3901" s="26" t="str">
        <f t="shared" si="5"/>
        <v/>
      </c>
      <c r="AA3901" s="26" t="str">
        <f t="shared" si="6"/>
        <v/>
      </c>
      <c r="AB3901" s="32" t="str">
        <f t="shared" si="7"/>
        <v/>
      </c>
      <c r="AC3901" s="32" t="str">
        <f t="shared" ref="AC3901:AG3901" si="4032">IF(J3901&lt;&gt;"", IF(AND($P3901=FALSE, $A3901=FALSE), -J3901, IF(AND($P3901=FALSE, $A3901=TRUE), 0, IF($P3901=TRUE, (J3901 / $R3901) * 100 * ($S3901 / 100)-J3901, ))), )</f>
        <v/>
      </c>
      <c r="AD3901" s="32" t="str">
        <f t="shared" si="4032"/>
        <v/>
      </c>
      <c r="AE3901" s="32" t="str">
        <f t="shared" si="4032"/>
        <v/>
      </c>
      <c r="AF3901" s="32" t="str">
        <f t="shared" si="4032"/>
        <v/>
      </c>
      <c r="AG3901" s="32" t="str">
        <f t="shared" si="4032"/>
        <v/>
      </c>
      <c r="AH3901" s="33"/>
    </row>
    <row r="3902">
      <c r="A3902" s="95" t="b">
        <v>0</v>
      </c>
      <c r="B3902" s="96"/>
      <c r="C3902" s="18"/>
      <c r="D3902" s="107"/>
      <c r="E3902" s="108"/>
      <c r="F3902" s="109"/>
      <c r="G3902" s="97"/>
      <c r="H3902" s="97"/>
      <c r="I3902" s="97"/>
      <c r="J3902" s="98"/>
      <c r="K3902" s="99"/>
      <c r="L3902" s="98"/>
      <c r="M3902" s="99"/>
      <c r="N3902" s="99"/>
      <c r="O3902" s="18"/>
      <c r="P3902" s="100" t="b">
        <v>0</v>
      </c>
      <c r="Q3902" s="18"/>
      <c r="R3902" s="101" t="str">
        <f t="shared" si="3377"/>
        <v/>
      </c>
      <c r="S3902" s="32"/>
      <c r="T3902" s="102" t="str">
        <f t="shared" si="3378"/>
        <v/>
      </c>
      <c r="U3902" s="18"/>
      <c r="V3902" s="103" t="str">
        <f t="shared" si="4020"/>
        <v>0</v>
      </c>
      <c r="W3902" s="104" t="str">
        <f t="shared" si="4017"/>
        <v>/</v>
      </c>
      <c r="X3902" s="105"/>
      <c r="Y3902" s="106"/>
      <c r="Z3902" s="26" t="str">
        <f t="shared" si="5"/>
        <v/>
      </c>
      <c r="AA3902" s="26" t="str">
        <f t="shared" si="6"/>
        <v/>
      </c>
      <c r="AB3902" s="32" t="str">
        <f t="shared" si="7"/>
        <v/>
      </c>
      <c r="AC3902" s="32" t="str">
        <f t="shared" ref="AC3902:AG3902" si="4033">IF(J3902&lt;&gt;"", IF(AND($P3902=FALSE, $A3902=FALSE), -J3902, IF(AND($P3902=FALSE, $A3902=TRUE), 0, IF($P3902=TRUE, (J3902 / $R3902) * 100 * ($S3902 / 100)-J3902, ))), )</f>
        <v/>
      </c>
      <c r="AD3902" s="32" t="str">
        <f t="shared" si="4033"/>
        <v/>
      </c>
      <c r="AE3902" s="32" t="str">
        <f t="shared" si="4033"/>
        <v/>
      </c>
      <c r="AF3902" s="32" t="str">
        <f t="shared" si="4033"/>
        <v/>
      </c>
      <c r="AG3902" s="32" t="str">
        <f t="shared" si="4033"/>
        <v/>
      </c>
      <c r="AH3902" s="33"/>
    </row>
    <row r="3903">
      <c r="A3903" s="95" t="b">
        <v>0</v>
      </c>
      <c r="B3903" s="96"/>
      <c r="C3903" s="18"/>
      <c r="D3903" s="107"/>
      <c r="E3903" s="108"/>
      <c r="F3903" s="109"/>
      <c r="G3903" s="97"/>
      <c r="H3903" s="97"/>
      <c r="I3903" s="97"/>
      <c r="J3903" s="98"/>
      <c r="K3903" s="99"/>
      <c r="L3903" s="98"/>
      <c r="M3903" s="99"/>
      <c r="N3903" s="99"/>
      <c r="O3903" s="18"/>
      <c r="P3903" s="100" t="b">
        <v>0</v>
      </c>
      <c r="Q3903" s="18"/>
      <c r="R3903" s="101" t="str">
        <f t="shared" si="3377"/>
        <v/>
      </c>
      <c r="S3903" s="32"/>
      <c r="T3903" s="102" t="str">
        <f t="shared" si="3378"/>
        <v/>
      </c>
      <c r="U3903" s="18"/>
      <c r="V3903" s="103" t="str">
        <f t="shared" si="4020"/>
        <v>0</v>
      </c>
      <c r="W3903" s="104" t="str">
        <f t="shared" si="4017"/>
        <v>/</v>
      </c>
      <c r="X3903" s="105"/>
      <c r="Y3903" s="106"/>
      <c r="Z3903" s="26" t="str">
        <f t="shared" si="5"/>
        <v/>
      </c>
      <c r="AA3903" s="26" t="str">
        <f t="shared" si="6"/>
        <v/>
      </c>
      <c r="AB3903" s="32" t="str">
        <f t="shared" si="7"/>
        <v/>
      </c>
      <c r="AC3903" s="32" t="str">
        <f t="shared" ref="AC3903:AG3903" si="4034">IF(J3903&lt;&gt;"", IF(AND($P3903=FALSE, $A3903=FALSE), -J3903, IF(AND($P3903=FALSE, $A3903=TRUE), 0, IF($P3903=TRUE, (J3903 / $R3903) * 100 * ($S3903 / 100)-J3903, ))), )</f>
        <v/>
      </c>
      <c r="AD3903" s="32" t="str">
        <f t="shared" si="4034"/>
        <v/>
      </c>
      <c r="AE3903" s="32" t="str">
        <f t="shared" si="4034"/>
        <v/>
      </c>
      <c r="AF3903" s="32" t="str">
        <f t="shared" si="4034"/>
        <v/>
      </c>
      <c r="AG3903" s="32" t="str">
        <f t="shared" si="4034"/>
        <v/>
      </c>
      <c r="AH3903" s="33"/>
    </row>
    <row r="3904">
      <c r="A3904" s="95" t="b">
        <v>0</v>
      </c>
      <c r="B3904" s="96"/>
      <c r="C3904" s="18"/>
      <c r="D3904" s="107"/>
      <c r="E3904" s="108"/>
      <c r="F3904" s="109"/>
      <c r="G3904" s="97"/>
      <c r="H3904" s="97"/>
      <c r="I3904" s="97"/>
      <c r="J3904" s="98"/>
      <c r="K3904" s="99"/>
      <c r="L3904" s="98"/>
      <c r="M3904" s="99"/>
      <c r="N3904" s="99"/>
      <c r="O3904" s="18"/>
      <c r="P3904" s="100" t="b">
        <v>0</v>
      </c>
      <c r="Q3904" s="18"/>
      <c r="R3904" s="101" t="str">
        <f t="shared" si="3377"/>
        <v/>
      </c>
      <c r="S3904" s="32"/>
      <c r="T3904" s="102" t="str">
        <f t="shared" si="3378"/>
        <v/>
      </c>
      <c r="U3904" s="18"/>
      <c r="V3904" s="103" t="str">
        <f t="shared" si="4020"/>
        <v>0</v>
      </c>
      <c r="W3904" s="104" t="str">
        <f t="shared" si="4017"/>
        <v>/</v>
      </c>
      <c r="X3904" s="105"/>
      <c r="Y3904" s="106"/>
      <c r="Z3904" s="26" t="str">
        <f t="shared" si="5"/>
        <v/>
      </c>
      <c r="AA3904" s="26" t="str">
        <f t="shared" si="6"/>
        <v/>
      </c>
      <c r="AB3904" s="32" t="str">
        <f t="shared" si="7"/>
        <v/>
      </c>
      <c r="AC3904" s="32" t="str">
        <f t="shared" ref="AC3904:AG3904" si="4035">IF(J3904&lt;&gt;"", IF(AND($P3904=FALSE, $A3904=FALSE), -J3904, IF(AND($P3904=FALSE, $A3904=TRUE), 0, IF($P3904=TRUE, (J3904 / $R3904) * 100 * ($S3904 / 100)-J3904, ))), )</f>
        <v/>
      </c>
      <c r="AD3904" s="32" t="str">
        <f t="shared" si="4035"/>
        <v/>
      </c>
      <c r="AE3904" s="32" t="str">
        <f t="shared" si="4035"/>
        <v/>
      </c>
      <c r="AF3904" s="32" t="str">
        <f t="shared" si="4035"/>
        <v/>
      </c>
      <c r="AG3904" s="32" t="str">
        <f t="shared" si="4035"/>
        <v/>
      </c>
      <c r="AH3904" s="33"/>
    </row>
    <row r="3905">
      <c r="A3905" s="95" t="b">
        <v>0</v>
      </c>
      <c r="B3905" s="96"/>
      <c r="C3905" s="18"/>
      <c r="D3905" s="107"/>
      <c r="E3905" s="108"/>
      <c r="F3905" s="109"/>
      <c r="G3905" s="97"/>
      <c r="H3905" s="97"/>
      <c r="I3905" s="97"/>
      <c r="J3905" s="98"/>
      <c r="K3905" s="99"/>
      <c r="L3905" s="98"/>
      <c r="M3905" s="99"/>
      <c r="N3905" s="99"/>
      <c r="O3905" s="18"/>
      <c r="P3905" s="100" t="b">
        <v>0</v>
      </c>
      <c r="Q3905" s="18"/>
      <c r="R3905" s="101" t="str">
        <f t="shared" si="3377"/>
        <v/>
      </c>
      <c r="S3905" s="32"/>
      <c r="T3905" s="102" t="str">
        <f t="shared" si="3378"/>
        <v/>
      </c>
      <c r="U3905" s="18"/>
      <c r="V3905" s="103" t="str">
        <f t="shared" si="4020"/>
        <v>0</v>
      </c>
      <c r="W3905" s="104" t="str">
        <f t="shared" si="4017"/>
        <v>/</v>
      </c>
      <c r="X3905" s="105"/>
      <c r="Y3905" s="106"/>
      <c r="Z3905" s="26" t="str">
        <f t="shared" si="5"/>
        <v/>
      </c>
      <c r="AA3905" s="26" t="str">
        <f t="shared" si="6"/>
        <v/>
      </c>
      <c r="AB3905" s="32" t="str">
        <f t="shared" si="7"/>
        <v/>
      </c>
      <c r="AC3905" s="32" t="str">
        <f t="shared" ref="AC3905:AG3905" si="4036">IF(J3905&lt;&gt;"", IF(AND($P3905=FALSE, $A3905=FALSE), -J3905, IF(AND($P3905=FALSE, $A3905=TRUE), 0, IF($P3905=TRUE, (J3905 / $R3905) * 100 * ($S3905 / 100)-J3905, ))), )</f>
        <v/>
      </c>
      <c r="AD3905" s="32" t="str">
        <f t="shared" si="4036"/>
        <v/>
      </c>
      <c r="AE3905" s="32" t="str">
        <f t="shared" si="4036"/>
        <v/>
      </c>
      <c r="AF3905" s="32" t="str">
        <f t="shared" si="4036"/>
        <v/>
      </c>
      <c r="AG3905" s="32" t="str">
        <f t="shared" si="4036"/>
        <v/>
      </c>
      <c r="AH3905" s="33"/>
    </row>
    <row r="3906">
      <c r="A3906" s="95" t="b">
        <v>0</v>
      </c>
      <c r="B3906" s="96"/>
      <c r="C3906" s="18"/>
      <c r="D3906" s="107"/>
      <c r="E3906" s="108"/>
      <c r="F3906" s="109"/>
      <c r="G3906" s="97"/>
      <c r="H3906" s="97"/>
      <c r="I3906" s="97"/>
      <c r="J3906" s="98"/>
      <c r="K3906" s="99"/>
      <c r="L3906" s="98"/>
      <c r="M3906" s="99"/>
      <c r="N3906" s="99"/>
      <c r="O3906" s="18"/>
      <c r="P3906" s="100" t="b">
        <v>0</v>
      </c>
      <c r="Q3906" s="18"/>
      <c r="R3906" s="101" t="str">
        <f t="shared" si="3377"/>
        <v/>
      </c>
      <c r="S3906" s="32"/>
      <c r="T3906" s="102" t="str">
        <f t="shared" si="3378"/>
        <v/>
      </c>
      <c r="U3906" s="18"/>
      <c r="V3906" s="103" t="str">
        <f t="shared" si="4020"/>
        <v>0</v>
      </c>
      <c r="W3906" s="104" t="str">
        <f t="shared" si="4017"/>
        <v>/</v>
      </c>
      <c r="X3906" s="105"/>
      <c r="Y3906" s="106"/>
      <c r="Z3906" s="26" t="str">
        <f t="shared" si="5"/>
        <v/>
      </c>
      <c r="AA3906" s="26" t="str">
        <f t="shared" si="6"/>
        <v/>
      </c>
      <c r="AB3906" s="32" t="str">
        <f t="shared" si="7"/>
        <v/>
      </c>
      <c r="AC3906" s="32" t="str">
        <f t="shared" ref="AC3906:AG3906" si="4037">IF(J3906&lt;&gt;"", IF(AND($P3906=FALSE, $A3906=FALSE), -J3906, IF(AND($P3906=FALSE, $A3906=TRUE), 0, IF($P3906=TRUE, (J3906 / $R3906) * 100 * ($S3906 / 100)-J3906, ))), )</f>
        <v/>
      </c>
      <c r="AD3906" s="32" t="str">
        <f t="shared" si="4037"/>
        <v/>
      </c>
      <c r="AE3906" s="32" t="str">
        <f t="shared" si="4037"/>
        <v/>
      </c>
      <c r="AF3906" s="32" t="str">
        <f t="shared" si="4037"/>
        <v/>
      </c>
      <c r="AG3906" s="32" t="str">
        <f t="shared" si="4037"/>
        <v/>
      </c>
      <c r="AH3906" s="33"/>
    </row>
    <row r="3907">
      <c r="A3907" s="95" t="b">
        <v>0</v>
      </c>
      <c r="B3907" s="96"/>
      <c r="C3907" s="18"/>
      <c r="D3907" s="107"/>
      <c r="E3907" s="108"/>
      <c r="F3907" s="109"/>
      <c r="G3907" s="97"/>
      <c r="H3907" s="97"/>
      <c r="I3907" s="97"/>
      <c r="J3907" s="98"/>
      <c r="K3907" s="99"/>
      <c r="L3907" s="98"/>
      <c r="M3907" s="99"/>
      <c r="N3907" s="99"/>
      <c r="O3907" s="18"/>
      <c r="P3907" s="100" t="b">
        <v>0</v>
      </c>
      <c r="Q3907" s="18"/>
      <c r="R3907" s="101" t="str">
        <f t="shared" si="3377"/>
        <v/>
      </c>
      <c r="S3907" s="32"/>
      <c r="T3907" s="102" t="str">
        <f t="shared" si="3378"/>
        <v/>
      </c>
      <c r="U3907" s="18"/>
      <c r="V3907" s="103" t="str">
        <f t="shared" si="4020"/>
        <v>0</v>
      </c>
      <c r="W3907" s="104" t="str">
        <f t="shared" si="4017"/>
        <v>/</v>
      </c>
      <c r="X3907" s="105"/>
      <c r="Y3907" s="106"/>
      <c r="Z3907" s="26" t="str">
        <f t="shared" si="5"/>
        <v/>
      </c>
      <c r="AA3907" s="26" t="str">
        <f t="shared" si="6"/>
        <v/>
      </c>
      <c r="AB3907" s="32" t="str">
        <f t="shared" si="7"/>
        <v/>
      </c>
      <c r="AC3907" s="32" t="str">
        <f t="shared" ref="AC3907:AG3907" si="4038">IF(J3907&lt;&gt;"", IF(AND($P3907=FALSE, $A3907=FALSE), -J3907, IF(AND($P3907=FALSE, $A3907=TRUE), 0, IF($P3907=TRUE, (J3907 / $R3907) * 100 * ($S3907 / 100)-J3907, ))), )</f>
        <v/>
      </c>
      <c r="AD3907" s="32" t="str">
        <f t="shared" si="4038"/>
        <v/>
      </c>
      <c r="AE3907" s="32" t="str">
        <f t="shared" si="4038"/>
        <v/>
      </c>
      <c r="AF3907" s="32" t="str">
        <f t="shared" si="4038"/>
        <v/>
      </c>
      <c r="AG3907" s="32" t="str">
        <f t="shared" si="4038"/>
        <v/>
      </c>
      <c r="AH3907" s="33"/>
    </row>
    <row r="3908">
      <c r="A3908" s="95" t="b">
        <v>0</v>
      </c>
      <c r="B3908" s="96"/>
      <c r="C3908" s="18"/>
      <c r="D3908" s="107"/>
      <c r="E3908" s="108"/>
      <c r="F3908" s="109"/>
      <c r="G3908" s="97"/>
      <c r="H3908" s="97"/>
      <c r="I3908" s="97"/>
      <c r="J3908" s="98"/>
      <c r="K3908" s="99"/>
      <c r="L3908" s="98"/>
      <c r="M3908" s="99"/>
      <c r="N3908" s="99"/>
      <c r="O3908" s="18"/>
      <c r="P3908" s="100" t="b">
        <v>0</v>
      </c>
      <c r="Q3908" s="18"/>
      <c r="R3908" s="101" t="str">
        <f t="shared" si="3377"/>
        <v/>
      </c>
      <c r="S3908" s="32"/>
      <c r="T3908" s="102" t="str">
        <f t="shared" si="3378"/>
        <v/>
      </c>
      <c r="U3908" s="18"/>
      <c r="V3908" s="103" t="str">
        <f t="shared" si="4020"/>
        <v>0</v>
      </c>
      <c r="W3908" s="104" t="str">
        <f t="shared" si="4017"/>
        <v>/</v>
      </c>
      <c r="X3908" s="105"/>
      <c r="Y3908" s="106"/>
      <c r="Z3908" s="26" t="str">
        <f t="shared" si="5"/>
        <v/>
      </c>
      <c r="AA3908" s="26" t="str">
        <f t="shared" si="6"/>
        <v/>
      </c>
      <c r="AB3908" s="32" t="str">
        <f t="shared" si="7"/>
        <v/>
      </c>
      <c r="AC3908" s="32" t="str">
        <f t="shared" ref="AC3908:AG3908" si="4039">IF(J3908&lt;&gt;"", IF(AND($P3908=FALSE, $A3908=FALSE), -J3908, IF(AND($P3908=FALSE, $A3908=TRUE), 0, IF($P3908=TRUE, (J3908 / $R3908) * 100 * ($S3908 / 100)-J3908, ))), )</f>
        <v/>
      </c>
      <c r="AD3908" s="32" t="str">
        <f t="shared" si="4039"/>
        <v/>
      </c>
      <c r="AE3908" s="32" t="str">
        <f t="shared" si="4039"/>
        <v/>
      </c>
      <c r="AF3908" s="32" t="str">
        <f t="shared" si="4039"/>
        <v/>
      </c>
      <c r="AG3908" s="32" t="str">
        <f t="shared" si="4039"/>
        <v/>
      </c>
      <c r="AH3908" s="33"/>
    </row>
    <row r="3909">
      <c r="A3909" s="95" t="b">
        <v>0</v>
      </c>
      <c r="B3909" s="96"/>
      <c r="C3909" s="18"/>
      <c r="D3909" s="107"/>
      <c r="E3909" s="108"/>
      <c r="F3909" s="109"/>
      <c r="G3909" s="97"/>
      <c r="H3909" s="97"/>
      <c r="I3909" s="97"/>
      <c r="J3909" s="98"/>
      <c r="K3909" s="99"/>
      <c r="L3909" s="98"/>
      <c r="M3909" s="99"/>
      <c r="N3909" s="99"/>
      <c r="O3909" s="18"/>
      <c r="P3909" s="100" t="b">
        <v>0</v>
      </c>
      <c r="Q3909" s="18"/>
      <c r="R3909" s="101" t="str">
        <f t="shared" si="3377"/>
        <v/>
      </c>
      <c r="S3909" s="32"/>
      <c r="T3909" s="102" t="str">
        <f t="shared" si="3378"/>
        <v/>
      </c>
      <c r="U3909" s="18"/>
      <c r="V3909" s="103" t="str">
        <f t="shared" si="4020"/>
        <v>0</v>
      </c>
      <c r="W3909" s="104" t="str">
        <f t="shared" si="4017"/>
        <v>/</v>
      </c>
      <c r="X3909" s="105"/>
      <c r="Y3909" s="106"/>
      <c r="Z3909" s="26" t="str">
        <f t="shared" si="5"/>
        <v/>
      </c>
      <c r="AA3909" s="26" t="str">
        <f t="shared" si="6"/>
        <v/>
      </c>
      <c r="AB3909" s="32" t="str">
        <f t="shared" si="7"/>
        <v/>
      </c>
      <c r="AC3909" s="32" t="str">
        <f t="shared" ref="AC3909:AG3909" si="4040">IF(J3909&lt;&gt;"", IF(AND($P3909=FALSE, $A3909=FALSE), -J3909, IF(AND($P3909=FALSE, $A3909=TRUE), 0, IF($P3909=TRUE, (J3909 / $R3909) * 100 * ($S3909 / 100)-J3909, ))), )</f>
        <v/>
      </c>
      <c r="AD3909" s="32" t="str">
        <f t="shared" si="4040"/>
        <v/>
      </c>
      <c r="AE3909" s="32" t="str">
        <f t="shared" si="4040"/>
        <v/>
      </c>
      <c r="AF3909" s="32" t="str">
        <f t="shared" si="4040"/>
        <v/>
      </c>
      <c r="AG3909" s="32" t="str">
        <f t="shared" si="4040"/>
        <v/>
      </c>
      <c r="AH3909" s="33"/>
    </row>
    <row r="3910">
      <c r="A3910" s="95" t="b">
        <v>0</v>
      </c>
      <c r="B3910" s="96"/>
      <c r="C3910" s="18"/>
      <c r="D3910" s="107"/>
      <c r="E3910" s="108"/>
      <c r="F3910" s="109"/>
      <c r="G3910" s="97"/>
      <c r="H3910" s="97"/>
      <c r="I3910" s="97"/>
      <c r="J3910" s="98"/>
      <c r="K3910" s="99"/>
      <c r="L3910" s="98"/>
      <c r="M3910" s="99"/>
      <c r="N3910" s="99"/>
      <c r="O3910" s="18"/>
      <c r="P3910" s="100" t="b">
        <v>0</v>
      </c>
      <c r="Q3910" s="18"/>
      <c r="R3910" s="101" t="str">
        <f t="shared" si="3377"/>
        <v/>
      </c>
      <c r="S3910" s="32"/>
      <c r="T3910" s="102" t="str">
        <f t="shared" si="3378"/>
        <v/>
      </c>
      <c r="U3910" s="18"/>
      <c r="V3910" s="103" t="str">
        <f t="shared" si="4020"/>
        <v>0</v>
      </c>
      <c r="W3910" s="104" t="str">
        <f t="shared" si="4017"/>
        <v>/</v>
      </c>
      <c r="X3910" s="105"/>
      <c r="Y3910" s="106"/>
      <c r="Z3910" s="26" t="str">
        <f t="shared" si="5"/>
        <v/>
      </c>
      <c r="AA3910" s="26" t="str">
        <f t="shared" si="6"/>
        <v/>
      </c>
      <c r="AB3910" s="32" t="str">
        <f t="shared" si="7"/>
        <v/>
      </c>
      <c r="AC3910" s="32" t="str">
        <f t="shared" ref="AC3910:AG3910" si="4041">IF(J3910&lt;&gt;"", IF(AND($P3910=FALSE, $A3910=FALSE), -J3910, IF(AND($P3910=FALSE, $A3910=TRUE), 0, IF($P3910=TRUE, (J3910 / $R3910) * 100 * ($S3910 / 100)-J3910, ))), )</f>
        <v/>
      </c>
      <c r="AD3910" s="32" t="str">
        <f t="shared" si="4041"/>
        <v/>
      </c>
      <c r="AE3910" s="32" t="str">
        <f t="shared" si="4041"/>
        <v/>
      </c>
      <c r="AF3910" s="32" t="str">
        <f t="shared" si="4041"/>
        <v/>
      </c>
      <c r="AG3910" s="32" t="str">
        <f t="shared" si="4041"/>
        <v/>
      </c>
      <c r="AH3910" s="33"/>
    </row>
    <row r="3911">
      <c r="A3911" s="95" t="b">
        <v>0</v>
      </c>
      <c r="B3911" s="96"/>
      <c r="C3911" s="18"/>
      <c r="D3911" s="107"/>
      <c r="E3911" s="108"/>
      <c r="F3911" s="109"/>
      <c r="G3911" s="97"/>
      <c r="H3911" s="97"/>
      <c r="I3911" s="97"/>
      <c r="J3911" s="98"/>
      <c r="K3911" s="99"/>
      <c r="L3911" s="98"/>
      <c r="M3911" s="99"/>
      <c r="N3911" s="99"/>
      <c r="O3911" s="18"/>
      <c r="P3911" s="100" t="b">
        <v>0</v>
      </c>
      <c r="Q3911" s="18"/>
      <c r="R3911" s="101" t="str">
        <f t="shared" si="3377"/>
        <v/>
      </c>
      <c r="S3911" s="32"/>
      <c r="T3911" s="102" t="str">
        <f t="shared" si="3378"/>
        <v/>
      </c>
      <c r="U3911" s="18"/>
      <c r="V3911" s="103" t="str">
        <f t="shared" si="4020"/>
        <v>0</v>
      </c>
      <c r="W3911" s="104" t="str">
        <f t="shared" si="4017"/>
        <v>/</v>
      </c>
      <c r="X3911" s="105"/>
      <c r="Y3911" s="106"/>
      <c r="Z3911" s="26" t="str">
        <f t="shared" si="5"/>
        <v/>
      </c>
      <c r="AA3911" s="26" t="str">
        <f t="shared" si="6"/>
        <v/>
      </c>
      <c r="AB3911" s="32" t="str">
        <f t="shared" si="7"/>
        <v/>
      </c>
      <c r="AC3911" s="32" t="str">
        <f t="shared" ref="AC3911:AG3911" si="4042">IF(J3911&lt;&gt;"", IF(AND($P3911=FALSE, $A3911=FALSE), -J3911, IF(AND($P3911=FALSE, $A3911=TRUE), 0, IF($P3911=TRUE, (J3911 / $R3911) * 100 * ($S3911 / 100)-J3911, ))), )</f>
        <v/>
      </c>
      <c r="AD3911" s="32" t="str">
        <f t="shared" si="4042"/>
        <v/>
      </c>
      <c r="AE3911" s="32" t="str">
        <f t="shared" si="4042"/>
        <v/>
      </c>
      <c r="AF3911" s="32" t="str">
        <f t="shared" si="4042"/>
        <v/>
      </c>
      <c r="AG3911" s="32" t="str">
        <f t="shared" si="4042"/>
        <v/>
      </c>
      <c r="AH3911" s="33"/>
    </row>
    <row r="3912">
      <c r="A3912" s="95" t="b">
        <v>0</v>
      </c>
      <c r="B3912" s="96"/>
      <c r="C3912" s="18"/>
      <c r="D3912" s="107"/>
      <c r="E3912" s="108"/>
      <c r="F3912" s="109"/>
      <c r="G3912" s="97"/>
      <c r="H3912" s="97"/>
      <c r="I3912" s="97"/>
      <c r="J3912" s="98"/>
      <c r="K3912" s="99"/>
      <c r="L3912" s="98"/>
      <c r="M3912" s="99"/>
      <c r="N3912" s="99"/>
      <c r="O3912" s="18"/>
      <c r="P3912" s="100" t="b">
        <v>0</v>
      </c>
      <c r="Q3912" s="18"/>
      <c r="R3912" s="101" t="str">
        <f t="shared" si="3377"/>
        <v/>
      </c>
      <c r="S3912" s="32"/>
      <c r="T3912" s="102" t="str">
        <f t="shared" si="3378"/>
        <v/>
      </c>
      <c r="U3912" s="18"/>
      <c r="V3912" s="103" t="str">
        <f t="shared" si="4020"/>
        <v>0</v>
      </c>
      <c r="W3912" s="104" t="str">
        <f t="shared" si="4017"/>
        <v>/</v>
      </c>
      <c r="X3912" s="105"/>
      <c r="Y3912" s="106"/>
      <c r="Z3912" s="26" t="str">
        <f t="shared" si="5"/>
        <v/>
      </c>
      <c r="AA3912" s="26" t="str">
        <f t="shared" si="6"/>
        <v/>
      </c>
      <c r="AB3912" s="32" t="str">
        <f t="shared" si="7"/>
        <v/>
      </c>
      <c r="AC3912" s="32" t="str">
        <f t="shared" ref="AC3912:AG3912" si="4043">IF(J3912&lt;&gt;"", IF(AND($P3912=FALSE, $A3912=FALSE), -J3912, IF(AND($P3912=FALSE, $A3912=TRUE), 0, IF($P3912=TRUE, (J3912 / $R3912) * 100 * ($S3912 / 100)-J3912, ))), )</f>
        <v/>
      </c>
      <c r="AD3912" s="32" t="str">
        <f t="shared" si="4043"/>
        <v/>
      </c>
      <c r="AE3912" s="32" t="str">
        <f t="shared" si="4043"/>
        <v/>
      </c>
      <c r="AF3912" s="32" t="str">
        <f t="shared" si="4043"/>
        <v/>
      </c>
      <c r="AG3912" s="32" t="str">
        <f t="shared" si="4043"/>
        <v/>
      </c>
      <c r="AH3912" s="33"/>
    </row>
    <row r="3913">
      <c r="A3913" s="95" t="b">
        <v>0</v>
      </c>
      <c r="B3913" s="96"/>
      <c r="C3913" s="18"/>
      <c r="D3913" s="107"/>
      <c r="E3913" s="108"/>
      <c r="F3913" s="109"/>
      <c r="G3913" s="97"/>
      <c r="H3913" s="97"/>
      <c r="I3913" s="97"/>
      <c r="J3913" s="98"/>
      <c r="K3913" s="99"/>
      <c r="L3913" s="98"/>
      <c r="M3913" s="99"/>
      <c r="N3913" s="99"/>
      <c r="O3913" s="18"/>
      <c r="P3913" s="100" t="b">
        <v>0</v>
      </c>
      <c r="Q3913" s="18"/>
      <c r="R3913" s="101" t="str">
        <f t="shared" si="3377"/>
        <v/>
      </c>
      <c r="S3913" s="32"/>
      <c r="T3913" s="102" t="str">
        <f t="shared" si="3378"/>
        <v/>
      </c>
      <c r="U3913" s="18"/>
      <c r="V3913" s="103" t="str">
        <f t="shared" si="4020"/>
        <v>0</v>
      </c>
      <c r="W3913" s="104" t="str">
        <f t="shared" si="4017"/>
        <v>/</v>
      </c>
      <c r="X3913" s="105"/>
      <c r="Y3913" s="106"/>
      <c r="Z3913" s="26" t="str">
        <f t="shared" si="5"/>
        <v/>
      </c>
      <c r="AA3913" s="26" t="str">
        <f t="shared" si="6"/>
        <v/>
      </c>
      <c r="AB3913" s="32" t="str">
        <f t="shared" si="7"/>
        <v/>
      </c>
      <c r="AC3913" s="32" t="str">
        <f t="shared" ref="AC3913:AG3913" si="4044">IF(J3913&lt;&gt;"", IF(AND($P3913=FALSE, $A3913=FALSE), -J3913, IF(AND($P3913=FALSE, $A3913=TRUE), 0, IF($P3913=TRUE, (J3913 / $R3913) * 100 * ($S3913 / 100)-J3913, ))), )</f>
        <v/>
      </c>
      <c r="AD3913" s="32" t="str">
        <f t="shared" si="4044"/>
        <v/>
      </c>
      <c r="AE3913" s="32" t="str">
        <f t="shared" si="4044"/>
        <v/>
      </c>
      <c r="AF3913" s="32" t="str">
        <f t="shared" si="4044"/>
        <v/>
      </c>
      <c r="AG3913" s="32" t="str">
        <f t="shared" si="4044"/>
        <v/>
      </c>
      <c r="AH3913" s="33"/>
    </row>
    <row r="3914">
      <c r="A3914" s="95" t="b">
        <v>0</v>
      </c>
      <c r="B3914" s="96"/>
      <c r="C3914" s="18"/>
      <c r="D3914" s="107"/>
      <c r="E3914" s="108"/>
      <c r="F3914" s="109"/>
      <c r="G3914" s="97"/>
      <c r="H3914" s="97"/>
      <c r="I3914" s="97"/>
      <c r="J3914" s="98"/>
      <c r="K3914" s="99"/>
      <c r="L3914" s="98"/>
      <c r="M3914" s="99"/>
      <c r="N3914" s="99"/>
      <c r="O3914" s="18"/>
      <c r="P3914" s="100" t="b">
        <v>0</v>
      </c>
      <c r="Q3914" s="18"/>
      <c r="R3914" s="101" t="str">
        <f t="shared" si="3377"/>
        <v/>
      </c>
      <c r="S3914" s="32"/>
      <c r="T3914" s="102" t="str">
        <f t="shared" si="3378"/>
        <v/>
      </c>
      <c r="U3914" s="18"/>
      <c r="V3914" s="103" t="str">
        <f t="shared" si="4020"/>
        <v>0</v>
      </c>
      <c r="W3914" s="104" t="str">
        <f t="shared" si="4017"/>
        <v>/</v>
      </c>
      <c r="X3914" s="105"/>
      <c r="Y3914" s="106"/>
      <c r="Z3914" s="26" t="str">
        <f t="shared" si="5"/>
        <v/>
      </c>
      <c r="AA3914" s="26" t="str">
        <f t="shared" si="6"/>
        <v/>
      </c>
      <c r="AB3914" s="32" t="str">
        <f t="shared" si="7"/>
        <v/>
      </c>
      <c r="AC3914" s="32" t="str">
        <f t="shared" ref="AC3914:AG3914" si="4045">IF(J3914&lt;&gt;"", IF(AND($P3914=FALSE, $A3914=FALSE), -J3914, IF(AND($P3914=FALSE, $A3914=TRUE), 0, IF($P3914=TRUE, (J3914 / $R3914) * 100 * ($S3914 / 100)-J3914, ))), )</f>
        <v/>
      </c>
      <c r="AD3914" s="32" t="str">
        <f t="shared" si="4045"/>
        <v/>
      </c>
      <c r="AE3914" s="32" t="str">
        <f t="shared" si="4045"/>
        <v/>
      </c>
      <c r="AF3914" s="32" t="str">
        <f t="shared" si="4045"/>
        <v/>
      </c>
      <c r="AG3914" s="32" t="str">
        <f t="shared" si="4045"/>
        <v/>
      </c>
      <c r="AH3914" s="33"/>
    </row>
    <row r="3915">
      <c r="A3915" s="95" t="b">
        <v>0</v>
      </c>
      <c r="B3915" s="96"/>
      <c r="C3915" s="18"/>
      <c r="D3915" s="107"/>
      <c r="E3915" s="108"/>
      <c r="F3915" s="109"/>
      <c r="G3915" s="97"/>
      <c r="H3915" s="97"/>
      <c r="I3915" s="97"/>
      <c r="J3915" s="98"/>
      <c r="K3915" s="99"/>
      <c r="L3915" s="98"/>
      <c r="M3915" s="99"/>
      <c r="N3915" s="99"/>
      <c r="O3915" s="18"/>
      <c r="P3915" s="100" t="b">
        <v>0</v>
      </c>
      <c r="Q3915" s="18"/>
      <c r="R3915" s="101" t="str">
        <f t="shared" si="3377"/>
        <v/>
      </c>
      <c r="S3915" s="32"/>
      <c r="T3915" s="102" t="str">
        <f t="shared" si="3378"/>
        <v/>
      </c>
      <c r="U3915" s="18"/>
      <c r="V3915" s="103" t="str">
        <f t="shared" si="4020"/>
        <v>0</v>
      </c>
      <c r="W3915" s="104" t="str">
        <f t="shared" si="4017"/>
        <v>/</v>
      </c>
      <c r="X3915" s="105"/>
      <c r="Y3915" s="106"/>
      <c r="Z3915" s="26" t="str">
        <f t="shared" si="5"/>
        <v/>
      </c>
      <c r="AA3915" s="26" t="str">
        <f t="shared" si="6"/>
        <v/>
      </c>
      <c r="AB3915" s="32" t="str">
        <f t="shared" si="7"/>
        <v/>
      </c>
      <c r="AC3915" s="32" t="str">
        <f t="shared" ref="AC3915:AG3915" si="4046">IF(J3915&lt;&gt;"", IF(AND($P3915=FALSE, $A3915=FALSE), -J3915, IF(AND($P3915=FALSE, $A3915=TRUE), 0, IF($P3915=TRUE, (J3915 / $R3915) * 100 * ($S3915 / 100)-J3915, ))), )</f>
        <v/>
      </c>
      <c r="AD3915" s="32" t="str">
        <f t="shared" si="4046"/>
        <v/>
      </c>
      <c r="AE3915" s="32" t="str">
        <f t="shared" si="4046"/>
        <v/>
      </c>
      <c r="AF3915" s="32" t="str">
        <f t="shared" si="4046"/>
        <v/>
      </c>
      <c r="AG3915" s="32" t="str">
        <f t="shared" si="4046"/>
        <v/>
      </c>
      <c r="AH3915" s="33"/>
    </row>
    <row r="3916">
      <c r="A3916" s="95" t="b">
        <v>0</v>
      </c>
      <c r="B3916" s="96"/>
      <c r="C3916" s="18"/>
      <c r="D3916" s="107"/>
      <c r="E3916" s="108"/>
      <c r="F3916" s="109"/>
      <c r="G3916" s="97"/>
      <c r="H3916" s="97"/>
      <c r="I3916" s="97"/>
      <c r="J3916" s="98"/>
      <c r="K3916" s="99"/>
      <c r="L3916" s="98"/>
      <c r="M3916" s="99"/>
      <c r="N3916" s="99"/>
      <c r="O3916" s="18"/>
      <c r="P3916" s="100" t="b">
        <v>0</v>
      </c>
      <c r="Q3916" s="18"/>
      <c r="R3916" s="101" t="str">
        <f t="shared" si="3377"/>
        <v/>
      </c>
      <c r="S3916" s="32"/>
      <c r="T3916" s="102" t="str">
        <f t="shared" si="3378"/>
        <v/>
      </c>
      <c r="U3916" s="18"/>
      <c r="V3916" s="103" t="str">
        <f t="shared" si="4020"/>
        <v>0</v>
      </c>
      <c r="W3916" s="104" t="str">
        <f t="shared" si="4017"/>
        <v>/</v>
      </c>
      <c r="X3916" s="105"/>
      <c r="Y3916" s="106"/>
      <c r="Z3916" s="26" t="str">
        <f t="shared" si="5"/>
        <v/>
      </c>
      <c r="AA3916" s="26" t="str">
        <f t="shared" si="6"/>
        <v/>
      </c>
      <c r="AB3916" s="32" t="str">
        <f t="shared" si="7"/>
        <v/>
      </c>
      <c r="AC3916" s="32" t="str">
        <f t="shared" ref="AC3916:AG3916" si="4047">IF(J3916&lt;&gt;"", IF(AND($P3916=FALSE, $A3916=FALSE), -J3916, IF(AND($P3916=FALSE, $A3916=TRUE), 0, IF($P3916=TRUE, (J3916 / $R3916) * 100 * ($S3916 / 100)-J3916, ))), )</f>
        <v/>
      </c>
      <c r="AD3916" s="32" t="str">
        <f t="shared" si="4047"/>
        <v/>
      </c>
      <c r="AE3916" s="32" t="str">
        <f t="shared" si="4047"/>
        <v/>
      </c>
      <c r="AF3916" s="32" t="str">
        <f t="shared" si="4047"/>
        <v/>
      </c>
      <c r="AG3916" s="32" t="str">
        <f t="shared" si="4047"/>
        <v/>
      </c>
      <c r="AH3916" s="33"/>
    </row>
    <row r="3917">
      <c r="A3917" s="95" t="b">
        <v>0</v>
      </c>
      <c r="B3917" s="96"/>
      <c r="C3917" s="18"/>
      <c r="D3917" s="107"/>
      <c r="E3917" s="108"/>
      <c r="F3917" s="109"/>
      <c r="G3917" s="97"/>
      <c r="H3917" s="97"/>
      <c r="I3917" s="97"/>
      <c r="J3917" s="98"/>
      <c r="K3917" s="99"/>
      <c r="L3917" s="98"/>
      <c r="M3917" s="99"/>
      <c r="N3917" s="99"/>
      <c r="O3917" s="18"/>
      <c r="P3917" s="100" t="b">
        <v>0</v>
      </c>
      <c r="Q3917" s="18"/>
      <c r="R3917" s="101" t="str">
        <f t="shared" si="3377"/>
        <v/>
      </c>
      <c r="S3917" s="32"/>
      <c r="T3917" s="102" t="str">
        <f t="shared" si="3378"/>
        <v/>
      </c>
      <c r="U3917" s="18"/>
      <c r="V3917" s="103" t="str">
        <f t="shared" si="4020"/>
        <v>0</v>
      </c>
      <c r="W3917" s="104" t="str">
        <f t="shared" si="4017"/>
        <v>/</v>
      </c>
      <c r="X3917" s="105"/>
      <c r="Y3917" s="106"/>
      <c r="Z3917" s="26" t="str">
        <f t="shared" si="5"/>
        <v/>
      </c>
      <c r="AA3917" s="26" t="str">
        <f t="shared" si="6"/>
        <v/>
      </c>
      <c r="AB3917" s="32" t="str">
        <f t="shared" si="7"/>
        <v/>
      </c>
      <c r="AC3917" s="32" t="str">
        <f t="shared" ref="AC3917:AG3917" si="4048">IF(J3917&lt;&gt;"", IF(AND($P3917=FALSE, $A3917=FALSE), -J3917, IF(AND($P3917=FALSE, $A3917=TRUE), 0, IF($P3917=TRUE, (J3917 / $R3917) * 100 * ($S3917 / 100)-J3917, ))), )</f>
        <v/>
      </c>
      <c r="AD3917" s="32" t="str">
        <f t="shared" si="4048"/>
        <v/>
      </c>
      <c r="AE3917" s="32" t="str">
        <f t="shared" si="4048"/>
        <v/>
      </c>
      <c r="AF3917" s="32" t="str">
        <f t="shared" si="4048"/>
        <v/>
      </c>
      <c r="AG3917" s="32" t="str">
        <f t="shared" si="4048"/>
        <v/>
      </c>
      <c r="AH3917" s="33"/>
    </row>
    <row r="3918">
      <c r="A3918" s="95" t="b">
        <v>0</v>
      </c>
      <c r="B3918" s="96"/>
      <c r="C3918" s="18"/>
      <c r="D3918" s="107"/>
      <c r="E3918" s="108"/>
      <c r="F3918" s="109"/>
      <c r="G3918" s="97"/>
      <c r="H3918" s="97"/>
      <c r="I3918" s="97"/>
      <c r="J3918" s="98"/>
      <c r="K3918" s="99"/>
      <c r="L3918" s="98"/>
      <c r="M3918" s="99"/>
      <c r="N3918" s="99"/>
      <c r="O3918" s="18"/>
      <c r="P3918" s="100" t="b">
        <v>0</v>
      </c>
      <c r="Q3918" s="18"/>
      <c r="R3918" s="101" t="str">
        <f t="shared" si="3377"/>
        <v/>
      </c>
      <c r="S3918" s="32"/>
      <c r="T3918" s="102" t="str">
        <f t="shared" si="3378"/>
        <v/>
      </c>
      <c r="U3918" s="18"/>
      <c r="V3918" s="103" t="str">
        <f t="shared" si="4020"/>
        <v>0</v>
      </c>
      <c r="W3918" s="104" t="str">
        <f t="shared" si="4017"/>
        <v>/</v>
      </c>
      <c r="X3918" s="105"/>
      <c r="Y3918" s="106"/>
      <c r="Z3918" s="26" t="str">
        <f t="shared" si="5"/>
        <v/>
      </c>
      <c r="AA3918" s="26" t="str">
        <f t="shared" si="6"/>
        <v/>
      </c>
      <c r="AB3918" s="32" t="str">
        <f t="shared" si="7"/>
        <v/>
      </c>
      <c r="AC3918" s="32" t="str">
        <f t="shared" ref="AC3918:AG3918" si="4049">IF(J3918&lt;&gt;"", IF(AND($P3918=FALSE, $A3918=FALSE), -J3918, IF(AND($P3918=FALSE, $A3918=TRUE), 0, IF($P3918=TRUE, (J3918 / $R3918) * 100 * ($S3918 / 100)-J3918, ))), )</f>
        <v/>
      </c>
      <c r="AD3918" s="32" t="str">
        <f t="shared" si="4049"/>
        <v/>
      </c>
      <c r="AE3918" s="32" t="str">
        <f t="shared" si="4049"/>
        <v/>
      </c>
      <c r="AF3918" s="32" t="str">
        <f t="shared" si="4049"/>
        <v/>
      </c>
      <c r="AG3918" s="32" t="str">
        <f t="shared" si="4049"/>
        <v/>
      </c>
      <c r="AH3918" s="33"/>
    </row>
    <row r="3919">
      <c r="A3919" s="95" t="b">
        <v>0</v>
      </c>
      <c r="B3919" s="96"/>
      <c r="C3919" s="18"/>
      <c r="D3919" s="107"/>
      <c r="E3919" s="108"/>
      <c r="F3919" s="109"/>
      <c r="G3919" s="97"/>
      <c r="H3919" s="97"/>
      <c r="I3919" s="97"/>
      <c r="J3919" s="98"/>
      <c r="K3919" s="99"/>
      <c r="L3919" s="98"/>
      <c r="M3919" s="99"/>
      <c r="N3919" s="99"/>
      <c r="O3919" s="18"/>
      <c r="P3919" s="100" t="b">
        <v>0</v>
      </c>
      <c r="Q3919" s="18"/>
      <c r="R3919" s="101" t="str">
        <f t="shared" si="3377"/>
        <v/>
      </c>
      <c r="S3919" s="32"/>
      <c r="T3919" s="102" t="str">
        <f t="shared" si="3378"/>
        <v/>
      </c>
      <c r="U3919" s="18"/>
      <c r="V3919" s="103" t="str">
        <f t="shared" si="4020"/>
        <v>0</v>
      </c>
      <c r="W3919" s="104" t="str">
        <f t="shared" si="4017"/>
        <v>/</v>
      </c>
      <c r="X3919" s="105"/>
      <c r="Y3919" s="106"/>
      <c r="Z3919" s="26" t="str">
        <f t="shared" si="5"/>
        <v/>
      </c>
      <c r="AA3919" s="26" t="str">
        <f t="shared" si="6"/>
        <v/>
      </c>
      <c r="AB3919" s="32" t="str">
        <f t="shared" si="7"/>
        <v/>
      </c>
      <c r="AC3919" s="32" t="str">
        <f t="shared" ref="AC3919:AG3919" si="4050">IF(J3919&lt;&gt;"", IF(AND($P3919=FALSE, $A3919=FALSE), -J3919, IF(AND($P3919=FALSE, $A3919=TRUE), 0, IF($P3919=TRUE, (J3919 / $R3919) * 100 * ($S3919 / 100)-J3919, ))), )</f>
        <v/>
      </c>
      <c r="AD3919" s="32" t="str">
        <f t="shared" si="4050"/>
        <v/>
      </c>
      <c r="AE3919" s="32" t="str">
        <f t="shared" si="4050"/>
        <v/>
      </c>
      <c r="AF3919" s="32" t="str">
        <f t="shared" si="4050"/>
        <v/>
      </c>
      <c r="AG3919" s="32" t="str">
        <f t="shared" si="4050"/>
        <v/>
      </c>
      <c r="AH3919" s="33"/>
    </row>
    <row r="3920">
      <c r="A3920" s="95" t="b">
        <v>0</v>
      </c>
      <c r="B3920" s="96"/>
      <c r="C3920" s="18"/>
      <c r="D3920" s="107"/>
      <c r="E3920" s="108"/>
      <c r="F3920" s="109"/>
      <c r="G3920" s="97"/>
      <c r="H3920" s="97"/>
      <c r="I3920" s="97"/>
      <c r="J3920" s="98"/>
      <c r="K3920" s="99"/>
      <c r="L3920" s="98"/>
      <c r="M3920" s="99"/>
      <c r="N3920" s="99"/>
      <c r="O3920" s="18"/>
      <c r="P3920" s="100" t="b">
        <v>0</v>
      </c>
      <c r="Q3920" s="18"/>
      <c r="R3920" s="101" t="str">
        <f t="shared" si="3377"/>
        <v/>
      </c>
      <c r="S3920" s="32"/>
      <c r="T3920" s="102" t="str">
        <f t="shared" si="3378"/>
        <v/>
      </c>
      <c r="U3920" s="18"/>
      <c r="V3920" s="103" t="str">
        <f t="shared" si="4020"/>
        <v>0</v>
      </c>
      <c r="W3920" s="104" t="str">
        <f t="shared" si="4017"/>
        <v>/</v>
      </c>
      <c r="X3920" s="105"/>
      <c r="Y3920" s="106"/>
      <c r="Z3920" s="26" t="str">
        <f t="shared" si="5"/>
        <v/>
      </c>
      <c r="AA3920" s="26" t="str">
        <f t="shared" si="6"/>
        <v/>
      </c>
      <c r="AB3920" s="32" t="str">
        <f t="shared" si="7"/>
        <v/>
      </c>
      <c r="AC3920" s="32" t="str">
        <f t="shared" ref="AC3920:AG3920" si="4051">IF(J3920&lt;&gt;"", IF(AND($P3920=FALSE, $A3920=FALSE), -J3920, IF(AND($P3920=FALSE, $A3920=TRUE), 0, IF($P3920=TRUE, (J3920 / $R3920) * 100 * ($S3920 / 100)-J3920, ))), )</f>
        <v/>
      </c>
      <c r="AD3920" s="32" t="str">
        <f t="shared" si="4051"/>
        <v/>
      </c>
      <c r="AE3920" s="32" t="str">
        <f t="shared" si="4051"/>
        <v/>
      </c>
      <c r="AF3920" s="32" t="str">
        <f t="shared" si="4051"/>
        <v/>
      </c>
      <c r="AG3920" s="32" t="str">
        <f t="shared" si="4051"/>
        <v/>
      </c>
      <c r="AH3920" s="33"/>
    </row>
    <row r="3921">
      <c r="A3921" s="95" t="b">
        <v>0</v>
      </c>
      <c r="B3921" s="96"/>
      <c r="C3921" s="18"/>
      <c r="D3921" s="107"/>
      <c r="E3921" s="108"/>
      <c r="F3921" s="109"/>
      <c r="G3921" s="97"/>
      <c r="H3921" s="97"/>
      <c r="I3921" s="97"/>
      <c r="J3921" s="98"/>
      <c r="K3921" s="99"/>
      <c r="L3921" s="98"/>
      <c r="M3921" s="99"/>
      <c r="N3921" s="99"/>
      <c r="O3921" s="18"/>
      <c r="P3921" s="100" t="b">
        <v>0</v>
      </c>
      <c r="Q3921" s="18"/>
      <c r="R3921" s="101" t="str">
        <f t="shared" si="3377"/>
        <v/>
      </c>
      <c r="S3921" s="32"/>
      <c r="T3921" s="102" t="str">
        <f t="shared" si="3378"/>
        <v/>
      </c>
      <c r="U3921" s="18"/>
      <c r="V3921" s="103" t="str">
        <f t="shared" si="4020"/>
        <v>0</v>
      </c>
      <c r="W3921" s="104" t="str">
        <f t="shared" si="4017"/>
        <v>/</v>
      </c>
      <c r="X3921" s="105"/>
      <c r="Y3921" s="106"/>
      <c r="Z3921" s="26" t="str">
        <f t="shared" si="5"/>
        <v/>
      </c>
      <c r="AA3921" s="26" t="str">
        <f t="shared" si="6"/>
        <v/>
      </c>
      <c r="AB3921" s="32" t="str">
        <f t="shared" si="7"/>
        <v/>
      </c>
      <c r="AC3921" s="32" t="str">
        <f t="shared" ref="AC3921:AG3921" si="4052">IF(J3921&lt;&gt;"", IF(AND($P3921=FALSE, $A3921=FALSE), -J3921, IF(AND($P3921=FALSE, $A3921=TRUE), 0, IF($P3921=TRUE, (J3921 / $R3921) * 100 * ($S3921 / 100)-J3921, ))), )</f>
        <v/>
      </c>
      <c r="AD3921" s="32" t="str">
        <f t="shared" si="4052"/>
        <v/>
      </c>
      <c r="AE3921" s="32" t="str">
        <f t="shared" si="4052"/>
        <v/>
      </c>
      <c r="AF3921" s="32" t="str">
        <f t="shared" si="4052"/>
        <v/>
      </c>
      <c r="AG3921" s="32" t="str">
        <f t="shared" si="4052"/>
        <v/>
      </c>
      <c r="AH3921" s="33"/>
    </row>
    <row r="3922">
      <c r="A3922" s="95" t="b">
        <v>0</v>
      </c>
      <c r="B3922" s="96"/>
      <c r="C3922" s="18"/>
      <c r="D3922" s="107"/>
      <c r="E3922" s="108"/>
      <c r="F3922" s="109"/>
      <c r="G3922" s="97"/>
      <c r="H3922" s="97"/>
      <c r="I3922" s="97"/>
      <c r="J3922" s="98"/>
      <c r="K3922" s="99"/>
      <c r="L3922" s="98"/>
      <c r="M3922" s="99"/>
      <c r="N3922" s="99"/>
      <c r="O3922" s="18"/>
      <c r="P3922" s="100" t="b">
        <v>0</v>
      </c>
      <c r="Q3922" s="18"/>
      <c r="R3922" s="101" t="str">
        <f t="shared" si="3377"/>
        <v/>
      </c>
      <c r="S3922" s="32"/>
      <c r="T3922" s="102" t="str">
        <f t="shared" si="3378"/>
        <v/>
      </c>
      <c r="U3922" s="18"/>
      <c r="V3922" s="103" t="str">
        <f t="shared" si="4020"/>
        <v>0</v>
      </c>
      <c r="W3922" s="104" t="str">
        <f t="shared" si="4017"/>
        <v>/</v>
      </c>
      <c r="X3922" s="105"/>
      <c r="Y3922" s="106"/>
      <c r="Z3922" s="26" t="str">
        <f t="shared" si="5"/>
        <v/>
      </c>
      <c r="AA3922" s="26" t="str">
        <f t="shared" si="6"/>
        <v/>
      </c>
      <c r="AB3922" s="32" t="str">
        <f t="shared" si="7"/>
        <v/>
      </c>
      <c r="AC3922" s="32" t="str">
        <f t="shared" ref="AC3922:AG3922" si="4053">IF(J3922&lt;&gt;"", IF(AND($P3922=FALSE, $A3922=FALSE), -J3922, IF(AND($P3922=FALSE, $A3922=TRUE), 0, IF($P3922=TRUE, (J3922 / $R3922) * 100 * ($S3922 / 100)-J3922, ))), )</f>
        <v/>
      </c>
      <c r="AD3922" s="32" t="str">
        <f t="shared" si="4053"/>
        <v/>
      </c>
      <c r="AE3922" s="32" t="str">
        <f t="shared" si="4053"/>
        <v/>
      </c>
      <c r="AF3922" s="32" t="str">
        <f t="shared" si="4053"/>
        <v/>
      </c>
      <c r="AG3922" s="32" t="str">
        <f t="shared" si="4053"/>
        <v/>
      </c>
      <c r="AH3922" s="33"/>
    </row>
    <row r="3923">
      <c r="A3923" s="95" t="b">
        <v>0</v>
      </c>
      <c r="B3923" s="96"/>
      <c r="C3923" s="18"/>
      <c r="D3923" s="107"/>
      <c r="E3923" s="108"/>
      <c r="F3923" s="109"/>
      <c r="G3923" s="97"/>
      <c r="H3923" s="97"/>
      <c r="I3923" s="97"/>
      <c r="J3923" s="98"/>
      <c r="K3923" s="99"/>
      <c r="L3923" s="98"/>
      <c r="M3923" s="99"/>
      <c r="N3923" s="99"/>
      <c r="O3923" s="18"/>
      <c r="P3923" s="100" t="b">
        <v>0</v>
      </c>
      <c r="Q3923" s="18"/>
      <c r="R3923" s="101" t="str">
        <f t="shared" si="3377"/>
        <v/>
      </c>
      <c r="S3923" s="32"/>
      <c r="T3923" s="102" t="str">
        <f t="shared" si="3378"/>
        <v/>
      </c>
      <c r="U3923" s="18"/>
      <c r="V3923" s="103" t="str">
        <f t="shared" si="4020"/>
        <v>0</v>
      </c>
      <c r="W3923" s="104" t="str">
        <f t="shared" si="4017"/>
        <v>/</v>
      </c>
      <c r="X3923" s="105"/>
      <c r="Y3923" s="106"/>
      <c r="Z3923" s="26" t="str">
        <f t="shared" si="5"/>
        <v/>
      </c>
      <c r="AA3923" s="26" t="str">
        <f t="shared" si="6"/>
        <v/>
      </c>
      <c r="AB3923" s="32" t="str">
        <f t="shared" si="7"/>
        <v/>
      </c>
      <c r="AC3923" s="32" t="str">
        <f t="shared" ref="AC3923:AG3923" si="4054">IF(J3923&lt;&gt;"", IF(AND($P3923=FALSE, $A3923=FALSE), -J3923, IF(AND($P3923=FALSE, $A3923=TRUE), 0, IF($P3923=TRUE, (J3923 / $R3923) * 100 * ($S3923 / 100)-J3923, ))), )</f>
        <v/>
      </c>
      <c r="AD3923" s="32" t="str">
        <f t="shared" si="4054"/>
        <v/>
      </c>
      <c r="AE3923" s="32" t="str">
        <f t="shared" si="4054"/>
        <v/>
      </c>
      <c r="AF3923" s="32" t="str">
        <f t="shared" si="4054"/>
        <v/>
      </c>
      <c r="AG3923" s="32" t="str">
        <f t="shared" si="4054"/>
        <v/>
      </c>
      <c r="AH3923" s="33"/>
    </row>
    <row r="3924">
      <c r="A3924" s="95" t="b">
        <v>0</v>
      </c>
      <c r="B3924" s="96"/>
      <c r="C3924" s="18"/>
      <c r="D3924" s="107"/>
      <c r="E3924" s="108"/>
      <c r="F3924" s="109"/>
      <c r="G3924" s="97"/>
      <c r="H3924" s="97"/>
      <c r="I3924" s="97"/>
      <c r="J3924" s="98"/>
      <c r="K3924" s="99"/>
      <c r="L3924" s="98"/>
      <c r="M3924" s="99"/>
      <c r="N3924" s="99"/>
      <c r="O3924" s="18"/>
      <c r="P3924" s="100" t="b">
        <v>0</v>
      </c>
      <c r="Q3924" s="18"/>
      <c r="R3924" s="101" t="str">
        <f t="shared" si="3377"/>
        <v/>
      </c>
      <c r="S3924" s="32"/>
      <c r="T3924" s="102" t="str">
        <f t="shared" si="3378"/>
        <v/>
      </c>
      <c r="U3924" s="18"/>
      <c r="V3924" s="103" t="str">
        <f t="shared" si="4020"/>
        <v>0</v>
      </c>
      <c r="W3924" s="104" t="str">
        <f t="shared" si="4017"/>
        <v>/</v>
      </c>
      <c r="X3924" s="105"/>
      <c r="Y3924" s="106"/>
      <c r="Z3924" s="26" t="str">
        <f t="shared" si="5"/>
        <v/>
      </c>
      <c r="AA3924" s="26" t="str">
        <f t="shared" si="6"/>
        <v/>
      </c>
      <c r="AB3924" s="32" t="str">
        <f t="shared" si="7"/>
        <v/>
      </c>
      <c r="AC3924" s="32" t="str">
        <f t="shared" ref="AC3924:AG3924" si="4055">IF(J3924&lt;&gt;"", IF(AND($P3924=FALSE, $A3924=FALSE), -J3924, IF(AND($P3924=FALSE, $A3924=TRUE), 0, IF($P3924=TRUE, (J3924 / $R3924) * 100 * ($S3924 / 100)-J3924, ))), )</f>
        <v/>
      </c>
      <c r="AD3924" s="32" t="str">
        <f t="shared" si="4055"/>
        <v/>
      </c>
      <c r="AE3924" s="32" t="str">
        <f t="shared" si="4055"/>
        <v/>
      </c>
      <c r="AF3924" s="32" t="str">
        <f t="shared" si="4055"/>
        <v/>
      </c>
      <c r="AG3924" s="32" t="str">
        <f t="shared" si="4055"/>
        <v/>
      </c>
      <c r="AH3924" s="33"/>
    </row>
    <row r="3925">
      <c r="A3925" s="95" t="b">
        <v>0</v>
      </c>
      <c r="B3925" s="96"/>
      <c r="C3925" s="18"/>
      <c r="D3925" s="107"/>
      <c r="E3925" s="108"/>
      <c r="F3925" s="109"/>
      <c r="G3925" s="97"/>
      <c r="H3925" s="97"/>
      <c r="I3925" s="97"/>
      <c r="J3925" s="98"/>
      <c r="K3925" s="99"/>
      <c r="L3925" s="98"/>
      <c r="M3925" s="99"/>
      <c r="N3925" s="99"/>
      <c r="O3925" s="18"/>
      <c r="P3925" s="100" t="b">
        <v>0</v>
      </c>
      <c r="Q3925" s="18"/>
      <c r="R3925" s="101" t="str">
        <f t="shared" si="3377"/>
        <v/>
      </c>
      <c r="S3925" s="32"/>
      <c r="T3925" s="102" t="str">
        <f t="shared" si="3378"/>
        <v/>
      </c>
      <c r="U3925" s="18"/>
      <c r="V3925" s="103" t="str">
        <f t="shared" si="4020"/>
        <v>0</v>
      </c>
      <c r="W3925" s="104" t="str">
        <f t="shared" si="4017"/>
        <v>/</v>
      </c>
      <c r="X3925" s="105"/>
      <c r="Y3925" s="106"/>
      <c r="Z3925" s="26" t="str">
        <f t="shared" si="5"/>
        <v/>
      </c>
      <c r="AA3925" s="26" t="str">
        <f t="shared" si="6"/>
        <v/>
      </c>
      <c r="AB3925" s="32" t="str">
        <f t="shared" si="7"/>
        <v/>
      </c>
      <c r="AC3925" s="32" t="str">
        <f t="shared" ref="AC3925:AG3925" si="4056">IF(J3925&lt;&gt;"", IF(AND($P3925=FALSE, $A3925=FALSE), -J3925, IF(AND($P3925=FALSE, $A3925=TRUE), 0, IF($P3925=TRUE, (J3925 / $R3925) * 100 * ($S3925 / 100)-J3925, ))), )</f>
        <v/>
      </c>
      <c r="AD3925" s="32" t="str">
        <f t="shared" si="4056"/>
        <v/>
      </c>
      <c r="AE3925" s="32" t="str">
        <f t="shared" si="4056"/>
        <v/>
      </c>
      <c r="AF3925" s="32" t="str">
        <f t="shared" si="4056"/>
        <v/>
      </c>
      <c r="AG3925" s="32" t="str">
        <f t="shared" si="4056"/>
        <v/>
      </c>
      <c r="AH3925" s="33"/>
    </row>
    <row r="3926">
      <c r="A3926" s="95" t="b">
        <v>0</v>
      </c>
      <c r="B3926" s="96"/>
      <c r="C3926" s="18"/>
      <c r="D3926" s="107"/>
      <c r="E3926" s="108"/>
      <c r="F3926" s="109"/>
      <c r="G3926" s="97"/>
      <c r="H3926" s="97"/>
      <c r="I3926" s="97"/>
      <c r="J3926" s="98"/>
      <c r="K3926" s="99"/>
      <c r="L3926" s="98"/>
      <c r="M3926" s="99"/>
      <c r="N3926" s="99"/>
      <c r="O3926" s="18"/>
      <c r="P3926" s="100" t="b">
        <v>0</v>
      </c>
      <c r="Q3926" s="18"/>
      <c r="R3926" s="101" t="str">
        <f t="shared" si="3377"/>
        <v/>
      </c>
      <c r="S3926" s="32"/>
      <c r="T3926" s="102" t="str">
        <f t="shared" si="3378"/>
        <v/>
      </c>
      <c r="U3926" s="18"/>
      <c r="V3926" s="103" t="str">
        <f t="shared" si="4020"/>
        <v>0</v>
      </c>
      <c r="W3926" s="104" t="str">
        <f t="shared" si="4017"/>
        <v>/</v>
      </c>
      <c r="X3926" s="105"/>
      <c r="Y3926" s="106"/>
      <c r="Z3926" s="26" t="str">
        <f t="shared" si="5"/>
        <v/>
      </c>
      <c r="AA3926" s="26" t="str">
        <f t="shared" si="6"/>
        <v/>
      </c>
      <c r="AB3926" s="32" t="str">
        <f t="shared" si="7"/>
        <v/>
      </c>
      <c r="AC3926" s="32" t="str">
        <f t="shared" ref="AC3926:AG3926" si="4057">IF(J3926&lt;&gt;"", IF(AND($P3926=FALSE, $A3926=FALSE), -J3926, IF(AND($P3926=FALSE, $A3926=TRUE), 0, IF($P3926=TRUE, (J3926 / $R3926) * 100 * ($S3926 / 100)-J3926, ))), )</f>
        <v/>
      </c>
      <c r="AD3926" s="32" t="str">
        <f t="shared" si="4057"/>
        <v/>
      </c>
      <c r="AE3926" s="32" t="str">
        <f t="shared" si="4057"/>
        <v/>
      </c>
      <c r="AF3926" s="32" t="str">
        <f t="shared" si="4057"/>
        <v/>
      </c>
      <c r="AG3926" s="32" t="str">
        <f t="shared" si="4057"/>
        <v/>
      </c>
      <c r="AH3926" s="33"/>
    </row>
    <row r="3927">
      <c r="A3927" s="95" t="b">
        <v>0</v>
      </c>
      <c r="B3927" s="96"/>
      <c r="C3927" s="18"/>
      <c r="D3927" s="107"/>
      <c r="E3927" s="108"/>
      <c r="F3927" s="109"/>
      <c r="G3927" s="97"/>
      <c r="H3927" s="97"/>
      <c r="I3927" s="97"/>
      <c r="J3927" s="98"/>
      <c r="K3927" s="99"/>
      <c r="L3927" s="98"/>
      <c r="M3927" s="99"/>
      <c r="N3927" s="99"/>
      <c r="O3927" s="18"/>
      <c r="P3927" s="100" t="b">
        <v>0</v>
      </c>
      <c r="Q3927" s="18"/>
      <c r="R3927" s="101" t="str">
        <f t="shared" si="3377"/>
        <v/>
      </c>
      <c r="S3927" s="32"/>
      <c r="T3927" s="102" t="str">
        <f t="shared" si="3378"/>
        <v/>
      </c>
      <c r="U3927" s="18"/>
      <c r="V3927" s="103" t="str">
        <f t="shared" si="4020"/>
        <v>0</v>
      </c>
      <c r="W3927" s="104" t="str">
        <f t="shared" si="4017"/>
        <v>/</v>
      </c>
      <c r="X3927" s="105"/>
      <c r="Y3927" s="106"/>
      <c r="Z3927" s="26" t="str">
        <f t="shared" si="5"/>
        <v/>
      </c>
      <c r="AA3927" s="26" t="str">
        <f t="shared" si="6"/>
        <v/>
      </c>
      <c r="AB3927" s="32" t="str">
        <f t="shared" si="7"/>
        <v/>
      </c>
      <c r="AC3927" s="32" t="str">
        <f t="shared" ref="AC3927:AG3927" si="4058">IF(J3927&lt;&gt;"", IF(AND($P3927=FALSE, $A3927=FALSE), -J3927, IF(AND($P3927=FALSE, $A3927=TRUE), 0, IF($P3927=TRUE, (J3927 / $R3927) * 100 * ($S3927 / 100)-J3927, ))), )</f>
        <v/>
      </c>
      <c r="AD3927" s="32" t="str">
        <f t="shared" si="4058"/>
        <v/>
      </c>
      <c r="AE3927" s="32" t="str">
        <f t="shared" si="4058"/>
        <v/>
      </c>
      <c r="AF3927" s="32" t="str">
        <f t="shared" si="4058"/>
        <v/>
      </c>
      <c r="AG3927" s="32" t="str">
        <f t="shared" si="4058"/>
        <v/>
      </c>
      <c r="AH3927" s="33"/>
    </row>
    <row r="3928">
      <c r="A3928" s="95" t="b">
        <v>0</v>
      </c>
      <c r="B3928" s="96"/>
      <c r="C3928" s="18"/>
      <c r="D3928" s="107"/>
      <c r="E3928" s="108"/>
      <c r="F3928" s="109"/>
      <c r="G3928" s="97"/>
      <c r="H3928" s="97"/>
      <c r="I3928" s="97"/>
      <c r="J3928" s="98"/>
      <c r="K3928" s="99"/>
      <c r="L3928" s="98"/>
      <c r="M3928" s="99"/>
      <c r="N3928" s="99"/>
      <c r="O3928" s="18"/>
      <c r="P3928" s="100" t="b">
        <v>0</v>
      </c>
      <c r="Q3928" s="18"/>
      <c r="R3928" s="101" t="str">
        <f t="shared" si="3377"/>
        <v/>
      </c>
      <c r="S3928" s="32"/>
      <c r="T3928" s="102" t="str">
        <f t="shared" si="3378"/>
        <v/>
      </c>
      <c r="U3928" s="18"/>
      <c r="V3928" s="103" t="str">
        <f t="shared" si="4020"/>
        <v>0</v>
      </c>
      <c r="W3928" s="104" t="str">
        <f t="shared" si="4017"/>
        <v>/</v>
      </c>
      <c r="X3928" s="105"/>
      <c r="Y3928" s="106"/>
      <c r="Z3928" s="26" t="str">
        <f t="shared" si="5"/>
        <v/>
      </c>
      <c r="AA3928" s="26" t="str">
        <f t="shared" si="6"/>
        <v/>
      </c>
      <c r="AB3928" s="32" t="str">
        <f t="shared" si="7"/>
        <v/>
      </c>
      <c r="AC3928" s="32" t="str">
        <f t="shared" ref="AC3928:AG3928" si="4059">IF(J3928&lt;&gt;"", IF(AND($P3928=FALSE, $A3928=FALSE), -J3928, IF(AND($P3928=FALSE, $A3928=TRUE), 0, IF($P3928=TRUE, (J3928 / $R3928) * 100 * ($S3928 / 100)-J3928, ))), )</f>
        <v/>
      </c>
      <c r="AD3928" s="32" t="str">
        <f t="shared" si="4059"/>
        <v/>
      </c>
      <c r="AE3928" s="32" t="str">
        <f t="shared" si="4059"/>
        <v/>
      </c>
      <c r="AF3928" s="32" t="str">
        <f t="shared" si="4059"/>
        <v/>
      </c>
      <c r="AG3928" s="32" t="str">
        <f t="shared" si="4059"/>
        <v/>
      </c>
      <c r="AH3928" s="33"/>
    </row>
    <row r="3929">
      <c r="A3929" s="95" t="b">
        <v>0</v>
      </c>
      <c r="B3929" s="96"/>
      <c r="C3929" s="18"/>
      <c r="D3929" s="107"/>
      <c r="E3929" s="108"/>
      <c r="F3929" s="109"/>
      <c r="G3929" s="97"/>
      <c r="H3929" s="97"/>
      <c r="I3929" s="97"/>
      <c r="J3929" s="98"/>
      <c r="K3929" s="99"/>
      <c r="L3929" s="98"/>
      <c r="M3929" s="99"/>
      <c r="N3929" s="99"/>
      <c r="O3929" s="18"/>
      <c r="P3929" s="100" t="b">
        <v>0</v>
      </c>
      <c r="Q3929" s="18"/>
      <c r="R3929" s="101" t="str">
        <f t="shared" si="3377"/>
        <v/>
      </c>
      <c r="S3929" s="32"/>
      <c r="T3929" s="102" t="str">
        <f t="shared" si="3378"/>
        <v/>
      </c>
      <c r="U3929" s="18"/>
      <c r="V3929" s="103" t="str">
        <f t="shared" si="4020"/>
        <v>0</v>
      </c>
      <c r="W3929" s="104" t="str">
        <f t="shared" si="4017"/>
        <v>/</v>
      </c>
      <c r="X3929" s="105"/>
      <c r="Y3929" s="106"/>
      <c r="Z3929" s="26" t="str">
        <f t="shared" si="5"/>
        <v/>
      </c>
      <c r="AA3929" s="26" t="str">
        <f t="shared" si="6"/>
        <v/>
      </c>
      <c r="AB3929" s="32" t="str">
        <f t="shared" si="7"/>
        <v/>
      </c>
      <c r="AC3929" s="32" t="str">
        <f t="shared" ref="AC3929:AG3929" si="4060">IF(J3929&lt;&gt;"", IF(AND($P3929=FALSE, $A3929=FALSE), -J3929, IF(AND($P3929=FALSE, $A3929=TRUE), 0, IF($P3929=TRUE, (J3929 / $R3929) * 100 * ($S3929 / 100)-J3929, ))), )</f>
        <v/>
      </c>
      <c r="AD3929" s="32" t="str">
        <f t="shared" si="4060"/>
        <v/>
      </c>
      <c r="AE3929" s="32" t="str">
        <f t="shared" si="4060"/>
        <v/>
      </c>
      <c r="AF3929" s="32" t="str">
        <f t="shared" si="4060"/>
        <v/>
      </c>
      <c r="AG3929" s="32" t="str">
        <f t="shared" si="4060"/>
        <v/>
      </c>
      <c r="AH3929" s="33"/>
    </row>
    <row r="3930">
      <c r="A3930" s="95" t="b">
        <v>0</v>
      </c>
      <c r="B3930" s="96"/>
      <c r="C3930" s="18"/>
      <c r="D3930" s="107"/>
      <c r="E3930" s="108"/>
      <c r="F3930" s="109"/>
      <c r="G3930" s="97"/>
      <c r="H3930" s="97"/>
      <c r="I3930" s="97"/>
      <c r="J3930" s="98"/>
      <c r="K3930" s="99"/>
      <c r="L3930" s="98"/>
      <c r="M3930" s="99"/>
      <c r="N3930" s="99"/>
      <c r="O3930" s="18"/>
      <c r="P3930" s="100" t="b">
        <v>0</v>
      </c>
      <c r="Q3930" s="18"/>
      <c r="R3930" s="101" t="str">
        <f t="shared" si="3377"/>
        <v/>
      </c>
      <c r="S3930" s="32"/>
      <c r="T3930" s="102" t="str">
        <f t="shared" si="3378"/>
        <v/>
      </c>
      <c r="U3930" s="18"/>
      <c r="V3930" s="103" t="str">
        <f t="shared" si="4020"/>
        <v>0</v>
      </c>
      <c r="W3930" s="104" t="str">
        <f t="shared" si="4017"/>
        <v>/</v>
      </c>
      <c r="X3930" s="105"/>
      <c r="Y3930" s="106"/>
      <c r="Z3930" s="26" t="str">
        <f t="shared" si="5"/>
        <v/>
      </c>
      <c r="AA3930" s="26" t="str">
        <f t="shared" si="6"/>
        <v/>
      </c>
      <c r="AB3930" s="32" t="str">
        <f t="shared" si="7"/>
        <v/>
      </c>
      <c r="AC3930" s="32" t="str">
        <f t="shared" ref="AC3930:AG3930" si="4061">IF(J3930&lt;&gt;"", IF(AND($P3930=FALSE, $A3930=FALSE), -J3930, IF(AND($P3930=FALSE, $A3930=TRUE), 0, IF($P3930=TRUE, (J3930 / $R3930) * 100 * ($S3930 / 100)-J3930, ))), )</f>
        <v/>
      </c>
      <c r="AD3930" s="32" t="str">
        <f t="shared" si="4061"/>
        <v/>
      </c>
      <c r="AE3930" s="32" t="str">
        <f t="shared" si="4061"/>
        <v/>
      </c>
      <c r="AF3930" s="32" t="str">
        <f t="shared" si="4061"/>
        <v/>
      </c>
      <c r="AG3930" s="32" t="str">
        <f t="shared" si="4061"/>
        <v/>
      </c>
      <c r="AH3930" s="33"/>
    </row>
    <row r="3931">
      <c r="A3931" s="95" t="b">
        <v>0</v>
      </c>
      <c r="B3931" s="96"/>
      <c r="C3931" s="18"/>
      <c r="D3931" s="107"/>
      <c r="E3931" s="108"/>
      <c r="F3931" s="109"/>
      <c r="G3931" s="97"/>
      <c r="H3931" s="97"/>
      <c r="I3931" s="97"/>
      <c r="J3931" s="98"/>
      <c r="K3931" s="99"/>
      <c r="L3931" s="98"/>
      <c r="M3931" s="99"/>
      <c r="N3931" s="99"/>
      <c r="O3931" s="18"/>
      <c r="P3931" s="100" t="b">
        <v>0</v>
      </c>
      <c r="Q3931" s="18"/>
      <c r="R3931" s="101" t="str">
        <f t="shared" si="3377"/>
        <v/>
      </c>
      <c r="S3931" s="32"/>
      <c r="T3931" s="102" t="str">
        <f t="shared" si="3378"/>
        <v/>
      </c>
      <c r="U3931" s="18"/>
      <c r="V3931" s="103" t="str">
        <f t="shared" si="4020"/>
        <v>0</v>
      </c>
      <c r="W3931" s="104" t="str">
        <f t="shared" si="4017"/>
        <v>/</v>
      </c>
      <c r="X3931" s="105"/>
      <c r="Y3931" s="106"/>
      <c r="Z3931" s="26" t="str">
        <f t="shared" si="5"/>
        <v/>
      </c>
      <c r="AA3931" s="26" t="str">
        <f t="shared" si="6"/>
        <v/>
      </c>
      <c r="AB3931" s="32" t="str">
        <f t="shared" si="7"/>
        <v/>
      </c>
      <c r="AC3931" s="32" t="str">
        <f t="shared" ref="AC3931:AG3931" si="4062">IF(J3931&lt;&gt;"", IF(AND($P3931=FALSE, $A3931=FALSE), -J3931, IF(AND($P3931=FALSE, $A3931=TRUE), 0, IF($P3931=TRUE, (J3931 / $R3931) * 100 * ($S3931 / 100)-J3931, ))), )</f>
        <v/>
      </c>
      <c r="AD3931" s="32" t="str">
        <f t="shared" si="4062"/>
        <v/>
      </c>
      <c r="AE3931" s="32" t="str">
        <f t="shared" si="4062"/>
        <v/>
      </c>
      <c r="AF3931" s="32" t="str">
        <f t="shared" si="4062"/>
        <v/>
      </c>
      <c r="AG3931" s="32" t="str">
        <f t="shared" si="4062"/>
        <v/>
      </c>
      <c r="AH3931" s="33"/>
    </row>
    <row r="3932">
      <c r="A3932" s="95" t="b">
        <v>0</v>
      </c>
      <c r="B3932" s="96"/>
      <c r="C3932" s="18"/>
      <c r="D3932" s="107"/>
      <c r="E3932" s="108"/>
      <c r="F3932" s="109"/>
      <c r="G3932" s="97"/>
      <c r="H3932" s="97"/>
      <c r="I3932" s="97"/>
      <c r="J3932" s="98"/>
      <c r="K3932" s="99"/>
      <c r="L3932" s="98"/>
      <c r="M3932" s="99"/>
      <c r="N3932" s="99"/>
      <c r="O3932" s="18"/>
      <c r="P3932" s="100" t="b">
        <v>0</v>
      </c>
      <c r="Q3932" s="18"/>
      <c r="R3932" s="101" t="str">
        <f t="shared" si="3377"/>
        <v/>
      </c>
      <c r="S3932" s="32"/>
      <c r="T3932" s="102" t="str">
        <f t="shared" si="3378"/>
        <v/>
      </c>
      <c r="U3932" s="18"/>
      <c r="V3932" s="103" t="str">
        <f t="shared" si="4020"/>
        <v>0</v>
      </c>
      <c r="W3932" s="104" t="str">
        <f t="shared" si="4017"/>
        <v>/</v>
      </c>
      <c r="X3932" s="105"/>
      <c r="Y3932" s="106"/>
      <c r="Z3932" s="26" t="str">
        <f t="shared" si="5"/>
        <v/>
      </c>
      <c r="AA3932" s="26" t="str">
        <f t="shared" si="6"/>
        <v/>
      </c>
      <c r="AB3932" s="32" t="str">
        <f t="shared" si="7"/>
        <v/>
      </c>
      <c r="AC3932" s="32" t="str">
        <f t="shared" ref="AC3932:AG3932" si="4063">IF(J3932&lt;&gt;"", IF(AND($P3932=FALSE, $A3932=FALSE), -J3932, IF(AND($P3932=FALSE, $A3932=TRUE), 0, IF($P3932=TRUE, (J3932 / $R3932) * 100 * ($S3932 / 100)-J3932, ))), )</f>
        <v/>
      </c>
      <c r="AD3932" s="32" t="str">
        <f t="shared" si="4063"/>
        <v/>
      </c>
      <c r="AE3932" s="32" t="str">
        <f t="shared" si="4063"/>
        <v/>
      </c>
      <c r="AF3932" s="32" t="str">
        <f t="shared" si="4063"/>
        <v/>
      </c>
      <c r="AG3932" s="32" t="str">
        <f t="shared" si="4063"/>
        <v/>
      </c>
      <c r="AH3932" s="33"/>
    </row>
    <row r="3933">
      <c r="A3933" s="95" t="b">
        <v>0</v>
      </c>
      <c r="B3933" s="96"/>
      <c r="C3933" s="18"/>
      <c r="D3933" s="107"/>
      <c r="E3933" s="108"/>
      <c r="F3933" s="109"/>
      <c r="G3933" s="97"/>
      <c r="H3933" s="97"/>
      <c r="I3933" s="97"/>
      <c r="J3933" s="98"/>
      <c r="K3933" s="99"/>
      <c r="L3933" s="98"/>
      <c r="M3933" s="99"/>
      <c r="N3933" s="99"/>
      <c r="O3933" s="18"/>
      <c r="P3933" s="100" t="b">
        <v>0</v>
      </c>
      <c r="Q3933" s="18"/>
      <c r="R3933" s="101" t="str">
        <f t="shared" si="3377"/>
        <v/>
      </c>
      <c r="S3933" s="32"/>
      <c r="T3933" s="102" t="str">
        <f t="shared" si="3378"/>
        <v/>
      </c>
      <c r="U3933" s="18"/>
      <c r="V3933" s="103" t="str">
        <f t="shared" si="4020"/>
        <v>0</v>
      </c>
      <c r="W3933" s="104" t="str">
        <f t="shared" si="4017"/>
        <v>/</v>
      </c>
      <c r="X3933" s="105"/>
      <c r="Y3933" s="106"/>
      <c r="Z3933" s="26" t="str">
        <f t="shared" si="5"/>
        <v/>
      </c>
      <c r="AA3933" s="26" t="str">
        <f t="shared" si="6"/>
        <v/>
      </c>
      <c r="AB3933" s="32" t="str">
        <f t="shared" si="7"/>
        <v/>
      </c>
      <c r="AC3933" s="32" t="str">
        <f t="shared" ref="AC3933:AG3933" si="4064">IF(J3933&lt;&gt;"", IF(AND($P3933=FALSE, $A3933=FALSE), -J3933, IF(AND($P3933=FALSE, $A3933=TRUE), 0, IF($P3933=TRUE, (J3933 / $R3933) * 100 * ($S3933 / 100)-J3933, ))), )</f>
        <v/>
      </c>
      <c r="AD3933" s="32" t="str">
        <f t="shared" si="4064"/>
        <v/>
      </c>
      <c r="AE3933" s="32" t="str">
        <f t="shared" si="4064"/>
        <v/>
      </c>
      <c r="AF3933" s="32" t="str">
        <f t="shared" si="4064"/>
        <v/>
      </c>
      <c r="AG3933" s="32" t="str">
        <f t="shared" si="4064"/>
        <v/>
      </c>
      <c r="AH3933" s="33"/>
    </row>
    <row r="3934">
      <c r="A3934" s="95" t="b">
        <v>0</v>
      </c>
      <c r="B3934" s="96"/>
      <c r="C3934" s="18"/>
      <c r="D3934" s="107"/>
      <c r="E3934" s="108"/>
      <c r="F3934" s="109"/>
      <c r="G3934" s="97"/>
      <c r="H3934" s="97"/>
      <c r="I3934" s="97"/>
      <c r="J3934" s="98"/>
      <c r="K3934" s="99"/>
      <c r="L3934" s="98"/>
      <c r="M3934" s="99"/>
      <c r="N3934" s="99"/>
      <c r="O3934" s="18"/>
      <c r="P3934" s="100" t="b">
        <v>0</v>
      </c>
      <c r="Q3934" s="18"/>
      <c r="R3934" s="101" t="str">
        <f t="shared" si="3377"/>
        <v/>
      </c>
      <c r="S3934" s="32"/>
      <c r="T3934" s="102" t="str">
        <f t="shared" si="3378"/>
        <v/>
      </c>
      <c r="U3934" s="18"/>
      <c r="V3934" s="103" t="str">
        <f t="shared" si="4020"/>
        <v>0</v>
      </c>
      <c r="W3934" s="104" t="str">
        <f t="shared" si="4017"/>
        <v>/</v>
      </c>
      <c r="X3934" s="105"/>
      <c r="Y3934" s="106"/>
      <c r="Z3934" s="26" t="str">
        <f t="shared" si="5"/>
        <v/>
      </c>
      <c r="AA3934" s="26" t="str">
        <f t="shared" si="6"/>
        <v/>
      </c>
      <c r="AB3934" s="32" t="str">
        <f t="shared" si="7"/>
        <v/>
      </c>
      <c r="AC3934" s="32" t="str">
        <f t="shared" ref="AC3934:AG3934" si="4065">IF(J3934&lt;&gt;"", IF(AND($P3934=FALSE, $A3934=FALSE), -J3934, IF(AND($P3934=FALSE, $A3934=TRUE), 0, IF($P3934=TRUE, (J3934 / $R3934) * 100 * ($S3934 / 100)-J3934, ))), )</f>
        <v/>
      </c>
      <c r="AD3934" s="32" t="str">
        <f t="shared" si="4065"/>
        <v/>
      </c>
      <c r="AE3934" s="32" t="str">
        <f t="shared" si="4065"/>
        <v/>
      </c>
      <c r="AF3934" s="32" t="str">
        <f t="shared" si="4065"/>
        <v/>
      </c>
      <c r="AG3934" s="32" t="str">
        <f t="shared" si="4065"/>
        <v/>
      </c>
      <c r="AH3934" s="33"/>
    </row>
    <row r="3935">
      <c r="A3935" s="95" t="b">
        <v>0</v>
      </c>
      <c r="B3935" s="96"/>
      <c r="C3935" s="18"/>
      <c r="D3935" s="107"/>
      <c r="E3935" s="108"/>
      <c r="F3935" s="109"/>
      <c r="G3935" s="97"/>
      <c r="H3935" s="97"/>
      <c r="I3935" s="97"/>
      <c r="J3935" s="98"/>
      <c r="K3935" s="99"/>
      <c r="L3935" s="98"/>
      <c r="M3935" s="99"/>
      <c r="N3935" s="99"/>
      <c r="O3935" s="18"/>
      <c r="P3935" s="100" t="b">
        <v>0</v>
      </c>
      <c r="Q3935" s="18"/>
      <c r="R3935" s="101" t="str">
        <f t="shared" si="3377"/>
        <v/>
      </c>
      <c r="S3935" s="32"/>
      <c r="T3935" s="102" t="str">
        <f t="shared" si="3378"/>
        <v/>
      </c>
      <c r="U3935" s="18"/>
      <c r="V3935" s="103" t="str">
        <f t="shared" si="4020"/>
        <v>0</v>
      </c>
      <c r="W3935" s="104" t="str">
        <f t="shared" si="4017"/>
        <v>/</v>
      </c>
      <c r="X3935" s="105"/>
      <c r="Y3935" s="106"/>
      <c r="Z3935" s="26" t="str">
        <f t="shared" si="5"/>
        <v/>
      </c>
      <c r="AA3935" s="26" t="str">
        <f t="shared" si="6"/>
        <v/>
      </c>
      <c r="AB3935" s="32" t="str">
        <f t="shared" si="7"/>
        <v/>
      </c>
      <c r="AC3935" s="32" t="str">
        <f t="shared" ref="AC3935:AG3935" si="4066">IF(J3935&lt;&gt;"", IF(AND($P3935=FALSE, $A3935=FALSE), -J3935, IF(AND($P3935=FALSE, $A3935=TRUE), 0, IF($P3935=TRUE, (J3935 / $R3935) * 100 * ($S3935 / 100)-J3935, ))), )</f>
        <v/>
      </c>
      <c r="AD3935" s="32" t="str">
        <f t="shared" si="4066"/>
        <v/>
      </c>
      <c r="AE3935" s="32" t="str">
        <f t="shared" si="4066"/>
        <v/>
      </c>
      <c r="AF3935" s="32" t="str">
        <f t="shared" si="4066"/>
        <v/>
      </c>
      <c r="AG3935" s="32" t="str">
        <f t="shared" si="4066"/>
        <v/>
      </c>
      <c r="AH3935" s="33"/>
    </row>
    <row r="3936">
      <c r="A3936" s="95" t="b">
        <v>0</v>
      </c>
      <c r="B3936" s="96"/>
      <c r="C3936" s="18"/>
      <c r="D3936" s="107"/>
      <c r="E3936" s="108"/>
      <c r="F3936" s="109"/>
      <c r="G3936" s="97"/>
      <c r="H3936" s="97"/>
      <c r="I3936" s="97"/>
      <c r="J3936" s="98"/>
      <c r="K3936" s="99"/>
      <c r="L3936" s="98"/>
      <c r="M3936" s="99"/>
      <c r="N3936" s="99"/>
      <c r="O3936" s="18"/>
      <c r="P3936" s="100" t="b">
        <v>0</v>
      </c>
      <c r="Q3936" s="18"/>
      <c r="R3936" s="101" t="str">
        <f t="shared" si="3377"/>
        <v/>
      </c>
      <c r="S3936" s="32"/>
      <c r="T3936" s="102" t="str">
        <f t="shared" si="3378"/>
        <v/>
      </c>
      <c r="U3936" s="18"/>
      <c r="V3936" s="103" t="str">
        <f t="shared" si="4020"/>
        <v>0</v>
      </c>
      <c r="W3936" s="104" t="str">
        <f t="shared" si="4017"/>
        <v>/</v>
      </c>
      <c r="X3936" s="105"/>
      <c r="Y3936" s="106"/>
      <c r="Z3936" s="26" t="str">
        <f t="shared" si="5"/>
        <v/>
      </c>
      <c r="AA3936" s="26" t="str">
        <f t="shared" si="6"/>
        <v/>
      </c>
      <c r="AB3936" s="32" t="str">
        <f t="shared" si="7"/>
        <v/>
      </c>
      <c r="AC3936" s="32" t="str">
        <f t="shared" ref="AC3936:AG3936" si="4067">IF(J3936&lt;&gt;"", IF(AND($P3936=FALSE, $A3936=FALSE), -J3936, IF(AND($P3936=FALSE, $A3936=TRUE), 0, IF($P3936=TRUE, (J3936 / $R3936) * 100 * ($S3936 / 100)-J3936, ))), )</f>
        <v/>
      </c>
      <c r="AD3936" s="32" t="str">
        <f t="shared" si="4067"/>
        <v/>
      </c>
      <c r="AE3936" s="32" t="str">
        <f t="shared" si="4067"/>
        <v/>
      </c>
      <c r="AF3936" s="32" t="str">
        <f t="shared" si="4067"/>
        <v/>
      </c>
      <c r="AG3936" s="32" t="str">
        <f t="shared" si="4067"/>
        <v/>
      </c>
      <c r="AH3936" s="33"/>
    </row>
    <row r="3937">
      <c r="A3937" s="95" t="b">
        <v>0</v>
      </c>
      <c r="B3937" s="96"/>
      <c r="C3937" s="18"/>
      <c r="D3937" s="107"/>
      <c r="E3937" s="108"/>
      <c r="F3937" s="109"/>
      <c r="G3937" s="97"/>
      <c r="H3937" s="97"/>
      <c r="I3937" s="97"/>
      <c r="J3937" s="98"/>
      <c r="K3937" s="99"/>
      <c r="L3937" s="98"/>
      <c r="M3937" s="99"/>
      <c r="N3937" s="99"/>
      <c r="O3937" s="18"/>
      <c r="P3937" s="100" t="b">
        <v>0</v>
      </c>
      <c r="Q3937" s="18"/>
      <c r="R3937" s="101" t="str">
        <f t="shared" si="3377"/>
        <v/>
      </c>
      <c r="S3937" s="32"/>
      <c r="T3937" s="102" t="str">
        <f t="shared" si="3378"/>
        <v/>
      </c>
      <c r="U3937" s="18"/>
      <c r="V3937" s="103" t="str">
        <f t="shared" si="4020"/>
        <v>0</v>
      </c>
      <c r="W3937" s="104" t="str">
        <f t="shared" si="4017"/>
        <v>/</v>
      </c>
      <c r="X3937" s="105"/>
      <c r="Y3937" s="106"/>
      <c r="Z3937" s="26" t="str">
        <f t="shared" si="5"/>
        <v/>
      </c>
      <c r="AA3937" s="26" t="str">
        <f t="shared" si="6"/>
        <v/>
      </c>
      <c r="AB3937" s="32" t="str">
        <f t="shared" si="7"/>
        <v/>
      </c>
      <c r="AC3937" s="32" t="str">
        <f t="shared" ref="AC3937:AG3937" si="4068">IF(J3937&lt;&gt;"", IF(AND($P3937=FALSE, $A3937=FALSE), -J3937, IF(AND($P3937=FALSE, $A3937=TRUE), 0, IF($P3937=TRUE, (J3937 / $R3937) * 100 * ($S3937 / 100)-J3937, ))), )</f>
        <v/>
      </c>
      <c r="AD3937" s="32" t="str">
        <f t="shared" si="4068"/>
        <v/>
      </c>
      <c r="AE3937" s="32" t="str">
        <f t="shared" si="4068"/>
        <v/>
      </c>
      <c r="AF3937" s="32" t="str">
        <f t="shared" si="4068"/>
        <v/>
      </c>
      <c r="AG3937" s="32" t="str">
        <f t="shared" si="4068"/>
        <v/>
      </c>
      <c r="AH3937" s="33"/>
    </row>
    <row r="3938">
      <c r="A3938" s="95" t="b">
        <v>0</v>
      </c>
      <c r="B3938" s="96"/>
      <c r="C3938" s="18"/>
      <c r="D3938" s="107"/>
      <c r="E3938" s="108"/>
      <c r="F3938" s="109"/>
      <c r="G3938" s="97"/>
      <c r="H3938" s="97"/>
      <c r="I3938" s="97"/>
      <c r="J3938" s="98"/>
      <c r="K3938" s="99"/>
      <c r="L3938" s="98"/>
      <c r="M3938" s="99"/>
      <c r="N3938" s="99"/>
      <c r="O3938" s="18"/>
      <c r="P3938" s="100" t="b">
        <v>0</v>
      </c>
      <c r="Q3938" s="18"/>
      <c r="R3938" s="101" t="str">
        <f t="shared" si="3377"/>
        <v/>
      </c>
      <c r="S3938" s="32"/>
      <c r="T3938" s="102" t="str">
        <f t="shared" si="3378"/>
        <v/>
      </c>
      <c r="U3938" s="18"/>
      <c r="V3938" s="103" t="str">
        <f t="shared" si="4020"/>
        <v>0</v>
      </c>
      <c r="W3938" s="104" t="str">
        <f t="shared" si="4017"/>
        <v>/</v>
      </c>
      <c r="X3938" s="105"/>
      <c r="Y3938" s="106"/>
      <c r="Z3938" s="26" t="str">
        <f t="shared" si="5"/>
        <v/>
      </c>
      <c r="AA3938" s="26" t="str">
        <f t="shared" si="6"/>
        <v/>
      </c>
      <c r="AB3938" s="32" t="str">
        <f t="shared" si="7"/>
        <v/>
      </c>
      <c r="AC3938" s="32" t="str">
        <f t="shared" ref="AC3938:AG3938" si="4069">IF(J3938&lt;&gt;"", IF(AND($P3938=FALSE, $A3938=FALSE), -J3938, IF(AND($P3938=FALSE, $A3938=TRUE), 0, IF($P3938=TRUE, (J3938 / $R3938) * 100 * ($S3938 / 100)-J3938, ))), )</f>
        <v/>
      </c>
      <c r="AD3938" s="32" t="str">
        <f t="shared" si="4069"/>
        <v/>
      </c>
      <c r="AE3938" s="32" t="str">
        <f t="shared" si="4069"/>
        <v/>
      </c>
      <c r="AF3938" s="32" t="str">
        <f t="shared" si="4069"/>
        <v/>
      </c>
      <c r="AG3938" s="32" t="str">
        <f t="shared" si="4069"/>
        <v/>
      </c>
      <c r="AH3938" s="33"/>
    </row>
    <row r="3939">
      <c r="A3939" s="95" t="b">
        <v>0</v>
      </c>
      <c r="B3939" s="96"/>
      <c r="C3939" s="18"/>
      <c r="D3939" s="107"/>
      <c r="E3939" s="108"/>
      <c r="F3939" s="109"/>
      <c r="G3939" s="97"/>
      <c r="H3939" s="97"/>
      <c r="I3939" s="97"/>
      <c r="J3939" s="98"/>
      <c r="K3939" s="99"/>
      <c r="L3939" s="98"/>
      <c r="M3939" s="99"/>
      <c r="N3939" s="99"/>
      <c r="O3939" s="18"/>
      <c r="P3939" s="100" t="b">
        <v>0</v>
      </c>
      <c r="Q3939" s="18"/>
      <c r="R3939" s="101" t="str">
        <f t="shared" si="3377"/>
        <v/>
      </c>
      <c r="S3939" s="32"/>
      <c r="T3939" s="102" t="str">
        <f t="shared" si="3378"/>
        <v/>
      </c>
      <c r="U3939" s="18"/>
      <c r="V3939" s="103" t="str">
        <f t="shared" si="4020"/>
        <v>0</v>
      </c>
      <c r="W3939" s="104" t="str">
        <f t="shared" si="4017"/>
        <v>/</v>
      </c>
      <c r="X3939" s="105"/>
      <c r="Y3939" s="106"/>
      <c r="Z3939" s="26" t="str">
        <f t="shared" si="5"/>
        <v/>
      </c>
      <c r="AA3939" s="26" t="str">
        <f t="shared" si="6"/>
        <v/>
      </c>
      <c r="AB3939" s="32" t="str">
        <f t="shared" si="7"/>
        <v/>
      </c>
      <c r="AC3939" s="32" t="str">
        <f t="shared" ref="AC3939:AG3939" si="4070">IF(J3939&lt;&gt;"", IF(AND($P3939=FALSE, $A3939=FALSE), -J3939, IF(AND($P3939=FALSE, $A3939=TRUE), 0, IF($P3939=TRUE, (J3939 / $R3939) * 100 * ($S3939 / 100)-J3939, ))), )</f>
        <v/>
      </c>
      <c r="AD3939" s="32" t="str">
        <f t="shared" si="4070"/>
        <v/>
      </c>
      <c r="AE3939" s="32" t="str">
        <f t="shared" si="4070"/>
        <v/>
      </c>
      <c r="AF3939" s="32" t="str">
        <f t="shared" si="4070"/>
        <v/>
      </c>
      <c r="AG3939" s="32" t="str">
        <f t="shared" si="4070"/>
        <v/>
      </c>
      <c r="AH3939" s="33"/>
    </row>
    <row r="3940">
      <c r="A3940" s="95" t="b">
        <v>0</v>
      </c>
      <c r="B3940" s="96"/>
      <c r="C3940" s="18"/>
      <c r="D3940" s="107"/>
      <c r="E3940" s="108"/>
      <c r="F3940" s="109"/>
      <c r="G3940" s="97"/>
      <c r="H3940" s="97"/>
      <c r="I3940" s="97"/>
      <c r="J3940" s="98"/>
      <c r="K3940" s="99"/>
      <c r="L3940" s="98"/>
      <c r="M3940" s="99"/>
      <c r="N3940" s="99"/>
      <c r="O3940" s="18"/>
      <c r="P3940" s="100" t="b">
        <v>0</v>
      </c>
      <c r="Q3940" s="18"/>
      <c r="R3940" s="101" t="str">
        <f t="shared" si="3377"/>
        <v/>
      </c>
      <c r="S3940" s="32"/>
      <c r="T3940" s="102" t="str">
        <f t="shared" si="3378"/>
        <v/>
      </c>
      <c r="U3940" s="18"/>
      <c r="V3940" s="103" t="str">
        <f t="shared" si="4020"/>
        <v>0</v>
      </c>
      <c r="W3940" s="104" t="str">
        <f t="shared" si="4017"/>
        <v>/</v>
      </c>
      <c r="X3940" s="105"/>
      <c r="Y3940" s="106"/>
      <c r="Z3940" s="26" t="str">
        <f t="shared" si="5"/>
        <v/>
      </c>
      <c r="AA3940" s="26" t="str">
        <f t="shared" si="6"/>
        <v/>
      </c>
      <c r="AB3940" s="32" t="str">
        <f t="shared" si="7"/>
        <v/>
      </c>
      <c r="AC3940" s="32" t="str">
        <f t="shared" ref="AC3940:AG3940" si="4071">IF(J3940&lt;&gt;"", IF(AND($P3940=FALSE, $A3940=FALSE), -J3940, IF(AND($P3940=FALSE, $A3940=TRUE), 0, IF($P3940=TRUE, (J3940 / $R3940) * 100 * ($S3940 / 100)-J3940, ))), )</f>
        <v/>
      </c>
      <c r="AD3940" s="32" t="str">
        <f t="shared" si="4071"/>
        <v/>
      </c>
      <c r="AE3940" s="32" t="str">
        <f t="shared" si="4071"/>
        <v/>
      </c>
      <c r="AF3940" s="32" t="str">
        <f t="shared" si="4071"/>
        <v/>
      </c>
      <c r="AG3940" s="32" t="str">
        <f t="shared" si="4071"/>
        <v/>
      </c>
      <c r="AH3940" s="33"/>
    </row>
    <row r="3941">
      <c r="A3941" s="95" t="b">
        <v>0</v>
      </c>
      <c r="B3941" s="96"/>
      <c r="C3941" s="18"/>
      <c r="D3941" s="107"/>
      <c r="E3941" s="108"/>
      <c r="F3941" s="109"/>
      <c r="G3941" s="97"/>
      <c r="H3941" s="97"/>
      <c r="I3941" s="97"/>
      <c r="J3941" s="98"/>
      <c r="K3941" s="99"/>
      <c r="L3941" s="98"/>
      <c r="M3941" s="99"/>
      <c r="N3941" s="99"/>
      <c r="O3941" s="18"/>
      <c r="P3941" s="100" t="b">
        <v>0</v>
      </c>
      <c r="Q3941" s="18"/>
      <c r="R3941" s="101" t="str">
        <f t="shared" si="3377"/>
        <v/>
      </c>
      <c r="S3941" s="32"/>
      <c r="T3941" s="102" t="str">
        <f t="shared" si="3378"/>
        <v/>
      </c>
      <c r="U3941" s="18"/>
      <c r="V3941" s="103" t="str">
        <f t="shared" si="4020"/>
        <v>0</v>
      </c>
      <c r="W3941" s="104" t="str">
        <f t="shared" si="4017"/>
        <v>/</v>
      </c>
      <c r="X3941" s="105"/>
      <c r="Y3941" s="106"/>
      <c r="Z3941" s="26" t="str">
        <f t="shared" si="5"/>
        <v/>
      </c>
      <c r="AA3941" s="26" t="str">
        <f t="shared" si="6"/>
        <v/>
      </c>
      <c r="AB3941" s="32" t="str">
        <f t="shared" si="7"/>
        <v/>
      </c>
      <c r="AC3941" s="32" t="str">
        <f t="shared" ref="AC3941:AG3941" si="4072">IF(J3941&lt;&gt;"", IF(AND($P3941=FALSE, $A3941=FALSE), -J3941, IF(AND($P3941=FALSE, $A3941=TRUE), 0, IF($P3941=TRUE, (J3941 / $R3941) * 100 * ($S3941 / 100)-J3941, ))), )</f>
        <v/>
      </c>
      <c r="AD3941" s="32" t="str">
        <f t="shared" si="4072"/>
        <v/>
      </c>
      <c r="AE3941" s="32" t="str">
        <f t="shared" si="4072"/>
        <v/>
      </c>
      <c r="AF3941" s="32" t="str">
        <f t="shared" si="4072"/>
        <v/>
      </c>
      <c r="AG3941" s="32" t="str">
        <f t="shared" si="4072"/>
        <v/>
      </c>
      <c r="AH3941" s="33"/>
    </row>
    <row r="3942">
      <c r="A3942" s="95" t="b">
        <v>0</v>
      </c>
      <c r="B3942" s="96"/>
      <c r="C3942" s="18"/>
      <c r="D3942" s="107"/>
      <c r="E3942" s="108"/>
      <c r="F3942" s="109"/>
      <c r="G3942" s="97"/>
      <c r="H3942" s="97"/>
      <c r="I3942" s="97"/>
      <c r="J3942" s="98"/>
      <c r="K3942" s="99"/>
      <c r="L3942" s="98"/>
      <c r="M3942" s="99"/>
      <c r="N3942" s="99"/>
      <c r="O3942" s="18"/>
      <c r="P3942" s="100" t="b">
        <v>0</v>
      </c>
      <c r="Q3942" s="18"/>
      <c r="R3942" s="101" t="str">
        <f t="shared" si="3377"/>
        <v/>
      </c>
      <c r="S3942" s="32"/>
      <c r="T3942" s="102" t="str">
        <f t="shared" si="3378"/>
        <v/>
      </c>
      <c r="U3942" s="18"/>
      <c r="V3942" s="103" t="str">
        <f t="shared" si="4020"/>
        <v>0</v>
      </c>
      <c r="W3942" s="104" t="str">
        <f t="shared" si="4017"/>
        <v>/</v>
      </c>
      <c r="X3942" s="105"/>
      <c r="Y3942" s="106"/>
      <c r="Z3942" s="26" t="str">
        <f t="shared" si="5"/>
        <v/>
      </c>
      <c r="AA3942" s="26" t="str">
        <f t="shared" si="6"/>
        <v/>
      </c>
      <c r="AB3942" s="32" t="str">
        <f t="shared" si="7"/>
        <v/>
      </c>
      <c r="AC3942" s="32" t="str">
        <f t="shared" ref="AC3942:AG3942" si="4073">IF(J3942&lt;&gt;"", IF(AND($P3942=FALSE, $A3942=FALSE), -J3942, IF(AND($P3942=FALSE, $A3942=TRUE), 0, IF($P3942=TRUE, (J3942 / $R3942) * 100 * ($S3942 / 100)-J3942, ))), )</f>
        <v/>
      </c>
      <c r="AD3942" s="32" t="str">
        <f t="shared" si="4073"/>
        <v/>
      </c>
      <c r="AE3942" s="32" t="str">
        <f t="shared" si="4073"/>
        <v/>
      </c>
      <c r="AF3942" s="32" t="str">
        <f t="shared" si="4073"/>
        <v/>
      </c>
      <c r="AG3942" s="32" t="str">
        <f t="shared" si="4073"/>
        <v/>
      </c>
      <c r="AH3942" s="33"/>
    </row>
    <row r="3943">
      <c r="A3943" s="95" t="b">
        <v>0</v>
      </c>
      <c r="B3943" s="96"/>
      <c r="C3943" s="18"/>
      <c r="D3943" s="107"/>
      <c r="E3943" s="108"/>
      <c r="F3943" s="109"/>
      <c r="G3943" s="97"/>
      <c r="H3943" s="97"/>
      <c r="I3943" s="97"/>
      <c r="J3943" s="98"/>
      <c r="K3943" s="99"/>
      <c r="L3943" s="98"/>
      <c r="M3943" s="99"/>
      <c r="N3943" s="99"/>
      <c r="O3943" s="18"/>
      <c r="P3943" s="100" t="b">
        <v>0</v>
      </c>
      <c r="Q3943" s="18"/>
      <c r="R3943" s="101" t="str">
        <f t="shared" si="3377"/>
        <v/>
      </c>
      <c r="S3943" s="32"/>
      <c r="T3943" s="102" t="str">
        <f t="shared" si="3378"/>
        <v/>
      </c>
      <c r="U3943" s="18"/>
      <c r="V3943" s="103" t="str">
        <f t="shared" si="4020"/>
        <v>0</v>
      </c>
      <c r="W3943" s="104" t="str">
        <f t="shared" si="4017"/>
        <v>/</v>
      </c>
      <c r="X3943" s="105"/>
      <c r="Y3943" s="106"/>
      <c r="Z3943" s="26" t="str">
        <f t="shared" si="5"/>
        <v/>
      </c>
      <c r="AA3943" s="26" t="str">
        <f t="shared" si="6"/>
        <v/>
      </c>
      <c r="AB3943" s="32" t="str">
        <f t="shared" si="7"/>
        <v/>
      </c>
      <c r="AC3943" s="32" t="str">
        <f t="shared" ref="AC3943:AG3943" si="4074">IF(J3943&lt;&gt;"", IF(AND($P3943=FALSE, $A3943=FALSE), -J3943, IF(AND($P3943=FALSE, $A3943=TRUE), 0, IF($P3943=TRUE, (J3943 / $R3943) * 100 * ($S3943 / 100)-J3943, ))), )</f>
        <v/>
      </c>
      <c r="AD3943" s="32" t="str">
        <f t="shared" si="4074"/>
        <v/>
      </c>
      <c r="AE3943" s="32" t="str">
        <f t="shared" si="4074"/>
        <v/>
      </c>
      <c r="AF3943" s="32" t="str">
        <f t="shared" si="4074"/>
        <v/>
      </c>
      <c r="AG3943" s="32" t="str">
        <f t="shared" si="4074"/>
        <v/>
      </c>
      <c r="AH3943" s="33"/>
    </row>
    <row r="3944">
      <c r="A3944" s="95" t="b">
        <v>0</v>
      </c>
      <c r="B3944" s="96"/>
      <c r="C3944" s="18"/>
      <c r="D3944" s="107"/>
      <c r="E3944" s="108"/>
      <c r="F3944" s="109"/>
      <c r="G3944" s="97"/>
      <c r="H3944" s="97"/>
      <c r="I3944" s="97"/>
      <c r="J3944" s="98"/>
      <c r="K3944" s="99"/>
      <c r="L3944" s="98"/>
      <c r="M3944" s="99"/>
      <c r="N3944" s="99"/>
      <c r="O3944" s="18"/>
      <c r="P3944" s="100" t="b">
        <v>0</v>
      </c>
      <c r="Q3944" s="18"/>
      <c r="R3944" s="101" t="str">
        <f t="shared" si="3377"/>
        <v/>
      </c>
      <c r="S3944" s="32"/>
      <c r="T3944" s="102" t="str">
        <f t="shared" si="3378"/>
        <v/>
      </c>
      <c r="U3944" s="18"/>
      <c r="V3944" s="103" t="str">
        <f t="shared" si="4020"/>
        <v>0</v>
      </c>
      <c r="W3944" s="104" t="str">
        <f t="shared" si="4017"/>
        <v>/</v>
      </c>
      <c r="X3944" s="105"/>
      <c r="Y3944" s="106"/>
      <c r="Z3944" s="26" t="str">
        <f t="shared" si="5"/>
        <v/>
      </c>
      <c r="AA3944" s="26" t="str">
        <f t="shared" si="6"/>
        <v/>
      </c>
      <c r="AB3944" s="32" t="str">
        <f t="shared" si="7"/>
        <v/>
      </c>
      <c r="AC3944" s="32" t="str">
        <f t="shared" ref="AC3944:AG3944" si="4075">IF(J3944&lt;&gt;"", IF(AND($P3944=FALSE, $A3944=FALSE), -J3944, IF(AND($P3944=FALSE, $A3944=TRUE), 0, IF($P3944=TRUE, (J3944 / $R3944) * 100 * ($S3944 / 100)-J3944, ))), )</f>
        <v/>
      </c>
      <c r="AD3944" s="32" t="str">
        <f t="shared" si="4075"/>
        <v/>
      </c>
      <c r="AE3944" s="32" t="str">
        <f t="shared" si="4075"/>
        <v/>
      </c>
      <c r="AF3944" s="32" t="str">
        <f t="shared" si="4075"/>
        <v/>
      </c>
      <c r="AG3944" s="32" t="str">
        <f t="shared" si="4075"/>
        <v/>
      </c>
      <c r="AH3944" s="33"/>
    </row>
    <row r="3945">
      <c r="A3945" s="95" t="b">
        <v>0</v>
      </c>
      <c r="B3945" s="96"/>
      <c r="C3945" s="18"/>
      <c r="D3945" s="107"/>
      <c r="E3945" s="108"/>
      <c r="F3945" s="109"/>
      <c r="G3945" s="97"/>
      <c r="H3945" s="97"/>
      <c r="I3945" s="97"/>
      <c r="J3945" s="98"/>
      <c r="K3945" s="99"/>
      <c r="L3945" s="98"/>
      <c r="M3945" s="99"/>
      <c r="N3945" s="99"/>
      <c r="O3945" s="18"/>
      <c r="P3945" s="100" t="b">
        <v>0</v>
      </c>
      <c r="Q3945" s="18"/>
      <c r="R3945" s="101" t="str">
        <f t="shared" si="3377"/>
        <v/>
      </c>
      <c r="S3945" s="32"/>
      <c r="T3945" s="102" t="str">
        <f t="shared" si="3378"/>
        <v/>
      </c>
      <c r="U3945" s="18"/>
      <c r="V3945" s="103" t="str">
        <f t="shared" si="4020"/>
        <v>0</v>
      </c>
      <c r="W3945" s="104" t="str">
        <f t="shared" si="4017"/>
        <v>/</v>
      </c>
      <c r="X3945" s="105"/>
      <c r="Y3945" s="106"/>
      <c r="Z3945" s="26" t="str">
        <f t="shared" si="5"/>
        <v/>
      </c>
      <c r="AA3945" s="26" t="str">
        <f t="shared" si="6"/>
        <v/>
      </c>
      <c r="AB3945" s="32" t="str">
        <f t="shared" si="7"/>
        <v/>
      </c>
      <c r="AC3945" s="32" t="str">
        <f t="shared" ref="AC3945:AG3945" si="4076">IF(J3945&lt;&gt;"", IF(AND($P3945=FALSE, $A3945=FALSE), -J3945, IF(AND($P3945=FALSE, $A3945=TRUE), 0, IF($P3945=TRUE, (J3945 / $R3945) * 100 * ($S3945 / 100)-J3945, ))), )</f>
        <v/>
      </c>
      <c r="AD3945" s="32" t="str">
        <f t="shared" si="4076"/>
        <v/>
      </c>
      <c r="AE3945" s="32" t="str">
        <f t="shared" si="4076"/>
        <v/>
      </c>
      <c r="AF3945" s="32" t="str">
        <f t="shared" si="4076"/>
        <v/>
      </c>
      <c r="AG3945" s="32" t="str">
        <f t="shared" si="4076"/>
        <v/>
      </c>
      <c r="AH3945" s="33"/>
    </row>
    <row r="3946">
      <c r="A3946" s="95" t="b">
        <v>0</v>
      </c>
      <c r="B3946" s="96"/>
      <c r="C3946" s="18"/>
      <c r="D3946" s="107"/>
      <c r="E3946" s="108"/>
      <c r="F3946" s="109"/>
      <c r="G3946" s="97"/>
      <c r="H3946" s="97"/>
      <c r="I3946" s="97"/>
      <c r="J3946" s="98"/>
      <c r="K3946" s="99"/>
      <c r="L3946" s="98"/>
      <c r="M3946" s="99"/>
      <c r="N3946" s="99"/>
      <c r="O3946" s="18"/>
      <c r="P3946" s="100" t="b">
        <v>0</v>
      </c>
      <c r="Q3946" s="18"/>
      <c r="R3946" s="101" t="str">
        <f t="shared" si="3377"/>
        <v/>
      </c>
      <c r="S3946" s="32"/>
      <c r="T3946" s="102" t="str">
        <f t="shared" si="3378"/>
        <v/>
      </c>
      <c r="U3946" s="18"/>
      <c r="V3946" s="103" t="str">
        <f t="shared" si="4020"/>
        <v>0</v>
      </c>
      <c r="W3946" s="104" t="str">
        <f t="shared" si="4017"/>
        <v>/</v>
      </c>
      <c r="X3946" s="105"/>
      <c r="Y3946" s="106"/>
      <c r="Z3946" s="26" t="str">
        <f t="shared" si="5"/>
        <v/>
      </c>
      <c r="AA3946" s="26" t="str">
        <f t="shared" si="6"/>
        <v/>
      </c>
      <c r="AB3946" s="32" t="str">
        <f t="shared" si="7"/>
        <v/>
      </c>
      <c r="AC3946" s="32" t="str">
        <f t="shared" ref="AC3946:AG3946" si="4077">IF(J3946&lt;&gt;"", IF(AND($P3946=FALSE, $A3946=FALSE), -J3946, IF(AND($P3946=FALSE, $A3946=TRUE), 0, IF($P3946=TRUE, (J3946 / $R3946) * 100 * ($S3946 / 100)-J3946, ))), )</f>
        <v/>
      </c>
      <c r="AD3946" s="32" t="str">
        <f t="shared" si="4077"/>
        <v/>
      </c>
      <c r="AE3946" s="32" t="str">
        <f t="shared" si="4077"/>
        <v/>
      </c>
      <c r="AF3946" s="32" t="str">
        <f t="shared" si="4077"/>
        <v/>
      </c>
      <c r="AG3946" s="32" t="str">
        <f t="shared" si="4077"/>
        <v/>
      </c>
      <c r="AH3946" s="33"/>
    </row>
    <row r="3947">
      <c r="A3947" s="95" t="b">
        <v>0</v>
      </c>
      <c r="B3947" s="96"/>
      <c r="C3947" s="18"/>
      <c r="D3947" s="107"/>
      <c r="E3947" s="108"/>
      <c r="F3947" s="109"/>
      <c r="G3947" s="97"/>
      <c r="H3947" s="97"/>
      <c r="I3947" s="97"/>
      <c r="J3947" s="98"/>
      <c r="K3947" s="99"/>
      <c r="L3947" s="98"/>
      <c r="M3947" s="99"/>
      <c r="N3947" s="99"/>
      <c r="O3947" s="18"/>
      <c r="P3947" s="100" t="b">
        <v>0</v>
      </c>
      <c r="Q3947" s="18"/>
      <c r="R3947" s="101" t="str">
        <f t="shared" si="3377"/>
        <v/>
      </c>
      <c r="S3947" s="32"/>
      <c r="T3947" s="102" t="str">
        <f t="shared" si="3378"/>
        <v/>
      </c>
      <c r="U3947" s="18"/>
      <c r="V3947" s="103" t="str">
        <f t="shared" si="4020"/>
        <v>0</v>
      </c>
      <c r="W3947" s="104" t="str">
        <f t="shared" si="4017"/>
        <v>/</v>
      </c>
      <c r="X3947" s="105"/>
      <c r="Y3947" s="106"/>
      <c r="Z3947" s="26" t="str">
        <f t="shared" si="5"/>
        <v/>
      </c>
      <c r="AA3947" s="26" t="str">
        <f t="shared" si="6"/>
        <v/>
      </c>
      <c r="AB3947" s="32" t="str">
        <f t="shared" si="7"/>
        <v/>
      </c>
      <c r="AC3947" s="32" t="str">
        <f t="shared" ref="AC3947:AG3947" si="4078">IF(J3947&lt;&gt;"", IF(AND($P3947=FALSE, $A3947=FALSE), -J3947, IF(AND($P3947=FALSE, $A3947=TRUE), 0, IF($P3947=TRUE, (J3947 / $R3947) * 100 * ($S3947 / 100)-J3947, ))), )</f>
        <v/>
      </c>
      <c r="AD3947" s="32" t="str">
        <f t="shared" si="4078"/>
        <v/>
      </c>
      <c r="AE3947" s="32" t="str">
        <f t="shared" si="4078"/>
        <v/>
      </c>
      <c r="AF3947" s="32" t="str">
        <f t="shared" si="4078"/>
        <v/>
      </c>
      <c r="AG3947" s="32" t="str">
        <f t="shared" si="4078"/>
        <v/>
      </c>
      <c r="AH3947" s="33"/>
    </row>
    <row r="3948">
      <c r="A3948" s="95" t="b">
        <v>0</v>
      </c>
      <c r="B3948" s="96"/>
      <c r="C3948" s="18"/>
      <c r="D3948" s="107"/>
      <c r="E3948" s="108"/>
      <c r="F3948" s="109"/>
      <c r="G3948" s="97"/>
      <c r="H3948" s="97"/>
      <c r="I3948" s="97"/>
      <c r="J3948" s="98"/>
      <c r="K3948" s="99"/>
      <c r="L3948" s="98"/>
      <c r="M3948" s="99"/>
      <c r="N3948" s="99"/>
      <c r="O3948" s="18"/>
      <c r="P3948" s="100" t="b">
        <v>0</v>
      </c>
      <c r="Q3948" s="18"/>
      <c r="R3948" s="101" t="str">
        <f t="shared" si="3377"/>
        <v/>
      </c>
      <c r="S3948" s="32"/>
      <c r="T3948" s="102" t="str">
        <f t="shared" si="3378"/>
        <v/>
      </c>
      <c r="U3948" s="18"/>
      <c r="V3948" s="103" t="str">
        <f t="shared" si="4020"/>
        <v>0</v>
      </c>
      <c r="W3948" s="104" t="str">
        <f t="shared" si="4017"/>
        <v>/</v>
      </c>
      <c r="X3948" s="105"/>
      <c r="Y3948" s="106"/>
      <c r="Z3948" s="26" t="str">
        <f t="shared" si="5"/>
        <v/>
      </c>
      <c r="AA3948" s="26" t="str">
        <f t="shared" si="6"/>
        <v/>
      </c>
      <c r="AB3948" s="32" t="str">
        <f t="shared" si="7"/>
        <v/>
      </c>
      <c r="AC3948" s="32" t="str">
        <f t="shared" ref="AC3948:AG3948" si="4079">IF(J3948&lt;&gt;"", IF(AND($P3948=FALSE, $A3948=FALSE), -J3948, IF(AND($P3948=FALSE, $A3948=TRUE), 0, IF($P3948=TRUE, (J3948 / $R3948) * 100 * ($S3948 / 100)-J3948, ))), )</f>
        <v/>
      </c>
      <c r="AD3948" s="32" t="str">
        <f t="shared" si="4079"/>
        <v/>
      </c>
      <c r="AE3948" s="32" t="str">
        <f t="shared" si="4079"/>
        <v/>
      </c>
      <c r="AF3948" s="32" t="str">
        <f t="shared" si="4079"/>
        <v/>
      </c>
      <c r="AG3948" s="32" t="str">
        <f t="shared" si="4079"/>
        <v/>
      </c>
      <c r="AH3948" s="33"/>
    </row>
    <row r="3949">
      <c r="A3949" s="95" t="b">
        <v>0</v>
      </c>
      <c r="B3949" s="96"/>
      <c r="C3949" s="18"/>
      <c r="D3949" s="107"/>
      <c r="E3949" s="108"/>
      <c r="F3949" s="109"/>
      <c r="G3949" s="97"/>
      <c r="H3949" s="97"/>
      <c r="I3949" s="97"/>
      <c r="J3949" s="98"/>
      <c r="K3949" s="99"/>
      <c r="L3949" s="98"/>
      <c r="M3949" s="99"/>
      <c r="N3949" s="99"/>
      <c r="O3949" s="18"/>
      <c r="P3949" s="100" t="b">
        <v>0</v>
      </c>
      <c r="Q3949" s="18"/>
      <c r="R3949" s="101" t="str">
        <f t="shared" si="3377"/>
        <v/>
      </c>
      <c r="S3949" s="32"/>
      <c r="T3949" s="102" t="str">
        <f t="shared" si="3378"/>
        <v/>
      </c>
      <c r="U3949" s="18"/>
      <c r="V3949" s="103" t="str">
        <f t="shared" si="4020"/>
        <v>0</v>
      </c>
      <c r="W3949" s="104" t="str">
        <f t="shared" si="4017"/>
        <v>/</v>
      </c>
      <c r="X3949" s="105"/>
      <c r="Y3949" s="106"/>
      <c r="Z3949" s="26" t="str">
        <f t="shared" si="5"/>
        <v/>
      </c>
      <c r="AA3949" s="26" t="str">
        <f t="shared" si="6"/>
        <v/>
      </c>
      <c r="AB3949" s="32" t="str">
        <f t="shared" si="7"/>
        <v/>
      </c>
      <c r="AC3949" s="32" t="str">
        <f t="shared" ref="AC3949:AG3949" si="4080">IF(J3949&lt;&gt;"", IF(AND($P3949=FALSE, $A3949=FALSE), -J3949, IF(AND($P3949=FALSE, $A3949=TRUE), 0, IF($P3949=TRUE, (J3949 / $R3949) * 100 * ($S3949 / 100)-J3949, ))), )</f>
        <v/>
      </c>
      <c r="AD3949" s="32" t="str">
        <f t="shared" si="4080"/>
        <v/>
      </c>
      <c r="AE3949" s="32" t="str">
        <f t="shared" si="4080"/>
        <v/>
      </c>
      <c r="AF3949" s="32" t="str">
        <f t="shared" si="4080"/>
        <v/>
      </c>
      <c r="AG3949" s="32" t="str">
        <f t="shared" si="4080"/>
        <v/>
      </c>
      <c r="AH3949" s="33"/>
    </row>
    <row r="3950">
      <c r="A3950" s="95" t="b">
        <v>0</v>
      </c>
      <c r="B3950" s="96"/>
      <c r="C3950" s="18"/>
      <c r="D3950" s="107"/>
      <c r="E3950" s="108"/>
      <c r="F3950" s="109"/>
      <c r="G3950" s="97"/>
      <c r="H3950" s="97"/>
      <c r="I3950" s="97"/>
      <c r="J3950" s="98"/>
      <c r="K3950" s="99"/>
      <c r="L3950" s="98"/>
      <c r="M3950" s="99"/>
      <c r="N3950" s="99"/>
      <c r="O3950" s="18"/>
      <c r="P3950" s="100" t="b">
        <v>0</v>
      </c>
      <c r="Q3950" s="18"/>
      <c r="R3950" s="101" t="str">
        <f t="shared" si="3377"/>
        <v/>
      </c>
      <c r="S3950" s="32"/>
      <c r="T3950" s="102" t="str">
        <f t="shared" si="3378"/>
        <v/>
      </c>
      <c r="U3950" s="18"/>
      <c r="V3950" s="103" t="str">
        <f t="shared" si="4020"/>
        <v>0</v>
      </c>
      <c r="W3950" s="104" t="str">
        <f t="shared" si="4017"/>
        <v>/</v>
      </c>
      <c r="X3950" s="105"/>
      <c r="Y3950" s="106"/>
      <c r="Z3950" s="26" t="str">
        <f t="shared" si="5"/>
        <v/>
      </c>
      <c r="AA3950" s="26" t="str">
        <f t="shared" si="6"/>
        <v/>
      </c>
      <c r="AB3950" s="32" t="str">
        <f t="shared" si="7"/>
        <v/>
      </c>
      <c r="AC3950" s="32" t="str">
        <f t="shared" ref="AC3950:AG3950" si="4081">IF(J3950&lt;&gt;"", IF(AND($P3950=FALSE, $A3950=FALSE), -J3950, IF(AND($P3950=FALSE, $A3950=TRUE), 0, IF($P3950=TRUE, (J3950 / $R3950) * 100 * ($S3950 / 100)-J3950, ))), )</f>
        <v/>
      </c>
      <c r="AD3950" s="32" t="str">
        <f t="shared" si="4081"/>
        <v/>
      </c>
      <c r="AE3950" s="32" t="str">
        <f t="shared" si="4081"/>
        <v/>
      </c>
      <c r="AF3950" s="32" t="str">
        <f t="shared" si="4081"/>
        <v/>
      </c>
      <c r="AG3950" s="32" t="str">
        <f t="shared" si="4081"/>
        <v/>
      </c>
      <c r="AH3950" s="33"/>
    </row>
    <row r="3951">
      <c r="A3951" s="95" t="b">
        <v>0</v>
      </c>
      <c r="B3951" s="96"/>
      <c r="C3951" s="18"/>
      <c r="D3951" s="107"/>
      <c r="E3951" s="108"/>
      <c r="F3951" s="109"/>
      <c r="G3951" s="97"/>
      <c r="H3951" s="97"/>
      <c r="I3951" s="97"/>
      <c r="J3951" s="98"/>
      <c r="K3951" s="99"/>
      <c r="L3951" s="98"/>
      <c r="M3951" s="99"/>
      <c r="N3951" s="99"/>
      <c r="O3951" s="18"/>
      <c r="P3951" s="100" t="b">
        <v>0</v>
      </c>
      <c r="Q3951" s="18"/>
      <c r="R3951" s="101" t="str">
        <f t="shared" si="3377"/>
        <v/>
      </c>
      <c r="S3951" s="32"/>
      <c r="T3951" s="102" t="str">
        <f t="shared" si="3378"/>
        <v/>
      </c>
      <c r="U3951" s="18"/>
      <c r="V3951" s="103" t="str">
        <f t="shared" si="4020"/>
        <v>0</v>
      </c>
      <c r="W3951" s="104" t="str">
        <f t="shared" si="4017"/>
        <v>/</v>
      </c>
      <c r="X3951" s="105"/>
      <c r="Y3951" s="106"/>
      <c r="Z3951" s="26" t="str">
        <f t="shared" si="5"/>
        <v/>
      </c>
      <c r="AA3951" s="26" t="str">
        <f t="shared" si="6"/>
        <v/>
      </c>
      <c r="AB3951" s="32" t="str">
        <f t="shared" si="7"/>
        <v/>
      </c>
      <c r="AC3951" s="32" t="str">
        <f t="shared" ref="AC3951:AG3951" si="4082">IF(J3951&lt;&gt;"", IF(AND($P3951=FALSE, $A3951=FALSE), -J3951, IF(AND($P3951=FALSE, $A3951=TRUE), 0, IF($P3951=TRUE, (J3951 / $R3951) * 100 * ($S3951 / 100)-J3951, ))), )</f>
        <v/>
      </c>
      <c r="AD3951" s="32" t="str">
        <f t="shared" si="4082"/>
        <v/>
      </c>
      <c r="AE3951" s="32" t="str">
        <f t="shared" si="4082"/>
        <v/>
      </c>
      <c r="AF3951" s="32" t="str">
        <f t="shared" si="4082"/>
        <v/>
      </c>
      <c r="AG3951" s="32" t="str">
        <f t="shared" si="4082"/>
        <v/>
      </c>
      <c r="AH3951" s="33"/>
    </row>
    <row r="3952">
      <c r="A3952" s="95" t="b">
        <v>0</v>
      </c>
      <c r="B3952" s="96"/>
      <c r="C3952" s="18"/>
      <c r="D3952" s="107"/>
      <c r="E3952" s="108"/>
      <c r="F3952" s="109"/>
      <c r="G3952" s="97"/>
      <c r="H3952" s="97"/>
      <c r="I3952" s="97"/>
      <c r="J3952" s="98"/>
      <c r="K3952" s="99"/>
      <c r="L3952" s="98"/>
      <c r="M3952" s="99"/>
      <c r="N3952" s="99"/>
      <c r="O3952" s="18"/>
      <c r="P3952" s="100" t="b">
        <v>0</v>
      </c>
      <c r="Q3952" s="18"/>
      <c r="R3952" s="101" t="str">
        <f t="shared" si="3377"/>
        <v/>
      </c>
      <c r="S3952" s="32"/>
      <c r="T3952" s="102" t="str">
        <f t="shared" si="3378"/>
        <v/>
      </c>
      <c r="U3952" s="18"/>
      <c r="V3952" s="103" t="str">
        <f t="shared" si="4020"/>
        <v>0</v>
      </c>
      <c r="W3952" s="104" t="str">
        <f t="shared" si="4017"/>
        <v>/</v>
      </c>
      <c r="X3952" s="105"/>
      <c r="Y3952" s="106"/>
      <c r="Z3952" s="26" t="str">
        <f t="shared" si="5"/>
        <v/>
      </c>
      <c r="AA3952" s="26" t="str">
        <f t="shared" si="6"/>
        <v/>
      </c>
      <c r="AB3952" s="32" t="str">
        <f t="shared" si="7"/>
        <v/>
      </c>
      <c r="AC3952" s="32" t="str">
        <f t="shared" ref="AC3952:AG3952" si="4083">IF(J3952&lt;&gt;"", IF(AND($P3952=FALSE, $A3952=FALSE), -J3952, IF(AND($P3952=FALSE, $A3952=TRUE), 0, IF($P3952=TRUE, (J3952 / $R3952) * 100 * ($S3952 / 100)-J3952, ))), )</f>
        <v/>
      </c>
      <c r="AD3952" s="32" t="str">
        <f t="shared" si="4083"/>
        <v/>
      </c>
      <c r="AE3952" s="32" t="str">
        <f t="shared" si="4083"/>
        <v/>
      </c>
      <c r="AF3952" s="32" t="str">
        <f t="shared" si="4083"/>
        <v/>
      </c>
      <c r="AG3952" s="32" t="str">
        <f t="shared" si="4083"/>
        <v/>
      </c>
      <c r="AH3952" s="33"/>
    </row>
    <row r="3953">
      <c r="A3953" s="95" t="b">
        <v>0</v>
      </c>
      <c r="B3953" s="96"/>
      <c r="C3953" s="18"/>
      <c r="D3953" s="107"/>
      <c r="E3953" s="108"/>
      <c r="F3953" s="109"/>
      <c r="G3953" s="97"/>
      <c r="H3953" s="97"/>
      <c r="I3953" s="97"/>
      <c r="J3953" s="98"/>
      <c r="K3953" s="99"/>
      <c r="L3953" s="98"/>
      <c r="M3953" s="99"/>
      <c r="N3953" s="99"/>
      <c r="O3953" s="18"/>
      <c r="P3953" s="100" t="b">
        <v>0</v>
      </c>
      <c r="Q3953" s="18"/>
      <c r="R3953" s="101" t="str">
        <f t="shared" si="3377"/>
        <v/>
      </c>
      <c r="S3953" s="32"/>
      <c r="T3953" s="102" t="str">
        <f t="shared" si="3378"/>
        <v/>
      </c>
      <c r="U3953" s="18"/>
      <c r="V3953" s="103" t="str">
        <f t="shared" si="4020"/>
        <v>0</v>
      </c>
      <c r="W3953" s="104" t="str">
        <f t="shared" si="4017"/>
        <v>/</v>
      </c>
      <c r="X3953" s="105"/>
      <c r="Y3953" s="106"/>
      <c r="Z3953" s="26" t="str">
        <f t="shared" si="5"/>
        <v/>
      </c>
      <c r="AA3953" s="26" t="str">
        <f t="shared" si="6"/>
        <v/>
      </c>
      <c r="AB3953" s="32" t="str">
        <f t="shared" si="7"/>
        <v/>
      </c>
      <c r="AC3953" s="32" t="str">
        <f t="shared" ref="AC3953:AG3953" si="4084">IF(J3953&lt;&gt;"", IF(AND($P3953=FALSE, $A3953=FALSE), -J3953, IF(AND($P3953=FALSE, $A3953=TRUE), 0, IF($P3953=TRUE, (J3953 / $R3953) * 100 * ($S3953 / 100)-J3953, ))), )</f>
        <v/>
      </c>
      <c r="AD3953" s="32" t="str">
        <f t="shared" si="4084"/>
        <v/>
      </c>
      <c r="AE3953" s="32" t="str">
        <f t="shared" si="4084"/>
        <v/>
      </c>
      <c r="AF3953" s="32" t="str">
        <f t="shared" si="4084"/>
        <v/>
      </c>
      <c r="AG3953" s="32" t="str">
        <f t="shared" si="4084"/>
        <v/>
      </c>
      <c r="AH3953" s="33"/>
    </row>
    <row r="3954">
      <c r="A3954" s="95" t="b">
        <v>0</v>
      </c>
      <c r="B3954" s="96"/>
      <c r="C3954" s="18"/>
      <c r="D3954" s="107"/>
      <c r="E3954" s="108"/>
      <c r="F3954" s="109"/>
      <c r="G3954" s="97"/>
      <c r="H3954" s="97"/>
      <c r="I3954" s="97"/>
      <c r="J3954" s="98"/>
      <c r="K3954" s="99"/>
      <c r="L3954" s="98"/>
      <c r="M3954" s="99"/>
      <c r="N3954" s="99"/>
      <c r="O3954" s="18"/>
      <c r="P3954" s="100" t="b">
        <v>0</v>
      </c>
      <c r="Q3954" s="18"/>
      <c r="R3954" s="101" t="str">
        <f t="shared" si="3377"/>
        <v/>
      </c>
      <c r="S3954" s="32"/>
      <c r="T3954" s="102" t="str">
        <f t="shared" si="3378"/>
        <v/>
      </c>
      <c r="U3954" s="18"/>
      <c r="V3954" s="103" t="str">
        <f t="shared" si="4020"/>
        <v>0</v>
      </c>
      <c r="W3954" s="104" t="str">
        <f t="shared" si="4017"/>
        <v>/</v>
      </c>
      <c r="X3954" s="105"/>
      <c r="Y3954" s="106"/>
      <c r="Z3954" s="26" t="str">
        <f t="shared" si="5"/>
        <v/>
      </c>
      <c r="AA3954" s="26" t="str">
        <f t="shared" si="6"/>
        <v/>
      </c>
      <c r="AB3954" s="32" t="str">
        <f t="shared" si="7"/>
        <v/>
      </c>
      <c r="AC3954" s="32" t="str">
        <f t="shared" ref="AC3954:AG3954" si="4085">IF(J3954&lt;&gt;"", IF(AND($P3954=FALSE, $A3954=FALSE), -J3954, IF(AND($P3954=FALSE, $A3954=TRUE), 0, IF($P3954=TRUE, (J3954 / $R3954) * 100 * ($S3954 / 100)-J3954, ))), )</f>
        <v/>
      </c>
      <c r="AD3954" s="32" t="str">
        <f t="shared" si="4085"/>
        <v/>
      </c>
      <c r="AE3954" s="32" t="str">
        <f t="shared" si="4085"/>
        <v/>
      </c>
      <c r="AF3954" s="32" t="str">
        <f t="shared" si="4085"/>
        <v/>
      </c>
      <c r="AG3954" s="32" t="str">
        <f t="shared" si="4085"/>
        <v/>
      </c>
      <c r="AH3954" s="33"/>
    </row>
    <row r="3955">
      <c r="A3955" s="95" t="b">
        <v>0</v>
      </c>
      <c r="B3955" s="96"/>
      <c r="C3955" s="18"/>
      <c r="D3955" s="107"/>
      <c r="E3955" s="108"/>
      <c r="F3955" s="109"/>
      <c r="G3955" s="97"/>
      <c r="H3955" s="97"/>
      <c r="I3955" s="97"/>
      <c r="J3955" s="98"/>
      <c r="K3955" s="99"/>
      <c r="L3955" s="98"/>
      <c r="M3955" s="99"/>
      <c r="N3955" s="99"/>
      <c r="O3955" s="18"/>
      <c r="P3955" s="100" t="b">
        <v>0</v>
      </c>
      <c r="Q3955" s="18"/>
      <c r="R3955" s="101" t="str">
        <f t="shared" si="3377"/>
        <v/>
      </c>
      <c r="S3955" s="32"/>
      <c r="T3955" s="102" t="str">
        <f t="shared" si="3378"/>
        <v/>
      </c>
      <c r="U3955" s="18"/>
      <c r="V3955" s="103" t="str">
        <f t="shared" si="4020"/>
        <v>0</v>
      </c>
      <c r="W3955" s="104" t="str">
        <f t="shared" si="4017"/>
        <v>/</v>
      </c>
      <c r="X3955" s="105"/>
      <c r="Y3955" s="106"/>
      <c r="Z3955" s="26" t="str">
        <f t="shared" si="5"/>
        <v/>
      </c>
      <c r="AA3955" s="26" t="str">
        <f t="shared" si="6"/>
        <v/>
      </c>
      <c r="AB3955" s="32" t="str">
        <f t="shared" si="7"/>
        <v/>
      </c>
      <c r="AC3955" s="32" t="str">
        <f t="shared" ref="AC3955:AG3955" si="4086">IF(J3955&lt;&gt;"", IF(AND($P3955=FALSE, $A3955=FALSE), -J3955, IF(AND($P3955=FALSE, $A3955=TRUE), 0, IF($P3955=TRUE, (J3955 / $R3955) * 100 * ($S3955 / 100)-J3955, ))), )</f>
        <v/>
      </c>
      <c r="AD3955" s="32" t="str">
        <f t="shared" si="4086"/>
        <v/>
      </c>
      <c r="AE3955" s="32" t="str">
        <f t="shared" si="4086"/>
        <v/>
      </c>
      <c r="AF3955" s="32" t="str">
        <f t="shared" si="4086"/>
        <v/>
      </c>
      <c r="AG3955" s="32" t="str">
        <f t="shared" si="4086"/>
        <v/>
      </c>
      <c r="AH3955" s="33"/>
    </row>
    <row r="3956">
      <c r="A3956" s="95" t="b">
        <v>0</v>
      </c>
      <c r="B3956" s="96"/>
      <c r="C3956" s="18"/>
      <c r="D3956" s="107"/>
      <c r="E3956" s="108"/>
      <c r="F3956" s="109"/>
      <c r="G3956" s="97"/>
      <c r="H3956" s="97"/>
      <c r="I3956" s="97"/>
      <c r="J3956" s="98"/>
      <c r="K3956" s="99"/>
      <c r="L3956" s="98"/>
      <c r="M3956" s="99"/>
      <c r="N3956" s="99"/>
      <c r="O3956" s="18"/>
      <c r="P3956" s="100" t="b">
        <v>0</v>
      </c>
      <c r="Q3956" s="18"/>
      <c r="R3956" s="101" t="str">
        <f t="shared" si="3377"/>
        <v/>
      </c>
      <c r="S3956" s="32"/>
      <c r="T3956" s="102" t="str">
        <f t="shared" si="3378"/>
        <v/>
      </c>
      <c r="U3956" s="18"/>
      <c r="V3956" s="103" t="str">
        <f t="shared" si="4020"/>
        <v>0</v>
      </c>
      <c r="W3956" s="104" t="str">
        <f t="shared" si="4017"/>
        <v>/</v>
      </c>
      <c r="X3956" s="105"/>
      <c r="Y3956" s="106"/>
      <c r="Z3956" s="26" t="str">
        <f t="shared" si="5"/>
        <v/>
      </c>
      <c r="AA3956" s="26" t="str">
        <f t="shared" si="6"/>
        <v/>
      </c>
      <c r="AB3956" s="32" t="str">
        <f t="shared" si="7"/>
        <v/>
      </c>
      <c r="AC3956" s="32" t="str">
        <f t="shared" ref="AC3956:AG3956" si="4087">IF(J3956&lt;&gt;"", IF(AND($P3956=FALSE, $A3956=FALSE), -J3956, IF(AND($P3956=FALSE, $A3956=TRUE), 0, IF($P3956=TRUE, (J3956 / $R3956) * 100 * ($S3956 / 100)-J3956, ))), )</f>
        <v/>
      </c>
      <c r="AD3956" s="32" t="str">
        <f t="shared" si="4087"/>
        <v/>
      </c>
      <c r="AE3956" s="32" t="str">
        <f t="shared" si="4087"/>
        <v/>
      </c>
      <c r="AF3956" s="32" t="str">
        <f t="shared" si="4087"/>
        <v/>
      </c>
      <c r="AG3956" s="32" t="str">
        <f t="shared" si="4087"/>
        <v/>
      </c>
      <c r="AH3956" s="33"/>
    </row>
    <row r="3957">
      <c r="A3957" s="95" t="b">
        <v>0</v>
      </c>
      <c r="B3957" s="96"/>
      <c r="C3957" s="18"/>
      <c r="D3957" s="107"/>
      <c r="E3957" s="108"/>
      <c r="F3957" s="109"/>
      <c r="G3957" s="97"/>
      <c r="H3957" s="97"/>
      <c r="I3957" s="97"/>
      <c r="J3957" s="98"/>
      <c r="K3957" s="99"/>
      <c r="L3957" s="98"/>
      <c r="M3957" s="99"/>
      <c r="N3957" s="99"/>
      <c r="O3957" s="18"/>
      <c r="P3957" s="100" t="b">
        <v>0</v>
      </c>
      <c r="Q3957" s="18"/>
      <c r="R3957" s="101" t="str">
        <f t="shared" si="3377"/>
        <v/>
      </c>
      <c r="S3957" s="32"/>
      <c r="T3957" s="102" t="str">
        <f t="shared" si="3378"/>
        <v/>
      </c>
      <c r="U3957" s="18"/>
      <c r="V3957" s="103" t="str">
        <f t="shared" si="4020"/>
        <v>0</v>
      </c>
      <c r="W3957" s="104" t="str">
        <f t="shared" si="4017"/>
        <v>/</v>
      </c>
      <c r="X3957" s="105"/>
      <c r="Y3957" s="106"/>
      <c r="Z3957" s="26" t="str">
        <f t="shared" si="5"/>
        <v/>
      </c>
      <c r="AA3957" s="26" t="str">
        <f t="shared" si="6"/>
        <v/>
      </c>
      <c r="AB3957" s="32" t="str">
        <f t="shared" si="7"/>
        <v/>
      </c>
      <c r="AC3957" s="32" t="str">
        <f t="shared" ref="AC3957:AG3957" si="4088">IF(J3957&lt;&gt;"", IF(AND($P3957=FALSE, $A3957=FALSE), -J3957, IF(AND($P3957=FALSE, $A3957=TRUE), 0, IF($P3957=TRUE, (J3957 / $R3957) * 100 * ($S3957 / 100)-J3957, ))), )</f>
        <v/>
      </c>
      <c r="AD3957" s="32" t="str">
        <f t="shared" si="4088"/>
        <v/>
      </c>
      <c r="AE3957" s="32" t="str">
        <f t="shared" si="4088"/>
        <v/>
      </c>
      <c r="AF3957" s="32" t="str">
        <f t="shared" si="4088"/>
        <v/>
      </c>
      <c r="AG3957" s="32" t="str">
        <f t="shared" si="4088"/>
        <v/>
      </c>
      <c r="AH3957" s="33"/>
    </row>
    <row r="3958">
      <c r="A3958" s="95" t="b">
        <v>0</v>
      </c>
      <c r="B3958" s="96"/>
      <c r="C3958" s="18"/>
      <c r="D3958" s="107"/>
      <c r="E3958" s="108"/>
      <c r="F3958" s="109"/>
      <c r="G3958" s="97"/>
      <c r="H3958" s="97"/>
      <c r="I3958" s="97"/>
      <c r="J3958" s="98"/>
      <c r="K3958" s="99"/>
      <c r="L3958" s="98"/>
      <c r="M3958" s="99"/>
      <c r="N3958" s="99"/>
      <c r="O3958" s="18"/>
      <c r="P3958" s="100" t="b">
        <v>0</v>
      </c>
      <c r="Q3958" s="18"/>
      <c r="R3958" s="101" t="str">
        <f t="shared" si="3377"/>
        <v/>
      </c>
      <c r="S3958" s="32"/>
      <c r="T3958" s="102" t="str">
        <f t="shared" si="3378"/>
        <v/>
      </c>
      <c r="U3958" s="18"/>
      <c r="V3958" s="103" t="str">
        <f t="shared" si="4020"/>
        <v>0</v>
      </c>
      <c r="W3958" s="104" t="str">
        <f t="shared" si="4017"/>
        <v>/</v>
      </c>
      <c r="X3958" s="105"/>
      <c r="Y3958" s="106"/>
      <c r="Z3958" s="26" t="str">
        <f t="shared" si="5"/>
        <v/>
      </c>
      <c r="AA3958" s="26" t="str">
        <f t="shared" si="6"/>
        <v/>
      </c>
      <c r="AB3958" s="32" t="str">
        <f t="shared" si="7"/>
        <v/>
      </c>
      <c r="AC3958" s="32" t="str">
        <f t="shared" ref="AC3958:AG3958" si="4089">IF(J3958&lt;&gt;"", IF(AND($P3958=FALSE, $A3958=FALSE), -J3958, IF(AND($P3958=FALSE, $A3958=TRUE), 0, IF($P3958=TRUE, (J3958 / $R3958) * 100 * ($S3958 / 100)-J3958, ))), )</f>
        <v/>
      </c>
      <c r="AD3958" s="32" t="str">
        <f t="shared" si="4089"/>
        <v/>
      </c>
      <c r="AE3958" s="32" t="str">
        <f t="shared" si="4089"/>
        <v/>
      </c>
      <c r="AF3958" s="32" t="str">
        <f t="shared" si="4089"/>
        <v/>
      </c>
      <c r="AG3958" s="32" t="str">
        <f t="shared" si="4089"/>
        <v/>
      </c>
      <c r="AH3958" s="33"/>
    </row>
    <row r="3959">
      <c r="A3959" s="95" t="b">
        <v>0</v>
      </c>
      <c r="B3959" s="96"/>
      <c r="C3959" s="18"/>
      <c r="D3959" s="107"/>
      <c r="E3959" s="108"/>
      <c r="F3959" s="109"/>
      <c r="G3959" s="97"/>
      <c r="H3959" s="97"/>
      <c r="I3959" s="97"/>
      <c r="J3959" s="98"/>
      <c r="K3959" s="99"/>
      <c r="L3959" s="98"/>
      <c r="M3959" s="99"/>
      <c r="N3959" s="99"/>
      <c r="O3959" s="18"/>
      <c r="P3959" s="100" t="b">
        <v>0</v>
      </c>
      <c r="Q3959" s="18"/>
      <c r="R3959" s="101" t="str">
        <f t="shared" si="3377"/>
        <v/>
      </c>
      <c r="S3959" s="32"/>
      <c r="T3959" s="102" t="str">
        <f t="shared" si="3378"/>
        <v/>
      </c>
      <c r="U3959" s="18"/>
      <c r="V3959" s="103" t="str">
        <f t="shared" si="4020"/>
        <v>0</v>
      </c>
      <c r="W3959" s="104" t="str">
        <f t="shared" si="4017"/>
        <v>/</v>
      </c>
      <c r="X3959" s="105"/>
      <c r="Y3959" s="106"/>
      <c r="Z3959" s="26" t="str">
        <f t="shared" si="5"/>
        <v/>
      </c>
      <c r="AA3959" s="26" t="str">
        <f t="shared" si="6"/>
        <v/>
      </c>
      <c r="AB3959" s="32" t="str">
        <f t="shared" si="7"/>
        <v/>
      </c>
      <c r="AC3959" s="32" t="str">
        <f t="shared" ref="AC3959:AG3959" si="4090">IF(J3959&lt;&gt;"", IF(AND($P3959=FALSE, $A3959=FALSE), -J3959, IF(AND($P3959=FALSE, $A3959=TRUE), 0, IF($P3959=TRUE, (J3959 / $R3959) * 100 * ($S3959 / 100)-J3959, ))), )</f>
        <v/>
      </c>
      <c r="AD3959" s="32" t="str">
        <f t="shared" si="4090"/>
        <v/>
      </c>
      <c r="AE3959" s="32" t="str">
        <f t="shared" si="4090"/>
        <v/>
      </c>
      <c r="AF3959" s="32" t="str">
        <f t="shared" si="4090"/>
        <v/>
      </c>
      <c r="AG3959" s="32" t="str">
        <f t="shared" si="4090"/>
        <v/>
      </c>
      <c r="AH3959" s="33"/>
    </row>
    <row r="3960">
      <c r="A3960" s="95" t="b">
        <v>0</v>
      </c>
      <c r="B3960" s="96"/>
      <c r="C3960" s="18"/>
      <c r="D3960" s="107"/>
      <c r="E3960" s="108"/>
      <c r="F3960" s="109"/>
      <c r="G3960" s="97"/>
      <c r="H3960" s="97"/>
      <c r="I3960" s="97"/>
      <c r="J3960" s="98"/>
      <c r="K3960" s="99"/>
      <c r="L3960" s="98"/>
      <c r="M3960" s="99"/>
      <c r="N3960" s="99"/>
      <c r="O3960" s="18"/>
      <c r="P3960" s="100" t="b">
        <v>0</v>
      </c>
      <c r="Q3960" s="18"/>
      <c r="R3960" s="101" t="str">
        <f t="shared" si="3377"/>
        <v/>
      </c>
      <c r="S3960" s="32"/>
      <c r="T3960" s="102" t="str">
        <f t="shared" si="3378"/>
        <v/>
      </c>
      <c r="U3960" s="18"/>
      <c r="V3960" s="103" t="str">
        <f t="shared" si="4020"/>
        <v>0</v>
      </c>
      <c r="W3960" s="104" t="str">
        <f t="shared" si="4017"/>
        <v>/</v>
      </c>
      <c r="X3960" s="105"/>
      <c r="Y3960" s="106"/>
      <c r="Z3960" s="26" t="str">
        <f t="shared" si="5"/>
        <v/>
      </c>
      <c r="AA3960" s="26" t="str">
        <f t="shared" si="6"/>
        <v/>
      </c>
      <c r="AB3960" s="32" t="str">
        <f t="shared" si="7"/>
        <v/>
      </c>
      <c r="AC3960" s="32" t="str">
        <f t="shared" ref="AC3960:AG3960" si="4091">IF(J3960&lt;&gt;"", IF(AND($P3960=FALSE, $A3960=FALSE), -J3960, IF(AND($P3960=FALSE, $A3960=TRUE), 0, IF($P3960=TRUE, (J3960 / $R3960) * 100 * ($S3960 / 100)-J3960, ))), )</f>
        <v/>
      </c>
      <c r="AD3960" s="32" t="str">
        <f t="shared" si="4091"/>
        <v/>
      </c>
      <c r="AE3960" s="32" t="str">
        <f t="shared" si="4091"/>
        <v/>
      </c>
      <c r="AF3960" s="32" t="str">
        <f t="shared" si="4091"/>
        <v/>
      </c>
      <c r="AG3960" s="32" t="str">
        <f t="shared" si="4091"/>
        <v/>
      </c>
      <c r="AH3960" s="33"/>
    </row>
    <row r="3961">
      <c r="A3961" s="95" t="b">
        <v>0</v>
      </c>
      <c r="B3961" s="96"/>
      <c r="C3961" s="18"/>
      <c r="D3961" s="107"/>
      <c r="E3961" s="108"/>
      <c r="F3961" s="109"/>
      <c r="G3961" s="97"/>
      <c r="H3961" s="97"/>
      <c r="I3961" s="97"/>
      <c r="J3961" s="98"/>
      <c r="K3961" s="99"/>
      <c r="L3961" s="98"/>
      <c r="M3961" s="99"/>
      <c r="N3961" s="99"/>
      <c r="O3961" s="18"/>
      <c r="P3961" s="100" t="b">
        <v>0</v>
      </c>
      <c r="Q3961" s="18"/>
      <c r="R3961" s="101" t="str">
        <f t="shared" si="3377"/>
        <v/>
      </c>
      <c r="S3961" s="32"/>
      <c r="T3961" s="102" t="str">
        <f t="shared" si="3378"/>
        <v/>
      </c>
      <c r="U3961" s="18"/>
      <c r="V3961" s="103" t="str">
        <f t="shared" si="4020"/>
        <v>0</v>
      </c>
      <c r="W3961" s="104" t="str">
        <f t="shared" si="4017"/>
        <v>/</v>
      </c>
      <c r="X3961" s="105"/>
      <c r="Y3961" s="106"/>
      <c r="Z3961" s="26" t="str">
        <f t="shared" si="5"/>
        <v/>
      </c>
      <c r="AA3961" s="26" t="str">
        <f t="shared" si="6"/>
        <v/>
      </c>
      <c r="AB3961" s="32" t="str">
        <f t="shared" si="7"/>
        <v/>
      </c>
      <c r="AC3961" s="32" t="str">
        <f t="shared" ref="AC3961:AG3961" si="4092">IF(J3961&lt;&gt;"", IF(AND($P3961=FALSE, $A3961=FALSE), -J3961, IF(AND($P3961=FALSE, $A3961=TRUE), 0, IF($P3961=TRUE, (J3961 / $R3961) * 100 * ($S3961 / 100)-J3961, ))), )</f>
        <v/>
      </c>
      <c r="AD3961" s="32" t="str">
        <f t="shared" si="4092"/>
        <v/>
      </c>
      <c r="AE3961" s="32" t="str">
        <f t="shared" si="4092"/>
        <v/>
      </c>
      <c r="AF3961" s="32" t="str">
        <f t="shared" si="4092"/>
        <v/>
      </c>
      <c r="AG3961" s="32" t="str">
        <f t="shared" si="4092"/>
        <v/>
      </c>
      <c r="AH3961" s="33"/>
    </row>
    <row r="3962">
      <c r="A3962" s="95" t="b">
        <v>0</v>
      </c>
      <c r="B3962" s="96"/>
      <c r="C3962" s="18"/>
      <c r="D3962" s="107"/>
      <c r="E3962" s="108"/>
      <c r="F3962" s="109"/>
      <c r="G3962" s="97"/>
      <c r="H3962" s="97"/>
      <c r="I3962" s="97"/>
      <c r="J3962" s="98"/>
      <c r="K3962" s="99"/>
      <c r="L3962" s="98"/>
      <c r="M3962" s="99"/>
      <c r="N3962" s="99"/>
      <c r="O3962" s="18"/>
      <c r="P3962" s="100" t="b">
        <v>0</v>
      </c>
      <c r="Q3962" s="18"/>
      <c r="R3962" s="101" t="str">
        <f t="shared" si="3377"/>
        <v/>
      </c>
      <c r="S3962" s="32"/>
      <c r="T3962" s="102" t="str">
        <f t="shared" si="3378"/>
        <v/>
      </c>
      <c r="U3962" s="18"/>
      <c r="V3962" s="103" t="str">
        <f t="shared" si="4020"/>
        <v>0</v>
      </c>
      <c r="W3962" s="104" t="str">
        <f t="shared" si="4017"/>
        <v>/</v>
      </c>
      <c r="X3962" s="105"/>
      <c r="Y3962" s="106"/>
      <c r="Z3962" s="26" t="str">
        <f t="shared" si="5"/>
        <v/>
      </c>
      <c r="AA3962" s="26" t="str">
        <f t="shared" si="6"/>
        <v/>
      </c>
      <c r="AB3962" s="32" t="str">
        <f t="shared" si="7"/>
        <v/>
      </c>
      <c r="AC3962" s="32" t="str">
        <f t="shared" ref="AC3962:AG3962" si="4093">IF(J3962&lt;&gt;"", IF(AND($P3962=FALSE, $A3962=FALSE), -J3962, IF(AND($P3962=FALSE, $A3962=TRUE), 0, IF($P3962=TRUE, (J3962 / $R3962) * 100 * ($S3962 / 100)-J3962, ))), )</f>
        <v/>
      </c>
      <c r="AD3962" s="32" t="str">
        <f t="shared" si="4093"/>
        <v/>
      </c>
      <c r="AE3962" s="32" t="str">
        <f t="shared" si="4093"/>
        <v/>
      </c>
      <c r="AF3962" s="32" t="str">
        <f t="shared" si="4093"/>
        <v/>
      </c>
      <c r="AG3962" s="32" t="str">
        <f t="shared" si="4093"/>
        <v/>
      </c>
      <c r="AH3962" s="33"/>
    </row>
    <row r="3963">
      <c r="A3963" s="95" t="b">
        <v>0</v>
      </c>
      <c r="B3963" s="96"/>
      <c r="C3963" s="18"/>
      <c r="D3963" s="107"/>
      <c r="E3963" s="108"/>
      <c r="F3963" s="109"/>
      <c r="G3963" s="97"/>
      <c r="H3963" s="97"/>
      <c r="I3963" s="97"/>
      <c r="J3963" s="98"/>
      <c r="K3963" s="99"/>
      <c r="L3963" s="98"/>
      <c r="M3963" s="99"/>
      <c r="N3963" s="99"/>
      <c r="O3963" s="18"/>
      <c r="P3963" s="100" t="b">
        <v>0</v>
      </c>
      <c r="Q3963" s="18"/>
      <c r="R3963" s="101" t="str">
        <f t="shared" si="3377"/>
        <v/>
      </c>
      <c r="S3963" s="32"/>
      <c r="T3963" s="102" t="str">
        <f t="shared" si="3378"/>
        <v/>
      </c>
      <c r="U3963" s="18"/>
      <c r="V3963" s="103" t="str">
        <f t="shared" si="4020"/>
        <v>0</v>
      </c>
      <c r="W3963" s="104" t="str">
        <f t="shared" si="4017"/>
        <v>/</v>
      </c>
      <c r="X3963" s="105"/>
      <c r="Y3963" s="106"/>
      <c r="Z3963" s="26" t="str">
        <f t="shared" si="5"/>
        <v/>
      </c>
      <c r="AA3963" s="26" t="str">
        <f t="shared" si="6"/>
        <v/>
      </c>
      <c r="AB3963" s="32" t="str">
        <f t="shared" si="7"/>
        <v/>
      </c>
      <c r="AC3963" s="32" t="str">
        <f t="shared" ref="AC3963:AG3963" si="4094">IF(J3963&lt;&gt;"", IF(AND($P3963=FALSE, $A3963=FALSE), -J3963, IF(AND($P3963=FALSE, $A3963=TRUE), 0, IF($P3963=TRUE, (J3963 / $R3963) * 100 * ($S3963 / 100)-J3963, ))), )</f>
        <v/>
      </c>
      <c r="AD3963" s="32" t="str">
        <f t="shared" si="4094"/>
        <v/>
      </c>
      <c r="AE3963" s="32" t="str">
        <f t="shared" si="4094"/>
        <v/>
      </c>
      <c r="AF3963" s="32" t="str">
        <f t="shared" si="4094"/>
        <v/>
      </c>
      <c r="AG3963" s="32" t="str">
        <f t="shared" si="4094"/>
        <v/>
      </c>
      <c r="AH3963" s="33"/>
    </row>
    <row r="3964">
      <c r="A3964" s="95" t="b">
        <v>0</v>
      </c>
      <c r="B3964" s="96"/>
      <c r="C3964" s="18"/>
      <c r="D3964" s="107"/>
      <c r="E3964" s="108"/>
      <c r="F3964" s="109"/>
      <c r="G3964" s="97"/>
      <c r="H3964" s="97"/>
      <c r="I3964" s="97"/>
      <c r="J3964" s="98"/>
      <c r="K3964" s="99"/>
      <c r="L3964" s="98"/>
      <c r="M3964" s="99"/>
      <c r="N3964" s="99"/>
      <c r="O3964" s="18"/>
      <c r="P3964" s="100" t="b">
        <v>0</v>
      </c>
      <c r="Q3964" s="18"/>
      <c r="R3964" s="101" t="str">
        <f t="shared" si="3377"/>
        <v/>
      </c>
      <c r="S3964" s="32"/>
      <c r="T3964" s="102" t="str">
        <f t="shared" si="3378"/>
        <v/>
      </c>
      <c r="U3964" s="18"/>
      <c r="V3964" s="103" t="str">
        <f t="shared" si="4020"/>
        <v>0</v>
      </c>
      <c r="W3964" s="104" t="str">
        <f t="shared" si="4017"/>
        <v>/</v>
      </c>
      <c r="X3964" s="105"/>
      <c r="Y3964" s="106"/>
      <c r="Z3964" s="26" t="str">
        <f t="shared" si="5"/>
        <v/>
      </c>
      <c r="AA3964" s="26" t="str">
        <f t="shared" si="6"/>
        <v/>
      </c>
      <c r="AB3964" s="32" t="str">
        <f t="shared" si="7"/>
        <v/>
      </c>
      <c r="AC3964" s="32" t="str">
        <f t="shared" ref="AC3964:AG3964" si="4095">IF(J3964&lt;&gt;"", IF(AND($P3964=FALSE, $A3964=FALSE), -J3964, IF(AND($P3964=FALSE, $A3964=TRUE), 0, IF($P3964=TRUE, (J3964 / $R3964) * 100 * ($S3964 / 100)-J3964, ))), )</f>
        <v/>
      </c>
      <c r="AD3964" s="32" t="str">
        <f t="shared" si="4095"/>
        <v/>
      </c>
      <c r="AE3964" s="32" t="str">
        <f t="shared" si="4095"/>
        <v/>
      </c>
      <c r="AF3964" s="32" t="str">
        <f t="shared" si="4095"/>
        <v/>
      </c>
      <c r="AG3964" s="32" t="str">
        <f t="shared" si="4095"/>
        <v/>
      </c>
      <c r="AH3964" s="33"/>
    </row>
    <row r="3965">
      <c r="A3965" s="95" t="b">
        <v>0</v>
      </c>
      <c r="B3965" s="96"/>
      <c r="C3965" s="18"/>
      <c r="D3965" s="107"/>
      <c r="E3965" s="108"/>
      <c r="F3965" s="109"/>
      <c r="G3965" s="97"/>
      <c r="H3965" s="97"/>
      <c r="I3965" s="97"/>
      <c r="J3965" s="98"/>
      <c r="K3965" s="99"/>
      <c r="L3965" s="98"/>
      <c r="M3965" s="99"/>
      <c r="N3965" s="99"/>
      <c r="O3965" s="18"/>
      <c r="P3965" s="100" t="b">
        <v>0</v>
      </c>
      <c r="Q3965" s="18"/>
      <c r="R3965" s="101" t="str">
        <f t="shared" si="3377"/>
        <v/>
      </c>
      <c r="S3965" s="32"/>
      <c r="T3965" s="102" t="str">
        <f t="shared" si="3378"/>
        <v/>
      </c>
      <c r="U3965" s="18"/>
      <c r="V3965" s="103" t="str">
        <f t="shared" si="4020"/>
        <v>0</v>
      </c>
      <c r="W3965" s="104" t="str">
        <f t="shared" si="4017"/>
        <v>/</v>
      </c>
      <c r="X3965" s="105"/>
      <c r="Y3965" s="106"/>
      <c r="Z3965" s="26" t="str">
        <f t="shared" si="5"/>
        <v/>
      </c>
      <c r="AA3965" s="26" t="str">
        <f t="shared" si="6"/>
        <v/>
      </c>
      <c r="AB3965" s="32" t="str">
        <f t="shared" si="7"/>
        <v/>
      </c>
      <c r="AC3965" s="32" t="str">
        <f t="shared" ref="AC3965:AG3965" si="4096">IF(J3965&lt;&gt;"", IF(AND($P3965=FALSE, $A3965=FALSE), -J3965, IF(AND($P3965=FALSE, $A3965=TRUE), 0, IF($P3965=TRUE, (J3965 / $R3965) * 100 * ($S3965 / 100)-J3965, ))), )</f>
        <v/>
      </c>
      <c r="AD3965" s="32" t="str">
        <f t="shared" si="4096"/>
        <v/>
      </c>
      <c r="AE3965" s="32" t="str">
        <f t="shared" si="4096"/>
        <v/>
      </c>
      <c r="AF3965" s="32" t="str">
        <f t="shared" si="4096"/>
        <v/>
      </c>
      <c r="AG3965" s="32" t="str">
        <f t="shared" si="4096"/>
        <v/>
      </c>
      <c r="AH3965" s="33"/>
    </row>
    <row r="3966">
      <c r="A3966" s="95" t="b">
        <v>0</v>
      </c>
      <c r="B3966" s="96"/>
      <c r="C3966" s="18"/>
      <c r="D3966" s="107"/>
      <c r="E3966" s="108"/>
      <c r="F3966" s="109"/>
      <c r="G3966" s="97"/>
      <c r="H3966" s="97"/>
      <c r="I3966" s="97"/>
      <c r="J3966" s="98"/>
      <c r="K3966" s="99"/>
      <c r="L3966" s="98"/>
      <c r="M3966" s="99"/>
      <c r="N3966" s="99"/>
      <c r="O3966" s="18"/>
      <c r="P3966" s="100" t="b">
        <v>0</v>
      </c>
      <c r="Q3966" s="18"/>
      <c r="R3966" s="101" t="str">
        <f t="shared" si="3377"/>
        <v/>
      </c>
      <c r="S3966" s="32"/>
      <c r="T3966" s="102" t="str">
        <f t="shared" si="3378"/>
        <v/>
      </c>
      <c r="U3966" s="18"/>
      <c r="V3966" s="103" t="str">
        <f t="shared" si="4020"/>
        <v>0</v>
      </c>
      <c r="W3966" s="104" t="str">
        <f t="shared" si="4017"/>
        <v>/</v>
      </c>
      <c r="X3966" s="105"/>
      <c r="Y3966" s="106"/>
      <c r="Z3966" s="26" t="str">
        <f t="shared" si="5"/>
        <v/>
      </c>
      <c r="AA3966" s="26" t="str">
        <f t="shared" si="6"/>
        <v/>
      </c>
      <c r="AB3966" s="32" t="str">
        <f t="shared" si="7"/>
        <v/>
      </c>
      <c r="AC3966" s="32" t="str">
        <f t="shared" ref="AC3966:AG3966" si="4097">IF(J3966&lt;&gt;"", IF(AND($P3966=FALSE, $A3966=FALSE), -J3966, IF(AND($P3966=FALSE, $A3966=TRUE), 0, IF($P3966=TRUE, (J3966 / $R3966) * 100 * ($S3966 / 100)-J3966, ))), )</f>
        <v/>
      </c>
      <c r="AD3966" s="32" t="str">
        <f t="shared" si="4097"/>
        <v/>
      </c>
      <c r="AE3966" s="32" t="str">
        <f t="shared" si="4097"/>
        <v/>
      </c>
      <c r="AF3966" s="32" t="str">
        <f t="shared" si="4097"/>
        <v/>
      </c>
      <c r="AG3966" s="32" t="str">
        <f t="shared" si="4097"/>
        <v/>
      </c>
      <c r="AH3966" s="33"/>
    </row>
    <row r="3967">
      <c r="A3967" s="95" t="b">
        <v>0</v>
      </c>
      <c r="B3967" s="96"/>
      <c r="C3967" s="18"/>
      <c r="D3967" s="107"/>
      <c r="E3967" s="108"/>
      <c r="F3967" s="109"/>
      <c r="G3967" s="97"/>
      <c r="H3967" s="97"/>
      <c r="I3967" s="97"/>
      <c r="J3967" s="98"/>
      <c r="K3967" s="99"/>
      <c r="L3967" s="98"/>
      <c r="M3967" s="99"/>
      <c r="N3967" s="99"/>
      <c r="O3967" s="18"/>
      <c r="P3967" s="100" t="b">
        <v>0</v>
      </c>
      <c r="Q3967" s="18"/>
      <c r="R3967" s="101" t="str">
        <f t="shared" si="3377"/>
        <v/>
      </c>
      <c r="S3967" s="32"/>
      <c r="T3967" s="102" t="str">
        <f t="shared" si="3378"/>
        <v/>
      </c>
      <c r="U3967" s="18"/>
      <c r="V3967" s="103" t="str">
        <f t="shared" si="4020"/>
        <v>0</v>
      </c>
      <c r="W3967" s="104" t="str">
        <f t="shared" si="4017"/>
        <v>/</v>
      </c>
      <c r="X3967" s="105"/>
      <c r="Y3967" s="106"/>
      <c r="Z3967" s="26" t="str">
        <f t="shared" si="5"/>
        <v/>
      </c>
      <c r="AA3967" s="26" t="str">
        <f t="shared" si="6"/>
        <v/>
      </c>
      <c r="AB3967" s="32" t="str">
        <f t="shared" si="7"/>
        <v/>
      </c>
      <c r="AC3967" s="32" t="str">
        <f t="shared" ref="AC3967:AG3967" si="4098">IF(J3967&lt;&gt;"", IF(AND($P3967=FALSE, $A3967=FALSE), -J3967, IF(AND($P3967=FALSE, $A3967=TRUE), 0, IF($P3967=TRUE, (J3967 / $R3967) * 100 * ($S3967 / 100)-J3967, ))), )</f>
        <v/>
      </c>
      <c r="AD3967" s="32" t="str">
        <f t="shared" si="4098"/>
        <v/>
      </c>
      <c r="AE3967" s="32" t="str">
        <f t="shared" si="4098"/>
        <v/>
      </c>
      <c r="AF3967" s="32" t="str">
        <f t="shared" si="4098"/>
        <v/>
      </c>
      <c r="AG3967" s="32" t="str">
        <f t="shared" si="4098"/>
        <v/>
      </c>
      <c r="AH3967" s="33"/>
    </row>
    <row r="3968">
      <c r="A3968" s="95" t="b">
        <v>0</v>
      </c>
      <c r="B3968" s="96"/>
      <c r="C3968" s="18"/>
      <c r="D3968" s="107"/>
      <c r="E3968" s="108"/>
      <c r="F3968" s="109"/>
      <c r="G3968" s="97"/>
      <c r="H3968" s="97"/>
      <c r="I3968" s="97"/>
      <c r="J3968" s="98"/>
      <c r="K3968" s="99"/>
      <c r="L3968" s="98"/>
      <c r="M3968" s="99"/>
      <c r="N3968" s="99"/>
      <c r="O3968" s="18"/>
      <c r="P3968" s="100" t="b">
        <v>0</v>
      </c>
      <c r="Q3968" s="18"/>
      <c r="R3968" s="101" t="str">
        <f t="shared" si="3377"/>
        <v/>
      </c>
      <c r="S3968" s="32"/>
      <c r="T3968" s="102" t="str">
        <f t="shared" si="3378"/>
        <v/>
      </c>
      <c r="U3968" s="18"/>
      <c r="V3968" s="103" t="str">
        <f t="shared" si="4020"/>
        <v>0</v>
      </c>
      <c r="W3968" s="104" t="str">
        <f t="shared" si="4017"/>
        <v>/</v>
      </c>
      <c r="X3968" s="105"/>
      <c r="Y3968" s="106"/>
      <c r="Z3968" s="26" t="str">
        <f t="shared" si="5"/>
        <v/>
      </c>
      <c r="AA3968" s="26" t="str">
        <f t="shared" si="6"/>
        <v/>
      </c>
      <c r="AB3968" s="32" t="str">
        <f t="shared" si="7"/>
        <v/>
      </c>
      <c r="AC3968" s="32" t="str">
        <f t="shared" ref="AC3968:AG3968" si="4099">IF(J3968&lt;&gt;"", IF(AND($P3968=FALSE, $A3968=FALSE), -J3968, IF(AND($P3968=FALSE, $A3968=TRUE), 0, IF($P3968=TRUE, (J3968 / $R3968) * 100 * ($S3968 / 100)-J3968, ))), )</f>
        <v/>
      </c>
      <c r="AD3968" s="32" t="str">
        <f t="shared" si="4099"/>
        <v/>
      </c>
      <c r="AE3968" s="32" t="str">
        <f t="shared" si="4099"/>
        <v/>
      </c>
      <c r="AF3968" s="32" t="str">
        <f t="shared" si="4099"/>
        <v/>
      </c>
      <c r="AG3968" s="32" t="str">
        <f t="shared" si="4099"/>
        <v/>
      </c>
      <c r="AH3968" s="33"/>
    </row>
    <row r="3969">
      <c r="A3969" s="95" t="b">
        <v>0</v>
      </c>
      <c r="B3969" s="96"/>
      <c r="C3969" s="18"/>
      <c r="D3969" s="107"/>
      <c r="E3969" s="108"/>
      <c r="F3969" s="109"/>
      <c r="G3969" s="97"/>
      <c r="H3969" s="97"/>
      <c r="I3969" s="97"/>
      <c r="J3969" s="98"/>
      <c r="K3969" s="99"/>
      <c r="L3969" s="98"/>
      <c r="M3969" s="99"/>
      <c r="N3969" s="99"/>
      <c r="O3969" s="18"/>
      <c r="P3969" s="100" t="b">
        <v>0</v>
      </c>
      <c r="Q3969" s="18"/>
      <c r="R3969" s="101" t="str">
        <f t="shared" si="3377"/>
        <v/>
      </c>
      <c r="S3969" s="32"/>
      <c r="T3969" s="102" t="str">
        <f t="shared" si="3378"/>
        <v/>
      </c>
      <c r="U3969" s="18"/>
      <c r="V3969" s="103" t="str">
        <f t="shared" si="4020"/>
        <v>0</v>
      </c>
      <c r="W3969" s="104" t="str">
        <f t="shared" si="4017"/>
        <v>/</v>
      </c>
      <c r="X3969" s="105"/>
      <c r="Y3969" s="106"/>
      <c r="Z3969" s="26" t="str">
        <f t="shared" si="5"/>
        <v/>
      </c>
      <c r="AA3969" s="26" t="str">
        <f t="shared" si="6"/>
        <v/>
      </c>
      <c r="AB3969" s="32" t="str">
        <f t="shared" si="7"/>
        <v/>
      </c>
      <c r="AC3969" s="32" t="str">
        <f t="shared" ref="AC3969:AG3969" si="4100">IF(J3969&lt;&gt;"", IF(AND($P3969=FALSE, $A3969=FALSE), -J3969, IF(AND($P3969=FALSE, $A3969=TRUE), 0, IF($P3969=TRUE, (J3969 / $R3969) * 100 * ($S3969 / 100)-J3969, ))), )</f>
        <v/>
      </c>
      <c r="AD3969" s="32" t="str">
        <f t="shared" si="4100"/>
        <v/>
      </c>
      <c r="AE3969" s="32" t="str">
        <f t="shared" si="4100"/>
        <v/>
      </c>
      <c r="AF3969" s="32" t="str">
        <f t="shared" si="4100"/>
        <v/>
      </c>
      <c r="AG3969" s="32" t="str">
        <f t="shared" si="4100"/>
        <v/>
      </c>
      <c r="AH3969" s="33"/>
    </row>
    <row r="3970">
      <c r="A3970" s="95" t="b">
        <v>0</v>
      </c>
      <c r="B3970" s="96"/>
      <c r="C3970" s="18"/>
      <c r="D3970" s="107"/>
      <c r="E3970" s="108"/>
      <c r="F3970" s="109"/>
      <c r="G3970" s="97"/>
      <c r="H3970" s="97"/>
      <c r="I3970" s="97"/>
      <c r="J3970" s="98"/>
      <c r="K3970" s="99"/>
      <c r="L3970" s="98"/>
      <c r="M3970" s="99"/>
      <c r="N3970" s="99"/>
      <c r="O3970" s="18"/>
      <c r="P3970" s="100" t="b">
        <v>0</v>
      </c>
      <c r="Q3970" s="18"/>
      <c r="R3970" s="101" t="str">
        <f t="shared" si="3377"/>
        <v/>
      </c>
      <c r="S3970" s="32"/>
      <c r="T3970" s="102" t="str">
        <f t="shared" si="3378"/>
        <v/>
      </c>
      <c r="U3970" s="18"/>
      <c r="V3970" s="103" t="str">
        <f t="shared" si="4020"/>
        <v>0</v>
      </c>
      <c r="W3970" s="104" t="str">
        <f t="shared" si="4017"/>
        <v>/</v>
      </c>
      <c r="X3970" s="105"/>
      <c r="Y3970" s="106"/>
      <c r="Z3970" s="26" t="str">
        <f t="shared" si="5"/>
        <v/>
      </c>
      <c r="AA3970" s="26" t="str">
        <f t="shared" si="6"/>
        <v/>
      </c>
      <c r="AB3970" s="32" t="str">
        <f t="shared" si="7"/>
        <v/>
      </c>
      <c r="AC3970" s="32" t="str">
        <f t="shared" ref="AC3970:AG3970" si="4101">IF(J3970&lt;&gt;"", IF(AND($P3970=FALSE, $A3970=FALSE), -J3970, IF(AND($P3970=FALSE, $A3970=TRUE), 0, IF($P3970=TRUE, (J3970 / $R3970) * 100 * ($S3970 / 100)-J3970, ))), )</f>
        <v/>
      </c>
      <c r="AD3970" s="32" t="str">
        <f t="shared" si="4101"/>
        <v/>
      </c>
      <c r="AE3970" s="32" t="str">
        <f t="shared" si="4101"/>
        <v/>
      </c>
      <c r="AF3970" s="32" t="str">
        <f t="shared" si="4101"/>
        <v/>
      </c>
      <c r="AG3970" s="32" t="str">
        <f t="shared" si="4101"/>
        <v/>
      </c>
      <c r="AH3970" s="33"/>
    </row>
    <row r="3971">
      <c r="A3971" s="95" t="b">
        <v>0</v>
      </c>
      <c r="B3971" s="96"/>
      <c r="C3971" s="18"/>
      <c r="D3971" s="107"/>
      <c r="E3971" s="108"/>
      <c r="F3971" s="109"/>
      <c r="G3971" s="97"/>
      <c r="H3971" s="97"/>
      <c r="I3971" s="97"/>
      <c r="J3971" s="98"/>
      <c r="K3971" s="99"/>
      <c r="L3971" s="98"/>
      <c r="M3971" s="99"/>
      <c r="N3971" s="99"/>
      <c r="O3971" s="18"/>
      <c r="P3971" s="100" t="b">
        <v>0</v>
      </c>
      <c r="Q3971" s="18"/>
      <c r="R3971" s="101" t="str">
        <f t="shared" si="3377"/>
        <v/>
      </c>
      <c r="S3971" s="32"/>
      <c r="T3971" s="102" t="str">
        <f t="shared" si="3378"/>
        <v/>
      </c>
      <c r="U3971" s="18"/>
      <c r="V3971" s="103" t="str">
        <f t="shared" si="4020"/>
        <v>0</v>
      </c>
      <c r="W3971" s="104" t="str">
        <f t="shared" si="4017"/>
        <v>/</v>
      </c>
      <c r="X3971" s="105"/>
      <c r="Y3971" s="106"/>
      <c r="Z3971" s="26" t="str">
        <f t="shared" si="5"/>
        <v/>
      </c>
      <c r="AA3971" s="26" t="str">
        <f t="shared" si="6"/>
        <v/>
      </c>
      <c r="AB3971" s="32" t="str">
        <f t="shared" si="7"/>
        <v/>
      </c>
      <c r="AC3971" s="32" t="str">
        <f t="shared" ref="AC3971:AG3971" si="4102">IF(J3971&lt;&gt;"", IF(AND($P3971=FALSE, $A3971=FALSE), -J3971, IF(AND($P3971=FALSE, $A3971=TRUE), 0, IF($P3971=TRUE, (J3971 / $R3971) * 100 * ($S3971 / 100)-J3971, ))), )</f>
        <v/>
      </c>
      <c r="AD3971" s="32" t="str">
        <f t="shared" si="4102"/>
        <v/>
      </c>
      <c r="AE3971" s="32" t="str">
        <f t="shared" si="4102"/>
        <v/>
      </c>
      <c r="AF3971" s="32" t="str">
        <f t="shared" si="4102"/>
        <v/>
      </c>
      <c r="AG3971" s="32" t="str">
        <f t="shared" si="4102"/>
        <v/>
      </c>
      <c r="AH3971" s="33"/>
    </row>
    <row r="3972">
      <c r="A3972" s="95" t="b">
        <v>0</v>
      </c>
      <c r="B3972" s="96"/>
      <c r="C3972" s="18"/>
      <c r="D3972" s="107"/>
      <c r="E3972" s="108"/>
      <c r="F3972" s="109"/>
      <c r="G3972" s="97"/>
      <c r="H3972" s="97"/>
      <c r="I3972" s="97"/>
      <c r="J3972" s="98"/>
      <c r="K3972" s="99"/>
      <c r="L3972" s="98"/>
      <c r="M3972" s="99"/>
      <c r="N3972" s="99"/>
      <c r="O3972" s="18"/>
      <c r="P3972" s="100" t="b">
        <v>0</v>
      </c>
      <c r="Q3972" s="18"/>
      <c r="R3972" s="101" t="str">
        <f t="shared" si="3377"/>
        <v/>
      </c>
      <c r="S3972" s="32"/>
      <c r="T3972" s="102" t="str">
        <f t="shared" si="3378"/>
        <v/>
      </c>
      <c r="U3972" s="18"/>
      <c r="V3972" s="103" t="str">
        <f t="shared" si="4020"/>
        <v>0</v>
      </c>
      <c r="W3972" s="104" t="str">
        <f t="shared" si="4017"/>
        <v>/</v>
      </c>
      <c r="X3972" s="105"/>
      <c r="Y3972" s="106"/>
      <c r="Z3972" s="26" t="str">
        <f t="shared" si="5"/>
        <v/>
      </c>
      <c r="AA3972" s="26" t="str">
        <f t="shared" si="6"/>
        <v/>
      </c>
      <c r="AB3972" s="32" t="str">
        <f t="shared" si="7"/>
        <v/>
      </c>
      <c r="AC3972" s="32" t="str">
        <f t="shared" ref="AC3972:AG3972" si="4103">IF(J3972&lt;&gt;"", IF(AND($P3972=FALSE, $A3972=FALSE), -J3972, IF(AND($P3972=FALSE, $A3972=TRUE), 0, IF($P3972=TRUE, (J3972 / $R3972) * 100 * ($S3972 / 100)-J3972, ))), )</f>
        <v/>
      </c>
      <c r="AD3972" s="32" t="str">
        <f t="shared" si="4103"/>
        <v/>
      </c>
      <c r="AE3972" s="32" t="str">
        <f t="shared" si="4103"/>
        <v/>
      </c>
      <c r="AF3972" s="32" t="str">
        <f t="shared" si="4103"/>
        <v/>
      </c>
      <c r="AG3972" s="32" t="str">
        <f t="shared" si="4103"/>
        <v/>
      </c>
      <c r="AH3972" s="33"/>
    </row>
    <row r="3973">
      <c r="A3973" s="95" t="b">
        <v>0</v>
      </c>
      <c r="B3973" s="96"/>
      <c r="C3973" s="18"/>
      <c r="D3973" s="107"/>
      <c r="E3973" s="108"/>
      <c r="F3973" s="109"/>
      <c r="G3973" s="97"/>
      <c r="H3973" s="97"/>
      <c r="I3973" s="97"/>
      <c r="J3973" s="98"/>
      <c r="K3973" s="99"/>
      <c r="L3973" s="98"/>
      <c r="M3973" s="99"/>
      <c r="N3973" s="99"/>
      <c r="O3973" s="18"/>
      <c r="P3973" s="100" t="b">
        <v>0</v>
      </c>
      <c r="Q3973" s="18"/>
      <c r="R3973" s="101" t="str">
        <f t="shared" si="3377"/>
        <v/>
      </c>
      <c r="S3973" s="32"/>
      <c r="T3973" s="102" t="str">
        <f t="shared" si="3378"/>
        <v/>
      </c>
      <c r="U3973" s="18"/>
      <c r="V3973" s="103" t="str">
        <f t="shared" si="4020"/>
        <v>0</v>
      </c>
      <c r="W3973" s="104" t="str">
        <f t="shared" si="4017"/>
        <v>/</v>
      </c>
      <c r="X3973" s="105"/>
      <c r="Y3973" s="106"/>
      <c r="Z3973" s="26" t="str">
        <f t="shared" si="5"/>
        <v/>
      </c>
      <c r="AA3973" s="26" t="str">
        <f t="shared" si="6"/>
        <v/>
      </c>
      <c r="AB3973" s="32" t="str">
        <f t="shared" si="7"/>
        <v/>
      </c>
      <c r="AC3973" s="32" t="str">
        <f t="shared" ref="AC3973:AG3973" si="4104">IF(J3973&lt;&gt;"", IF(AND($P3973=FALSE, $A3973=FALSE), -J3973, IF(AND($P3973=FALSE, $A3973=TRUE), 0, IF($P3973=TRUE, (J3973 / $R3973) * 100 * ($S3973 / 100)-J3973, ))), )</f>
        <v/>
      </c>
      <c r="AD3973" s="32" t="str">
        <f t="shared" si="4104"/>
        <v/>
      </c>
      <c r="AE3973" s="32" t="str">
        <f t="shared" si="4104"/>
        <v/>
      </c>
      <c r="AF3973" s="32" t="str">
        <f t="shared" si="4104"/>
        <v/>
      </c>
      <c r="AG3973" s="32" t="str">
        <f t="shared" si="4104"/>
        <v/>
      </c>
      <c r="AH3973" s="33"/>
    </row>
    <row r="3974">
      <c r="A3974" s="95" t="b">
        <v>0</v>
      </c>
      <c r="B3974" s="96"/>
      <c r="C3974" s="18"/>
      <c r="D3974" s="107"/>
      <c r="E3974" s="108"/>
      <c r="F3974" s="109"/>
      <c r="G3974" s="97"/>
      <c r="H3974" s="97"/>
      <c r="I3974" s="97"/>
      <c r="J3974" s="98"/>
      <c r="K3974" s="99"/>
      <c r="L3974" s="98"/>
      <c r="M3974" s="99"/>
      <c r="N3974" s="99"/>
      <c r="O3974" s="18"/>
      <c r="P3974" s="100" t="b">
        <v>0</v>
      </c>
      <c r="Q3974" s="18"/>
      <c r="R3974" s="101" t="str">
        <f t="shared" si="3377"/>
        <v/>
      </c>
      <c r="S3974" s="32"/>
      <c r="T3974" s="102" t="str">
        <f t="shared" si="3378"/>
        <v/>
      </c>
      <c r="U3974" s="18"/>
      <c r="V3974" s="103" t="str">
        <f t="shared" si="4020"/>
        <v>0</v>
      </c>
      <c r="W3974" s="104" t="str">
        <f t="shared" si="4017"/>
        <v>/</v>
      </c>
      <c r="X3974" s="105"/>
      <c r="Y3974" s="106"/>
      <c r="Z3974" s="26" t="str">
        <f t="shared" si="5"/>
        <v/>
      </c>
      <c r="AA3974" s="26" t="str">
        <f t="shared" si="6"/>
        <v/>
      </c>
      <c r="AB3974" s="32" t="str">
        <f t="shared" si="7"/>
        <v/>
      </c>
      <c r="AC3974" s="32" t="str">
        <f t="shared" ref="AC3974:AG3974" si="4105">IF(J3974&lt;&gt;"", IF(AND($P3974=FALSE, $A3974=FALSE), -J3974, IF(AND($P3974=FALSE, $A3974=TRUE), 0, IF($P3974=TRUE, (J3974 / $R3974) * 100 * ($S3974 / 100)-J3974, ))), )</f>
        <v/>
      </c>
      <c r="AD3974" s="32" t="str">
        <f t="shared" si="4105"/>
        <v/>
      </c>
      <c r="AE3974" s="32" t="str">
        <f t="shared" si="4105"/>
        <v/>
      </c>
      <c r="AF3974" s="32" t="str">
        <f t="shared" si="4105"/>
        <v/>
      </c>
      <c r="AG3974" s="32" t="str">
        <f t="shared" si="4105"/>
        <v/>
      </c>
      <c r="AH3974" s="33"/>
    </row>
    <row r="3975">
      <c r="A3975" s="95" t="b">
        <v>0</v>
      </c>
      <c r="B3975" s="96"/>
      <c r="C3975" s="18"/>
      <c r="D3975" s="107"/>
      <c r="E3975" s="108"/>
      <c r="F3975" s="109"/>
      <c r="G3975" s="97"/>
      <c r="H3975" s="97"/>
      <c r="I3975" s="97"/>
      <c r="J3975" s="98"/>
      <c r="K3975" s="99"/>
      <c r="L3975" s="98"/>
      <c r="M3975" s="99"/>
      <c r="N3975" s="99"/>
      <c r="O3975" s="18"/>
      <c r="P3975" s="100" t="b">
        <v>0</v>
      </c>
      <c r="Q3975" s="18"/>
      <c r="R3975" s="101" t="str">
        <f t="shared" si="3377"/>
        <v/>
      </c>
      <c r="S3975" s="32"/>
      <c r="T3975" s="102" t="str">
        <f t="shared" si="3378"/>
        <v/>
      </c>
      <c r="U3975" s="18"/>
      <c r="V3975" s="103" t="str">
        <f t="shared" si="4020"/>
        <v>0</v>
      </c>
      <c r="W3975" s="104" t="str">
        <f t="shared" si="4017"/>
        <v>/</v>
      </c>
      <c r="X3975" s="105"/>
      <c r="Y3975" s="106"/>
      <c r="Z3975" s="26" t="str">
        <f t="shared" si="5"/>
        <v/>
      </c>
      <c r="AA3975" s="26" t="str">
        <f t="shared" si="6"/>
        <v/>
      </c>
      <c r="AB3975" s="32" t="str">
        <f t="shared" si="7"/>
        <v/>
      </c>
      <c r="AC3975" s="32" t="str">
        <f t="shared" ref="AC3975:AG3975" si="4106">IF(J3975&lt;&gt;"", IF(AND($P3975=FALSE, $A3975=FALSE), -J3975, IF(AND($P3975=FALSE, $A3975=TRUE), 0, IF($P3975=TRUE, (J3975 / $R3975) * 100 * ($S3975 / 100)-J3975, ))), )</f>
        <v/>
      </c>
      <c r="AD3975" s="32" t="str">
        <f t="shared" si="4106"/>
        <v/>
      </c>
      <c r="AE3975" s="32" t="str">
        <f t="shared" si="4106"/>
        <v/>
      </c>
      <c r="AF3975" s="32" t="str">
        <f t="shared" si="4106"/>
        <v/>
      </c>
      <c r="AG3975" s="32" t="str">
        <f t="shared" si="4106"/>
        <v/>
      </c>
      <c r="AH3975" s="33"/>
    </row>
    <row r="3976">
      <c r="A3976" s="95" t="b">
        <v>0</v>
      </c>
      <c r="B3976" s="96"/>
      <c r="C3976" s="18"/>
      <c r="D3976" s="107"/>
      <c r="E3976" s="108"/>
      <c r="F3976" s="109"/>
      <c r="G3976" s="97"/>
      <c r="H3976" s="97"/>
      <c r="I3976" s="97"/>
      <c r="J3976" s="98"/>
      <c r="K3976" s="99"/>
      <c r="L3976" s="98"/>
      <c r="M3976" s="99"/>
      <c r="N3976" s="99"/>
      <c r="O3976" s="18"/>
      <c r="P3976" s="100" t="b">
        <v>0</v>
      </c>
      <c r="Q3976" s="18"/>
      <c r="R3976" s="101" t="str">
        <f t="shared" si="3377"/>
        <v/>
      </c>
      <c r="S3976" s="32"/>
      <c r="T3976" s="102" t="str">
        <f t="shared" si="3378"/>
        <v/>
      </c>
      <c r="U3976" s="18"/>
      <c r="V3976" s="103" t="str">
        <f t="shared" si="4020"/>
        <v>0</v>
      </c>
      <c r="W3976" s="104" t="str">
        <f t="shared" si="4017"/>
        <v>/</v>
      </c>
      <c r="X3976" s="105"/>
      <c r="Y3976" s="106"/>
      <c r="Z3976" s="26" t="str">
        <f t="shared" si="5"/>
        <v/>
      </c>
      <c r="AA3976" s="26" t="str">
        <f t="shared" si="6"/>
        <v/>
      </c>
      <c r="AB3976" s="32" t="str">
        <f t="shared" si="7"/>
        <v/>
      </c>
      <c r="AC3976" s="32" t="str">
        <f t="shared" ref="AC3976:AG3976" si="4107">IF(J3976&lt;&gt;"", IF(AND($P3976=FALSE, $A3976=FALSE), -J3976, IF(AND($P3976=FALSE, $A3976=TRUE), 0, IF($P3976=TRUE, (J3976 / $R3976) * 100 * ($S3976 / 100)-J3976, ))), )</f>
        <v/>
      </c>
      <c r="AD3976" s="32" t="str">
        <f t="shared" si="4107"/>
        <v/>
      </c>
      <c r="AE3976" s="32" t="str">
        <f t="shared" si="4107"/>
        <v/>
      </c>
      <c r="AF3976" s="32" t="str">
        <f t="shared" si="4107"/>
        <v/>
      </c>
      <c r="AG3976" s="32" t="str">
        <f t="shared" si="4107"/>
        <v/>
      </c>
      <c r="AH3976" s="33"/>
    </row>
  </sheetData>
  <mergeCells count="10">
    <mergeCell ref="T1:T2"/>
    <mergeCell ref="V1:X1"/>
    <mergeCell ref="Z1:AG1"/>
    <mergeCell ref="D1:D2"/>
    <mergeCell ref="E1:E2"/>
    <mergeCell ref="F1:F2"/>
    <mergeCell ref="G1:N1"/>
    <mergeCell ref="P1:P2"/>
    <mergeCell ref="R1:R2"/>
    <mergeCell ref="S1:S2"/>
  </mergeCells>
  <conditionalFormatting sqref="P3:P3976 Y3:Y3976">
    <cfRule type="expression" dxfId="0" priority="1">
      <formula>AND(ISDATE($D3),$D3&lt;&gt;"")</formula>
    </cfRule>
  </conditionalFormatting>
  <conditionalFormatting sqref="A3:A3976 F731:F736">
    <cfRule type="expression" dxfId="0" priority="2">
      <formula>AND(ISDATE($D3),$D3&lt;&gt;"")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9.13"/>
    <col customWidth="1" min="2" max="2" width="7.5"/>
    <col customWidth="1" min="3" max="3" width="7.25"/>
    <col customWidth="1" min="4" max="4" width="0.38"/>
    <col customWidth="1" min="5" max="5" width="9.13"/>
    <col customWidth="1" min="6" max="6" width="7.5"/>
    <col customWidth="1" min="7" max="7" width="7.25"/>
    <col customWidth="1" min="8" max="8" width="0.38"/>
    <col customWidth="1" min="9" max="9" width="9.13"/>
    <col customWidth="1" min="10" max="10" width="7.5"/>
    <col customWidth="1" min="11" max="11" width="7.25"/>
    <col customWidth="1" min="12" max="12" width="0.38"/>
    <col customWidth="1" min="13" max="13" width="9.13"/>
    <col customWidth="1" min="14" max="14" width="7.5"/>
    <col customWidth="1" min="15" max="15" width="7.25"/>
    <col customWidth="1" min="16" max="16" width="0.38"/>
    <col customWidth="1" min="17" max="17" width="9.13"/>
    <col customWidth="1" min="18" max="18" width="7.5"/>
    <col customWidth="1" min="19" max="19" width="7.25"/>
    <col customWidth="1" min="20" max="20" width="0.38"/>
    <col customWidth="1" min="21" max="21" width="9.13"/>
    <col customWidth="1" min="22" max="22" width="7.5"/>
    <col customWidth="1" min="23" max="23" width="7.25"/>
    <col customWidth="1" min="24" max="24" width="0.38"/>
    <col customWidth="1" min="25" max="25" width="9.13"/>
    <col customWidth="1" min="26" max="26" width="7.5"/>
    <col customWidth="1" min="27" max="27" width="7.25"/>
    <col customWidth="1" min="28" max="28" width="0.38"/>
    <col customWidth="1" min="29" max="29" width="9.13"/>
    <col customWidth="1" min="30" max="30" width="7.5"/>
    <col customWidth="1" min="31" max="31" width="7.25"/>
    <col customWidth="1" min="32" max="32" width="0.38"/>
  </cols>
  <sheetData>
    <row r="1" collapsed="1">
      <c r="A1" s="143" t="s">
        <v>2253</v>
      </c>
      <c r="B1" s="143" t="s">
        <v>2254</v>
      </c>
      <c r="C1" s="143" t="s">
        <v>2255</v>
      </c>
      <c r="D1" s="144"/>
      <c r="E1" s="143" t="s">
        <v>2253</v>
      </c>
      <c r="F1" s="143" t="s">
        <v>2254</v>
      </c>
      <c r="G1" s="143" t="s">
        <v>2255</v>
      </c>
      <c r="H1" s="144"/>
      <c r="I1" s="143" t="s">
        <v>2253</v>
      </c>
      <c r="J1" s="143" t="s">
        <v>2254</v>
      </c>
      <c r="K1" s="143" t="s">
        <v>2255</v>
      </c>
      <c r="L1" s="144"/>
      <c r="M1" s="143" t="s">
        <v>2253</v>
      </c>
      <c r="N1" s="143" t="s">
        <v>2254</v>
      </c>
      <c r="O1" s="143" t="s">
        <v>2255</v>
      </c>
      <c r="P1" s="144"/>
      <c r="Q1" s="143" t="s">
        <v>2253</v>
      </c>
      <c r="R1" s="143" t="s">
        <v>2254</v>
      </c>
      <c r="S1" s="143" t="s">
        <v>2255</v>
      </c>
      <c r="T1" s="144"/>
      <c r="U1" s="143" t="s">
        <v>2253</v>
      </c>
      <c r="V1" s="143" t="s">
        <v>2254</v>
      </c>
      <c r="W1" s="143" t="s">
        <v>2255</v>
      </c>
      <c r="X1" s="144"/>
      <c r="Y1" s="143" t="s">
        <v>2253</v>
      </c>
      <c r="Z1" s="143" t="s">
        <v>2254</v>
      </c>
      <c r="AA1" s="143" t="s">
        <v>2255</v>
      </c>
      <c r="AB1" s="144"/>
      <c r="AC1" s="143" t="s">
        <v>2253</v>
      </c>
      <c r="AD1" s="143" t="s">
        <v>2254</v>
      </c>
      <c r="AE1" s="143" t="s">
        <v>2255</v>
      </c>
      <c r="AF1" s="144"/>
    </row>
    <row r="2" hidden="1" outlineLevel="1">
      <c r="A2" s="145">
        <v>45204.0</v>
      </c>
      <c r="B2" s="146">
        <v>212.49</v>
      </c>
      <c r="C2" s="147" t="s">
        <v>2256</v>
      </c>
      <c r="D2" s="148"/>
      <c r="E2" s="145">
        <v>45204.0</v>
      </c>
      <c r="F2" s="146">
        <v>36.0</v>
      </c>
      <c r="G2" s="147" t="s">
        <v>2256</v>
      </c>
      <c r="H2" s="148"/>
      <c r="I2" s="145">
        <v>45204.0</v>
      </c>
      <c r="J2" s="146">
        <v>313.39</v>
      </c>
      <c r="K2" s="147" t="s">
        <v>2256</v>
      </c>
      <c r="L2" s="148"/>
      <c r="M2" s="145">
        <v>45204.0</v>
      </c>
      <c r="N2" s="146">
        <v>248.58</v>
      </c>
      <c r="O2" s="147" t="s">
        <v>2256</v>
      </c>
      <c r="P2" s="148"/>
      <c r="Q2" s="145">
        <v>45204.0</v>
      </c>
      <c r="R2" s="146">
        <v>139.77</v>
      </c>
      <c r="S2" s="147" t="s">
        <v>2256</v>
      </c>
      <c r="T2" s="148"/>
      <c r="U2" s="145">
        <v>45204.0</v>
      </c>
      <c r="V2" s="146">
        <v>11.58</v>
      </c>
      <c r="W2" s="147" t="s">
        <v>2256</v>
      </c>
      <c r="X2" s="148"/>
      <c r="Y2" s="145">
        <v>45204.0</v>
      </c>
      <c r="Z2" s="146">
        <v>13.68</v>
      </c>
      <c r="AA2" s="147" t="s">
        <v>2256</v>
      </c>
      <c r="AB2" s="148"/>
      <c r="AC2" s="145">
        <v>45204.0</v>
      </c>
      <c r="AD2" s="146">
        <v>7.78</v>
      </c>
      <c r="AE2" s="147" t="s">
        <v>2256</v>
      </c>
      <c r="AF2" s="148"/>
    </row>
    <row r="3" hidden="1" outlineLevel="1">
      <c r="A3" s="145">
        <v>45251.0</v>
      </c>
      <c r="B3" s="146">
        <v>-10.0</v>
      </c>
      <c r="C3" s="147" t="s">
        <v>2257</v>
      </c>
      <c r="D3" s="148"/>
      <c r="E3" s="145"/>
      <c r="F3" s="146"/>
      <c r="G3" s="147"/>
      <c r="H3" s="148"/>
      <c r="I3" s="145">
        <v>45292.0</v>
      </c>
      <c r="J3" s="146">
        <v>-10.0</v>
      </c>
      <c r="K3" s="147" t="s">
        <v>2258</v>
      </c>
      <c r="L3" s="148"/>
      <c r="M3" s="145"/>
      <c r="N3" s="146"/>
      <c r="O3" s="147"/>
      <c r="P3" s="148"/>
      <c r="Q3" s="145"/>
      <c r="R3" s="146"/>
      <c r="S3" s="147"/>
      <c r="T3" s="148"/>
      <c r="U3" s="145"/>
      <c r="V3" s="146"/>
      <c r="W3" s="147"/>
      <c r="X3" s="148"/>
      <c r="Y3" s="145"/>
      <c r="Z3" s="146"/>
      <c r="AA3" s="147"/>
      <c r="AB3" s="148"/>
      <c r="AC3" s="145"/>
      <c r="AD3" s="146"/>
      <c r="AE3" s="147"/>
      <c r="AF3" s="148"/>
    </row>
    <row r="4" hidden="1" outlineLevel="1">
      <c r="A4" s="145">
        <v>45292.0</v>
      </c>
      <c r="B4" s="146">
        <v>10.0</v>
      </c>
      <c r="C4" s="147" t="s">
        <v>2258</v>
      </c>
      <c r="D4" s="149"/>
      <c r="E4" s="150"/>
      <c r="F4" s="26"/>
      <c r="G4" s="151"/>
      <c r="H4" s="149"/>
      <c r="I4" s="150"/>
      <c r="J4" s="26"/>
      <c r="K4" s="151"/>
      <c r="L4" s="149"/>
      <c r="M4" s="150"/>
      <c r="N4" s="26"/>
      <c r="O4" s="151"/>
      <c r="P4" s="149"/>
      <c r="Q4" s="150"/>
      <c r="R4" s="26"/>
      <c r="S4" s="151"/>
      <c r="T4" s="149"/>
      <c r="U4" s="150"/>
      <c r="V4" s="26"/>
      <c r="W4" s="151"/>
      <c r="X4" s="149"/>
      <c r="Y4" s="150"/>
      <c r="Z4" s="26"/>
      <c r="AA4" s="151"/>
      <c r="AB4" s="149"/>
      <c r="AC4" s="150"/>
      <c r="AD4" s="26"/>
      <c r="AE4" s="151"/>
      <c r="AF4" s="149"/>
    </row>
    <row r="5" hidden="1" outlineLevel="1">
      <c r="A5" s="150"/>
      <c r="B5" s="26"/>
      <c r="C5" s="151"/>
      <c r="D5" s="149"/>
      <c r="E5" s="150"/>
      <c r="F5" s="26"/>
      <c r="G5" s="151"/>
      <c r="H5" s="149"/>
      <c r="I5" s="150"/>
      <c r="J5" s="26"/>
      <c r="K5" s="151"/>
      <c r="L5" s="149"/>
      <c r="M5" s="150"/>
      <c r="N5" s="26"/>
      <c r="O5" s="151"/>
      <c r="P5" s="149"/>
      <c r="Q5" s="150"/>
      <c r="R5" s="26"/>
      <c r="S5" s="151"/>
      <c r="T5" s="149"/>
      <c r="U5" s="150"/>
      <c r="V5" s="26"/>
      <c r="W5" s="151"/>
      <c r="X5" s="149"/>
      <c r="Y5" s="150"/>
      <c r="Z5" s="26"/>
      <c r="AA5" s="151"/>
      <c r="AB5" s="149"/>
      <c r="AC5" s="150"/>
      <c r="AD5" s="26"/>
      <c r="AE5" s="151"/>
      <c r="AF5" s="149"/>
    </row>
    <row r="6" ht="1.5" customHeight="1">
      <c r="A6" s="149"/>
      <c r="B6" s="149"/>
      <c r="C6" s="152"/>
      <c r="D6" s="149"/>
      <c r="E6" s="149"/>
      <c r="F6" s="149"/>
      <c r="G6" s="152"/>
      <c r="H6" s="149"/>
      <c r="I6" s="149"/>
      <c r="J6" s="153" t="str">
        <f>IF(I6&lt;&gt;"", SUMIF(Bets!D:D, I6, Bets!AA:AA), "")</f>
        <v/>
      </c>
      <c r="K6" s="152"/>
      <c r="L6" s="149"/>
      <c r="M6" s="149"/>
      <c r="N6" s="149"/>
      <c r="O6" s="152"/>
      <c r="P6" s="149"/>
      <c r="Q6" s="149"/>
      <c r="R6" s="149"/>
      <c r="S6" s="152"/>
      <c r="T6" s="149"/>
      <c r="U6" s="149"/>
      <c r="V6" s="149"/>
      <c r="W6" s="152"/>
      <c r="X6" s="149"/>
      <c r="Y6" s="149"/>
      <c r="Z6" s="149"/>
      <c r="AA6" s="152"/>
      <c r="AB6" s="149"/>
      <c r="AC6" s="149"/>
      <c r="AD6" s="149"/>
      <c r="AE6" s="152"/>
      <c r="AF6" s="149"/>
    </row>
    <row r="7">
      <c r="A7" s="154" t="s">
        <v>13</v>
      </c>
      <c r="B7" s="155" t="s">
        <v>2259</v>
      </c>
      <c r="C7" s="155" t="s">
        <v>2260</v>
      </c>
      <c r="D7" s="149"/>
      <c r="E7" s="154" t="s">
        <v>14</v>
      </c>
      <c r="F7" s="155" t="s">
        <v>2259</v>
      </c>
      <c r="G7" s="155" t="s">
        <v>2260</v>
      </c>
      <c r="H7" s="149"/>
      <c r="I7" s="156" t="s">
        <v>15</v>
      </c>
      <c r="J7" s="155" t="s">
        <v>2259</v>
      </c>
      <c r="K7" s="155" t="s">
        <v>2260</v>
      </c>
      <c r="L7" s="149"/>
      <c r="M7" s="154" t="s">
        <v>16</v>
      </c>
      <c r="N7" s="155" t="s">
        <v>2259</v>
      </c>
      <c r="O7" s="155" t="s">
        <v>2260</v>
      </c>
      <c r="P7" s="149"/>
      <c r="Q7" s="154" t="s">
        <v>17</v>
      </c>
      <c r="R7" s="155" t="s">
        <v>2259</v>
      </c>
      <c r="S7" s="155" t="s">
        <v>2260</v>
      </c>
      <c r="T7" s="149"/>
      <c r="U7" s="154" t="s">
        <v>2261</v>
      </c>
      <c r="V7" s="155" t="s">
        <v>2259</v>
      </c>
      <c r="W7" s="155" t="s">
        <v>2260</v>
      </c>
      <c r="X7" s="149"/>
      <c r="Y7" s="154" t="s">
        <v>19</v>
      </c>
      <c r="Z7" s="155" t="s">
        <v>2259</v>
      </c>
      <c r="AA7" s="155" t="s">
        <v>2260</v>
      </c>
      <c r="AB7" s="149"/>
      <c r="AC7" s="154" t="s">
        <v>20</v>
      </c>
      <c r="AD7" s="155" t="s">
        <v>2259</v>
      </c>
      <c r="AE7" s="155" t="s">
        <v>2260</v>
      </c>
      <c r="AF7" s="149"/>
    </row>
    <row r="8">
      <c r="B8" s="157">
        <f>SUM(B2:B6)+SUM(B11:B1002)</f>
        <v>26.14718614</v>
      </c>
      <c r="C8" s="158">
        <f>SUMIF(C11:C1002, "", B11:B1002)</f>
        <v>-186.3428139</v>
      </c>
      <c r="D8" s="149"/>
      <c r="F8" s="157">
        <f>SUM(F2:F6)+SUM(F11:F1002)</f>
        <v>-24.78681475</v>
      </c>
      <c r="G8" s="158">
        <f>SUMIF(G11:G1002, "", F11:F1002)</f>
        <v>-60.78681475</v>
      </c>
      <c r="H8" s="149"/>
      <c r="J8" s="157">
        <f>SUM(J2:J6)+SUM(J11:J1002)</f>
        <v>123.9776589</v>
      </c>
      <c r="K8" s="158">
        <f>SUMIF(K11:K1002, "", J11:J1002)</f>
        <v>-179.4123411</v>
      </c>
      <c r="L8" s="149"/>
      <c r="N8" s="157">
        <f>SUM(N2:N6)+SUM(N11:N1002)</f>
        <v>214.3694697</v>
      </c>
      <c r="O8" s="158">
        <f>SUMIF(O11:O1002, "", N11:N1002)</f>
        <v>-34.2105303</v>
      </c>
      <c r="P8" s="149"/>
      <c r="R8" s="157">
        <f>SUM(R2:R6)+SUM(R11:R1002)</f>
        <v>113.27</v>
      </c>
      <c r="S8" s="158">
        <f>SUMIF(S11:S1002, "", R11:R1002)</f>
        <v>-26.5</v>
      </c>
      <c r="T8" s="149"/>
      <c r="V8" s="157">
        <f>SUM(V2:V6)+SUM(V11:V1002)</f>
        <v>0.5825</v>
      </c>
      <c r="W8" s="158">
        <f>SUMIF(W11:W1002, "", V11:V1002)</f>
        <v>-10.9975</v>
      </c>
      <c r="X8" s="149"/>
      <c r="Z8" s="157">
        <f>SUM(Z2:Z6)+SUM(Z11:Z1002)</f>
        <v>13.68</v>
      </c>
      <c r="AA8" s="158">
        <f>SUMIF(AA11:AA1002, "", Z11:Z1002)</f>
        <v>0</v>
      </c>
      <c r="AB8" s="149"/>
      <c r="AD8" s="157">
        <f>SUM(AD2:AD6)+SUM(AD11:AD1002)</f>
        <v>7.78</v>
      </c>
      <c r="AE8" s="158">
        <f>SUMIF(AE11:AE1002, "", AD11:AD1002)</f>
        <v>0</v>
      </c>
      <c r="AF8" s="149"/>
    </row>
    <row r="9" ht="1.5" customHeight="1">
      <c r="A9" s="159" t="s">
        <v>2262</v>
      </c>
      <c r="B9" s="159" t="s">
        <v>2262</v>
      </c>
      <c r="C9" s="160" t="s">
        <v>2262</v>
      </c>
      <c r="D9" s="159" t="s">
        <v>2262</v>
      </c>
      <c r="E9" s="159" t="s">
        <v>2262</v>
      </c>
      <c r="F9" s="159" t="s">
        <v>2262</v>
      </c>
      <c r="G9" s="160" t="s">
        <v>2262</v>
      </c>
      <c r="H9" s="149"/>
      <c r="I9" s="159" t="s">
        <v>2262</v>
      </c>
      <c r="J9" s="159" t="s">
        <v>2262</v>
      </c>
      <c r="K9" s="160" t="s">
        <v>2262</v>
      </c>
      <c r="L9" s="159" t="s">
        <v>2262</v>
      </c>
      <c r="M9" s="159" t="s">
        <v>2262</v>
      </c>
      <c r="N9" s="159" t="s">
        <v>2262</v>
      </c>
      <c r="O9" s="160" t="s">
        <v>2262</v>
      </c>
      <c r="P9" s="159" t="s">
        <v>2262</v>
      </c>
      <c r="Q9" s="159" t="s">
        <v>2262</v>
      </c>
      <c r="R9" s="159" t="s">
        <v>2262</v>
      </c>
      <c r="S9" s="160" t="s">
        <v>2262</v>
      </c>
      <c r="T9" s="159" t="s">
        <v>2262</v>
      </c>
      <c r="U9" s="159" t="s">
        <v>2262</v>
      </c>
      <c r="V9" s="159" t="s">
        <v>2262</v>
      </c>
      <c r="W9" s="160" t="s">
        <v>2262</v>
      </c>
      <c r="X9" s="159" t="s">
        <v>2262</v>
      </c>
      <c r="Y9" s="159" t="s">
        <v>2262</v>
      </c>
      <c r="Z9" s="159" t="s">
        <v>2262</v>
      </c>
      <c r="AA9" s="160" t="s">
        <v>2262</v>
      </c>
      <c r="AB9" s="159" t="s">
        <v>2262</v>
      </c>
      <c r="AC9" s="159" t="s">
        <v>2262</v>
      </c>
      <c r="AD9" s="159" t="s">
        <v>2262</v>
      </c>
      <c r="AE9" s="160" t="s">
        <v>2262</v>
      </c>
      <c r="AF9" s="149"/>
    </row>
    <row r="10">
      <c r="A10" s="143" t="s">
        <v>2253</v>
      </c>
      <c r="B10" s="143" t="s">
        <v>2254</v>
      </c>
      <c r="C10" s="143"/>
      <c r="D10" s="144"/>
      <c r="E10" s="143" t="s">
        <v>2253</v>
      </c>
      <c r="F10" s="143" t="s">
        <v>2254</v>
      </c>
      <c r="G10" s="143"/>
      <c r="H10" s="144"/>
      <c r="I10" s="143" t="s">
        <v>2253</v>
      </c>
      <c r="J10" s="143" t="s">
        <v>2254</v>
      </c>
      <c r="K10" s="143"/>
      <c r="L10" s="144"/>
      <c r="M10" s="143" t="s">
        <v>2253</v>
      </c>
      <c r="N10" s="143" t="s">
        <v>2254</v>
      </c>
      <c r="O10" s="143"/>
      <c r="P10" s="144"/>
      <c r="Q10" s="143" t="s">
        <v>2253</v>
      </c>
      <c r="R10" s="143" t="s">
        <v>2254</v>
      </c>
      <c r="S10" s="143"/>
      <c r="T10" s="144"/>
      <c r="U10" s="143" t="s">
        <v>2253</v>
      </c>
      <c r="V10" s="143" t="s">
        <v>2254</v>
      </c>
      <c r="W10" s="143"/>
      <c r="X10" s="144"/>
      <c r="Y10" s="143" t="s">
        <v>2253</v>
      </c>
      <c r="Z10" s="143" t="s">
        <v>2254</v>
      </c>
      <c r="AA10" s="143"/>
      <c r="AB10" s="144"/>
      <c r="AC10" s="143" t="s">
        <v>2253</v>
      </c>
      <c r="AD10" s="143" t="s">
        <v>2254</v>
      </c>
      <c r="AE10" s="143"/>
      <c r="AF10" s="144"/>
    </row>
    <row r="11">
      <c r="A11" s="161">
        <f>IFERROR(__xludf.DUMMYFUNCTION("SORT(UNIQUE(FILTER(Bets!$D$2:$D1002, Bets!$D$2:$D1002&lt;&gt;"""", Bets!Z2:Z1002&lt;&gt;"""")),1, FALSE)"),46184.0)</f>
        <v>46184</v>
      </c>
      <c r="B11" s="146">
        <f>IF(A11&lt;&gt;"", SUMIF(Bets!$D:$D, A11, Bets!Z:Z), "")</f>
        <v>1.92</v>
      </c>
      <c r="C11" s="162"/>
      <c r="D11" s="148"/>
      <c r="E11" s="161">
        <f>IFERROR(__xludf.DUMMYFUNCTION("SORT(UNIQUE(FILTER(Bets!$D$2:$D1002, Bets!$D$2:$D1002&lt;&gt;"""", Bets!AB2:AB1002&lt;&gt;"""")),1, FALSE)"),46061.0)</f>
        <v>46061</v>
      </c>
      <c r="F11" s="146">
        <f>IF(E11&lt;&gt;"", SUMIF(Bets!$D:$D, E11, Bets!AB:AB), "")</f>
        <v>-3</v>
      </c>
      <c r="G11" s="162"/>
      <c r="H11" s="148"/>
      <c r="I11" s="161">
        <f>IFERROR(__xludf.DUMMYFUNCTION("SORT(UNIQUE(FILTER(Bets!$D$2:$D1002, Bets!$D$2:$D1002&lt;&gt;"""", Bets!AA2:AA1002&lt;&gt;"""")),1, FALSE)"),46184.0)</f>
        <v>46184</v>
      </c>
      <c r="J11" s="146">
        <f>IF(I11&lt;&gt;"", SUMIF(Bets!$D:$D, I11, Bets!AA:AA), "")</f>
        <v>2.88</v>
      </c>
      <c r="K11" s="162"/>
      <c r="L11" s="148"/>
      <c r="M11" s="161">
        <f>IFERROR(__xludf.DUMMYFUNCTION("SORT(UNIQUE(FILTER(Bets!$D$2:$D1002, Bets!$D$2:$D1002&lt;&gt;"""", Bets!AC2:AC1002&lt;&gt;"""")),1, FALSE)"),46061.0)</f>
        <v>46061</v>
      </c>
      <c r="N11" s="146">
        <f>IF(M11&lt;&gt;"", SUMIF(Bets!$D:$D, M11, Bets!AC:AC), "")</f>
        <v>-5</v>
      </c>
      <c r="O11" s="162"/>
      <c r="P11" s="148"/>
      <c r="Q11" s="161">
        <f>IFERROR(__xludf.DUMMYFUNCTION("IFERROR(UNIQUE(FILTER(Bets!$D$2:$D1002, Bets!$D$2:$D1002&lt;&gt;"""", Bets!AD2:AD1002&lt;&gt;"""")),)"),45333.0)</f>
        <v>45333</v>
      </c>
      <c r="R11" s="146">
        <f>IF(Q11&lt;&gt;"", SUMIF(Bets!$D:$D, Q11, Bets!AD:AD), "")</f>
        <v>-10</v>
      </c>
      <c r="S11" s="162"/>
      <c r="T11" s="148"/>
      <c r="U11" s="161">
        <f>IFERROR(__xludf.DUMMYFUNCTION("IFERROR(UNIQUE(FILTER(Bets!$D$2:$D1002, Bets!$D$2:$D1002&lt;&gt;"""", Bets!AE2:AE1002&lt;&gt;"""")),)"),45266.0)</f>
        <v>45266</v>
      </c>
      <c r="V11" s="146">
        <f>IF(U11&lt;&gt;"", SUMIF(Bets!$D:$D, U11, Bets!AE:AE), "")</f>
        <v>-6</v>
      </c>
      <c r="W11" s="162"/>
      <c r="X11" s="148"/>
      <c r="Y11" s="161" t="str">
        <f>IFERROR(__xludf.DUMMYFUNCTION("IFERROR(UNIQUE(FILTER(Bets!$D$2:$D1002, Bets!$D$2:$D1002&lt;&gt;"""", Bets!AF2:AF1002&lt;&gt;"""")),)"),"")</f>
        <v/>
      </c>
      <c r="Z11" s="146" t="str">
        <f>IF(Y11&lt;&gt;"", SUMIF(Bets!$D:$D, Y11, Bets!AF:AF), "")</f>
        <v/>
      </c>
      <c r="AA11" s="162"/>
      <c r="AB11" s="148"/>
      <c r="AC11" s="161" t="str">
        <f>IFERROR(__xludf.DUMMYFUNCTION("IFERROR(UNIQUE(FILTER(Bets!$D$2:$D1002, Bets!$D$2:$D1002&lt;&gt;"""", Bets!AG2:AG1002&lt;&gt;"""")),)"),"")</f>
        <v/>
      </c>
      <c r="AD11" s="146" t="str">
        <f>IF(AC11&lt;&gt;"", SUMIF(Bets!$D:$D, AC11, Bets!AG:AG), "")</f>
        <v/>
      </c>
      <c r="AE11" s="162"/>
      <c r="AF11" s="148"/>
    </row>
    <row r="12">
      <c r="A12" s="161">
        <f>IFERROR(__xludf.DUMMYFUNCTION("""COMPUTED_VALUE"""),46061.0)</f>
        <v>46061</v>
      </c>
      <c r="B12" s="146">
        <f>IF(A12&lt;&gt;"", SUMIF(Bets!$D:$D, A12, Bets!Z:Z), "")</f>
        <v>-19.5</v>
      </c>
      <c r="C12" s="162"/>
      <c r="D12" s="148"/>
      <c r="E12" s="161">
        <f>IFERROR(__xludf.DUMMYFUNCTION("""COMPUTED_VALUE"""),45977.0)</f>
        <v>45977</v>
      </c>
      <c r="F12" s="146">
        <f>IF(E12&lt;&gt;"", SUMIF(Bets!$D:$D, E12, Bets!AB:AB), "")</f>
        <v>-3</v>
      </c>
      <c r="G12" s="162"/>
      <c r="H12" s="148"/>
      <c r="I12" s="161">
        <f>IFERROR(__xludf.DUMMYFUNCTION("""COMPUTED_VALUE"""),46061.0)</f>
        <v>46061</v>
      </c>
      <c r="J12" s="146">
        <f>IF(I12&lt;&gt;"", SUMIF(Bets!$D:$D, I12, Bets!AA:AA), "")</f>
        <v>-44</v>
      </c>
      <c r="K12" s="162"/>
      <c r="L12" s="148"/>
      <c r="M12" s="161">
        <f>IFERROR(__xludf.DUMMYFUNCTION("""COMPUTED_VALUE"""),45541.0)</f>
        <v>45541</v>
      </c>
      <c r="N12" s="146">
        <f>IF(M12&lt;&gt;"", SUMIF(Bets!$D:$D, M12, Bets!AC:AC), "")</f>
        <v>4.153333333</v>
      </c>
      <c r="O12" s="162"/>
      <c r="P12" s="148"/>
      <c r="Q12" s="161">
        <f>IFERROR(__xludf.DUMMYFUNCTION("""COMPUTED_VALUE"""),45904.0)</f>
        <v>45904</v>
      </c>
      <c r="R12" s="146">
        <f>IF(Q12&lt;&gt;"", SUMIF(Bets!$D:$D, Q12, Bets!AD:AD), "")</f>
        <v>-2</v>
      </c>
      <c r="S12" s="162"/>
      <c r="T12" s="148"/>
      <c r="U12" s="161">
        <f>IFERROR(__xludf.DUMMYFUNCTION("""COMPUTED_VALUE"""),45333.0)</f>
        <v>45333</v>
      </c>
      <c r="V12" s="146">
        <f>IF(U12&lt;&gt;"", SUMIF(Bets!$D:$D, U12, Bets!AE:AE), "")</f>
        <v>-3.3375</v>
      </c>
      <c r="W12" s="162"/>
      <c r="X12" s="148"/>
      <c r="Y12" s="161"/>
      <c r="Z12" s="146" t="str">
        <f>IF(Y12&lt;&gt;"", SUMIF(Bets!$D:$D, Y12, Bets!AF:AF), "")</f>
        <v/>
      </c>
      <c r="AA12" s="162"/>
      <c r="AB12" s="148"/>
      <c r="AC12" s="161"/>
      <c r="AD12" s="146" t="str">
        <f>IF(AC12&lt;&gt;"", SUMIF(Bets!$D:$D, AC12, Bets!AG:AG), "")</f>
        <v/>
      </c>
      <c r="AE12" s="162"/>
      <c r="AF12" s="148"/>
    </row>
    <row r="13">
      <c r="A13" s="161">
        <f>IFERROR(__xludf.DUMMYFUNCTION("""COMPUTED_VALUE"""),46025.0)</f>
        <v>46025</v>
      </c>
      <c r="B13" s="146">
        <f>IF(A13&lt;&gt;"", SUMIF(Bets!$D:$D, A13, Bets!Z:Z), "")</f>
        <v>-12</v>
      </c>
      <c r="C13" s="162"/>
      <c r="D13" s="148"/>
      <c r="E13" s="161">
        <f>IFERROR(__xludf.DUMMYFUNCTION("""COMPUTED_VALUE"""),45963.0)</f>
        <v>45963</v>
      </c>
      <c r="F13" s="146">
        <f>IF(E13&lt;&gt;"", SUMIF(Bets!$D:$D, E13, Bets!AB:AB), "")</f>
        <v>-8.5</v>
      </c>
      <c r="G13" s="162"/>
      <c r="H13" s="148"/>
      <c r="I13" s="161">
        <f>IFERROR(__xludf.DUMMYFUNCTION("""COMPUTED_VALUE"""),46025.0)</f>
        <v>46025</v>
      </c>
      <c r="J13" s="146">
        <f>IF(I13&lt;&gt;"", SUMIF(Bets!$D:$D, I13, Bets!AA:AA), "")</f>
        <v>-14</v>
      </c>
      <c r="K13" s="162"/>
      <c r="L13" s="148"/>
      <c r="M13" s="161">
        <f>IFERROR(__xludf.DUMMYFUNCTION("""COMPUTED_VALUE"""),45540.0)</f>
        <v>45540</v>
      </c>
      <c r="N13" s="146">
        <f>IF(M13&lt;&gt;"", SUMIF(Bets!$D:$D, M13, Bets!AC:AC), "")</f>
        <v>-2.28</v>
      </c>
      <c r="O13" s="162"/>
      <c r="P13" s="148"/>
      <c r="Q13" s="161">
        <f>IFERROR(__xludf.DUMMYFUNCTION("""COMPUTED_VALUE"""),45941.0)</f>
        <v>45941</v>
      </c>
      <c r="R13" s="146">
        <f>IF(Q13&lt;&gt;"", SUMIF(Bets!$D:$D, Q13, Bets!AD:AD), "")</f>
        <v>-3</v>
      </c>
      <c r="S13" s="162"/>
      <c r="T13" s="148"/>
      <c r="U13" s="161">
        <f>IFERROR(__xludf.DUMMYFUNCTION("""COMPUTED_VALUE"""),45908.0)</f>
        <v>45908</v>
      </c>
      <c r="V13" s="146">
        <f>IF(U13&lt;&gt;"", SUMIF(Bets!$D:$D, U13, Bets!AE:AE), "")</f>
        <v>-1.66</v>
      </c>
      <c r="W13" s="162"/>
      <c r="X13" s="148"/>
      <c r="Y13" s="161"/>
      <c r="Z13" s="146" t="str">
        <f>IF(Y13&lt;&gt;"", SUMIF(Bets!$D:$D, Y13, Bets!AF:AF), "")</f>
        <v/>
      </c>
      <c r="AA13" s="162"/>
      <c r="AB13" s="148"/>
      <c r="AC13" s="161"/>
      <c r="AD13" s="146" t="str">
        <f>IF(AC13&lt;&gt;"", SUMIF(Bets!$D:$D, AC13, Bets!AG:AG), "")</f>
        <v/>
      </c>
      <c r="AE13" s="162"/>
      <c r="AF13" s="148"/>
    </row>
    <row r="14">
      <c r="A14" s="161">
        <f>IFERROR(__xludf.DUMMYFUNCTION("""COMPUTED_VALUE"""),46019.0)</f>
        <v>46019</v>
      </c>
      <c r="B14" s="146">
        <f>IF(A14&lt;&gt;"", SUMIF(Bets!$D:$D, A14, Bets!Z:Z), "")</f>
        <v>11.938</v>
      </c>
      <c r="C14" s="162"/>
      <c r="D14" s="148"/>
      <c r="E14" s="161">
        <f>IFERROR(__xludf.DUMMYFUNCTION("""COMPUTED_VALUE"""),45333.0)</f>
        <v>45333</v>
      </c>
      <c r="F14" s="146">
        <f>IF(E14&lt;&gt;"", SUMIF(Bets!$D:$D, E14, Bets!AB:AB), "")</f>
        <v>-1</v>
      </c>
      <c r="G14" s="162"/>
      <c r="H14" s="148"/>
      <c r="I14" s="161">
        <f>IFERROR(__xludf.DUMMYFUNCTION("""COMPUTED_VALUE"""),46019.0)</f>
        <v>46019</v>
      </c>
      <c r="J14" s="146">
        <f>IF(I14&lt;&gt;"", SUMIF(Bets!$D:$D, I14, Bets!AA:AA), "")</f>
        <v>10.772</v>
      </c>
      <c r="K14" s="162"/>
      <c r="L14" s="148"/>
      <c r="M14" s="161">
        <f>IFERROR(__xludf.DUMMYFUNCTION("""COMPUTED_VALUE"""),45333.0)</f>
        <v>45333</v>
      </c>
      <c r="N14" s="146">
        <f>IF(M14&lt;&gt;"", SUMIF(Bets!$D:$D, M14, Bets!AC:AC), "")</f>
        <v>-3.083863636</v>
      </c>
      <c r="O14" s="162"/>
      <c r="P14" s="148"/>
      <c r="Q14" s="161">
        <f>IFERROR(__xludf.DUMMYFUNCTION("""COMPUTED_VALUE"""),46061.0)</f>
        <v>46061</v>
      </c>
      <c r="R14" s="146">
        <f>IF(Q14&lt;&gt;"", SUMIF(Bets!$D:$D, Q14, Bets!AD:AD), "")</f>
        <v>-11.5</v>
      </c>
      <c r="S14" s="162"/>
      <c r="T14" s="148"/>
      <c r="U14" s="161"/>
      <c r="V14" s="146" t="str">
        <f>IF(U14&lt;&gt;"", SUMIF(Bets!$D:$D, U14, Bets!AE:AE), "")</f>
        <v/>
      </c>
      <c r="W14" s="162"/>
      <c r="X14" s="148"/>
      <c r="Y14" s="161"/>
      <c r="Z14" s="146" t="str">
        <f>IF(Y14&lt;&gt;"", SUMIF(Bets!$D:$D, Y14, Bets!AF:AF), "")</f>
        <v/>
      </c>
      <c r="AA14" s="162"/>
      <c r="AB14" s="148"/>
      <c r="AC14" s="161"/>
      <c r="AD14" s="146" t="str">
        <f>IF(AC14&lt;&gt;"", SUMIF(Bets!$D:$D, AC14, Bets!AG:AG), "")</f>
        <v/>
      </c>
      <c r="AE14" s="162"/>
      <c r="AF14" s="148"/>
    </row>
    <row r="15">
      <c r="A15" s="161">
        <f>IFERROR(__xludf.DUMMYFUNCTION("""COMPUTED_VALUE"""),46012.0)</f>
        <v>46012</v>
      </c>
      <c r="B15" s="146">
        <f>IF(A15&lt;&gt;"", SUMIF(Bets!$D:$D, A15, Bets!Z:Z), "")</f>
        <v>-0.352</v>
      </c>
      <c r="C15" s="162"/>
      <c r="D15" s="148"/>
      <c r="E15" s="161">
        <f>IFERROR(__xludf.DUMMYFUNCTION("""COMPUTED_VALUE"""),45322.0)</f>
        <v>45322</v>
      </c>
      <c r="F15" s="146">
        <f>IF(E15&lt;&gt;"", SUMIF(Bets!$D:$D, E15, Bets!AB:AB), "")</f>
        <v>-2</v>
      </c>
      <c r="G15" s="162"/>
      <c r="H15" s="148"/>
      <c r="I15" s="161">
        <f>IFERROR(__xludf.DUMMYFUNCTION("""COMPUTED_VALUE"""),46012.0)</f>
        <v>46012</v>
      </c>
      <c r="J15" s="146">
        <f>IF(I15&lt;&gt;"", SUMIF(Bets!$D:$D, I15, Bets!AA:AA), "")</f>
        <v>-1.028</v>
      </c>
      <c r="K15" s="162"/>
      <c r="L15" s="148"/>
      <c r="M15" s="161">
        <f>IFERROR(__xludf.DUMMYFUNCTION("""COMPUTED_VALUE"""),45269.0)</f>
        <v>45269</v>
      </c>
      <c r="N15" s="146">
        <f>IF(M15&lt;&gt;"", SUMIF(Bets!$D:$D, M15, Bets!AC:AC), "")</f>
        <v>-7.5</v>
      </c>
      <c r="O15" s="162"/>
      <c r="P15" s="148"/>
      <c r="Q15" s="161"/>
      <c r="R15" s="146" t="str">
        <f>IF(Q15&lt;&gt;"", SUMIF(Bets!$D:$D, Q15, Bets!AD:AD), "")</f>
        <v/>
      </c>
      <c r="S15" s="162"/>
      <c r="T15" s="148"/>
      <c r="U15" s="161"/>
      <c r="V15" s="146" t="str">
        <f>IF(U15&lt;&gt;"", SUMIF(Bets!$D:$D, U15, Bets!AE:AE), "")</f>
        <v/>
      </c>
      <c r="W15" s="162"/>
      <c r="X15" s="148"/>
      <c r="Y15" s="161"/>
      <c r="Z15" s="146" t="str">
        <f>IF(Y15&lt;&gt;"", SUMIF(Bets!$D:$D, Y15, Bets!AF:AF), "")</f>
        <v/>
      </c>
      <c r="AA15" s="162"/>
      <c r="AB15" s="148"/>
      <c r="AC15" s="161"/>
      <c r="AD15" s="146" t="str">
        <f>IF(AC15&lt;&gt;"", SUMIF(Bets!$D:$D, AC15, Bets!AG:AG), "")</f>
        <v/>
      </c>
      <c r="AE15" s="162"/>
      <c r="AF15" s="148"/>
    </row>
    <row r="16">
      <c r="A16" s="161">
        <f>IFERROR(__xludf.DUMMYFUNCTION("""COMPUTED_VALUE"""),46009.0)</f>
        <v>46009</v>
      </c>
      <c r="B16" s="146">
        <f>IF(A16&lt;&gt;"", SUMIF(Bets!$D:$D, A16, Bets!Z:Z), "")</f>
        <v>9.93</v>
      </c>
      <c r="C16" s="162"/>
      <c r="D16" s="148"/>
      <c r="E16" s="161">
        <f>IFERROR(__xludf.DUMMYFUNCTION("""COMPUTED_VALUE"""),45319.0)</f>
        <v>45319</v>
      </c>
      <c r="F16" s="146">
        <f>IF(E16&lt;&gt;"", SUMIF(Bets!$D:$D, E16, Bets!AB:AB), "")</f>
        <v>2.794</v>
      </c>
      <c r="G16" s="162"/>
      <c r="H16" s="148"/>
      <c r="I16" s="161">
        <f>IFERROR(__xludf.DUMMYFUNCTION("""COMPUTED_VALUE"""),46009.0)</f>
        <v>46009</v>
      </c>
      <c r="J16" s="146">
        <f>IF(I16&lt;&gt;"", SUMIF(Bets!$D:$D, I16, Bets!AA:AA), "")</f>
        <v>19.86</v>
      </c>
      <c r="K16" s="162"/>
      <c r="L16" s="148"/>
      <c r="M16" s="161">
        <f>IFERROR(__xludf.DUMMYFUNCTION("""COMPUTED_VALUE"""),45264.0)</f>
        <v>45264</v>
      </c>
      <c r="N16" s="146">
        <f>IF(M16&lt;&gt;"", SUMIF(Bets!$D:$D, M16, Bets!AC:AC), "")</f>
        <v>-3</v>
      </c>
      <c r="O16" s="162"/>
      <c r="P16" s="148"/>
      <c r="Q16" s="161"/>
      <c r="R16" s="146" t="str">
        <f>IF(Q16&lt;&gt;"", SUMIF(Bets!$D:$D, Q16, Bets!AD:AD), "")</f>
        <v/>
      </c>
      <c r="S16" s="162"/>
      <c r="T16" s="148"/>
      <c r="U16" s="161"/>
      <c r="V16" s="146" t="str">
        <f>IF(U16&lt;&gt;"", SUMIF(Bets!$D:$D, U16, Bets!AE:AE), "")</f>
        <v/>
      </c>
      <c r="W16" s="162"/>
      <c r="X16" s="148"/>
      <c r="Y16" s="161"/>
      <c r="Z16" s="146" t="str">
        <f>IF(Y16&lt;&gt;"", SUMIF(Bets!$D:$D, Y16, Bets!AF:AF), "")</f>
        <v/>
      </c>
      <c r="AA16" s="162"/>
      <c r="AB16" s="148"/>
      <c r="AC16" s="161"/>
      <c r="AD16" s="146" t="str">
        <f>IF(AC16&lt;&gt;"", SUMIF(Bets!$D:$D, AC16, Bets!AG:AG), "")</f>
        <v/>
      </c>
      <c r="AE16" s="162"/>
      <c r="AF16" s="148"/>
    </row>
    <row r="17">
      <c r="A17" s="161">
        <f>IFERROR(__xludf.DUMMYFUNCTION("""COMPUTED_VALUE"""),45984.0)</f>
        <v>45984</v>
      </c>
      <c r="B17" s="146">
        <f>IF(A17&lt;&gt;"", SUMIF(Bets!$D:$D, A17, Bets!Z:Z), "")</f>
        <v>-9.097714286</v>
      </c>
      <c r="C17" s="162"/>
      <c r="D17" s="148"/>
      <c r="E17" s="161">
        <f>IFERROR(__xludf.DUMMYFUNCTION("""COMPUTED_VALUE"""),45317.0)</f>
        <v>45317</v>
      </c>
      <c r="F17" s="146">
        <f>IF(E17&lt;&gt;"", SUMIF(Bets!$D:$D, E17, Bets!AB:AB), "")</f>
        <v>-1</v>
      </c>
      <c r="G17" s="162"/>
      <c r="H17" s="148"/>
      <c r="I17" s="161">
        <f>IFERROR(__xludf.DUMMYFUNCTION("""COMPUTED_VALUE"""),45984.0)</f>
        <v>45984</v>
      </c>
      <c r="J17" s="146">
        <f>IF(I17&lt;&gt;"", SUMIF(Bets!$D:$D, I17, Bets!AA:AA), "")</f>
        <v>1.607714286</v>
      </c>
      <c r="K17" s="162"/>
      <c r="L17" s="148"/>
      <c r="M17" s="161">
        <f>IFERROR(__xludf.DUMMYFUNCTION("""COMPUTED_VALUE"""),45263.0)</f>
        <v>45263</v>
      </c>
      <c r="N17" s="146">
        <f>IF(M17&lt;&gt;"", SUMIF(Bets!$D:$D, M17, Bets!AC:AC), "")</f>
        <v>-2.5</v>
      </c>
      <c r="O17" s="162"/>
      <c r="P17" s="148"/>
      <c r="Q17" s="161"/>
      <c r="R17" s="146" t="str">
        <f>IF(Q17&lt;&gt;"", SUMIF(Bets!$D:$D, Q17, Bets!AD:AD), "")</f>
        <v/>
      </c>
      <c r="S17" s="162"/>
      <c r="T17" s="148"/>
      <c r="U17" s="161"/>
      <c r="V17" s="146" t="str">
        <f>IF(U17&lt;&gt;"", SUMIF(Bets!$D:$D, U17, Bets!AE:AE), "")</f>
        <v/>
      </c>
      <c r="W17" s="162"/>
      <c r="X17" s="148"/>
      <c r="Y17" s="161"/>
      <c r="Z17" s="146" t="str">
        <f>IF(Y17&lt;&gt;"", SUMIF(Bets!$D:$D, Y17, Bets!AF:AF), "")</f>
        <v/>
      </c>
      <c r="AA17" s="162"/>
      <c r="AB17" s="148"/>
      <c r="AC17" s="161"/>
      <c r="AD17" s="146" t="str">
        <f>IF(AC17&lt;&gt;"", SUMIF(Bets!$D:$D, AC17, Bets!AG:AG), "")</f>
        <v/>
      </c>
      <c r="AE17" s="162"/>
      <c r="AF17" s="148"/>
    </row>
    <row r="18">
      <c r="A18" s="161">
        <f>IFERROR(__xludf.DUMMYFUNCTION("""COMPUTED_VALUE"""),45981.0)</f>
        <v>45981</v>
      </c>
      <c r="B18" s="146">
        <f>IF(A18&lt;&gt;"", SUMIF(Bets!$D:$D, A18, Bets!Z:Z), "")</f>
        <v>-3</v>
      </c>
      <c r="C18" s="162"/>
      <c r="D18" s="148"/>
      <c r="E18" s="161">
        <f>IFERROR(__xludf.DUMMYFUNCTION("""COMPUTED_VALUE"""),45316.0)</f>
        <v>45316</v>
      </c>
      <c r="F18" s="146">
        <f>IF(E18&lt;&gt;"", SUMIF(Bets!$D:$D, E18, Bets!AB:AB), "")</f>
        <v>-3</v>
      </c>
      <c r="G18" s="162"/>
      <c r="H18" s="148"/>
      <c r="I18" s="161">
        <f>IFERROR(__xludf.DUMMYFUNCTION("""COMPUTED_VALUE"""),45981.0)</f>
        <v>45981</v>
      </c>
      <c r="J18" s="146">
        <f>IF(I18&lt;&gt;"", SUMIF(Bets!$D:$D, I18, Bets!AA:AA), "")</f>
        <v>-3</v>
      </c>
      <c r="K18" s="162"/>
      <c r="L18" s="148"/>
      <c r="M18" s="161">
        <f>IFERROR(__xludf.DUMMYFUNCTION("""COMPUTED_VALUE"""),45250.0)</f>
        <v>45250</v>
      </c>
      <c r="N18" s="146">
        <f>IF(M18&lt;&gt;"", SUMIF(Bets!$D:$D, M18, Bets!AC:AC), "")</f>
        <v>-5</v>
      </c>
      <c r="O18" s="162"/>
      <c r="P18" s="148"/>
      <c r="Q18" s="161"/>
      <c r="R18" s="146" t="str">
        <f>IF(Q18&lt;&gt;"", SUMIF(Bets!$D:$D, Q18, Bets!AD:AD), "")</f>
        <v/>
      </c>
      <c r="S18" s="162"/>
      <c r="T18" s="148"/>
      <c r="U18" s="161"/>
      <c r="V18" s="146" t="str">
        <f>IF(U18&lt;&gt;"", SUMIF(Bets!$D:$D, U18, Bets!AE:AE), "")</f>
        <v/>
      </c>
      <c r="W18" s="162"/>
      <c r="X18" s="148"/>
      <c r="Y18" s="161"/>
      <c r="Z18" s="146" t="str">
        <f>IF(Y18&lt;&gt;"", SUMIF(Bets!$D:$D, Y18, Bets!AF:AF), "")</f>
        <v/>
      </c>
      <c r="AA18" s="162"/>
      <c r="AB18" s="148"/>
      <c r="AC18" s="161"/>
      <c r="AD18" s="146" t="str">
        <f>IF(AC18&lt;&gt;"", SUMIF(Bets!$D:$D, AC18, Bets!AG:AG), "")</f>
        <v/>
      </c>
      <c r="AE18" s="162"/>
      <c r="AF18" s="148"/>
    </row>
    <row r="19">
      <c r="A19" s="161">
        <f>IFERROR(__xludf.DUMMYFUNCTION("""COMPUTED_VALUE"""),45977.0)</f>
        <v>45977</v>
      </c>
      <c r="B19" s="146">
        <f>IF(A19&lt;&gt;"", SUMIF(Bets!$D:$D, A19, Bets!Z:Z), "")</f>
        <v>-4.744</v>
      </c>
      <c r="C19" s="162"/>
      <c r="D19" s="148"/>
      <c r="E19" s="161">
        <f>IFERROR(__xludf.DUMMYFUNCTION("""COMPUTED_VALUE"""),45314.0)</f>
        <v>45314</v>
      </c>
      <c r="F19" s="146">
        <f>IF(E19&lt;&gt;"", SUMIF(Bets!$D:$D, E19, Bets!AB:AB), "")</f>
        <v>1.443333333</v>
      </c>
      <c r="G19" s="162"/>
      <c r="H19" s="148"/>
      <c r="I19" s="161">
        <f>IFERROR(__xludf.DUMMYFUNCTION("""COMPUTED_VALUE"""),45977.0)</f>
        <v>45977</v>
      </c>
      <c r="J19" s="146">
        <f>IF(I19&lt;&gt;"", SUMIF(Bets!$D:$D, I19, Bets!AA:AA), "")</f>
        <v>-3.616</v>
      </c>
      <c r="K19" s="162"/>
      <c r="L19" s="148"/>
      <c r="M19" s="161">
        <f>IFERROR(__xludf.DUMMYFUNCTION("""COMPUTED_VALUE"""),45242.0)</f>
        <v>45242</v>
      </c>
      <c r="N19" s="146">
        <f>IF(M19&lt;&gt;"", SUMIF(Bets!$D:$D, M19, Bets!AC:AC), "")</f>
        <v>-10</v>
      </c>
      <c r="O19" s="162"/>
      <c r="P19" s="148"/>
      <c r="Q19" s="161"/>
      <c r="R19" s="146" t="str">
        <f>IF(Q19&lt;&gt;"", SUMIF(Bets!$D:$D, Q19, Bets!AD:AD), "")</f>
        <v/>
      </c>
      <c r="S19" s="162"/>
      <c r="T19" s="148"/>
      <c r="U19" s="161"/>
      <c r="V19" s="146" t="str">
        <f>IF(U19&lt;&gt;"", SUMIF(Bets!$D:$D, U19, Bets!AE:AE), "")</f>
        <v/>
      </c>
      <c r="W19" s="162"/>
      <c r="X19" s="148"/>
      <c r="Y19" s="161"/>
      <c r="Z19" s="146" t="str">
        <f>IF(Y19&lt;&gt;"", SUMIF(Bets!$D:$D, Y19, Bets!AF:AF), "")</f>
        <v/>
      </c>
      <c r="AA19" s="162"/>
      <c r="AB19" s="148"/>
      <c r="AC19" s="161"/>
      <c r="AD19" s="146" t="str">
        <f>IF(AC19&lt;&gt;"", SUMIF(Bets!$D:$D, AC19, Bets!AG:AG), "")</f>
        <v/>
      </c>
      <c r="AE19" s="162"/>
      <c r="AF19" s="148"/>
    </row>
    <row r="20">
      <c r="A20" s="161">
        <f>IFERROR(__xludf.DUMMYFUNCTION("""COMPUTED_VALUE"""),45974.0)</f>
        <v>45974</v>
      </c>
      <c r="B20" s="146">
        <f>IF(A20&lt;&gt;"", SUMIF(Bets!$D:$D, A20, Bets!Z:Z), "")</f>
        <v>2.816</v>
      </c>
      <c r="C20" s="162"/>
      <c r="D20" s="148"/>
      <c r="E20" s="161">
        <f>IFERROR(__xludf.DUMMYFUNCTION("""COMPUTED_VALUE"""),45313.0)</f>
        <v>45313</v>
      </c>
      <c r="F20" s="146">
        <f>IF(E20&lt;&gt;"", SUMIF(Bets!$D:$D, E20, Bets!AB:AB), "")</f>
        <v>2.458</v>
      </c>
      <c r="G20" s="162"/>
      <c r="H20" s="148"/>
      <c r="I20" s="161">
        <f>IFERROR(__xludf.DUMMYFUNCTION("""COMPUTED_VALUE"""),45974.0)</f>
        <v>45974</v>
      </c>
      <c r="J20" s="146">
        <f>IF(I20&lt;&gt;"", SUMIF(Bets!$D:$D, I20, Bets!AA:AA), "")</f>
        <v>4.224</v>
      </c>
      <c r="K20" s="162"/>
      <c r="L20" s="148"/>
      <c r="M20" s="161"/>
      <c r="N20" s="146" t="str">
        <f>IF(M20&lt;&gt;"", SUMIF(Bets!$D:$D, M20, Bets!AC:AC), "")</f>
        <v/>
      </c>
      <c r="O20" s="162"/>
      <c r="P20" s="148"/>
      <c r="Q20" s="161"/>
      <c r="R20" s="146" t="str">
        <f>IF(Q20&lt;&gt;"", SUMIF(Bets!$D:$D, Q20, Bets!AD:AD), "")</f>
        <v/>
      </c>
      <c r="S20" s="162"/>
      <c r="T20" s="148"/>
      <c r="U20" s="161"/>
      <c r="V20" s="146" t="str">
        <f>IF(U20&lt;&gt;"", SUMIF(Bets!$D:$D, U20, Bets!AE:AE), "")</f>
        <v/>
      </c>
      <c r="W20" s="162"/>
      <c r="X20" s="148"/>
      <c r="Y20" s="161"/>
      <c r="Z20" s="146" t="str">
        <f>IF(Y20&lt;&gt;"", SUMIF(Bets!$D:$D, Y20, Bets!AF:AF), "")</f>
        <v/>
      </c>
      <c r="AA20" s="162"/>
      <c r="AB20" s="148"/>
      <c r="AC20" s="161"/>
      <c r="AD20" s="146" t="str">
        <f>IF(AC20&lt;&gt;"", SUMIF(Bets!$D:$D, AC20, Bets!AG:AG), "")</f>
        <v/>
      </c>
      <c r="AE20" s="162"/>
      <c r="AF20" s="148"/>
    </row>
    <row r="21">
      <c r="A21" s="161">
        <f>IFERROR(__xludf.DUMMYFUNCTION("""COMPUTED_VALUE"""),45971.0)</f>
        <v>45971</v>
      </c>
      <c r="B21" s="146">
        <f>IF(A21&lt;&gt;"", SUMIF(Bets!$D:$D, A21, Bets!Z:Z), "")</f>
        <v>-4</v>
      </c>
      <c r="C21" s="162"/>
      <c r="D21" s="148"/>
      <c r="E21" s="161">
        <f>IFERROR(__xludf.DUMMYFUNCTION("""COMPUTED_VALUE"""),45312.0)</f>
        <v>45312</v>
      </c>
      <c r="F21" s="146">
        <f>IF(E21&lt;&gt;"", SUMIF(Bets!$D:$D, E21, Bets!AB:AB), "")</f>
        <v>2.443333333</v>
      </c>
      <c r="G21" s="162"/>
      <c r="H21" s="148"/>
      <c r="I21" s="161">
        <f>IFERROR(__xludf.DUMMYFUNCTION("""COMPUTED_VALUE"""),45971.0)</f>
        <v>45971</v>
      </c>
      <c r="J21" s="146">
        <f>IF(I21&lt;&gt;"", SUMIF(Bets!$D:$D, I21, Bets!AA:AA), "")</f>
        <v>-4</v>
      </c>
      <c r="K21" s="162"/>
      <c r="L21" s="148"/>
      <c r="M21" s="161"/>
      <c r="N21" s="146" t="str">
        <f>IF(M21&lt;&gt;"", SUMIF(Bets!$D:$D, M21, Bets!AC:AC), "")</f>
        <v/>
      </c>
      <c r="O21" s="162"/>
      <c r="P21" s="148"/>
      <c r="Q21" s="161"/>
      <c r="R21" s="146" t="str">
        <f>IF(Q21&lt;&gt;"", SUMIF(Bets!$D:$D, Q21, Bets!AD:AD), "")</f>
        <v/>
      </c>
      <c r="S21" s="162"/>
      <c r="T21" s="148"/>
      <c r="U21" s="161"/>
      <c r="V21" s="146" t="str">
        <f>IF(U21&lt;&gt;"", SUMIF(Bets!$D:$D, U21, Bets!AE:AE), "")</f>
        <v/>
      </c>
      <c r="W21" s="162"/>
      <c r="X21" s="148"/>
      <c r="Y21" s="161"/>
      <c r="Z21" s="146" t="str">
        <f>IF(Y21&lt;&gt;"", SUMIF(Bets!$D:$D, Y21, Bets!AF:AF), "")</f>
        <v/>
      </c>
      <c r="AA21" s="162"/>
      <c r="AB21" s="148"/>
      <c r="AC21" s="161"/>
      <c r="AD21" s="146" t="str">
        <f>IF(AC21&lt;&gt;"", SUMIF(Bets!$D:$D, AC21, Bets!AG:AG), "")</f>
        <v/>
      </c>
      <c r="AE21" s="162"/>
      <c r="AF21" s="148"/>
    </row>
    <row r="22">
      <c r="A22" s="161">
        <f>IFERROR(__xludf.DUMMYFUNCTION("""COMPUTED_VALUE"""),45970.0)</f>
        <v>45970</v>
      </c>
      <c r="B22" s="146">
        <f>IF(A22&lt;&gt;"", SUMIF(Bets!$D:$D, A22, Bets!Z:Z), "")</f>
        <v>-0.648</v>
      </c>
      <c r="C22" s="162"/>
      <c r="D22" s="148"/>
      <c r="E22" s="161">
        <f>IFERROR(__xludf.DUMMYFUNCTION("""COMPUTED_VALUE"""),45311.0)</f>
        <v>45311</v>
      </c>
      <c r="F22" s="146">
        <f>IF(E22&lt;&gt;"", SUMIF(Bets!$D:$D, E22, Bets!AB:AB), "")</f>
        <v>-4.643333333</v>
      </c>
      <c r="G22" s="162"/>
      <c r="H22" s="148"/>
      <c r="I22" s="161">
        <f>IFERROR(__xludf.DUMMYFUNCTION("""COMPUTED_VALUE"""),45970.0)</f>
        <v>45970</v>
      </c>
      <c r="J22" s="146">
        <f>IF(I22&lt;&gt;"", SUMIF(Bets!$D:$D, I22, Bets!AA:AA), "")</f>
        <v>-0.972</v>
      </c>
      <c r="K22" s="162"/>
      <c r="L22" s="148"/>
      <c r="M22" s="161"/>
      <c r="N22" s="146" t="str">
        <f>IF(M22&lt;&gt;"", SUMIF(Bets!$D:$D, M22, Bets!AC:AC), "")</f>
        <v/>
      </c>
      <c r="O22" s="162"/>
      <c r="P22" s="148"/>
      <c r="Q22" s="161"/>
      <c r="R22" s="146" t="str">
        <f>IF(Q22&lt;&gt;"", SUMIF(Bets!$D:$D, Q22, Bets!AD:AD), "")</f>
        <v/>
      </c>
      <c r="S22" s="162"/>
      <c r="T22" s="148"/>
      <c r="U22" s="161"/>
      <c r="V22" s="146" t="str">
        <f>IF(U22&lt;&gt;"", SUMIF(Bets!$D:$D, U22, Bets!AE:AE), "")</f>
        <v/>
      </c>
      <c r="W22" s="162"/>
      <c r="X22" s="148"/>
      <c r="Y22" s="161"/>
      <c r="Z22" s="146" t="str">
        <f>IF(Y22&lt;&gt;"", SUMIF(Bets!$D:$D, Y22, Bets!AF:AF), "")</f>
        <v/>
      </c>
      <c r="AA22" s="162"/>
      <c r="AB22" s="148"/>
      <c r="AC22" s="161"/>
      <c r="AD22" s="146" t="str">
        <f>IF(AC22&lt;&gt;"", SUMIF(Bets!$D:$D, AC22, Bets!AG:AG), "")</f>
        <v/>
      </c>
      <c r="AE22" s="162"/>
      <c r="AF22" s="148"/>
    </row>
    <row r="23">
      <c r="A23" s="161">
        <f>IFERROR(__xludf.DUMMYFUNCTION("""COMPUTED_VALUE"""),45967.0)</f>
        <v>45967</v>
      </c>
      <c r="B23" s="146">
        <f>IF(A23&lt;&gt;"", SUMIF(Bets!$D:$D, A23, Bets!Z:Z), "")</f>
        <v>-6</v>
      </c>
      <c r="C23" s="162"/>
      <c r="D23" s="148"/>
      <c r="E23" s="161">
        <f>IFERROR(__xludf.DUMMYFUNCTION("""COMPUTED_VALUE"""),45308.0)</f>
        <v>45308</v>
      </c>
      <c r="F23" s="146">
        <f>IF(E23&lt;&gt;"", SUMIF(Bets!$D:$D, E23, Bets!AB:AB), "")</f>
        <v>1.835</v>
      </c>
      <c r="G23" s="162"/>
      <c r="H23" s="148"/>
      <c r="I23" s="161">
        <f>IFERROR(__xludf.DUMMYFUNCTION("""COMPUTED_VALUE"""),45967.0)</f>
        <v>45967</v>
      </c>
      <c r="J23" s="146">
        <f>IF(I23&lt;&gt;"", SUMIF(Bets!$D:$D, I23, Bets!AA:AA), "")</f>
        <v>-6</v>
      </c>
      <c r="K23" s="162"/>
      <c r="L23" s="148"/>
      <c r="M23" s="161"/>
      <c r="N23" s="146"/>
      <c r="O23" s="162"/>
      <c r="P23" s="148"/>
      <c r="Q23" s="161"/>
      <c r="R23" s="146" t="str">
        <f>IF(Q23&lt;&gt;"", SUMIF(Bets!$D:$D, Q23, Bets!AD:AD), "")</f>
        <v/>
      </c>
      <c r="S23" s="162"/>
      <c r="T23" s="148"/>
      <c r="U23" s="161"/>
      <c r="V23" s="146" t="str">
        <f>IF(U23&lt;&gt;"", SUMIF(Bets!$D:$D, U23, Bets!AE:AE), "")</f>
        <v/>
      </c>
      <c r="W23" s="162"/>
      <c r="X23" s="148"/>
      <c r="Y23" s="161"/>
      <c r="Z23" s="146" t="str">
        <f>IF(Y23&lt;&gt;"", SUMIF(Bets!$D:$D, Y23, Bets!AF:AF), "")</f>
        <v/>
      </c>
      <c r="AA23" s="162"/>
      <c r="AB23" s="148"/>
      <c r="AC23" s="161"/>
      <c r="AD23" s="146" t="str">
        <f>IF(AC23&lt;&gt;"", SUMIF(Bets!$D:$D, AC23, Bets!AG:AG), "")</f>
        <v/>
      </c>
      <c r="AE23" s="162"/>
      <c r="AF23" s="148"/>
    </row>
    <row r="24">
      <c r="A24" s="161">
        <f>IFERROR(__xludf.DUMMYFUNCTION("""COMPUTED_VALUE"""),45964.0)</f>
        <v>45964</v>
      </c>
      <c r="B24" s="146">
        <f>IF(A24&lt;&gt;"", SUMIF(Bets!$D:$D, A24, Bets!Z:Z), "")</f>
        <v>0.984</v>
      </c>
      <c r="C24" s="162"/>
      <c r="D24" s="148"/>
      <c r="E24" s="161">
        <f>IFERROR(__xludf.DUMMYFUNCTION("""COMPUTED_VALUE"""),45307.0)</f>
        <v>45307</v>
      </c>
      <c r="F24" s="146">
        <f>IF(E24&lt;&gt;"", SUMIF(Bets!$D:$D, E24, Bets!AB:AB), "")</f>
        <v>0.454</v>
      </c>
      <c r="G24" s="162"/>
      <c r="H24" s="148"/>
      <c r="I24" s="161">
        <f>IFERROR(__xludf.DUMMYFUNCTION("""COMPUTED_VALUE"""),45964.0)</f>
        <v>45964</v>
      </c>
      <c r="J24" s="146">
        <f>IF(I24&lt;&gt;"", SUMIF(Bets!$D:$D, I24, Bets!AA:AA), "")</f>
        <v>0.976</v>
      </c>
      <c r="K24" s="162"/>
      <c r="L24" s="148"/>
      <c r="M24" s="161"/>
      <c r="N24" s="146"/>
      <c r="O24" s="162"/>
      <c r="P24" s="148"/>
      <c r="Q24" s="161"/>
      <c r="R24" s="146" t="str">
        <f>IF(Q24&lt;&gt;"", SUMIF(Bets!$D:$D, Q24, Bets!AD:AD), "")</f>
        <v/>
      </c>
      <c r="S24" s="162"/>
      <c r="T24" s="148"/>
      <c r="U24" s="161"/>
      <c r="V24" s="146" t="str">
        <f>IF(U24&lt;&gt;"", SUMIF(Bets!$D:$D, U24, Bets!AE:AE), "")</f>
        <v/>
      </c>
      <c r="W24" s="162"/>
      <c r="X24" s="148"/>
      <c r="Y24" s="161"/>
      <c r="Z24" s="146" t="str">
        <f>IF(Y24&lt;&gt;"", SUMIF(Bets!$D:$D, Y24, Bets!AF:AF), "")</f>
        <v/>
      </c>
      <c r="AA24" s="162"/>
      <c r="AB24" s="148"/>
      <c r="AC24" s="161"/>
      <c r="AD24" s="146" t="str">
        <f>IF(AC24&lt;&gt;"", SUMIF(Bets!$D:$D, AC24, Bets!AG:AG), "")</f>
        <v/>
      </c>
      <c r="AE24" s="162"/>
      <c r="AF24" s="148"/>
    </row>
    <row r="25">
      <c r="A25" s="161">
        <f>IFERROR(__xludf.DUMMYFUNCTION("""COMPUTED_VALUE"""),45963.0)</f>
        <v>45963</v>
      </c>
      <c r="B25" s="146">
        <f>IF(A25&lt;&gt;"", SUMIF(Bets!$D:$D, A25, Bets!Z:Z), "")</f>
        <v>-10</v>
      </c>
      <c r="C25" s="162"/>
      <c r="D25" s="148"/>
      <c r="E25" s="161">
        <f>IFERROR(__xludf.DUMMYFUNCTION("""COMPUTED_VALUE"""),45306.0)</f>
        <v>45306</v>
      </c>
      <c r="F25" s="146">
        <f>IF(E25&lt;&gt;"", SUMIF(Bets!$D:$D, E25, Bets!AB:AB), "")</f>
        <v>-3.01</v>
      </c>
      <c r="G25" s="162"/>
      <c r="H25" s="148"/>
      <c r="I25" s="161">
        <f>IFERROR(__xludf.DUMMYFUNCTION("""COMPUTED_VALUE"""),45963.0)</f>
        <v>45963</v>
      </c>
      <c r="J25" s="146">
        <f>IF(I25&lt;&gt;"", SUMIF(Bets!$D:$D, I25, Bets!AA:AA), "")</f>
        <v>-9.5</v>
      </c>
      <c r="K25" s="162"/>
      <c r="L25" s="148"/>
      <c r="M25" s="161"/>
      <c r="N25" s="146"/>
      <c r="O25" s="162"/>
      <c r="P25" s="148"/>
      <c r="Q25" s="161"/>
      <c r="R25" s="146" t="str">
        <f>IF(Q25&lt;&gt;"", SUMIF(Bets!$D:$D, Q25, Bets!AD:AD), "")</f>
        <v/>
      </c>
      <c r="S25" s="162"/>
      <c r="T25" s="148"/>
      <c r="U25" s="161"/>
      <c r="V25" s="146" t="str">
        <f>IF(U25&lt;&gt;"", SUMIF(Bets!$D:$D, U25, Bets!AE:AE), "")</f>
        <v/>
      </c>
      <c r="W25" s="162"/>
      <c r="X25" s="148"/>
      <c r="Y25" s="161"/>
      <c r="Z25" s="146" t="str">
        <f>IF(Y25&lt;&gt;"", SUMIF(Bets!$D:$D, Y25, Bets!AF:AF), "")</f>
        <v/>
      </c>
      <c r="AA25" s="162"/>
      <c r="AB25" s="148"/>
      <c r="AC25" s="161"/>
      <c r="AD25" s="146" t="str">
        <f>IF(AC25&lt;&gt;"", SUMIF(Bets!$D:$D, AC25, Bets!AG:AG), "")</f>
        <v/>
      </c>
      <c r="AE25" s="162"/>
      <c r="AF25" s="148"/>
    </row>
    <row r="26">
      <c r="A26" s="161">
        <f>IFERROR(__xludf.DUMMYFUNCTION("""COMPUTED_VALUE"""),45960.0)</f>
        <v>45960</v>
      </c>
      <c r="B26" s="146">
        <f>IF(A26&lt;&gt;"", SUMIF(Bets!$D:$D, A26, Bets!Z:Z), "")</f>
        <v>-1</v>
      </c>
      <c r="C26" s="162"/>
      <c r="D26" s="148"/>
      <c r="E26" s="161">
        <f>IFERROR(__xludf.DUMMYFUNCTION("""COMPUTED_VALUE"""),45305.0)</f>
        <v>45305</v>
      </c>
      <c r="F26" s="146">
        <f>IF(E26&lt;&gt;"", SUMIF(Bets!$D:$D, E26, Bets!AB:AB), "")</f>
        <v>-2.452941176</v>
      </c>
      <c r="G26" s="162"/>
      <c r="H26" s="148"/>
      <c r="I26" s="161">
        <f>IFERROR(__xludf.DUMMYFUNCTION("""COMPUTED_VALUE"""),45960.0)</f>
        <v>45960</v>
      </c>
      <c r="J26" s="146">
        <f>IF(I26&lt;&gt;"", SUMIF(Bets!$D:$D, I26, Bets!AA:AA), "")</f>
        <v>1</v>
      </c>
      <c r="K26" s="162"/>
      <c r="L26" s="148"/>
      <c r="M26" s="161"/>
      <c r="N26" s="146"/>
      <c r="O26" s="162"/>
      <c r="P26" s="148"/>
      <c r="Q26" s="161"/>
      <c r="R26" s="146" t="str">
        <f>IF(Q26&lt;&gt;"", SUMIF(Bets!$D:$D, Q26, Bets!AD:AD), "")</f>
        <v/>
      </c>
      <c r="S26" s="162"/>
      <c r="T26" s="148"/>
      <c r="U26" s="161"/>
      <c r="V26" s="146" t="str">
        <f>IF(U26&lt;&gt;"", SUMIF(Bets!$D:$D, U26, Bets!AE:AE), "")</f>
        <v/>
      </c>
      <c r="W26" s="162"/>
      <c r="X26" s="148"/>
      <c r="Y26" s="161"/>
      <c r="Z26" s="146" t="str">
        <f>IF(Y26&lt;&gt;"", SUMIF(Bets!$D:$D, Y26, Bets!AF:AF), "")</f>
        <v/>
      </c>
      <c r="AA26" s="162"/>
      <c r="AB26" s="148"/>
      <c r="AC26" s="161"/>
      <c r="AD26" s="146" t="str">
        <f>IF(AC26&lt;&gt;"", SUMIF(Bets!$D:$D, AC26, Bets!AG:AG), "")</f>
        <v/>
      </c>
      <c r="AE26" s="162"/>
      <c r="AF26" s="148"/>
    </row>
    <row r="27">
      <c r="A27" s="161">
        <f>IFERROR(__xludf.DUMMYFUNCTION("""COMPUTED_VALUE"""),45953.0)</f>
        <v>45953</v>
      </c>
      <c r="B27" s="146">
        <f>IF(A27&lt;&gt;"", SUMIF(Bets!$D:$D, A27, Bets!Z:Z), "")</f>
        <v>-8</v>
      </c>
      <c r="C27" s="162"/>
      <c r="D27" s="148"/>
      <c r="E27" s="161">
        <f>IFERROR(__xludf.DUMMYFUNCTION("""COMPUTED_VALUE"""),45304.0)</f>
        <v>45304</v>
      </c>
      <c r="F27" s="146">
        <f>IF(E27&lt;&gt;"", SUMIF(Bets!$D:$D, E27, Bets!AB:AB), "")</f>
        <v>-1.994615385</v>
      </c>
      <c r="G27" s="162"/>
      <c r="H27" s="148"/>
      <c r="I27" s="161">
        <f>IFERROR(__xludf.DUMMYFUNCTION("""COMPUTED_VALUE"""),45953.0)</f>
        <v>45953</v>
      </c>
      <c r="J27" s="146">
        <f>IF(I27&lt;&gt;"", SUMIF(Bets!$D:$D, I27, Bets!AA:AA), "")</f>
        <v>-12</v>
      </c>
      <c r="K27" s="162"/>
      <c r="L27" s="148"/>
      <c r="M27" s="161"/>
      <c r="N27" s="146"/>
      <c r="O27" s="162"/>
      <c r="P27" s="148"/>
      <c r="Q27" s="161"/>
      <c r="R27" s="146" t="str">
        <f>IF(Q27&lt;&gt;"", SUMIF(Bets!$D:$D, Q27, Bets!AD:AD), "")</f>
        <v/>
      </c>
      <c r="S27" s="162"/>
      <c r="T27" s="148"/>
      <c r="U27" s="161"/>
      <c r="V27" s="146" t="str">
        <f>IF(U27&lt;&gt;"", SUMIF(Bets!$D:$D, U27, Bets!AE:AE), "")</f>
        <v/>
      </c>
      <c r="W27" s="162"/>
      <c r="X27" s="148"/>
      <c r="Y27" s="161"/>
      <c r="Z27" s="146" t="str">
        <f>IF(Y27&lt;&gt;"", SUMIF(Bets!$D:$D, Y27, Bets!AF:AF), "")</f>
        <v/>
      </c>
      <c r="AA27" s="162"/>
      <c r="AB27" s="148"/>
      <c r="AC27" s="161"/>
      <c r="AD27" s="146" t="str">
        <f>IF(AC27&lt;&gt;"", SUMIF(Bets!$D:$D, AC27, Bets!AG:AG), "")</f>
        <v/>
      </c>
      <c r="AE27" s="162"/>
      <c r="AF27" s="148"/>
    </row>
    <row r="28">
      <c r="A28" s="161">
        <f>IFERROR(__xludf.DUMMYFUNCTION("""COMPUTED_VALUE"""),45946.0)</f>
        <v>45946</v>
      </c>
      <c r="B28" s="146">
        <f>IF(A28&lt;&gt;"", SUMIF(Bets!$D:$D, A28, Bets!Z:Z), "")</f>
        <v>6.89</v>
      </c>
      <c r="C28" s="162"/>
      <c r="D28" s="148"/>
      <c r="E28" s="161">
        <f>IFERROR(__xludf.DUMMYFUNCTION("""COMPUTED_VALUE"""),45299.0)</f>
        <v>45299</v>
      </c>
      <c r="F28" s="146">
        <f>IF(E28&lt;&gt;"", SUMIF(Bets!$D:$D, E28, Bets!AB:AB), "")</f>
        <v>0.3</v>
      </c>
      <c r="G28" s="162"/>
      <c r="H28" s="148"/>
      <c r="I28" s="161">
        <f>IFERROR(__xludf.DUMMYFUNCTION("""COMPUTED_VALUE"""),45946.0)</f>
        <v>45946</v>
      </c>
      <c r="J28" s="146">
        <f>IF(I28&lt;&gt;"", SUMIF(Bets!$D:$D, I28, Bets!AA:AA), "")</f>
        <v>8.31</v>
      </c>
      <c r="K28" s="162"/>
      <c r="L28" s="148"/>
      <c r="M28" s="161"/>
      <c r="N28" s="146"/>
      <c r="O28" s="162"/>
      <c r="P28" s="148"/>
      <c r="Q28" s="161"/>
      <c r="R28" s="146" t="str">
        <f>IF(Q28&lt;&gt;"", SUMIF(Bets!$D:$D, Q28, Bets!AD:AD), "")</f>
        <v/>
      </c>
      <c r="S28" s="162"/>
      <c r="T28" s="148"/>
      <c r="U28" s="161"/>
      <c r="V28" s="146" t="str">
        <f>IF(U28&lt;&gt;"", SUMIF(Bets!$D:$D, U28, Bets!AE:AE), "")</f>
        <v/>
      </c>
      <c r="W28" s="162"/>
      <c r="X28" s="148"/>
      <c r="Y28" s="161"/>
      <c r="Z28" s="146" t="str">
        <f>IF(Y28&lt;&gt;"", SUMIF(Bets!$D:$D, Y28, Bets!AF:AF), "")</f>
        <v/>
      </c>
      <c r="AA28" s="162"/>
      <c r="AB28" s="148"/>
      <c r="AC28" s="161"/>
      <c r="AD28" s="146" t="str">
        <f>IF(AC28&lt;&gt;"", SUMIF(Bets!$D:$D, AC28, Bets!AG:AG), "")</f>
        <v/>
      </c>
      <c r="AE28" s="162"/>
      <c r="AF28" s="148"/>
    </row>
    <row r="29" collapsed="1">
      <c r="A29" s="161">
        <f>IFERROR(__xludf.DUMMYFUNCTION("""COMPUTED_VALUE"""),45941.0)</f>
        <v>45941</v>
      </c>
      <c r="B29" s="146">
        <f>IF(A29&lt;&gt;"", SUMIF(Bets!$D:$D, A29, Bets!Z:Z), "")</f>
        <v>-12.244</v>
      </c>
      <c r="C29" s="162"/>
      <c r="D29" s="148"/>
      <c r="E29" s="161">
        <f>IFERROR(__xludf.DUMMYFUNCTION("""COMPUTED_VALUE"""),45297.0)</f>
        <v>45297</v>
      </c>
      <c r="F29" s="146">
        <f>IF(E29&lt;&gt;"", SUMIF(Bets!$D:$D, E29, Bets!AB:AB), "")</f>
        <v>0.6048611111</v>
      </c>
      <c r="G29" s="162"/>
      <c r="H29" s="148"/>
      <c r="I29" s="161">
        <f>IFERROR(__xludf.DUMMYFUNCTION("""COMPUTED_VALUE"""),45941.0)</f>
        <v>45941</v>
      </c>
      <c r="J29" s="146">
        <f>IF(I29&lt;&gt;"", SUMIF(Bets!$D:$D, I29, Bets!AA:AA), "")</f>
        <v>-14.366</v>
      </c>
      <c r="K29" s="162"/>
      <c r="L29" s="148"/>
      <c r="M29" s="161"/>
      <c r="N29" s="146"/>
      <c r="O29" s="162"/>
      <c r="P29" s="148"/>
      <c r="Q29" s="161"/>
      <c r="R29" s="146" t="str">
        <f>IF(Q29&lt;&gt;"", SUMIF(Bets!$D:$D, Q29, Bets!AD:AD), "")</f>
        <v/>
      </c>
      <c r="S29" s="162"/>
      <c r="T29" s="148"/>
      <c r="U29" s="161"/>
      <c r="V29" s="146" t="str">
        <f>IF(U29&lt;&gt;"", SUMIF(Bets!$D:$D, U29, Bets!AE:AE), "")</f>
        <v/>
      </c>
      <c r="W29" s="162"/>
      <c r="X29" s="148"/>
      <c r="Y29" s="161"/>
      <c r="Z29" s="146" t="str">
        <f>IF(Y29&lt;&gt;"", SUMIF(Bets!$D:$D, Y29, Bets!AF:AF), "")</f>
        <v/>
      </c>
      <c r="AA29" s="162"/>
      <c r="AB29" s="148"/>
      <c r="AC29" s="161"/>
      <c r="AD29" s="146" t="str">
        <f>IF(AC29&lt;&gt;"", SUMIF(Bets!$D:$D, AC29, Bets!AG:AG), "")</f>
        <v/>
      </c>
      <c r="AE29" s="162"/>
      <c r="AF29" s="148"/>
    </row>
    <row r="30" hidden="1" outlineLevel="1">
      <c r="A30" s="161">
        <f>IFERROR(__xludf.DUMMYFUNCTION("""COMPUTED_VALUE"""),45939.0)</f>
        <v>45939</v>
      </c>
      <c r="B30" s="146">
        <f>IF(A30&lt;&gt;"", SUMIF(Bets!$D:$D, A30, Bets!Z:Z), "")</f>
        <v>-8</v>
      </c>
      <c r="C30" s="162"/>
      <c r="D30" s="148"/>
      <c r="E30" s="161">
        <f>IFERROR(__xludf.DUMMYFUNCTION("""COMPUTED_VALUE"""),45296.0)</f>
        <v>45296</v>
      </c>
      <c r="F30" s="146">
        <f>IF(E30&lt;&gt;"", SUMIF(Bets!$D:$D, E30, Bets!AB:AB), "")</f>
        <v>-4.025333333</v>
      </c>
      <c r="G30" s="162"/>
      <c r="H30" s="148"/>
      <c r="I30" s="161">
        <f>IFERROR(__xludf.DUMMYFUNCTION("""COMPUTED_VALUE"""),45939.0)</f>
        <v>45939</v>
      </c>
      <c r="J30" s="146">
        <f>IF(I30&lt;&gt;"", SUMIF(Bets!$D:$D, I30, Bets!AA:AA), "")</f>
        <v>-12</v>
      </c>
      <c r="K30" s="162"/>
      <c r="L30" s="148"/>
      <c r="M30" s="161"/>
      <c r="N30" s="146"/>
      <c r="O30" s="162"/>
      <c r="P30" s="148"/>
      <c r="Q30" s="161"/>
      <c r="R30" s="146" t="str">
        <f>IF(Q30&lt;&gt;"", SUMIF(Bets!$D:$D, Q30, Bets!AD:AD), "")</f>
        <v/>
      </c>
      <c r="S30" s="162"/>
      <c r="T30" s="148"/>
      <c r="U30" s="161"/>
      <c r="V30" s="146" t="str">
        <f>IF(U30&lt;&gt;"", SUMIF(Bets!$D:$D, U30, Bets!AE:AE), "")</f>
        <v/>
      </c>
      <c r="W30" s="162"/>
      <c r="X30" s="148"/>
      <c r="Y30" s="161"/>
      <c r="Z30" s="146" t="str">
        <f>IF(Y30&lt;&gt;"", SUMIF(Bets!$D:$D, Y30, Bets!AF:AF), "")</f>
        <v/>
      </c>
      <c r="AA30" s="162"/>
      <c r="AB30" s="148"/>
      <c r="AC30" s="161"/>
      <c r="AD30" s="146" t="str">
        <f>IF(AC30&lt;&gt;"", SUMIF(Bets!$D:$D, AC30, Bets!AG:AG), "")</f>
        <v/>
      </c>
      <c r="AE30" s="162"/>
      <c r="AF30" s="148"/>
    </row>
    <row r="31" hidden="1" outlineLevel="1">
      <c r="A31" s="161">
        <f>IFERROR(__xludf.DUMMYFUNCTION("""COMPUTED_VALUE"""),45936.0)</f>
        <v>45936</v>
      </c>
      <c r="B31" s="146">
        <f>IF(A31&lt;&gt;"", SUMIF(Bets!$D:$D, A31, Bets!Z:Z), "")</f>
        <v>-8.04</v>
      </c>
      <c r="C31" s="162"/>
      <c r="D31" s="148"/>
      <c r="E31" s="161">
        <f>IFERROR(__xludf.DUMMYFUNCTION("""COMPUTED_VALUE"""),45295.0)</f>
        <v>45295</v>
      </c>
      <c r="F31" s="146">
        <f>IF(E31&lt;&gt;"", SUMIF(Bets!$D:$D, E31, Bets!AB:AB), "")</f>
        <v>-0.626</v>
      </c>
      <c r="G31" s="162"/>
      <c r="H31" s="148"/>
      <c r="I31" s="161">
        <f>IFERROR(__xludf.DUMMYFUNCTION("""COMPUTED_VALUE"""),45936.0)</f>
        <v>45936</v>
      </c>
      <c r="J31" s="146">
        <f>IF(I31&lt;&gt;"", SUMIF(Bets!$D:$D, I31, Bets!AA:AA), "")</f>
        <v>-12.08</v>
      </c>
      <c r="K31" s="162"/>
      <c r="L31" s="148"/>
      <c r="M31" s="161"/>
      <c r="N31" s="146"/>
      <c r="O31" s="162"/>
      <c r="P31" s="148"/>
      <c r="Q31" s="161"/>
      <c r="R31" s="146" t="str">
        <f>IF(Q31&lt;&gt;"", SUMIF(Bets!$D:$D, Q31, Bets!AD:AD), "")</f>
        <v/>
      </c>
      <c r="S31" s="162"/>
      <c r="T31" s="148"/>
      <c r="U31" s="161"/>
      <c r="V31" s="146" t="str">
        <f>IF(U31&lt;&gt;"", SUMIF(Bets!$D:$D, U31, Bets!AE:AE), "")</f>
        <v/>
      </c>
      <c r="W31" s="162"/>
      <c r="X31" s="148"/>
      <c r="Y31" s="161"/>
      <c r="Z31" s="146" t="str">
        <f>IF(Y31&lt;&gt;"", SUMIF(Bets!$D:$D, Y31, Bets!AF:AF), "")</f>
        <v/>
      </c>
      <c r="AA31" s="162"/>
      <c r="AB31" s="148"/>
      <c r="AC31" s="161"/>
      <c r="AD31" s="146" t="str">
        <f>IF(AC31&lt;&gt;"", SUMIF(Bets!$D:$D, AC31, Bets!AG:AG), "")</f>
        <v/>
      </c>
      <c r="AE31" s="162"/>
      <c r="AF31" s="148"/>
    </row>
    <row r="32" hidden="1" outlineLevel="1">
      <c r="A32" s="161">
        <f>IFERROR(__xludf.DUMMYFUNCTION("""COMPUTED_VALUE"""),45935.0)</f>
        <v>45935</v>
      </c>
      <c r="B32" s="146">
        <f>IF(A32&lt;&gt;"", SUMIF(Bets!$D:$D, A32, Bets!Z:Z), "")</f>
        <v>1.482</v>
      </c>
      <c r="C32" s="162"/>
      <c r="D32" s="148"/>
      <c r="E32" s="161">
        <f>IFERROR(__xludf.DUMMYFUNCTION("""COMPUTED_VALUE"""),45294.0)</f>
        <v>45294</v>
      </c>
      <c r="F32" s="146">
        <f>IF(E32&lt;&gt;"", SUMIF(Bets!$D:$D, E32, Bets!AB:AB), "")</f>
        <v>-0.446</v>
      </c>
      <c r="G32" s="162"/>
      <c r="H32" s="148"/>
      <c r="I32" s="161">
        <f>IFERROR(__xludf.DUMMYFUNCTION("""COMPUTED_VALUE"""),45935.0)</f>
        <v>45935</v>
      </c>
      <c r="J32" s="146">
        <f>IF(I32&lt;&gt;"", SUMIF(Bets!$D:$D, I32, Bets!AA:AA), "")</f>
        <v>2.768</v>
      </c>
      <c r="K32" s="162"/>
      <c r="L32" s="148"/>
      <c r="M32" s="161"/>
      <c r="N32" s="146"/>
      <c r="O32" s="162"/>
      <c r="P32" s="148"/>
      <c r="Q32" s="161"/>
      <c r="R32" s="146" t="str">
        <f>IF(Q32&lt;&gt;"", SUMIF(Bets!$D:$D, Q32, Bets!AD:AD), "")</f>
        <v/>
      </c>
      <c r="S32" s="162"/>
      <c r="T32" s="148"/>
      <c r="U32" s="161"/>
      <c r="V32" s="146" t="str">
        <f>IF(U32&lt;&gt;"", SUMIF(Bets!$D:$D, U32, Bets!AE:AE), "")</f>
        <v/>
      </c>
      <c r="W32" s="162"/>
      <c r="X32" s="148"/>
      <c r="Y32" s="161"/>
      <c r="Z32" s="146" t="str">
        <f>IF(Y32&lt;&gt;"", SUMIF(Bets!$D:$D, Y32, Bets!AF:AF), "")</f>
        <v/>
      </c>
      <c r="AA32" s="162"/>
      <c r="AB32" s="148"/>
      <c r="AC32" s="161"/>
      <c r="AD32" s="146" t="str">
        <f>IF(AC32&lt;&gt;"", SUMIF(Bets!$D:$D, AC32, Bets!AG:AG), "")</f>
        <v/>
      </c>
      <c r="AE32" s="162"/>
      <c r="AF32" s="148"/>
    </row>
    <row r="33" hidden="1" outlineLevel="1">
      <c r="A33" s="161">
        <f>IFERROR(__xludf.DUMMYFUNCTION("""COMPUTED_VALUE"""),45932.0)</f>
        <v>45932</v>
      </c>
      <c r="B33" s="146">
        <f>IF(A33&lt;&gt;"", SUMIF(Bets!$D:$D, A33, Bets!Z:Z), "")</f>
        <v>1.05</v>
      </c>
      <c r="C33" s="162"/>
      <c r="D33" s="148"/>
      <c r="E33" s="161">
        <f>IFERROR(__xludf.DUMMYFUNCTION("""COMPUTED_VALUE"""),45291.0)</f>
        <v>45291</v>
      </c>
      <c r="F33" s="146">
        <f>IF(E33&lt;&gt;"", SUMIF(Bets!$D:$D, E33, Bets!AB:AB), "")</f>
        <v>-1.5</v>
      </c>
      <c r="G33" s="162"/>
      <c r="H33" s="148"/>
      <c r="I33" s="161">
        <f>IFERROR(__xludf.DUMMYFUNCTION("""COMPUTED_VALUE"""),45932.0)</f>
        <v>45932</v>
      </c>
      <c r="J33" s="146">
        <f>IF(I33&lt;&gt;"", SUMIF(Bets!$D:$D, I33, Bets!AA:AA), "")</f>
        <v>6.75</v>
      </c>
      <c r="K33" s="162"/>
      <c r="L33" s="148"/>
      <c r="M33" s="161"/>
      <c r="N33" s="146"/>
      <c r="O33" s="162"/>
      <c r="P33" s="148"/>
      <c r="Q33" s="161"/>
      <c r="R33" s="146" t="str">
        <f>IF(Q33&lt;&gt;"", SUMIF(Bets!$D:$D, Q33, Bets!AD:AD), "")</f>
        <v/>
      </c>
      <c r="S33" s="162"/>
      <c r="T33" s="148"/>
      <c r="U33" s="161"/>
      <c r="V33" s="146" t="str">
        <f>IF(U33&lt;&gt;"", SUMIF(Bets!$D:$D, U33, Bets!AE:AE), "")</f>
        <v/>
      </c>
      <c r="W33" s="162"/>
      <c r="X33" s="148"/>
      <c r="Y33" s="161"/>
      <c r="Z33" s="146" t="str">
        <f>IF(Y33&lt;&gt;"", SUMIF(Bets!$D:$D, Y33, Bets!AF:AF), "")</f>
        <v/>
      </c>
      <c r="AA33" s="162"/>
      <c r="AB33" s="148"/>
      <c r="AC33" s="161"/>
      <c r="AD33" s="146" t="str">
        <f>IF(AC33&lt;&gt;"", SUMIF(Bets!$D:$D, AC33, Bets!AG:AG), "")</f>
        <v/>
      </c>
      <c r="AE33" s="162"/>
      <c r="AF33" s="148"/>
    </row>
    <row r="34" hidden="1" outlineLevel="1">
      <c r="A34" s="161">
        <f>IFERROR(__xludf.DUMMYFUNCTION("""COMPUTED_VALUE"""),45929.0)</f>
        <v>45929</v>
      </c>
      <c r="B34" s="146">
        <f>IF(A34&lt;&gt;"", SUMIF(Bets!$D:$D, A34, Bets!Z:Z), "")</f>
        <v>-2.82</v>
      </c>
      <c r="C34" s="162"/>
      <c r="D34" s="148"/>
      <c r="E34" s="161">
        <f>IFERROR(__xludf.DUMMYFUNCTION("""COMPUTED_VALUE"""),45288.0)</f>
        <v>45288</v>
      </c>
      <c r="F34" s="146">
        <f>IF(E34&lt;&gt;"", SUMIF(Bets!$D:$D, E34, Bets!AB:AB), "")</f>
        <v>-4.75</v>
      </c>
      <c r="G34" s="162"/>
      <c r="H34" s="148"/>
      <c r="I34" s="161">
        <f>IFERROR(__xludf.DUMMYFUNCTION("""COMPUTED_VALUE"""),45929.0)</f>
        <v>45929</v>
      </c>
      <c r="J34" s="146">
        <f>IF(I34&lt;&gt;"", SUMIF(Bets!$D:$D, I34, Bets!AA:AA), "")</f>
        <v>-7.73</v>
      </c>
      <c r="K34" s="162"/>
      <c r="L34" s="148"/>
      <c r="M34" s="161"/>
      <c r="N34" s="146"/>
      <c r="O34" s="162"/>
      <c r="P34" s="148"/>
      <c r="Q34" s="161"/>
      <c r="R34" s="146" t="str">
        <f>IF(Q34&lt;&gt;"", SUMIF(Bets!$D:$D, Q34, Bets!AD:AD), "")</f>
        <v/>
      </c>
      <c r="S34" s="162"/>
      <c r="T34" s="148"/>
      <c r="U34" s="161"/>
      <c r="V34" s="146" t="str">
        <f>IF(U34&lt;&gt;"", SUMIF(Bets!$D:$D, U34, Bets!AE:AE), "")</f>
        <v/>
      </c>
      <c r="W34" s="162"/>
      <c r="X34" s="148"/>
      <c r="Y34" s="161"/>
      <c r="Z34" s="146" t="str">
        <f>IF(Y34&lt;&gt;"", SUMIF(Bets!$D:$D, Y34, Bets!AF:AF), "")</f>
        <v/>
      </c>
      <c r="AA34" s="162"/>
      <c r="AB34" s="148"/>
      <c r="AC34" s="161"/>
      <c r="AD34" s="146" t="str">
        <f>IF(AC34&lt;&gt;"", SUMIF(Bets!$D:$D, AC34, Bets!AG:AG), "")</f>
        <v/>
      </c>
      <c r="AE34" s="162"/>
      <c r="AF34" s="148"/>
    </row>
    <row r="35" hidden="1" outlineLevel="1">
      <c r="A35" s="161">
        <f>IFERROR(__xludf.DUMMYFUNCTION("""COMPUTED_VALUE"""),45928.0)</f>
        <v>45928</v>
      </c>
      <c r="B35" s="146">
        <f>IF(A35&lt;&gt;"", SUMIF(Bets!$D:$D, A35, Bets!Z:Z), "")</f>
        <v>9.655</v>
      </c>
      <c r="C35" s="162"/>
      <c r="D35" s="148"/>
      <c r="E35" s="161">
        <f>IFERROR(__xludf.DUMMYFUNCTION("""COMPUTED_VALUE"""),45287.0)</f>
        <v>45287</v>
      </c>
      <c r="F35" s="146">
        <f>IF(E35&lt;&gt;"", SUMIF(Bets!$D:$D, E35, Bets!AB:AB), "")</f>
        <v>-1.965</v>
      </c>
      <c r="G35" s="162"/>
      <c r="H35" s="148"/>
      <c r="I35" s="161">
        <f>IFERROR(__xludf.DUMMYFUNCTION("""COMPUTED_VALUE"""),45928.0)</f>
        <v>45928</v>
      </c>
      <c r="J35" s="146">
        <f>IF(I35&lt;&gt;"", SUMIF(Bets!$D:$D, I35, Bets!AA:AA), "")</f>
        <v>13.255</v>
      </c>
      <c r="K35" s="162"/>
      <c r="L35" s="148"/>
      <c r="M35" s="161"/>
      <c r="N35" s="146"/>
      <c r="O35" s="162"/>
      <c r="P35" s="148"/>
      <c r="Q35" s="161"/>
      <c r="R35" s="146" t="str">
        <f>IF(Q35&lt;&gt;"", SUMIF(Bets!$D:$D, Q35, Bets!AD:AD), "")</f>
        <v/>
      </c>
      <c r="S35" s="162"/>
      <c r="T35" s="148"/>
      <c r="U35" s="161"/>
      <c r="V35" s="146" t="str">
        <f>IF(U35&lt;&gt;"", SUMIF(Bets!$D:$D, U35, Bets!AE:AE), "")</f>
        <v/>
      </c>
      <c r="W35" s="162"/>
      <c r="X35" s="148"/>
      <c r="Y35" s="161"/>
      <c r="Z35" s="146" t="str">
        <f>IF(Y35&lt;&gt;"", SUMIF(Bets!$D:$D, Y35, Bets!AF:AF), "")</f>
        <v/>
      </c>
      <c r="AA35" s="162"/>
      <c r="AB35" s="148"/>
      <c r="AC35" s="161"/>
      <c r="AD35" s="146" t="str">
        <f>IF(AC35&lt;&gt;"", SUMIF(Bets!$D:$D, AC35, Bets!AG:AG), "")</f>
        <v/>
      </c>
      <c r="AE35" s="162"/>
      <c r="AF35" s="148"/>
    </row>
    <row r="36" hidden="1" outlineLevel="1">
      <c r="A36" s="161">
        <f>IFERROR(__xludf.DUMMYFUNCTION("""COMPUTED_VALUE"""),45925.0)</f>
        <v>45925</v>
      </c>
      <c r="B36" s="146">
        <f>IF(A36&lt;&gt;"", SUMIF(Bets!$D:$D, A36, Bets!Z:Z), "")</f>
        <v>10.395</v>
      </c>
      <c r="C36" s="162"/>
      <c r="D36" s="148"/>
      <c r="E36" s="161">
        <f>IFERROR(__xludf.DUMMYFUNCTION("""COMPUTED_VALUE"""),45285.0)</f>
        <v>45285</v>
      </c>
      <c r="F36" s="146">
        <f>IF(E36&lt;&gt;"", SUMIF(Bets!$D:$D, E36, Bets!AB:AB), "")</f>
        <v>0.4675</v>
      </c>
      <c r="G36" s="162"/>
      <c r="H36" s="148"/>
      <c r="I36" s="161">
        <f>IFERROR(__xludf.DUMMYFUNCTION("""COMPUTED_VALUE"""),45925.0)</f>
        <v>45925</v>
      </c>
      <c r="J36" s="146">
        <f>IF(I36&lt;&gt;"", SUMIF(Bets!$D:$D, I36, Bets!AA:AA), "")</f>
        <v>12.955</v>
      </c>
      <c r="K36" s="162"/>
      <c r="L36" s="148"/>
      <c r="M36" s="161"/>
      <c r="N36" s="146"/>
      <c r="O36" s="162"/>
      <c r="P36" s="148"/>
      <c r="Q36" s="161"/>
      <c r="R36" s="146" t="str">
        <f>IF(Q36&lt;&gt;"", SUMIF(Bets!$D:$D, Q36, Bets!AD:AD), "")</f>
        <v/>
      </c>
      <c r="S36" s="162"/>
      <c r="T36" s="148"/>
      <c r="U36" s="161"/>
      <c r="V36" s="146" t="str">
        <f>IF(U36&lt;&gt;"", SUMIF(Bets!$D:$D, U36, Bets!AE:AE), "")</f>
        <v/>
      </c>
      <c r="W36" s="162"/>
      <c r="X36" s="148"/>
      <c r="Y36" s="161"/>
      <c r="Z36" s="146" t="str">
        <f>IF(Y36&lt;&gt;"", SUMIF(Bets!$D:$D, Y36, Bets!AF:AF), "")</f>
        <v/>
      </c>
      <c r="AA36" s="162"/>
      <c r="AB36" s="148"/>
      <c r="AC36" s="161"/>
      <c r="AD36" s="146" t="str">
        <f>IF(AC36&lt;&gt;"", SUMIF(Bets!$D:$D, AC36, Bets!AG:AG), "")</f>
        <v/>
      </c>
      <c r="AE36" s="162"/>
      <c r="AF36" s="148"/>
    </row>
    <row r="37" hidden="1" outlineLevel="1">
      <c r="A37" s="161">
        <f>IFERROR(__xludf.DUMMYFUNCTION("""COMPUTED_VALUE"""),45921.0)</f>
        <v>45921</v>
      </c>
      <c r="B37" s="146">
        <f>IF(A37&lt;&gt;"", SUMIF(Bets!$D:$D, A37, Bets!Z:Z), "")</f>
        <v>-11</v>
      </c>
      <c r="C37" s="162"/>
      <c r="D37" s="148"/>
      <c r="E37" s="161">
        <f>IFERROR(__xludf.DUMMYFUNCTION("""COMPUTED_VALUE"""),45284.0)</f>
        <v>45284</v>
      </c>
      <c r="F37" s="146">
        <f>IF(E37&lt;&gt;"", SUMIF(Bets!$D:$D, E37, Bets!AB:AB), "")</f>
        <v>-0.5</v>
      </c>
      <c r="G37" s="162"/>
      <c r="H37" s="148"/>
      <c r="I37" s="161">
        <f>IFERROR(__xludf.DUMMYFUNCTION("""COMPUTED_VALUE"""),45921.0)</f>
        <v>45921</v>
      </c>
      <c r="J37" s="146">
        <f>IF(I37&lt;&gt;"", SUMIF(Bets!$D:$D, I37, Bets!AA:AA), "")</f>
        <v>-20</v>
      </c>
      <c r="K37" s="162"/>
      <c r="L37" s="148"/>
      <c r="M37" s="161"/>
      <c r="N37" s="146"/>
      <c r="O37" s="162"/>
      <c r="P37" s="148"/>
      <c r="Q37" s="161"/>
      <c r="R37" s="146" t="str">
        <f>IF(Q37&lt;&gt;"", SUMIF(Bets!$D:$D, Q37, Bets!AD:AD), "")</f>
        <v/>
      </c>
      <c r="S37" s="162"/>
      <c r="T37" s="148"/>
      <c r="U37" s="161"/>
      <c r="V37" s="146" t="str">
        <f>IF(U37&lt;&gt;"", SUMIF(Bets!$D:$D, U37, Bets!AE:AE), "")</f>
        <v/>
      </c>
      <c r="W37" s="162"/>
      <c r="X37" s="148"/>
      <c r="Y37" s="161"/>
      <c r="Z37" s="146" t="str">
        <f>IF(Y37&lt;&gt;"", SUMIF(Bets!$D:$D, Y37, Bets!AF:AF), "")</f>
        <v/>
      </c>
      <c r="AA37" s="162"/>
      <c r="AB37" s="148"/>
      <c r="AC37" s="161"/>
      <c r="AD37" s="146" t="str">
        <f>IF(AC37&lt;&gt;"", SUMIF(Bets!$D:$D, AC37, Bets!AG:AG), "")</f>
        <v/>
      </c>
      <c r="AE37" s="162"/>
      <c r="AF37" s="148"/>
    </row>
    <row r="38" hidden="1" outlineLevel="1">
      <c r="A38" s="161">
        <f>IFERROR(__xludf.DUMMYFUNCTION("""COMPUTED_VALUE"""),45918.0)</f>
        <v>45918</v>
      </c>
      <c r="B38" s="146">
        <f>IF(A38&lt;&gt;"", SUMIF(Bets!$D:$D, A38, Bets!Z:Z), "")</f>
        <v>8.560333333</v>
      </c>
      <c r="C38" s="162"/>
      <c r="D38" s="148"/>
      <c r="E38" s="161">
        <f>IFERROR(__xludf.DUMMYFUNCTION("""COMPUTED_VALUE"""),45282.0)</f>
        <v>45282</v>
      </c>
      <c r="F38" s="146">
        <f>IF(E38&lt;&gt;"", SUMIF(Bets!$D:$D, E38, Bets!AB:AB), "")</f>
        <v>2.424</v>
      </c>
      <c r="G38" s="162"/>
      <c r="H38" s="148"/>
      <c r="I38" s="161">
        <f>IFERROR(__xludf.DUMMYFUNCTION("""COMPUTED_VALUE"""),45918.0)</f>
        <v>45918</v>
      </c>
      <c r="J38" s="146">
        <f>IF(I38&lt;&gt;"", SUMIF(Bets!$D:$D, I38, Bets!AA:AA), "")</f>
        <v>16.26966667</v>
      </c>
      <c r="K38" s="162"/>
      <c r="L38" s="148"/>
      <c r="M38" s="161"/>
      <c r="N38" s="146"/>
      <c r="O38" s="162"/>
      <c r="P38" s="148"/>
      <c r="Q38" s="161"/>
      <c r="R38" s="146" t="str">
        <f>IF(Q38&lt;&gt;"", SUMIF(Bets!$D:$D, Q38, Bets!AD:AD), "")</f>
        <v/>
      </c>
      <c r="S38" s="162"/>
      <c r="T38" s="148"/>
      <c r="U38" s="161"/>
      <c r="V38" s="146" t="str">
        <f>IF(U38&lt;&gt;"", SUMIF(Bets!$D:$D, U38, Bets!AE:AE), "")</f>
        <v/>
      </c>
      <c r="W38" s="162"/>
      <c r="X38" s="148"/>
      <c r="Y38" s="161"/>
      <c r="Z38" s="146" t="str">
        <f>IF(Y38&lt;&gt;"", SUMIF(Bets!$D:$D, Y38, Bets!AF:AF), "")</f>
        <v/>
      </c>
      <c r="AA38" s="162"/>
      <c r="AB38" s="148"/>
      <c r="AC38" s="161"/>
      <c r="AD38" s="146" t="str">
        <f>IF(AC38&lt;&gt;"", SUMIF(Bets!$D:$D, AC38, Bets!AG:AG), "")</f>
        <v/>
      </c>
      <c r="AE38" s="162"/>
      <c r="AF38" s="148"/>
    </row>
    <row r="39" hidden="1" outlineLevel="1">
      <c r="A39" s="161">
        <f>IFERROR(__xludf.DUMMYFUNCTION("""COMPUTED_VALUE"""),45915.0)</f>
        <v>45915</v>
      </c>
      <c r="B39" s="146">
        <f>IF(A39&lt;&gt;"", SUMIF(Bets!$D:$D, A39, Bets!Z:Z), "")</f>
        <v>5.61</v>
      </c>
      <c r="C39" s="162"/>
      <c r="D39" s="148"/>
      <c r="E39" s="161">
        <f>IFERROR(__xludf.DUMMYFUNCTION("""COMPUTED_VALUE"""),45281.0)</f>
        <v>45281</v>
      </c>
      <c r="F39" s="146">
        <f>IF(E39&lt;&gt;"", SUMIF(Bets!$D:$D, E39, Bets!AB:AB), "")</f>
        <v>-2.0425</v>
      </c>
      <c r="G39" s="162"/>
      <c r="H39" s="148"/>
      <c r="I39" s="161">
        <f>IFERROR(__xludf.DUMMYFUNCTION("""COMPUTED_VALUE"""),45915.0)</f>
        <v>45915</v>
      </c>
      <c r="J39" s="146">
        <f>IF(I39&lt;&gt;"", SUMIF(Bets!$D:$D, I39, Bets!AA:AA), "")</f>
        <v>6.03</v>
      </c>
      <c r="K39" s="162"/>
      <c r="L39" s="148"/>
      <c r="M39" s="161"/>
      <c r="N39" s="146"/>
      <c r="O39" s="162"/>
      <c r="P39" s="148"/>
      <c r="Q39" s="161"/>
      <c r="R39" s="146" t="str">
        <f>IF(Q39&lt;&gt;"", SUMIF(Bets!$D:$D, Q39, Bets!AD:AD), "")</f>
        <v/>
      </c>
      <c r="S39" s="162"/>
      <c r="T39" s="148"/>
      <c r="U39" s="161"/>
      <c r="V39" s="146" t="str">
        <f>IF(U39&lt;&gt;"", SUMIF(Bets!$D:$D, U39, Bets!AE:AE), "")</f>
        <v/>
      </c>
      <c r="W39" s="162"/>
      <c r="X39" s="148"/>
      <c r="Y39" s="161"/>
      <c r="Z39" s="146" t="str">
        <f>IF(Y39&lt;&gt;"", SUMIF(Bets!$D:$D, Y39, Bets!AF:AF), "")</f>
        <v/>
      </c>
      <c r="AA39" s="162"/>
      <c r="AB39" s="148"/>
      <c r="AC39" s="161"/>
      <c r="AD39" s="146" t="str">
        <f>IF(AC39&lt;&gt;"", SUMIF(Bets!$D:$D, AC39, Bets!AG:AG), "")</f>
        <v/>
      </c>
      <c r="AE39" s="162"/>
      <c r="AF39" s="148"/>
    </row>
    <row r="40" hidden="1" outlineLevel="1">
      <c r="A40" s="161">
        <f>IFERROR(__xludf.DUMMYFUNCTION("""COMPUTED_VALUE"""),45914.0)</f>
        <v>45914</v>
      </c>
      <c r="B40" s="146">
        <f>IF(A40&lt;&gt;"", SUMIF(Bets!$D:$D, A40, Bets!Z:Z), "")</f>
        <v>2.558</v>
      </c>
      <c r="C40" s="162"/>
      <c r="D40" s="148"/>
      <c r="E40" s="161">
        <f>IFERROR(__xludf.DUMMYFUNCTION("""COMPUTED_VALUE"""),45280.0)</f>
        <v>45280</v>
      </c>
      <c r="F40" s="146">
        <f>IF(E40&lt;&gt;"", SUMIF(Bets!$D:$D, E40, Bets!AB:AB), "")</f>
        <v>-1.882</v>
      </c>
      <c r="G40" s="162"/>
      <c r="H40" s="148"/>
      <c r="I40" s="161">
        <f>IFERROR(__xludf.DUMMYFUNCTION("""COMPUTED_VALUE"""),45914.0)</f>
        <v>45914</v>
      </c>
      <c r="J40" s="146">
        <f>IF(I40&lt;&gt;"", SUMIF(Bets!$D:$D, I40, Bets!AA:AA), "")</f>
        <v>-0.658</v>
      </c>
      <c r="K40" s="162"/>
      <c r="L40" s="148"/>
      <c r="M40" s="161"/>
      <c r="N40" s="146"/>
      <c r="O40" s="162"/>
      <c r="P40" s="148"/>
      <c r="Q40" s="161"/>
      <c r="R40" s="146" t="str">
        <f>IF(Q40&lt;&gt;"", SUMIF(Bets!$D:$D, Q40, Bets!AD:AD), "")</f>
        <v/>
      </c>
      <c r="S40" s="162"/>
      <c r="T40" s="148"/>
      <c r="U40" s="161"/>
      <c r="V40" s="146" t="str">
        <f>IF(U40&lt;&gt;"", SUMIF(Bets!$D:$D, U40, Bets!AE:AE), "")</f>
        <v/>
      </c>
      <c r="W40" s="162"/>
      <c r="X40" s="148"/>
      <c r="Y40" s="161"/>
      <c r="Z40" s="146" t="str">
        <f>IF(Y40&lt;&gt;"", SUMIF(Bets!$D:$D, Y40, Bets!AF:AF), "")</f>
        <v/>
      </c>
      <c r="AA40" s="162"/>
      <c r="AB40" s="148"/>
      <c r="AC40" s="161"/>
      <c r="AD40" s="146" t="str">
        <f>IF(AC40&lt;&gt;"", SUMIF(Bets!$D:$D, AC40, Bets!AG:AG), "")</f>
        <v/>
      </c>
      <c r="AE40" s="162"/>
      <c r="AF40" s="148"/>
    </row>
    <row r="41" hidden="1" outlineLevel="1">
      <c r="A41" s="161">
        <f>IFERROR(__xludf.DUMMYFUNCTION("""COMPUTED_VALUE"""),45911.0)</f>
        <v>45911</v>
      </c>
      <c r="B41" s="146">
        <f>IF(A41&lt;&gt;"", SUMIF(Bets!$D:$D, A41, Bets!Z:Z), "")</f>
        <v>-6</v>
      </c>
      <c r="C41" s="162"/>
      <c r="D41" s="148"/>
      <c r="E41" s="161">
        <f>IFERROR(__xludf.DUMMYFUNCTION("""COMPUTED_VALUE"""),45279.0)</f>
        <v>45279</v>
      </c>
      <c r="F41" s="146">
        <f>IF(E41&lt;&gt;"", SUMIF(Bets!$D:$D, E41, Bets!AB:AB), "")</f>
        <v>10.288</v>
      </c>
      <c r="G41" s="162"/>
      <c r="H41" s="148"/>
      <c r="I41" s="161">
        <f>IFERROR(__xludf.DUMMYFUNCTION("""COMPUTED_VALUE"""),45911.0)</f>
        <v>45911</v>
      </c>
      <c r="J41" s="146">
        <f>IF(I41&lt;&gt;"", SUMIF(Bets!$D:$D, I41, Bets!AA:AA), "")</f>
        <v>-9.5</v>
      </c>
      <c r="K41" s="162"/>
      <c r="L41" s="148"/>
      <c r="M41" s="161"/>
      <c r="N41" s="146"/>
      <c r="O41" s="162"/>
      <c r="P41" s="148"/>
      <c r="Q41" s="161"/>
      <c r="R41" s="146" t="str">
        <f>IF(Q41&lt;&gt;"", SUMIF(Bets!$D:$D, Q41, Bets!AD:AD), "")</f>
        <v/>
      </c>
      <c r="S41" s="162"/>
      <c r="T41" s="148"/>
      <c r="U41" s="161"/>
      <c r="V41" s="146" t="str">
        <f>IF(U41&lt;&gt;"", SUMIF(Bets!$D:$D, U41, Bets!AE:AE), "")</f>
        <v/>
      </c>
      <c r="W41" s="162"/>
      <c r="X41" s="148"/>
      <c r="Y41" s="161"/>
      <c r="Z41" s="146" t="str">
        <f>IF(Y41&lt;&gt;"", SUMIF(Bets!$D:$D, Y41, Bets!AF:AF), "")</f>
        <v/>
      </c>
      <c r="AA41" s="162"/>
      <c r="AB41" s="148"/>
      <c r="AC41" s="161"/>
      <c r="AD41" s="146" t="str">
        <f>IF(AC41&lt;&gt;"", SUMIF(Bets!$D:$D, AC41, Bets!AG:AG), "")</f>
        <v/>
      </c>
      <c r="AE41" s="162"/>
      <c r="AF41" s="148"/>
    </row>
    <row r="42" hidden="1" outlineLevel="1">
      <c r="A42" s="161">
        <f>IFERROR(__xludf.DUMMYFUNCTION("""COMPUTED_VALUE"""),45908.0)</f>
        <v>45908</v>
      </c>
      <c r="B42" s="146">
        <f>IF(A42&lt;&gt;"", SUMIF(Bets!$D:$D, A42, Bets!Z:Z), "")</f>
        <v>-2.67</v>
      </c>
      <c r="C42" s="162"/>
      <c r="D42" s="148"/>
      <c r="E42" s="161">
        <f>IFERROR(__xludf.DUMMYFUNCTION("""COMPUTED_VALUE"""),45278.0)</f>
        <v>45278</v>
      </c>
      <c r="F42" s="146">
        <f>IF(E42&lt;&gt;"", SUMIF(Bets!$D:$D, E42, Bets!AB:AB), "")</f>
        <v>-0.566</v>
      </c>
      <c r="G42" s="162"/>
      <c r="H42" s="148"/>
      <c r="I42" s="161">
        <f>IFERROR(__xludf.DUMMYFUNCTION("""COMPUTED_VALUE"""),45908.0)</f>
        <v>45908</v>
      </c>
      <c r="J42" s="146">
        <f>IF(I42&lt;&gt;"", SUMIF(Bets!$D:$D, I42, Bets!AA:AA), "")</f>
        <v>-1.67</v>
      </c>
      <c r="K42" s="162"/>
      <c r="L42" s="148"/>
      <c r="M42" s="161"/>
      <c r="N42" s="146"/>
      <c r="O42" s="162"/>
      <c r="P42" s="148"/>
      <c r="Q42" s="161"/>
      <c r="R42" s="146" t="str">
        <f>IF(Q42&lt;&gt;"", SUMIF(Bets!$D:$D, Q42, Bets!AD:AD), "")</f>
        <v/>
      </c>
      <c r="S42" s="162"/>
      <c r="T42" s="148"/>
      <c r="U42" s="161"/>
      <c r="V42" s="146" t="str">
        <f>IF(U42&lt;&gt;"", SUMIF(Bets!$D:$D, U42, Bets!AE:AE), "")</f>
        <v/>
      </c>
      <c r="W42" s="162"/>
      <c r="X42" s="148"/>
      <c r="Y42" s="161"/>
      <c r="Z42" s="146" t="str">
        <f>IF(Y42&lt;&gt;"", SUMIF(Bets!$D:$D, Y42, Bets!AF:AF), "")</f>
        <v/>
      </c>
      <c r="AA42" s="162"/>
      <c r="AB42" s="148"/>
      <c r="AC42" s="161"/>
      <c r="AD42" s="146" t="str">
        <f>IF(AC42&lt;&gt;"", SUMIF(Bets!$D:$D, AC42, Bets!AG:AG), "")</f>
        <v/>
      </c>
      <c r="AE42" s="162"/>
      <c r="AF42" s="148"/>
    </row>
    <row r="43" hidden="1" outlineLevel="1">
      <c r="A43" s="161">
        <f>IFERROR(__xludf.DUMMYFUNCTION("""COMPUTED_VALUE"""),45907.0)</f>
        <v>45907</v>
      </c>
      <c r="B43" s="146">
        <f>IF(A43&lt;&gt;"", SUMIF(Bets!$D:$D, A43, Bets!Z:Z), "")</f>
        <v>3.416285714</v>
      </c>
      <c r="C43" s="162"/>
      <c r="D43" s="148"/>
      <c r="E43" s="161">
        <f>IFERROR(__xludf.DUMMYFUNCTION("""COMPUTED_VALUE"""),45277.0)</f>
        <v>45277</v>
      </c>
      <c r="F43" s="146">
        <f>IF(E43&lt;&gt;"", SUMIF(Bets!$D:$D, E43, Bets!AB:AB), "")</f>
        <v>-12.678</v>
      </c>
      <c r="G43" s="162"/>
      <c r="H43" s="148"/>
      <c r="I43" s="161">
        <f>IFERROR(__xludf.DUMMYFUNCTION("""COMPUTED_VALUE"""),45907.0)</f>
        <v>45907</v>
      </c>
      <c r="J43" s="146">
        <f>IF(I43&lt;&gt;"", SUMIF(Bets!$D:$D, I43, Bets!AA:AA), "")</f>
        <v>10.86371429</v>
      </c>
      <c r="K43" s="162"/>
      <c r="L43" s="148"/>
      <c r="M43" s="161"/>
      <c r="N43" s="146"/>
      <c r="O43" s="162"/>
      <c r="P43" s="148"/>
      <c r="Q43" s="161"/>
      <c r="R43" s="146" t="str">
        <f>IF(Q43&lt;&gt;"", SUMIF(Bets!$D:$D, Q43, Bets!AD:AD), "")</f>
        <v/>
      </c>
      <c r="S43" s="162"/>
      <c r="T43" s="148"/>
      <c r="U43" s="161"/>
      <c r="V43" s="146" t="str">
        <f>IF(U43&lt;&gt;"", SUMIF(Bets!$D:$D, U43, Bets!AE:AE), "")</f>
        <v/>
      </c>
      <c r="W43" s="162"/>
      <c r="X43" s="148"/>
      <c r="Y43" s="161"/>
      <c r="Z43" s="146" t="str">
        <f>IF(Y43&lt;&gt;"", SUMIF(Bets!$D:$D, Y43, Bets!AF:AF), "")</f>
        <v/>
      </c>
      <c r="AA43" s="162"/>
      <c r="AB43" s="148"/>
      <c r="AC43" s="161"/>
      <c r="AD43" s="146" t="str">
        <f>IF(AC43&lt;&gt;"", SUMIF(Bets!$D:$D, AC43, Bets!AG:AG), "")</f>
        <v/>
      </c>
      <c r="AE43" s="162"/>
      <c r="AF43" s="148"/>
    </row>
    <row r="44" hidden="1" outlineLevel="1">
      <c r="A44" s="161">
        <f>IFERROR(__xludf.DUMMYFUNCTION("""COMPUTED_VALUE"""),45904.0)</f>
        <v>45904</v>
      </c>
      <c r="B44" s="146">
        <f>IF(A44&lt;&gt;"", SUMIF(Bets!$D:$D, A44, Bets!Z:Z), "")</f>
        <v>-7</v>
      </c>
      <c r="C44" s="162"/>
      <c r="D44" s="148"/>
      <c r="E44" s="161">
        <f>IFERROR(__xludf.DUMMYFUNCTION("""COMPUTED_VALUE"""),45276.0)</f>
        <v>45276</v>
      </c>
      <c r="F44" s="146">
        <f>IF(E44&lt;&gt;"", SUMIF(Bets!$D:$D, E44, Bets!AB:AB), "")</f>
        <v>4.415268065</v>
      </c>
      <c r="G44" s="162"/>
      <c r="H44" s="148"/>
      <c r="I44" s="161">
        <f>IFERROR(__xludf.DUMMYFUNCTION("""COMPUTED_VALUE"""),45904.0)</f>
        <v>45904</v>
      </c>
      <c r="J44" s="146">
        <f>IF(I44&lt;&gt;"", SUMIF(Bets!$D:$D, I44, Bets!AA:AA), "")</f>
        <v>-5</v>
      </c>
      <c r="K44" s="162"/>
      <c r="L44" s="148"/>
      <c r="M44" s="161"/>
      <c r="N44" s="146"/>
      <c r="O44" s="162"/>
      <c r="P44" s="148"/>
      <c r="Q44" s="161"/>
      <c r="R44" s="146" t="str">
        <f>IF(Q44&lt;&gt;"", SUMIF(Bets!$D:$D, Q44, Bets!AD:AD), "")</f>
        <v/>
      </c>
      <c r="S44" s="162"/>
      <c r="T44" s="148"/>
      <c r="U44" s="161"/>
      <c r="V44" s="146" t="str">
        <f>IF(U44&lt;&gt;"", SUMIF(Bets!$D:$D, U44, Bets!AE:AE), "")</f>
        <v/>
      </c>
      <c r="W44" s="162"/>
      <c r="X44" s="148"/>
      <c r="Y44" s="161"/>
      <c r="Z44" s="146" t="str">
        <f>IF(Y44&lt;&gt;"", SUMIF(Bets!$D:$D, Y44, Bets!AF:AF), "")</f>
        <v/>
      </c>
      <c r="AA44" s="162"/>
      <c r="AB44" s="148"/>
      <c r="AC44" s="161"/>
      <c r="AD44" s="146" t="str">
        <f>IF(AC44&lt;&gt;"", SUMIF(Bets!$D:$D, AC44, Bets!AG:AG), "")</f>
        <v/>
      </c>
      <c r="AE44" s="162"/>
      <c r="AF44" s="148"/>
    </row>
    <row r="45" hidden="1" outlineLevel="1">
      <c r="A45" s="161">
        <f>IFERROR(__xludf.DUMMYFUNCTION("""COMPUTED_VALUE"""),45828.0)</f>
        <v>45828</v>
      </c>
      <c r="B45" s="146">
        <f>IF(A45&lt;&gt;"", SUMIF(Bets!$D:$D, A45, Bets!Z:Z), "")</f>
        <v>-2</v>
      </c>
      <c r="C45" s="162"/>
      <c r="D45" s="148"/>
      <c r="E45" s="161">
        <f>IFERROR(__xludf.DUMMYFUNCTION("""COMPUTED_VALUE"""),45275.0)</f>
        <v>45275</v>
      </c>
      <c r="F45" s="146">
        <f>IF(E45&lt;&gt;"", SUMIF(Bets!$D:$D, E45, Bets!AB:AB), "")</f>
        <v>1.086</v>
      </c>
      <c r="G45" s="162"/>
      <c r="H45" s="148"/>
      <c r="I45" s="161">
        <f>IFERROR(__xludf.DUMMYFUNCTION("""COMPUTED_VALUE"""),45828.0)</f>
        <v>45828</v>
      </c>
      <c r="J45" s="146">
        <f>IF(I45&lt;&gt;"", SUMIF(Bets!$D:$D, I45, Bets!AA:AA), "")</f>
        <v>-2</v>
      </c>
      <c r="K45" s="162"/>
      <c r="L45" s="148"/>
      <c r="M45" s="161"/>
      <c r="N45" s="146"/>
      <c r="O45" s="162"/>
      <c r="P45" s="148"/>
      <c r="Q45" s="161"/>
      <c r="R45" s="146" t="str">
        <f>IF(Q45&lt;&gt;"", SUMIF(Bets!$D:$D, Q45, Bets!AD:AD), "")</f>
        <v/>
      </c>
      <c r="S45" s="162"/>
      <c r="T45" s="148"/>
      <c r="U45" s="161"/>
      <c r="V45" s="146" t="str">
        <f>IF(U45&lt;&gt;"", SUMIF(Bets!$D:$D, U45, Bets!AE:AE), "")</f>
        <v/>
      </c>
      <c r="W45" s="162"/>
      <c r="X45" s="148"/>
      <c r="Y45" s="161"/>
      <c r="Z45" s="146" t="str">
        <f>IF(Y45&lt;&gt;"", SUMIF(Bets!$D:$D, Y45, Bets!AF:AF), "")</f>
        <v/>
      </c>
      <c r="AA45" s="162"/>
      <c r="AB45" s="148"/>
      <c r="AC45" s="161"/>
      <c r="AD45" s="146" t="str">
        <f>IF(AC45&lt;&gt;"", SUMIF(Bets!$D:$D, AC45, Bets!AG:AG), "")</f>
        <v/>
      </c>
      <c r="AE45" s="162"/>
      <c r="AF45" s="148"/>
    </row>
    <row r="46" hidden="1" outlineLevel="1">
      <c r="A46" s="161">
        <f>IFERROR(__xludf.DUMMYFUNCTION("""COMPUTED_VALUE"""),45827.0)</f>
        <v>45827</v>
      </c>
      <c r="B46" s="146">
        <f>IF(A46&lt;&gt;"", SUMIF(Bets!$D:$D, A46, Bets!Z:Z), "")</f>
        <v>2.886</v>
      </c>
      <c r="C46" s="162"/>
      <c r="D46" s="148"/>
      <c r="E46" s="161">
        <f>IFERROR(__xludf.DUMMYFUNCTION("""COMPUTED_VALUE"""),45274.0)</f>
        <v>45274</v>
      </c>
      <c r="F46" s="146">
        <f>IF(E46&lt;&gt;"", SUMIF(Bets!$D:$D, E46, Bets!AB:AB), "")</f>
        <v>0.288</v>
      </c>
      <c r="G46" s="162"/>
      <c r="H46" s="148"/>
      <c r="I46" s="161">
        <f>IFERROR(__xludf.DUMMYFUNCTION("""COMPUTED_VALUE"""),45827.0)</f>
        <v>45827</v>
      </c>
      <c r="J46" s="146">
        <f>IF(I46&lt;&gt;"", SUMIF(Bets!$D:$D, I46, Bets!AA:AA), "")</f>
        <v>1.924</v>
      </c>
      <c r="K46" s="162"/>
      <c r="L46" s="148"/>
      <c r="M46" s="161"/>
      <c r="N46" s="146"/>
      <c r="O46" s="162"/>
      <c r="P46" s="148"/>
      <c r="Q46" s="161"/>
      <c r="R46" s="146" t="str">
        <f>IF(Q46&lt;&gt;"", SUMIF(Bets!$D:$D, Q46, Bets!AD:AD), "")</f>
        <v/>
      </c>
      <c r="S46" s="162"/>
      <c r="T46" s="148"/>
      <c r="U46" s="161"/>
      <c r="V46" s="146" t="str">
        <f>IF(U46&lt;&gt;"", SUMIF(Bets!$D:$D, U46, Bets!AE:AE), "")</f>
        <v/>
      </c>
      <c r="W46" s="162"/>
      <c r="X46" s="148"/>
      <c r="Y46" s="161"/>
      <c r="Z46" s="146" t="str">
        <f>IF(Y46&lt;&gt;"", SUMIF(Bets!$D:$D, Y46, Bets!AF:AF), "")</f>
        <v/>
      </c>
      <c r="AA46" s="162"/>
      <c r="AB46" s="148"/>
      <c r="AC46" s="161"/>
      <c r="AD46" s="146" t="str">
        <f>IF(AC46&lt;&gt;"", SUMIF(Bets!$D:$D, AC46, Bets!AG:AG), "")</f>
        <v/>
      </c>
      <c r="AE46" s="162"/>
      <c r="AF46" s="148"/>
    </row>
    <row r="47" hidden="1" outlineLevel="1">
      <c r="A47" s="161">
        <f>IFERROR(__xludf.DUMMYFUNCTION("""COMPUTED_VALUE"""),45697.0)</f>
        <v>45697</v>
      </c>
      <c r="B47" s="146">
        <f>IF(A47&lt;&gt;"", SUMIF(Bets!$D:$D, A47, Bets!Z:Z), "")</f>
        <v>-19.04</v>
      </c>
      <c r="C47" s="162"/>
      <c r="D47" s="148"/>
      <c r="E47" s="161">
        <f>IFERROR(__xludf.DUMMYFUNCTION("""COMPUTED_VALUE"""),45271.0)</f>
        <v>45271</v>
      </c>
      <c r="F47" s="146">
        <f>IF(E47&lt;&gt;"", SUMIF(Bets!$D:$D, E47, Bets!AB:AB), "")</f>
        <v>-10.5</v>
      </c>
      <c r="G47" s="162"/>
      <c r="H47" s="148"/>
      <c r="I47" s="161">
        <f>IFERROR(__xludf.DUMMYFUNCTION("""COMPUTED_VALUE"""),45697.0)</f>
        <v>45697</v>
      </c>
      <c r="J47" s="146">
        <f>IF(I47&lt;&gt;"", SUMIF(Bets!$D:$D, I47, Bets!AA:AA), "")</f>
        <v>-34.58</v>
      </c>
      <c r="K47" s="162"/>
      <c r="L47" s="148"/>
      <c r="M47" s="161"/>
      <c r="N47" s="146"/>
      <c r="O47" s="162"/>
      <c r="P47" s="148"/>
      <c r="Q47" s="161"/>
      <c r="R47" s="146" t="str">
        <f>IF(Q47&lt;&gt;"", SUMIF(Bets!$D:$D, Q47, Bets!AD:AD), "")</f>
        <v/>
      </c>
      <c r="S47" s="162"/>
      <c r="T47" s="148"/>
      <c r="U47" s="161"/>
      <c r="V47" s="146" t="str">
        <f>IF(U47&lt;&gt;"", SUMIF(Bets!$D:$D, U47, Bets!AE:AE), "")</f>
        <v/>
      </c>
      <c r="W47" s="162"/>
      <c r="X47" s="148"/>
      <c r="Y47" s="161"/>
      <c r="Z47" s="146" t="str">
        <f>IF(Y47&lt;&gt;"", SUMIF(Bets!$D:$D, Y47, Bets!AF:AF), "")</f>
        <v/>
      </c>
      <c r="AA47" s="162"/>
      <c r="AB47" s="148"/>
      <c r="AC47" s="161"/>
      <c r="AD47" s="146" t="str">
        <f>IF(AC47&lt;&gt;"", SUMIF(Bets!$D:$D, AC47, Bets!AG:AG), "")</f>
        <v/>
      </c>
      <c r="AE47" s="162"/>
      <c r="AF47" s="148"/>
    </row>
    <row r="48" hidden="1" outlineLevel="1">
      <c r="A48" s="161">
        <f>IFERROR(__xludf.DUMMYFUNCTION("""COMPUTED_VALUE"""),45676.0)</f>
        <v>45676</v>
      </c>
      <c r="B48" s="146">
        <f>IF(A48&lt;&gt;"", SUMIF(Bets!$D:$D, A48, Bets!Z:Z), "")</f>
        <v>9.495</v>
      </c>
      <c r="C48" s="162"/>
      <c r="D48" s="148"/>
      <c r="E48" s="161">
        <f>IFERROR(__xludf.DUMMYFUNCTION("""COMPUTED_VALUE"""),45270.0)</f>
        <v>45270</v>
      </c>
      <c r="F48" s="146">
        <f>IF(E48&lt;&gt;"", SUMIF(Bets!$D:$D, E48, Bets!AB:AB), "")</f>
        <v>-13.90489011</v>
      </c>
      <c r="G48" s="162"/>
      <c r="H48" s="148"/>
      <c r="I48" s="161">
        <f>IFERROR(__xludf.DUMMYFUNCTION("""COMPUTED_VALUE"""),45676.0)</f>
        <v>45676</v>
      </c>
      <c r="J48" s="146">
        <f>IF(I48&lt;&gt;"", SUMIF(Bets!$D:$D, I48, Bets!AA:AA), "")</f>
        <v>9.495</v>
      </c>
      <c r="K48" s="162"/>
      <c r="L48" s="148"/>
      <c r="M48" s="161"/>
      <c r="N48" s="146"/>
      <c r="O48" s="162"/>
      <c r="P48" s="148"/>
      <c r="Q48" s="161"/>
      <c r="R48" s="146" t="str">
        <f>IF(Q48&lt;&gt;"", SUMIF(Bets!$D:$D, Q48, Bets!AD:AD), "")</f>
        <v/>
      </c>
      <c r="S48" s="162"/>
      <c r="T48" s="148"/>
      <c r="U48" s="161"/>
      <c r="V48" s="146" t="str">
        <f>IF(U48&lt;&gt;"", SUMIF(Bets!$D:$D, U48, Bets!AE:AE), "")</f>
        <v/>
      </c>
      <c r="W48" s="162"/>
      <c r="X48" s="148"/>
      <c r="Y48" s="161"/>
      <c r="Z48" s="146" t="str">
        <f>IF(Y48&lt;&gt;"", SUMIF(Bets!$D:$D, Y48, Bets!AF:AF), "")</f>
        <v/>
      </c>
      <c r="AA48" s="162"/>
      <c r="AB48" s="148"/>
      <c r="AC48" s="161"/>
      <c r="AD48" s="146" t="str">
        <f>IF(AC48&lt;&gt;"", SUMIF(Bets!$D:$D, AC48, Bets!AG:AG), "")</f>
        <v/>
      </c>
      <c r="AE48" s="162"/>
      <c r="AF48" s="148"/>
    </row>
    <row r="49" hidden="1" outlineLevel="1">
      <c r="A49" s="161">
        <f>IFERROR(__xludf.DUMMYFUNCTION("""COMPUTED_VALUE"""),45675.0)</f>
        <v>45675</v>
      </c>
      <c r="B49" s="146">
        <f>IF(A49&lt;&gt;"", SUMIF(Bets!$D:$D, A49, Bets!Z:Z), "")</f>
        <v>-4.816</v>
      </c>
      <c r="C49" s="162"/>
      <c r="D49" s="148"/>
      <c r="E49" s="161">
        <f>IFERROR(__xludf.DUMMYFUNCTION("""COMPUTED_VALUE"""),45269.0)</f>
        <v>45269</v>
      </c>
      <c r="F49" s="146">
        <f>IF(E49&lt;&gt;"", SUMIF(Bets!$D:$D, E49, Bets!AB:AB), "")</f>
        <v>-4</v>
      </c>
      <c r="G49" s="162"/>
      <c r="H49" s="148"/>
      <c r="I49" s="161">
        <f>IFERROR(__xludf.DUMMYFUNCTION("""COMPUTED_VALUE"""),45675.0)</f>
        <v>45675</v>
      </c>
      <c r="J49" s="146">
        <f>IF(I49&lt;&gt;"", SUMIF(Bets!$D:$D, I49, Bets!AA:AA), "")</f>
        <v>-12.224</v>
      </c>
      <c r="K49" s="162"/>
      <c r="L49" s="148"/>
      <c r="M49" s="161"/>
      <c r="N49" s="146"/>
      <c r="O49" s="162"/>
      <c r="P49" s="148"/>
      <c r="Q49" s="161"/>
      <c r="R49" s="146" t="str">
        <f>IF(Q49&lt;&gt;"", SUMIF(Bets!$D:$D, Q49, Bets!AD:AD), "")</f>
        <v/>
      </c>
      <c r="S49" s="162"/>
      <c r="T49" s="148"/>
      <c r="U49" s="161"/>
      <c r="V49" s="146" t="str">
        <f>IF(U49&lt;&gt;"", SUMIF(Bets!$D:$D, U49, Bets!AE:AE), "")</f>
        <v/>
      </c>
      <c r="W49" s="162"/>
      <c r="X49" s="148"/>
      <c r="Y49" s="161"/>
      <c r="Z49" s="146" t="str">
        <f>IF(Y49&lt;&gt;"", SUMIF(Bets!$D:$D, Y49, Bets!AF:AF), "")</f>
        <v/>
      </c>
      <c r="AA49" s="162"/>
      <c r="AB49" s="148"/>
      <c r="AC49" s="161"/>
      <c r="AD49" s="146" t="str">
        <f>IF(AC49&lt;&gt;"", SUMIF(Bets!$D:$D, AC49, Bets!AG:AG), "")</f>
        <v/>
      </c>
      <c r="AE49" s="162"/>
      <c r="AF49" s="148"/>
    </row>
    <row r="50" hidden="1" outlineLevel="1">
      <c r="A50" s="161">
        <f>IFERROR(__xludf.DUMMYFUNCTION("""COMPUTED_VALUE"""),45669.0)</f>
        <v>45669</v>
      </c>
      <c r="B50" s="146">
        <f>IF(A50&lt;&gt;"", SUMIF(Bets!$D:$D, A50, Bets!Z:Z), "")</f>
        <v>-5.004</v>
      </c>
      <c r="C50" s="162"/>
      <c r="D50" s="148"/>
      <c r="E50" s="161">
        <f>IFERROR(__xludf.DUMMYFUNCTION("""COMPUTED_VALUE"""),45268.0)</f>
        <v>45268</v>
      </c>
      <c r="F50" s="146">
        <f>IF(E50&lt;&gt;"", SUMIF(Bets!$D:$D, E50, Bets!AB:AB), "")</f>
        <v>2.875714286</v>
      </c>
      <c r="G50" s="162"/>
      <c r="H50" s="148"/>
      <c r="I50" s="161">
        <f>IFERROR(__xludf.DUMMYFUNCTION("""COMPUTED_VALUE"""),45669.0)</f>
        <v>45669</v>
      </c>
      <c r="J50" s="146">
        <f>IF(I50&lt;&gt;"", SUMIF(Bets!$D:$D, I50, Bets!AA:AA), "")</f>
        <v>-5.456</v>
      </c>
      <c r="K50" s="162"/>
      <c r="L50" s="148"/>
      <c r="M50" s="161"/>
      <c r="N50" s="146"/>
      <c r="O50" s="162"/>
      <c r="P50" s="148"/>
      <c r="Q50" s="161"/>
      <c r="R50" s="146" t="str">
        <f>IF(Q50&lt;&gt;"", SUMIF(Bets!$D:$D, Q50, Bets!AD:AD), "")</f>
        <v/>
      </c>
      <c r="S50" s="162"/>
      <c r="T50" s="148"/>
      <c r="U50" s="161"/>
      <c r="V50" s="146" t="str">
        <f>IF(U50&lt;&gt;"", SUMIF(Bets!$D:$D, U50, Bets!AE:AE), "")</f>
        <v/>
      </c>
      <c r="W50" s="162"/>
      <c r="X50" s="148"/>
      <c r="Y50" s="161"/>
      <c r="Z50" s="146" t="str">
        <f>IF(Y50&lt;&gt;"", SUMIF(Bets!$D:$D, Y50, Bets!AF:AF), "")</f>
        <v/>
      </c>
      <c r="AA50" s="162"/>
      <c r="AB50" s="148"/>
      <c r="AC50" s="161"/>
      <c r="AD50" s="146" t="str">
        <f>IF(AC50&lt;&gt;"", SUMIF(Bets!$D:$D, AC50, Bets!AG:AG), "")</f>
        <v/>
      </c>
      <c r="AE50" s="162"/>
      <c r="AF50" s="148"/>
    </row>
    <row r="51" hidden="1" outlineLevel="1">
      <c r="A51" s="161">
        <f>IFERROR(__xludf.DUMMYFUNCTION("""COMPUTED_VALUE"""),45668.0)</f>
        <v>45668</v>
      </c>
      <c r="B51" s="146">
        <f>IF(A51&lt;&gt;"", SUMIF(Bets!$D:$D, A51, Bets!Z:Z), "")</f>
        <v>-6.40625</v>
      </c>
      <c r="C51" s="162"/>
      <c r="D51" s="148"/>
      <c r="E51" s="161">
        <f>IFERROR(__xludf.DUMMYFUNCTION("""COMPUTED_VALUE"""),45267.0)</f>
        <v>45267</v>
      </c>
      <c r="F51" s="146">
        <f>IF(E51&lt;&gt;"", SUMIF(Bets!$D:$D, E51, Bets!AB:AB), "")</f>
        <v>-3.28</v>
      </c>
      <c r="G51" s="162"/>
      <c r="H51" s="148"/>
      <c r="I51" s="161">
        <f>IFERROR(__xludf.DUMMYFUNCTION("""COMPUTED_VALUE"""),45668.0)</f>
        <v>45668</v>
      </c>
      <c r="J51" s="146">
        <f>IF(I51&lt;&gt;"", SUMIF(Bets!$D:$D, I51, Bets!AA:AA), "")</f>
        <v>-3.88375</v>
      </c>
      <c r="K51" s="162"/>
      <c r="L51" s="148"/>
      <c r="M51" s="161"/>
      <c r="N51" s="146"/>
      <c r="O51" s="162"/>
      <c r="P51" s="148"/>
      <c r="Q51" s="161"/>
      <c r="R51" s="146" t="str">
        <f>IF(Q51&lt;&gt;"", SUMIF(Bets!$D:$D, Q51, Bets!AD:AD), "")</f>
        <v/>
      </c>
      <c r="S51" s="162"/>
      <c r="T51" s="148"/>
      <c r="U51" s="161"/>
      <c r="V51" s="146" t="str">
        <f>IF(U51&lt;&gt;"", SUMIF(Bets!$D:$D, U51, Bets!AE:AE), "")</f>
        <v/>
      </c>
      <c r="W51" s="162"/>
      <c r="X51" s="148"/>
      <c r="Y51" s="161"/>
      <c r="Z51" s="146" t="str">
        <f>IF(Y51&lt;&gt;"", SUMIF(Bets!$D:$D, Y51, Bets!AF:AF), "")</f>
        <v/>
      </c>
      <c r="AA51" s="162"/>
      <c r="AB51" s="148"/>
      <c r="AC51" s="161"/>
      <c r="AD51" s="146" t="str">
        <f>IF(AC51&lt;&gt;"", SUMIF(Bets!$D:$D, AC51, Bets!AG:AG), "")</f>
        <v/>
      </c>
      <c r="AE51" s="162"/>
      <c r="AF51" s="148"/>
    </row>
    <row r="52" hidden="1" outlineLevel="1">
      <c r="A52" s="161">
        <f>IFERROR(__xludf.DUMMYFUNCTION("""COMPUTED_VALUE"""),45655.0)</f>
        <v>45655</v>
      </c>
      <c r="B52" s="146">
        <f>IF(A52&lt;&gt;"", SUMIF(Bets!$D:$D, A52, Bets!Z:Z), "")</f>
        <v>0.848</v>
      </c>
      <c r="C52" s="162"/>
      <c r="D52" s="148"/>
      <c r="E52" s="161">
        <f>IFERROR(__xludf.DUMMYFUNCTION("""COMPUTED_VALUE"""),45266.0)</f>
        <v>45266</v>
      </c>
      <c r="F52" s="146">
        <f>IF(E52&lt;&gt;"", SUMIF(Bets!$D:$D, E52, Bets!AB:AB), "")</f>
        <v>-2.816666667</v>
      </c>
      <c r="G52" s="162"/>
      <c r="H52" s="148"/>
      <c r="I52" s="161">
        <f>IFERROR(__xludf.DUMMYFUNCTION("""COMPUTED_VALUE"""),45655.0)</f>
        <v>45655</v>
      </c>
      <c r="J52" s="146">
        <f>IF(I52&lt;&gt;"", SUMIF(Bets!$D:$D, I52, Bets!AA:AA), "")</f>
        <v>0.272</v>
      </c>
      <c r="K52" s="162"/>
      <c r="L52" s="148"/>
      <c r="M52" s="161"/>
      <c r="N52" s="146"/>
      <c r="O52" s="162"/>
      <c r="P52" s="148"/>
      <c r="Q52" s="161"/>
      <c r="R52" s="146" t="str">
        <f>IF(Q52&lt;&gt;"", SUMIF(Bets!$D:$D, Q52, Bets!AD:AD), "")</f>
        <v/>
      </c>
      <c r="S52" s="162"/>
      <c r="T52" s="148"/>
      <c r="U52" s="161"/>
      <c r="V52" s="146" t="str">
        <f>IF(U52&lt;&gt;"", SUMIF(Bets!$D:$D, U52, Bets!AE:AE), "")</f>
        <v/>
      </c>
      <c r="W52" s="162"/>
      <c r="X52" s="148"/>
      <c r="Y52" s="161"/>
      <c r="Z52" s="146" t="str">
        <f>IF(Y52&lt;&gt;"", SUMIF(Bets!$D:$D, Y52, Bets!AF:AF), "")</f>
        <v/>
      </c>
      <c r="AA52" s="162"/>
      <c r="AB52" s="148"/>
      <c r="AC52" s="161"/>
      <c r="AD52" s="146" t="str">
        <f>IF(AC52&lt;&gt;"", SUMIF(Bets!$D:$D, AC52, Bets!AG:AG), "")</f>
        <v/>
      </c>
      <c r="AE52" s="162"/>
      <c r="AF52" s="148"/>
    </row>
    <row r="53" hidden="1" outlineLevel="1">
      <c r="A53" s="161">
        <f>IFERROR(__xludf.DUMMYFUNCTION("""COMPUTED_VALUE"""),45654.0)</f>
        <v>45654</v>
      </c>
      <c r="B53" s="146">
        <f>IF(A53&lt;&gt;"", SUMIF(Bets!$D:$D, A53, Bets!Z:Z), "")</f>
        <v>6.061</v>
      </c>
      <c r="C53" s="162"/>
      <c r="D53" s="148"/>
      <c r="E53" s="161">
        <f>IFERROR(__xludf.DUMMYFUNCTION("""COMPUTED_VALUE"""),45265.0)</f>
        <v>45265</v>
      </c>
      <c r="F53" s="146">
        <f>IF(E53&lt;&gt;"", SUMIF(Bets!$D:$D, E53, Bets!AB:AB), "")</f>
        <v>-7.83</v>
      </c>
      <c r="G53" s="162"/>
      <c r="H53" s="148"/>
      <c r="I53" s="161">
        <f>IFERROR(__xludf.DUMMYFUNCTION("""COMPUTED_VALUE"""),45654.0)</f>
        <v>45654</v>
      </c>
      <c r="J53" s="146">
        <f>IF(I53&lt;&gt;"", SUMIF(Bets!$D:$D, I53, Bets!AA:AA), "")</f>
        <v>12.149</v>
      </c>
      <c r="K53" s="162"/>
      <c r="L53" s="148"/>
      <c r="M53" s="161"/>
      <c r="N53" s="146"/>
      <c r="O53" s="162"/>
      <c r="P53" s="148"/>
      <c r="Q53" s="161"/>
      <c r="R53" s="146" t="str">
        <f>IF(Q53&lt;&gt;"", SUMIF(Bets!$D:$D, Q53, Bets!AD:AD), "")</f>
        <v/>
      </c>
      <c r="S53" s="162"/>
      <c r="T53" s="148"/>
      <c r="U53" s="161"/>
      <c r="V53" s="146" t="str">
        <f>IF(U53&lt;&gt;"", SUMIF(Bets!$D:$D, U53, Bets!AE:AE), "")</f>
        <v/>
      </c>
      <c r="W53" s="162"/>
      <c r="X53" s="148"/>
      <c r="Y53" s="161"/>
      <c r="Z53" s="146" t="str">
        <f>IF(Y53&lt;&gt;"", SUMIF(Bets!$D:$D, Y53, Bets!AF:AF), "")</f>
        <v/>
      </c>
      <c r="AA53" s="162"/>
      <c r="AB53" s="148"/>
      <c r="AC53" s="161"/>
      <c r="AD53" s="146" t="str">
        <f>IF(AC53&lt;&gt;"", SUMIF(Bets!$D:$D, AC53, Bets!AG:AG), "")</f>
        <v/>
      </c>
      <c r="AE53" s="162"/>
      <c r="AF53" s="148"/>
    </row>
    <row r="54" hidden="1" outlineLevel="1">
      <c r="A54" s="161">
        <f>IFERROR(__xludf.DUMMYFUNCTION("""COMPUTED_VALUE"""),45652.0)</f>
        <v>45652</v>
      </c>
      <c r="B54" s="146">
        <f>IF(A54&lt;&gt;"", SUMIF(Bets!$D:$D, A54, Bets!Z:Z), "")</f>
        <v>-8</v>
      </c>
      <c r="C54" s="162"/>
      <c r="D54" s="148"/>
      <c r="E54" s="161">
        <f>IFERROR(__xludf.DUMMYFUNCTION("""COMPUTED_VALUE"""),45264.0)</f>
        <v>45264</v>
      </c>
      <c r="F54" s="146">
        <f>IF(E54&lt;&gt;"", SUMIF(Bets!$D:$D, E54, Bets!AB:AB), "")</f>
        <v>-5</v>
      </c>
      <c r="G54" s="162"/>
      <c r="H54" s="148"/>
      <c r="I54" s="161">
        <f>IFERROR(__xludf.DUMMYFUNCTION("""COMPUTED_VALUE"""),45652.0)</f>
        <v>45652</v>
      </c>
      <c r="J54" s="146">
        <f>IF(I54&lt;&gt;"", SUMIF(Bets!$D:$D, I54, Bets!AA:AA), "")</f>
        <v>-10</v>
      </c>
      <c r="K54" s="162"/>
      <c r="L54" s="148"/>
      <c r="M54" s="161"/>
      <c r="N54" s="146"/>
      <c r="O54" s="162"/>
      <c r="P54" s="148"/>
      <c r="Q54" s="161"/>
      <c r="R54" s="146" t="str">
        <f>IF(Q54&lt;&gt;"", SUMIF(Bets!$D:$D, Q54, Bets!AD:AD), "")</f>
        <v/>
      </c>
      <c r="S54" s="162"/>
      <c r="T54" s="148"/>
      <c r="U54" s="161"/>
      <c r="V54" s="146" t="str">
        <f>IF(U54&lt;&gt;"", SUMIF(Bets!$D:$D, U54, Bets!AE:AE), "")</f>
        <v/>
      </c>
      <c r="W54" s="162"/>
      <c r="X54" s="148"/>
      <c r="Y54" s="161"/>
      <c r="Z54" s="146" t="str">
        <f>IF(Y54&lt;&gt;"", SUMIF(Bets!$D:$D, Y54, Bets!AF:AF), "")</f>
        <v/>
      </c>
      <c r="AA54" s="162"/>
      <c r="AB54" s="148"/>
      <c r="AC54" s="161"/>
      <c r="AD54" s="146" t="str">
        <f>IF(AC54&lt;&gt;"", SUMIF(Bets!$D:$D, AC54, Bets!AG:AG), "")</f>
        <v/>
      </c>
      <c r="AE54" s="162"/>
      <c r="AF54" s="148"/>
    </row>
    <row r="55" hidden="1" outlineLevel="1">
      <c r="A55" s="161">
        <f>IFERROR(__xludf.DUMMYFUNCTION("""COMPUTED_VALUE"""),45651.0)</f>
        <v>45651</v>
      </c>
      <c r="B55" s="146">
        <f>IF(A55&lt;&gt;"", SUMIF(Bets!$D:$D, A55, Bets!Z:Z), "")</f>
        <v>-11</v>
      </c>
      <c r="C55" s="162"/>
      <c r="D55" s="148"/>
      <c r="E55" s="161">
        <f>IFERROR(__xludf.DUMMYFUNCTION("""COMPUTED_VALUE"""),45263.0)</f>
        <v>45263</v>
      </c>
      <c r="F55" s="146">
        <f>IF(E55&lt;&gt;"", SUMIF(Bets!$D:$D, E55, Bets!AB:AB), "")</f>
        <v>-7.970153846</v>
      </c>
      <c r="G55" s="162"/>
      <c r="H55" s="148"/>
      <c r="I55" s="161">
        <f>IFERROR(__xludf.DUMMYFUNCTION("""COMPUTED_VALUE"""),45651.0)</f>
        <v>45651</v>
      </c>
      <c r="J55" s="146">
        <f>IF(I55&lt;&gt;"", SUMIF(Bets!$D:$D, I55, Bets!AA:AA), "")</f>
        <v>-14</v>
      </c>
      <c r="K55" s="162"/>
      <c r="L55" s="148"/>
      <c r="M55" s="161"/>
      <c r="N55" s="146"/>
      <c r="O55" s="162"/>
      <c r="P55" s="148"/>
      <c r="Q55" s="161"/>
      <c r="R55" s="146" t="str">
        <f>IF(Q55&lt;&gt;"", SUMIF(Bets!$D:$D, Q55, Bets!AD:AD), "")</f>
        <v/>
      </c>
      <c r="S55" s="162"/>
      <c r="T55" s="148"/>
      <c r="U55" s="161"/>
      <c r="V55" s="146" t="str">
        <f>IF(U55&lt;&gt;"", SUMIF(Bets!$D:$D, U55, Bets!AE:AE), "")</f>
        <v/>
      </c>
      <c r="W55" s="162"/>
      <c r="X55" s="148"/>
      <c r="Y55" s="161"/>
      <c r="Z55" s="146" t="str">
        <f>IF(Y55&lt;&gt;"", SUMIF(Bets!$D:$D, Y55, Bets!AF:AF), "")</f>
        <v/>
      </c>
      <c r="AA55" s="162"/>
      <c r="AB55" s="148"/>
      <c r="AC55" s="161"/>
      <c r="AD55" s="146" t="str">
        <f>IF(AC55&lt;&gt;"", SUMIF(Bets!$D:$D, AC55, Bets!AG:AG), "")</f>
        <v/>
      </c>
      <c r="AE55" s="162"/>
      <c r="AF55" s="148"/>
    </row>
    <row r="56" hidden="1" outlineLevel="1">
      <c r="A56" s="161">
        <f>IFERROR(__xludf.DUMMYFUNCTION("""COMPUTED_VALUE"""),45649.0)</f>
        <v>45649</v>
      </c>
      <c r="B56" s="146">
        <f>IF(A56&lt;&gt;"", SUMIF(Bets!$D:$D, A56, Bets!Z:Z), "")</f>
        <v>-7.225</v>
      </c>
      <c r="C56" s="162"/>
      <c r="D56" s="148"/>
      <c r="E56" s="161">
        <f>IFERROR(__xludf.DUMMYFUNCTION("""COMPUTED_VALUE"""),45262.0)</f>
        <v>45262</v>
      </c>
      <c r="F56" s="146">
        <f>IF(E56&lt;&gt;"", SUMIF(Bets!$D:$D, E56, Bets!AB:AB), "")</f>
        <v>4.136</v>
      </c>
      <c r="G56" s="162"/>
      <c r="H56" s="148"/>
      <c r="I56" s="161">
        <f>IFERROR(__xludf.DUMMYFUNCTION("""COMPUTED_VALUE"""),45649.0)</f>
        <v>45649</v>
      </c>
      <c r="J56" s="146">
        <f>IF(I56&lt;&gt;"", SUMIF(Bets!$D:$D, I56, Bets!AA:AA), "")</f>
        <v>-8.225</v>
      </c>
      <c r="K56" s="162"/>
      <c r="L56" s="148"/>
      <c r="M56" s="161"/>
      <c r="N56" s="146"/>
      <c r="O56" s="162"/>
      <c r="P56" s="148"/>
      <c r="Q56" s="161"/>
      <c r="R56" s="146" t="str">
        <f>IF(Q56&lt;&gt;"", SUMIF(Bets!$D:$D, Q56, Bets!AD:AD), "")</f>
        <v/>
      </c>
      <c r="S56" s="162"/>
      <c r="T56" s="148"/>
      <c r="U56" s="161"/>
      <c r="V56" s="146" t="str">
        <f>IF(U56&lt;&gt;"", SUMIF(Bets!$D:$D, U56, Bets!AE:AE), "")</f>
        <v/>
      </c>
      <c r="W56" s="162"/>
      <c r="X56" s="148"/>
      <c r="Y56" s="161"/>
      <c r="Z56" s="146" t="str">
        <f>IF(Y56&lt;&gt;"", SUMIF(Bets!$D:$D, Y56, Bets!AF:AF), "")</f>
        <v/>
      </c>
      <c r="AA56" s="162"/>
      <c r="AB56" s="148"/>
      <c r="AC56" s="161"/>
      <c r="AD56" s="146" t="str">
        <f>IF(AC56&lt;&gt;"", SUMIF(Bets!$D:$D, AC56, Bets!AG:AG), "")</f>
        <v/>
      </c>
      <c r="AE56" s="162"/>
      <c r="AF56" s="148"/>
    </row>
    <row r="57" hidden="1" outlineLevel="1">
      <c r="A57" s="161">
        <f>IFERROR(__xludf.DUMMYFUNCTION("""COMPUTED_VALUE"""),45645.0)</f>
        <v>45645</v>
      </c>
      <c r="B57" s="146">
        <f>IF(A57&lt;&gt;"", SUMIF(Bets!$D:$D, A57, Bets!Z:Z), "")</f>
        <v>9.112</v>
      </c>
      <c r="C57" s="162"/>
      <c r="D57" s="148"/>
      <c r="E57" s="161">
        <f>IFERROR(__xludf.DUMMYFUNCTION("""COMPUTED_VALUE"""),45261.0)</f>
        <v>45261</v>
      </c>
      <c r="F57" s="146">
        <f>IF(E57&lt;&gt;"", SUMIF(Bets!$D:$D, E57, Bets!AB:AB), "")</f>
        <v>0.8969047619</v>
      </c>
      <c r="G57" s="162"/>
      <c r="H57" s="148"/>
      <c r="I57" s="161">
        <f>IFERROR(__xludf.DUMMYFUNCTION("""COMPUTED_VALUE"""),45645.0)</f>
        <v>45645</v>
      </c>
      <c r="J57" s="146">
        <f>IF(I57&lt;&gt;"", SUMIF(Bets!$D:$D, I57, Bets!AA:AA), "")</f>
        <v>15.268</v>
      </c>
      <c r="K57" s="162"/>
      <c r="L57" s="148"/>
      <c r="M57" s="161"/>
      <c r="N57" s="146"/>
      <c r="O57" s="162"/>
      <c r="P57" s="148"/>
      <c r="Q57" s="161"/>
      <c r="R57" s="146" t="str">
        <f>IF(Q57&lt;&gt;"", SUMIF(Bets!$D:$D, Q57, Bets!AD:AD), "")</f>
        <v/>
      </c>
      <c r="S57" s="162"/>
      <c r="T57" s="148"/>
      <c r="U57" s="161"/>
      <c r="V57" s="146" t="str">
        <f>IF(U57&lt;&gt;"", SUMIF(Bets!$D:$D, U57, Bets!AE:AE), "")</f>
        <v/>
      </c>
      <c r="W57" s="162"/>
      <c r="X57" s="148"/>
      <c r="Y57" s="161"/>
      <c r="Z57" s="146" t="str">
        <f>IF(Y57&lt;&gt;"", SUMIF(Bets!$D:$D, Y57, Bets!AF:AF), "")</f>
        <v/>
      </c>
      <c r="AA57" s="162"/>
      <c r="AB57" s="148"/>
      <c r="AC57" s="161"/>
      <c r="AD57" s="146" t="str">
        <f>IF(AC57&lt;&gt;"", SUMIF(Bets!$D:$D, AC57, Bets!AG:AG), "")</f>
        <v/>
      </c>
      <c r="AE57" s="162"/>
      <c r="AF57" s="148"/>
    </row>
    <row r="58" hidden="1" outlineLevel="1">
      <c r="A58" s="161">
        <f>IFERROR(__xludf.DUMMYFUNCTION("""COMPUTED_VALUE"""),45642.0)</f>
        <v>45642</v>
      </c>
      <c r="B58" s="146">
        <f>IF(A58&lt;&gt;"", SUMIF(Bets!$D:$D, A58, Bets!Z:Z), "")</f>
        <v>4.56</v>
      </c>
      <c r="C58" s="162"/>
      <c r="D58" s="148"/>
      <c r="E58" s="161">
        <f>IFERROR(__xludf.DUMMYFUNCTION("""COMPUTED_VALUE"""),45260.0)</f>
        <v>45260</v>
      </c>
      <c r="F58" s="146">
        <f>IF(E58&lt;&gt;"", SUMIF(Bets!$D:$D, E58, Bets!AB:AB), "")</f>
        <v>1.73</v>
      </c>
      <c r="G58" s="162"/>
      <c r="H58" s="148"/>
      <c r="I58" s="161">
        <f>IFERROR(__xludf.DUMMYFUNCTION("""COMPUTED_VALUE"""),45642.0)</f>
        <v>45642</v>
      </c>
      <c r="J58" s="146">
        <f>IF(I58&lt;&gt;"", SUMIF(Bets!$D:$D, I58, Bets!AA:AA), "")</f>
        <v>8.88</v>
      </c>
      <c r="K58" s="162"/>
      <c r="L58" s="148"/>
      <c r="M58" s="161"/>
      <c r="N58" s="146"/>
      <c r="O58" s="162"/>
      <c r="P58" s="148"/>
      <c r="Q58" s="161"/>
      <c r="R58" s="146" t="str">
        <f>IF(Q58&lt;&gt;"", SUMIF(Bets!$D:$D, Q58, Bets!AD:AD), "")</f>
        <v/>
      </c>
      <c r="S58" s="162"/>
      <c r="T58" s="148"/>
      <c r="U58" s="161"/>
      <c r="V58" s="146" t="str">
        <f>IF(U58&lt;&gt;"", SUMIF(Bets!$D:$D, U58, Bets!AE:AE), "")</f>
        <v/>
      </c>
      <c r="W58" s="162"/>
      <c r="X58" s="148"/>
      <c r="Y58" s="161"/>
      <c r="Z58" s="146" t="str">
        <f>IF(Y58&lt;&gt;"", SUMIF(Bets!$D:$D, Y58, Bets!AF:AF), "")</f>
        <v/>
      </c>
      <c r="AA58" s="162"/>
      <c r="AB58" s="148"/>
      <c r="AC58" s="161"/>
      <c r="AD58" s="146" t="str">
        <f>IF(AC58&lt;&gt;"", SUMIF(Bets!$D:$D, AC58, Bets!AG:AG), "")</f>
        <v/>
      </c>
      <c r="AE58" s="162"/>
      <c r="AF58" s="148"/>
    </row>
    <row r="59" hidden="1" outlineLevel="1">
      <c r="A59" s="161">
        <f>IFERROR(__xludf.DUMMYFUNCTION("""COMPUTED_VALUE"""),45638.0)</f>
        <v>45638</v>
      </c>
      <c r="B59" s="146">
        <f>IF(A59&lt;&gt;"", SUMIF(Bets!$D:$D, A59, Bets!Z:Z), "")</f>
        <v>-3.1</v>
      </c>
      <c r="C59" s="162"/>
      <c r="D59" s="148"/>
      <c r="E59" s="161">
        <f>IFERROR(__xludf.DUMMYFUNCTION("""COMPUTED_VALUE"""),45259.0)</f>
        <v>45259</v>
      </c>
      <c r="F59" s="146">
        <f>IF(E59&lt;&gt;"", SUMIF(Bets!$D:$D, E59, Bets!AB:AB), "")</f>
        <v>-4.848571429</v>
      </c>
      <c r="G59" s="162"/>
      <c r="H59" s="148"/>
      <c r="I59" s="161">
        <f>IFERROR(__xludf.DUMMYFUNCTION("""COMPUTED_VALUE"""),45638.0)</f>
        <v>45638</v>
      </c>
      <c r="J59" s="146">
        <f>IF(I59&lt;&gt;"", SUMIF(Bets!$D:$D, I59, Bets!AA:AA), "")</f>
        <v>-0.5</v>
      </c>
      <c r="K59" s="162"/>
      <c r="L59" s="148"/>
      <c r="M59" s="161"/>
      <c r="N59" s="146"/>
      <c r="O59" s="162"/>
      <c r="P59" s="148"/>
      <c r="Q59" s="161"/>
      <c r="R59" s="146" t="str">
        <f>IF(Q59&lt;&gt;"", SUMIF(Bets!$D:$D, Q59, Bets!AD:AD), "")</f>
        <v/>
      </c>
      <c r="S59" s="162"/>
      <c r="T59" s="148"/>
      <c r="U59" s="161"/>
      <c r="V59" s="146" t="str">
        <f>IF(U59&lt;&gt;"", SUMIF(Bets!$D:$D, U59, Bets!AE:AE), "")</f>
        <v/>
      </c>
      <c r="W59" s="162"/>
      <c r="X59" s="148"/>
      <c r="Y59" s="161"/>
      <c r="Z59" s="146" t="str">
        <f>IF(Y59&lt;&gt;"", SUMIF(Bets!$D:$D, Y59, Bets!AF:AF), "")</f>
        <v/>
      </c>
      <c r="AA59" s="162"/>
      <c r="AB59" s="148"/>
      <c r="AC59" s="161"/>
      <c r="AD59" s="146" t="str">
        <f>IF(AC59&lt;&gt;"", SUMIF(Bets!$D:$D, AC59, Bets!AG:AG), "")</f>
        <v/>
      </c>
      <c r="AE59" s="162"/>
      <c r="AF59" s="148"/>
    </row>
    <row r="60" hidden="1" outlineLevel="1">
      <c r="A60" s="161">
        <f>IFERROR(__xludf.DUMMYFUNCTION("""COMPUTED_VALUE"""),45635.0)</f>
        <v>45635</v>
      </c>
      <c r="B60" s="146">
        <f>IF(A60&lt;&gt;"", SUMIF(Bets!$D:$D, A60, Bets!Z:Z), "")</f>
        <v>8.075</v>
      </c>
      <c r="C60" s="162"/>
      <c r="D60" s="148"/>
      <c r="E60" s="161">
        <f>IFERROR(__xludf.DUMMYFUNCTION("""COMPUTED_VALUE"""),45258.0)</f>
        <v>45258</v>
      </c>
      <c r="F60" s="146">
        <f>IF(E60&lt;&gt;"", SUMIF(Bets!$D:$D, E60, Bets!AB:AB), "")</f>
        <v>1.225</v>
      </c>
      <c r="G60" s="162"/>
      <c r="H60" s="148"/>
      <c r="I60" s="161">
        <f>IFERROR(__xludf.DUMMYFUNCTION("""COMPUTED_VALUE"""),45635.0)</f>
        <v>45635</v>
      </c>
      <c r="J60" s="146">
        <f>IF(I60&lt;&gt;"", SUMIF(Bets!$D:$D, I60, Bets!AA:AA), "")</f>
        <v>10.325</v>
      </c>
      <c r="K60" s="162"/>
      <c r="L60" s="148"/>
      <c r="M60" s="161"/>
      <c r="N60" s="146"/>
      <c r="O60" s="162"/>
      <c r="P60" s="148"/>
      <c r="Q60" s="161"/>
      <c r="R60" s="146" t="str">
        <f>IF(Q60&lt;&gt;"", SUMIF(Bets!$D:$D, Q60, Bets!AD:AD), "")</f>
        <v/>
      </c>
      <c r="S60" s="162"/>
      <c r="T60" s="148"/>
      <c r="U60" s="161"/>
      <c r="V60" s="146" t="str">
        <f>IF(U60&lt;&gt;"", SUMIF(Bets!$D:$D, U60, Bets!AE:AE), "")</f>
        <v/>
      </c>
      <c r="W60" s="162"/>
      <c r="X60" s="148"/>
      <c r="Y60" s="161"/>
      <c r="Z60" s="146" t="str">
        <f>IF(Y60&lt;&gt;"", SUMIF(Bets!$D:$D, Y60, Bets!AF:AF), "")</f>
        <v/>
      </c>
      <c r="AA60" s="162"/>
      <c r="AB60" s="148"/>
      <c r="AC60" s="161"/>
      <c r="AD60" s="146" t="str">
        <f>IF(AC60&lt;&gt;"", SUMIF(Bets!$D:$D, AC60, Bets!AG:AG), "")</f>
        <v/>
      </c>
      <c r="AE60" s="162"/>
      <c r="AF60" s="148"/>
    </row>
    <row r="61" hidden="1" outlineLevel="1">
      <c r="A61" s="161">
        <f>IFERROR(__xludf.DUMMYFUNCTION("""COMPUTED_VALUE"""),45628.0)</f>
        <v>45628</v>
      </c>
      <c r="B61" s="146">
        <f>IF(A61&lt;&gt;"", SUMIF(Bets!$D:$D, A61, Bets!Z:Z), "")</f>
        <v>-2.8</v>
      </c>
      <c r="C61" s="162"/>
      <c r="D61" s="148"/>
      <c r="E61" s="161">
        <f>IFERROR(__xludf.DUMMYFUNCTION("""COMPUTED_VALUE"""),45257.0)</f>
        <v>45257</v>
      </c>
      <c r="F61" s="146">
        <f>IF(E61&lt;&gt;"", SUMIF(Bets!$D:$D, E61, Bets!AB:AB), "")</f>
        <v>-0.433</v>
      </c>
      <c r="G61" s="162"/>
      <c r="H61" s="148"/>
      <c r="I61" s="161">
        <f>IFERROR(__xludf.DUMMYFUNCTION("""COMPUTED_VALUE"""),45628.0)</f>
        <v>45628</v>
      </c>
      <c r="J61" s="146">
        <f>IF(I61&lt;&gt;"", SUMIF(Bets!$D:$D, I61, Bets!AA:AA), "")</f>
        <v>-3.7</v>
      </c>
      <c r="K61" s="162"/>
      <c r="L61" s="148"/>
      <c r="M61" s="161"/>
      <c r="N61" s="146"/>
      <c r="O61" s="162"/>
      <c r="P61" s="148"/>
      <c r="Q61" s="161"/>
      <c r="R61" s="146" t="str">
        <f>IF(Q61&lt;&gt;"", SUMIF(Bets!$D:$D, Q61, Bets!AD:AD), "")</f>
        <v/>
      </c>
      <c r="S61" s="162"/>
      <c r="T61" s="148"/>
      <c r="U61" s="161"/>
      <c r="V61" s="146" t="str">
        <f>IF(U61&lt;&gt;"", SUMIF(Bets!$D:$D, U61, Bets!AE:AE), "")</f>
        <v/>
      </c>
      <c r="W61" s="162"/>
      <c r="X61" s="148"/>
      <c r="Y61" s="161"/>
      <c r="Z61" s="146" t="str">
        <f>IF(Y61&lt;&gt;"", SUMIF(Bets!$D:$D, Y61, Bets!AF:AF), "")</f>
        <v/>
      </c>
      <c r="AA61" s="162"/>
      <c r="AB61" s="148"/>
      <c r="AC61" s="161"/>
      <c r="AD61" s="146" t="str">
        <f>IF(AC61&lt;&gt;"", SUMIF(Bets!$D:$D, AC61, Bets!AG:AG), "")</f>
        <v/>
      </c>
      <c r="AE61" s="162"/>
      <c r="AF61" s="148"/>
    </row>
    <row r="62" hidden="1" outlineLevel="1">
      <c r="A62" s="161">
        <f>IFERROR(__xludf.DUMMYFUNCTION("""COMPUTED_VALUE"""),45627.0)</f>
        <v>45627</v>
      </c>
      <c r="B62" s="146">
        <f>IF(A62&lt;&gt;"", SUMIF(Bets!$D:$D, A62, Bets!Z:Z), "")</f>
        <v>-0.5714285714</v>
      </c>
      <c r="C62" s="162"/>
      <c r="D62" s="148"/>
      <c r="E62" s="161">
        <f>IFERROR(__xludf.DUMMYFUNCTION("""COMPUTED_VALUE"""),45256.0)</f>
        <v>45256</v>
      </c>
      <c r="F62" s="146">
        <f>IF(E62&lt;&gt;"", SUMIF(Bets!$D:$D, E62, Bets!AB:AB), "")</f>
        <v>-0.2264313725</v>
      </c>
      <c r="G62" s="162"/>
      <c r="H62" s="148"/>
      <c r="I62" s="161">
        <f>IFERROR(__xludf.DUMMYFUNCTION("""COMPUTED_VALUE"""),45627.0)</f>
        <v>45627</v>
      </c>
      <c r="J62" s="146">
        <f>IF(I62&lt;&gt;"", SUMIF(Bets!$D:$D, I62, Bets!AA:AA), "")</f>
        <v>-2.948571429</v>
      </c>
      <c r="K62" s="162"/>
      <c r="L62" s="148"/>
      <c r="M62" s="161"/>
      <c r="N62" s="146"/>
      <c r="O62" s="162"/>
      <c r="P62" s="148"/>
      <c r="Q62" s="161"/>
      <c r="R62" s="146" t="str">
        <f>IF(Q62&lt;&gt;"", SUMIF(Bets!$D:$D, Q62, Bets!AD:AD), "")</f>
        <v/>
      </c>
      <c r="S62" s="162"/>
      <c r="T62" s="148"/>
      <c r="U62" s="161"/>
      <c r="V62" s="146" t="str">
        <f>IF(U62&lt;&gt;"", SUMIF(Bets!$D:$D, U62, Bets!AE:AE), "")</f>
        <v/>
      </c>
      <c r="W62" s="162"/>
      <c r="X62" s="148"/>
      <c r="Y62" s="161"/>
      <c r="Z62" s="146" t="str">
        <f>IF(Y62&lt;&gt;"", SUMIF(Bets!$D:$D, Y62, Bets!AF:AF), "")</f>
        <v/>
      </c>
      <c r="AA62" s="162"/>
      <c r="AB62" s="148"/>
      <c r="AC62" s="161"/>
      <c r="AD62" s="146" t="str">
        <f>IF(AC62&lt;&gt;"", SUMIF(Bets!$D:$D, AC62, Bets!AG:AG), "")</f>
        <v/>
      </c>
      <c r="AE62" s="162"/>
      <c r="AF62" s="148"/>
    </row>
    <row r="63" hidden="1" outlineLevel="1">
      <c r="A63" s="161">
        <f>IFERROR(__xludf.DUMMYFUNCTION("""COMPUTED_VALUE"""),45624.0)</f>
        <v>45624</v>
      </c>
      <c r="B63" s="146">
        <f>IF(A63&lt;&gt;"", SUMIF(Bets!$D:$D, A63, Bets!Z:Z), "")</f>
        <v>4.768</v>
      </c>
      <c r="C63" s="162"/>
      <c r="D63" s="148"/>
      <c r="E63" s="161">
        <f>IFERROR(__xludf.DUMMYFUNCTION("""COMPUTED_VALUE"""),45255.0)</f>
        <v>45255</v>
      </c>
      <c r="F63" s="146">
        <f>IF(E63&lt;&gt;"", SUMIF(Bets!$D:$D, E63, Bets!AB:AB), "")</f>
        <v>-2</v>
      </c>
      <c r="G63" s="162"/>
      <c r="H63" s="148"/>
      <c r="I63" s="161">
        <f>IFERROR(__xludf.DUMMYFUNCTION("""COMPUTED_VALUE"""),45624.0)</f>
        <v>45624</v>
      </c>
      <c r="J63" s="146">
        <f>IF(I63&lt;&gt;"", SUMIF(Bets!$D:$D, I63, Bets!AA:AA), "")</f>
        <v>3.402</v>
      </c>
      <c r="K63" s="162"/>
      <c r="L63" s="148"/>
      <c r="M63" s="161"/>
      <c r="N63" s="146"/>
      <c r="O63" s="162"/>
      <c r="P63" s="148"/>
      <c r="Q63" s="161"/>
      <c r="R63" s="146" t="str">
        <f>IF(Q63&lt;&gt;"", SUMIF(Bets!$D:$D, Q63, Bets!AD:AD), "")</f>
        <v/>
      </c>
      <c r="S63" s="162"/>
      <c r="T63" s="148"/>
      <c r="U63" s="161"/>
      <c r="V63" s="146" t="str">
        <f>IF(U63&lt;&gt;"", SUMIF(Bets!$D:$D, U63, Bets!AE:AE), "")</f>
        <v/>
      </c>
      <c r="W63" s="162"/>
      <c r="X63" s="148"/>
      <c r="Y63" s="161"/>
      <c r="Z63" s="146" t="str">
        <f>IF(Y63&lt;&gt;"", SUMIF(Bets!$D:$D, Y63, Bets!AF:AF), "")</f>
        <v/>
      </c>
      <c r="AA63" s="162"/>
      <c r="AB63" s="148"/>
      <c r="AC63" s="161"/>
      <c r="AD63" s="146" t="str">
        <f>IF(AC63&lt;&gt;"", SUMIF(Bets!$D:$D, AC63, Bets!AG:AG), "")</f>
        <v/>
      </c>
      <c r="AE63" s="162"/>
      <c r="AF63" s="148"/>
    </row>
    <row r="64" hidden="1" outlineLevel="1">
      <c r="A64" s="161">
        <f>IFERROR(__xludf.DUMMYFUNCTION("""COMPUTED_VALUE"""),45621.0)</f>
        <v>45621</v>
      </c>
      <c r="B64" s="146">
        <f>IF(A64&lt;&gt;"", SUMIF(Bets!$D:$D, A64, Bets!Z:Z), "")</f>
        <v>-6</v>
      </c>
      <c r="C64" s="162"/>
      <c r="D64" s="148"/>
      <c r="E64" s="161">
        <f>IFERROR(__xludf.DUMMYFUNCTION("""COMPUTED_VALUE"""),45254.0)</f>
        <v>45254</v>
      </c>
      <c r="F64" s="146">
        <f>IF(E64&lt;&gt;"", SUMIF(Bets!$D:$D, E64, Bets!AB:AB), "")</f>
        <v>-1</v>
      </c>
      <c r="G64" s="162"/>
      <c r="H64" s="148"/>
      <c r="I64" s="161">
        <f>IFERROR(__xludf.DUMMYFUNCTION("""COMPUTED_VALUE"""),45621.0)</f>
        <v>45621</v>
      </c>
      <c r="J64" s="146">
        <f>IF(I64&lt;&gt;"", SUMIF(Bets!$D:$D, I64, Bets!AA:AA), "")</f>
        <v>-6</v>
      </c>
      <c r="K64" s="162"/>
      <c r="L64" s="148"/>
      <c r="M64" s="161"/>
      <c r="N64" s="146"/>
      <c r="O64" s="162"/>
      <c r="P64" s="148"/>
      <c r="Q64" s="161"/>
      <c r="R64" s="146" t="str">
        <f>IF(Q64&lt;&gt;"", SUMIF(Bets!$D:$D, Q64, Bets!AD:AD), "")</f>
        <v/>
      </c>
      <c r="S64" s="162"/>
      <c r="T64" s="148"/>
      <c r="U64" s="161"/>
      <c r="V64" s="146" t="str">
        <f>IF(U64&lt;&gt;"", SUMIF(Bets!$D:$D, U64, Bets!AE:AE), "")</f>
        <v/>
      </c>
      <c r="W64" s="162"/>
      <c r="X64" s="148"/>
      <c r="Y64" s="161"/>
      <c r="Z64" s="146" t="str">
        <f>IF(Y64&lt;&gt;"", SUMIF(Bets!$D:$D, Y64, Bets!AF:AF), "")</f>
        <v/>
      </c>
      <c r="AA64" s="162"/>
      <c r="AB64" s="148"/>
      <c r="AC64" s="161"/>
      <c r="AD64" s="146" t="str">
        <f>IF(AC64&lt;&gt;"", SUMIF(Bets!$D:$D, AC64, Bets!AG:AG), "")</f>
        <v/>
      </c>
      <c r="AE64" s="162"/>
      <c r="AF64" s="148"/>
    </row>
    <row r="65" hidden="1" outlineLevel="1">
      <c r="A65" s="161">
        <f>IFERROR(__xludf.DUMMYFUNCTION("""COMPUTED_VALUE"""),45617.0)</f>
        <v>45617</v>
      </c>
      <c r="B65" s="146">
        <f>IF(A65&lt;&gt;"", SUMIF(Bets!$D:$D, A65, Bets!Z:Z), "")</f>
        <v>1.48</v>
      </c>
      <c r="C65" s="162"/>
      <c r="D65" s="148"/>
      <c r="E65" s="161">
        <f>IFERROR(__xludf.DUMMYFUNCTION("""COMPUTED_VALUE"""),45253.0)</f>
        <v>45253</v>
      </c>
      <c r="F65" s="146">
        <f>IF(E65&lt;&gt;"", SUMIF(Bets!$D:$D, E65, Bets!AB:AB), "")</f>
        <v>2.376818182</v>
      </c>
      <c r="G65" s="162"/>
      <c r="H65" s="148"/>
      <c r="I65" s="161">
        <f>IFERROR(__xludf.DUMMYFUNCTION("""COMPUTED_VALUE"""),45617.0)</f>
        <v>45617</v>
      </c>
      <c r="J65" s="146">
        <f>IF(I65&lt;&gt;"", SUMIF(Bets!$D:$D, I65, Bets!AA:AA), "")</f>
        <v>1.48</v>
      </c>
      <c r="K65" s="162"/>
      <c r="L65" s="148"/>
      <c r="M65" s="161"/>
      <c r="N65" s="146"/>
      <c r="O65" s="162"/>
      <c r="P65" s="148"/>
      <c r="Q65" s="161"/>
      <c r="R65" s="146" t="str">
        <f>IF(Q65&lt;&gt;"", SUMIF(Bets!$D:$D, Q65, Bets!AD:AD), "")</f>
        <v/>
      </c>
      <c r="S65" s="162"/>
      <c r="T65" s="148"/>
      <c r="U65" s="161"/>
      <c r="V65" s="146" t="str">
        <f>IF(U65&lt;&gt;"", SUMIF(Bets!$D:$D, U65, Bets!AE:AE), "")</f>
        <v/>
      </c>
      <c r="W65" s="162"/>
      <c r="X65" s="148"/>
      <c r="Y65" s="161"/>
      <c r="Z65" s="146" t="str">
        <f>IF(Y65&lt;&gt;"", SUMIF(Bets!$D:$D, Y65, Bets!AF:AF), "")</f>
        <v/>
      </c>
      <c r="AA65" s="162"/>
      <c r="AB65" s="148"/>
      <c r="AC65" s="161"/>
      <c r="AD65" s="146" t="str">
        <f>IF(AC65&lt;&gt;"", SUMIF(Bets!$D:$D, AC65, Bets!AG:AG), "")</f>
        <v/>
      </c>
      <c r="AE65" s="162"/>
      <c r="AF65" s="148"/>
    </row>
    <row r="66" hidden="1" outlineLevel="1">
      <c r="A66" s="161">
        <f>IFERROR(__xludf.DUMMYFUNCTION("""COMPUTED_VALUE"""),45614.0)</f>
        <v>45614</v>
      </c>
      <c r="B66" s="146">
        <f>IF(A66&lt;&gt;"", SUMIF(Bets!$D:$D, A66, Bets!Z:Z), "")</f>
        <v>-3</v>
      </c>
      <c r="C66" s="162"/>
      <c r="D66" s="148"/>
      <c r="E66" s="161">
        <f>IFERROR(__xludf.DUMMYFUNCTION("""COMPUTED_VALUE"""),45252.0)</f>
        <v>45252</v>
      </c>
      <c r="F66" s="146">
        <f>IF(E66&lt;&gt;"", SUMIF(Bets!$D:$D, E66, Bets!AB:AB), "")</f>
        <v>1.890583333</v>
      </c>
      <c r="G66" s="162"/>
      <c r="H66" s="148"/>
      <c r="I66" s="161">
        <f>IFERROR(__xludf.DUMMYFUNCTION("""COMPUTED_VALUE"""),45614.0)</f>
        <v>45614</v>
      </c>
      <c r="J66" s="146">
        <f>IF(I66&lt;&gt;"", SUMIF(Bets!$D:$D, I66, Bets!AA:AA), "")</f>
        <v>-3</v>
      </c>
      <c r="K66" s="162"/>
      <c r="L66" s="148"/>
      <c r="M66" s="161"/>
      <c r="N66" s="146"/>
      <c r="O66" s="162"/>
      <c r="P66" s="148"/>
      <c r="Q66" s="161"/>
      <c r="R66" s="146" t="str">
        <f>IF(Q66&lt;&gt;"", SUMIF(Bets!$D:$D, Q66, Bets!AD:AD), "")</f>
        <v/>
      </c>
      <c r="S66" s="162"/>
      <c r="T66" s="148"/>
      <c r="U66" s="161"/>
      <c r="V66" s="146" t="str">
        <f>IF(U66&lt;&gt;"", SUMIF(Bets!$D:$D, U66, Bets!AE:AE), "")</f>
        <v/>
      </c>
      <c r="W66" s="162"/>
      <c r="X66" s="148"/>
      <c r="Y66" s="161"/>
      <c r="Z66" s="146" t="str">
        <f>IF(Y66&lt;&gt;"", SUMIF(Bets!$D:$D, Y66, Bets!AF:AF), "")</f>
        <v/>
      </c>
      <c r="AA66" s="162"/>
      <c r="AB66" s="148"/>
      <c r="AC66" s="161"/>
      <c r="AD66" s="146" t="str">
        <f>IF(AC66&lt;&gt;"", SUMIF(Bets!$D:$D, AC66, Bets!AG:AG), "")</f>
        <v/>
      </c>
      <c r="AE66" s="162"/>
      <c r="AF66" s="148"/>
    </row>
    <row r="67" hidden="1" outlineLevel="1">
      <c r="A67" s="161">
        <f>IFERROR(__xludf.DUMMYFUNCTION("""COMPUTED_VALUE"""),45613.0)</f>
        <v>45613</v>
      </c>
      <c r="B67" s="146">
        <f>IF(A67&lt;&gt;"", SUMIF(Bets!$D:$D, A67, Bets!Z:Z), "")</f>
        <v>-9.24</v>
      </c>
      <c r="C67" s="162"/>
      <c r="D67" s="148"/>
      <c r="E67" s="161">
        <f>IFERROR(__xludf.DUMMYFUNCTION("""COMPUTED_VALUE"""),45251.0)</f>
        <v>45251</v>
      </c>
      <c r="F67" s="146">
        <f>IF(E67&lt;&gt;"", SUMIF(Bets!$D:$D, E67, Bets!AB:AB), "")</f>
        <v>0.375</v>
      </c>
      <c r="G67" s="162"/>
      <c r="H67" s="148"/>
      <c r="I67" s="161">
        <f>IFERROR(__xludf.DUMMYFUNCTION("""COMPUTED_VALUE"""),45613.0)</f>
        <v>45613</v>
      </c>
      <c r="J67" s="146">
        <f>IF(I67&lt;&gt;"", SUMIF(Bets!$D:$D, I67, Bets!AA:AA), "")</f>
        <v>-14.24</v>
      </c>
      <c r="K67" s="162"/>
      <c r="L67" s="148"/>
      <c r="M67" s="161"/>
      <c r="N67" s="146"/>
      <c r="O67" s="162"/>
      <c r="P67" s="148"/>
      <c r="Q67" s="161"/>
      <c r="R67" s="146" t="str">
        <f>IF(Q67&lt;&gt;"", SUMIF(Bets!$D:$D, Q67, Bets!AD:AD), "")</f>
        <v/>
      </c>
      <c r="S67" s="162"/>
      <c r="T67" s="148"/>
      <c r="U67" s="161"/>
      <c r="V67" s="146" t="str">
        <f>IF(U67&lt;&gt;"", SUMIF(Bets!$D:$D, U67, Bets!AE:AE), "")</f>
        <v/>
      </c>
      <c r="W67" s="162"/>
      <c r="X67" s="148"/>
      <c r="Y67" s="161"/>
      <c r="Z67" s="146" t="str">
        <f>IF(Y67&lt;&gt;"", SUMIF(Bets!$D:$D, Y67, Bets!AF:AF), "")</f>
        <v/>
      </c>
      <c r="AA67" s="162"/>
      <c r="AB67" s="148"/>
      <c r="AC67" s="161"/>
      <c r="AD67" s="146" t="str">
        <f>IF(AC67&lt;&gt;"", SUMIF(Bets!$D:$D, AC67, Bets!AG:AG), "")</f>
        <v/>
      </c>
      <c r="AE67" s="162"/>
      <c r="AF67" s="148"/>
    </row>
    <row r="68" hidden="1" outlineLevel="1">
      <c r="A68" s="161">
        <f>IFERROR(__xludf.DUMMYFUNCTION("""COMPUTED_VALUE"""),45610.0)</f>
        <v>45610</v>
      </c>
      <c r="B68" s="146">
        <f>IF(A68&lt;&gt;"", SUMIF(Bets!$D:$D, A68, Bets!Z:Z), "")</f>
        <v>6.48</v>
      </c>
      <c r="C68" s="162"/>
      <c r="D68" s="148"/>
      <c r="E68" s="161">
        <f>IFERROR(__xludf.DUMMYFUNCTION("""COMPUTED_VALUE"""),45250.0)</f>
        <v>45250</v>
      </c>
      <c r="F68" s="146">
        <f>IF(E68&lt;&gt;"", SUMIF(Bets!$D:$D, E68, Bets!AB:AB), "")</f>
        <v>-0.04988095238</v>
      </c>
      <c r="G68" s="162"/>
      <c r="H68" s="148"/>
      <c r="I68" s="161">
        <f>IFERROR(__xludf.DUMMYFUNCTION("""COMPUTED_VALUE"""),45610.0)</f>
        <v>45610</v>
      </c>
      <c r="J68" s="146">
        <f>IF(I68&lt;&gt;"", SUMIF(Bets!$D:$D, I68, Bets!AA:AA), "")</f>
        <v>8.92</v>
      </c>
      <c r="K68" s="162"/>
      <c r="L68" s="148"/>
      <c r="M68" s="161"/>
      <c r="N68" s="146"/>
      <c r="O68" s="162"/>
      <c r="P68" s="148"/>
      <c r="Q68" s="161"/>
      <c r="R68" s="146" t="str">
        <f>IF(Q68&lt;&gt;"", SUMIF(Bets!$D:$D, Q68, Bets!AD:AD), "")</f>
        <v/>
      </c>
      <c r="S68" s="162"/>
      <c r="T68" s="148"/>
      <c r="U68" s="161"/>
      <c r="V68" s="146" t="str">
        <f>IF(U68&lt;&gt;"", SUMIF(Bets!$D:$D, U68, Bets!AE:AE), "")</f>
        <v/>
      </c>
      <c r="W68" s="162"/>
      <c r="X68" s="148"/>
      <c r="Y68" s="161"/>
      <c r="Z68" s="146" t="str">
        <f>IF(Y68&lt;&gt;"", SUMIF(Bets!$D:$D, Y68, Bets!AF:AF), "")</f>
        <v/>
      </c>
      <c r="AA68" s="162"/>
      <c r="AB68" s="148"/>
      <c r="AC68" s="161"/>
      <c r="AD68" s="146" t="str">
        <f>IF(AC68&lt;&gt;"", SUMIF(Bets!$D:$D, AC68, Bets!AG:AG), "")</f>
        <v/>
      </c>
      <c r="AE68" s="162"/>
      <c r="AF68" s="148"/>
    </row>
    <row r="69" hidden="1" outlineLevel="1">
      <c r="A69" s="161">
        <f>IFERROR(__xludf.DUMMYFUNCTION("""COMPUTED_VALUE"""),45607.0)</f>
        <v>45607</v>
      </c>
      <c r="B69" s="146">
        <f>IF(A69&lt;&gt;"", SUMIF(Bets!$D:$D, A69, Bets!Z:Z), "")</f>
        <v>-3.805</v>
      </c>
      <c r="C69" s="162"/>
      <c r="D69" s="148"/>
      <c r="E69" s="161">
        <f>IFERROR(__xludf.DUMMYFUNCTION("""COMPUTED_VALUE"""),45249.0)</f>
        <v>45249</v>
      </c>
      <c r="F69" s="146">
        <f>IF(E69&lt;&gt;"", SUMIF(Bets!$D:$D, E69, Bets!AB:AB), "")</f>
        <v>6.318076923</v>
      </c>
      <c r="G69" s="162"/>
      <c r="H69" s="148"/>
      <c r="I69" s="161">
        <f>IFERROR(__xludf.DUMMYFUNCTION("""COMPUTED_VALUE"""),45607.0)</f>
        <v>45607</v>
      </c>
      <c r="J69" s="146">
        <f>IF(I69&lt;&gt;"", SUMIF(Bets!$D:$D, I69, Bets!AA:AA), "")</f>
        <v>-5.915</v>
      </c>
      <c r="K69" s="162"/>
      <c r="L69" s="148"/>
      <c r="M69" s="161"/>
      <c r="N69" s="146"/>
      <c r="O69" s="162"/>
      <c r="P69" s="148"/>
      <c r="Q69" s="161"/>
      <c r="R69" s="146" t="str">
        <f>IF(Q69&lt;&gt;"", SUMIF(Bets!$D:$D, Q69, Bets!AD:AD), "")</f>
        <v/>
      </c>
      <c r="S69" s="162"/>
      <c r="T69" s="148"/>
      <c r="U69" s="161"/>
      <c r="V69" s="146" t="str">
        <f>IF(U69&lt;&gt;"", SUMIF(Bets!$D:$D, U69, Bets!AE:AE), "")</f>
        <v/>
      </c>
      <c r="W69" s="162"/>
      <c r="X69" s="148"/>
      <c r="Y69" s="161"/>
      <c r="Z69" s="146" t="str">
        <f>IF(Y69&lt;&gt;"", SUMIF(Bets!$D:$D, Y69, Bets!AF:AF), "")</f>
        <v/>
      </c>
      <c r="AA69" s="162"/>
      <c r="AB69" s="148"/>
      <c r="AC69" s="161"/>
      <c r="AD69" s="146" t="str">
        <f>IF(AC69&lt;&gt;"", SUMIF(Bets!$D:$D, AC69, Bets!AG:AG), "")</f>
        <v/>
      </c>
      <c r="AE69" s="162"/>
      <c r="AF69" s="148"/>
    </row>
    <row r="70" hidden="1" outlineLevel="1">
      <c r="A70" s="161">
        <f>IFERROR(__xludf.DUMMYFUNCTION("""COMPUTED_VALUE"""),45603.0)</f>
        <v>45603</v>
      </c>
      <c r="B70" s="146">
        <f>IF(A70&lt;&gt;"", SUMIF(Bets!$D:$D, A70, Bets!Z:Z), "")</f>
        <v>9.876</v>
      </c>
      <c r="C70" s="162"/>
      <c r="D70" s="148"/>
      <c r="E70" s="161">
        <f>IFERROR(__xludf.DUMMYFUNCTION("""COMPUTED_VALUE"""),45248.0)</f>
        <v>45248</v>
      </c>
      <c r="F70" s="146">
        <f>IF(E70&lt;&gt;"", SUMIF(Bets!$D:$D, E70, Bets!AB:AB), "")</f>
        <v>2.199142857</v>
      </c>
      <c r="G70" s="162"/>
      <c r="H70" s="148"/>
      <c r="I70" s="161">
        <f>IFERROR(__xludf.DUMMYFUNCTION("""COMPUTED_VALUE"""),45603.0)</f>
        <v>45603</v>
      </c>
      <c r="J70" s="146">
        <f>IF(I70&lt;&gt;"", SUMIF(Bets!$D:$D, I70, Bets!AA:AA), "")</f>
        <v>12.314</v>
      </c>
      <c r="K70" s="162"/>
      <c r="L70" s="148"/>
      <c r="M70" s="161"/>
      <c r="N70" s="146"/>
      <c r="O70" s="162"/>
      <c r="P70" s="148"/>
      <c r="Q70" s="161"/>
      <c r="R70" s="146" t="str">
        <f>IF(Q70&lt;&gt;"", SUMIF(Bets!$D:$D, Q70, Bets!AD:AD), "")</f>
        <v/>
      </c>
      <c r="S70" s="162"/>
      <c r="T70" s="148"/>
      <c r="U70" s="161"/>
      <c r="V70" s="146" t="str">
        <f>IF(U70&lt;&gt;"", SUMIF(Bets!$D:$D, U70, Bets!AE:AE), "")</f>
        <v/>
      </c>
      <c r="W70" s="162"/>
      <c r="X70" s="148"/>
      <c r="Y70" s="161"/>
      <c r="Z70" s="146" t="str">
        <f>IF(Y70&lt;&gt;"", SUMIF(Bets!$D:$D, Y70, Bets!AF:AF), "")</f>
        <v/>
      </c>
      <c r="AA70" s="162"/>
      <c r="AB70" s="148"/>
      <c r="AC70" s="161"/>
      <c r="AD70" s="146" t="str">
        <f>IF(AC70&lt;&gt;"", SUMIF(Bets!$D:$D, AC70, Bets!AG:AG), "")</f>
        <v/>
      </c>
      <c r="AE70" s="162"/>
      <c r="AF70" s="148"/>
    </row>
    <row r="71" hidden="1" outlineLevel="1">
      <c r="A71" s="161">
        <f>IFERROR(__xludf.DUMMYFUNCTION("""COMPUTED_VALUE"""),45600.0)</f>
        <v>45600</v>
      </c>
      <c r="B71" s="146">
        <f>IF(A71&lt;&gt;"", SUMIF(Bets!$D:$D, A71, Bets!Z:Z), "")</f>
        <v>2.335</v>
      </c>
      <c r="C71" s="162"/>
      <c r="D71" s="148"/>
      <c r="E71" s="161">
        <f>IFERROR(__xludf.DUMMYFUNCTION("""COMPUTED_VALUE"""),45243.0)</f>
        <v>45243</v>
      </c>
      <c r="F71" s="146">
        <f>IF(E71&lt;&gt;"", SUMIF(Bets!$D:$D, E71, Bets!AB:AB), "")</f>
        <v>-1.642</v>
      </c>
      <c r="G71" s="162"/>
      <c r="H71" s="148"/>
      <c r="I71" s="161">
        <f>IFERROR(__xludf.DUMMYFUNCTION("""COMPUTED_VALUE"""),45600.0)</f>
        <v>45600</v>
      </c>
      <c r="J71" s="146">
        <f>IF(I71&lt;&gt;"", SUMIF(Bets!$D:$D, I71, Bets!AA:AA), "")</f>
        <v>2.335</v>
      </c>
      <c r="K71" s="162"/>
      <c r="L71" s="148"/>
      <c r="M71" s="161"/>
      <c r="N71" s="146"/>
      <c r="O71" s="162"/>
      <c r="P71" s="148"/>
      <c r="Q71" s="161"/>
      <c r="R71" s="146" t="str">
        <f>IF(Q71&lt;&gt;"", SUMIF(Bets!$D:$D, Q71, Bets!AD:AD), "")</f>
        <v/>
      </c>
      <c r="S71" s="162"/>
      <c r="T71" s="148"/>
      <c r="U71" s="161"/>
      <c r="V71" s="146" t="str">
        <f>IF(U71&lt;&gt;"", SUMIF(Bets!$D:$D, U71, Bets!AE:AE), "")</f>
        <v/>
      </c>
      <c r="W71" s="162"/>
      <c r="X71" s="148"/>
      <c r="Y71" s="161"/>
      <c r="Z71" s="146" t="str">
        <f>IF(Y71&lt;&gt;"", SUMIF(Bets!$D:$D, Y71, Bets!AF:AF), "")</f>
        <v/>
      </c>
      <c r="AA71" s="162"/>
      <c r="AB71" s="148"/>
      <c r="AC71" s="161"/>
      <c r="AD71" s="146" t="str">
        <f>IF(AC71&lt;&gt;"", SUMIF(Bets!$D:$D, AC71, Bets!AG:AG), "")</f>
        <v/>
      </c>
      <c r="AE71" s="162"/>
      <c r="AF71" s="148"/>
    </row>
    <row r="72" hidden="1" outlineLevel="1">
      <c r="A72" s="161">
        <f>IFERROR(__xludf.DUMMYFUNCTION("""COMPUTED_VALUE"""),45599.0)</f>
        <v>45599</v>
      </c>
      <c r="B72" s="146">
        <f>IF(A72&lt;&gt;"", SUMIF(Bets!$D:$D, A72, Bets!Z:Z), "")</f>
        <v>-2.133333333</v>
      </c>
      <c r="C72" s="162"/>
      <c r="D72" s="148"/>
      <c r="E72" s="161">
        <f>IFERROR(__xludf.DUMMYFUNCTION("""COMPUTED_VALUE"""),45242.0)</f>
        <v>45242</v>
      </c>
      <c r="F72" s="146">
        <f>IF(E72&lt;&gt;"", SUMIF(Bets!$D:$D, E72, Bets!AB:AB), "")</f>
        <v>-1.56725</v>
      </c>
      <c r="G72" s="162"/>
      <c r="H72" s="148"/>
      <c r="I72" s="161">
        <f>IFERROR(__xludf.DUMMYFUNCTION("""COMPUTED_VALUE"""),45599.0)</f>
        <v>45599</v>
      </c>
      <c r="J72" s="146">
        <f>IF(I72&lt;&gt;"", SUMIF(Bets!$D:$D, I72, Bets!AA:AA), "")</f>
        <v>-7.006666667</v>
      </c>
      <c r="K72" s="162"/>
      <c r="L72" s="148"/>
      <c r="M72" s="161"/>
      <c r="N72" s="146"/>
      <c r="O72" s="162"/>
      <c r="P72" s="148"/>
      <c r="Q72" s="161"/>
      <c r="R72" s="146" t="str">
        <f>IF(Q72&lt;&gt;"", SUMIF(Bets!$D:$D, Q72, Bets!AD:AD), "")</f>
        <v/>
      </c>
      <c r="S72" s="162"/>
      <c r="T72" s="148"/>
      <c r="U72" s="161"/>
      <c r="V72" s="146" t="str">
        <f>IF(U72&lt;&gt;"", SUMIF(Bets!$D:$D, U72, Bets!AE:AE), "")</f>
        <v/>
      </c>
      <c r="W72" s="162"/>
      <c r="X72" s="148"/>
      <c r="Y72" s="161"/>
      <c r="Z72" s="146" t="str">
        <f>IF(Y72&lt;&gt;"", SUMIF(Bets!$D:$D, Y72, Bets!AF:AF), "")</f>
        <v/>
      </c>
      <c r="AA72" s="162"/>
      <c r="AB72" s="148"/>
      <c r="AC72" s="161"/>
      <c r="AD72" s="146" t="str">
        <f>IF(AC72&lt;&gt;"", SUMIF(Bets!$D:$D, AC72, Bets!AG:AG), "")</f>
        <v/>
      </c>
      <c r="AE72" s="162"/>
      <c r="AF72" s="148"/>
    </row>
    <row r="73" hidden="1" outlineLevel="1">
      <c r="A73" s="161">
        <f>IFERROR(__xludf.DUMMYFUNCTION("""COMPUTED_VALUE"""),45596.0)</f>
        <v>45596</v>
      </c>
      <c r="B73" s="146">
        <f>IF(A73&lt;&gt;"", SUMIF(Bets!$D:$D, A73, Bets!Z:Z), "")</f>
        <v>-8.96</v>
      </c>
      <c r="C73" s="162"/>
      <c r="D73" s="148"/>
      <c r="E73" s="161">
        <f>IFERROR(__xludf.DUMMYFUNCTION("""COMPUTED_VALUE"""),45241.0)</f>
        <v>45241</v>
      </c>
      <c r="F73" s="146">
        <f>IF(E73&lt;&gt;"", SUMIF(Bets!$D:$D, E73, Bets!AB:AB), "")</f>
        <v>1.908</v>
      </c>
      <c r="G73" s="162"/>
      <c r="H73" s="148"/>
      <c r="I73" s="161">
        <f>IFERROR(__xludf.DUMMYFUNCTION("""COMPUTED_VALUE"""),45596.0)</f>
        <v>45596</v>
      </c>
      <c r="J73" s="146">
        <f>IF(I73&lt;&gt;"", SUMIF(Bets!$D:$D, I73, Bets!AA:AA), "")</f>
        <v>-14.94</v>
      </c>
      <c r="K73" s="162"/>
      <c r="L73" s="148"/>
      <c r="M73" s="161"/>
      <c r="N73" s="146"/>
      <c r="O73" s="162"/>
      <c r="P73" s="148"/>
      <c r="Q73" s="161"/>
      <c r="R73" s="146" t="str">
        <f>IF(Q73&lt;&gt;"", SUMIF(Bets!$D:$D, Q73, Bets!AD:AD), "")</f>
        <v/>
      </c>
      <c r="S73" s="162"/>
      <c r="T73" s="148"/>
      <c r="U73" s="161"/>
      <c r="V73" s="146" t="str">
        <f>IF(U73&lt;&gt;"", SUMIF(Bets!$D:$D, U73, Bets!AE:AE), "")</f>
        <v/>
      </c>
      <c r="W73" s="162"/>
      <c r="X73" s="148"/>
      <c r="Y73" s="161"/>
      <c r="Z73" s="146" t="str">
        <f>IF(Y73&lt;&gt;"", SUMIF(Bets!$D:$D, Y73, Bets!AF:AF), "")</f>
        <v/>
      </c>
      <c r="AA73" s="162"/>
      <c r="AB73" s="148"/>
      <c r="AC73" s="161"/>
      <c r="AD73" s="146" t="str">
        <f>IF(AC73&lt;&gt;"", SUMIF(Bets!$D:$D, AC73, Bets!AG:AG), "")</f>
        <v/>
      </c>
      <c r="AE73" s="162"/>
      <c r="AF73" s="148"/>
    </row>
    <row r="74" hidden="1" outlineLevel="1">
      <c r="A74" s="161">
        <f>IFERROR(__xludf.DUMMYFUNCTION("""COMPUTED_VALUE"""),45593.0)</f>
        <v>45593</v>
      </c>
      <c r="B74" s="146">
        <f>IF(A74&lt;&gt;"", SUMIF(Bets!$D:$D, A74, Bets!Z:Z), "")</f>
        <v>1.278857143</v>
      </c>
      <c r="C74" s="162"/>
      <c r="D74" s="148"/>
      <c r="E74" s="161">
        <f>IFERROR(__xludf.DUMMYFUNCTION("""COMPUTED_VALUE"""),45240.0)</f>
        <v>45240</v>
      </c>
      <c r="F74" s="146">
        <f>IF(E74&lt;&gt;"", SUMIF(Bets!$D:$D, E74, Bets!AB:AB), "")</f>
        <v>0.508</v>
      </c>
      <c r="G74" s="162"/>
      <c r="H74" s="148"/>
      <c r="I74" s="161">
        <f>IFERROR(__xludf.DUMMYFUNCTION("""COMPUTED_VALUE"""),45593.0)</f>
        <v>45593</v>
      </c>
      <c r="J74" s="146">
        <f>IF(I74&lt;&gt;"", SUMIF(Bets!$D:$D, I74, Bets!AA:AA), "")</f>
        <v>3.621142857</v>
      </c>
      <c r="K74" s="162"/>
      <c r="L74" s="148"/>
      <c r="M74" s="161"/>
      <c r="N74" s="146"/>
      <c r="O74" s="162"/>
      <c r="P74" s="148"/>
      <c r="Q74" s="161"/>
      <c r="R74" s="146" t="str">
        <f>IF(Q74&lt;&gt;"", SUMIF(Bets!$D:$D, Q74, Bets!AD:AD), "")</f>
        <v/>
      </c>
      <c r="S74" s="162"/>
      <c r="T74" s="148"/>
      <c r="U74" s="161"/>
      <c r="V74" s="146" t="str">
        <f>IF(U74&lt;&gt;"", SUMIF(Bets!$D:$D, U74, Bets!AE:AE), "")</f>
        <v/>
      </c>
      <c r="W74" s="162"/>
      <c r="X74" s="148"/>
      <c r="Y74" s="161"/>
      <c r="Z74" s="146" t="str">
        <f>IF(Y74&lt;&gt;"", SUMIF(Bets!$D:$D, Y74, Bets!AF:AF), "")</f>
        <v/>
      </c>
      <c r="AA74" s="162"/>
      <c r="AB74" s="148"/>
      <c r="AC74" s="161"/>
      <c r="AD74" s="146" t="str">
        <f>IF(AC74&lt;&gt;"", SUMIF(Bets!$D:$D, AC74, Bets!AG:AG), "")</f>
        <v/>
      </c>
      <c r="AE74" s="162"/>
      <c r="AF74" s="148"/>
    </row>
    <row r="75" hidden="1" outlineLevel="1">
      <c r="A75" s="161">
        <f>IFERROR(__xludf.DUMMYFUNCTION("""COMPUTED_VALUE"""),45592.0)</f>
        <v>45592</v>
      </c>
      <c r="B75" s="146">
        <f>IF(A75&lt;&gt;"", SUMIF(Bets!$D:$D, A75, Bets!Z:Z), "")</f>
        <v>-10.524</v>
      </c>
      <c r="C75" s="162"/>
      <c r="D75" s="148"/>
      <c r="E75" s="161">
        <f>IFERROR(__xludf.DUMMYFUNCTION("""COMPUTED_VALUE"""),45239.0)</f>
        <v>45239</v>
      </c>
      <c r="F75" s="146">
        <f>IF(E75&lt;&gt;"", SUMIF(Bets!$D:$D, E75, Bets!AB:AB), "")</f>
        <v>5.356</v>
      </c>
      <c r="G75" s="162"/>
      <c r="H75" s="148"/>
      <c r="I75" s="161">
        <f>IFERROR(__xludf.DUMMYFUNCTION("""COMPUTED_VALUE"""),45592.0)</f>
        <v>45592</v>
      </c>
      <c r="J75" s="146">
        <f>IF(I75&lt;&gt;"", SUMIF(Bets!$D:$D, I75, Bets!AA:AA), "")</f>
        <v>-22.076</v>
      </c>
      <c r="K75" s="162"/>
      <c r="L75" s="148"/>
      <c r="M75" s="161"/>
      <c r="N75" s="146"/>
      <c r="O75" s="162"/>
      <c r="P75" s="148"/>
      <c r="Q75" s="161"/>
      <c r="R75" s="146" t="str">
        <f>IF(Q75&lt;&gt;"", SUMIF(Bets!$D:$D, Q75, Bets!AD:AD), "")</f>
        <v/>
      </c>
      <c r="S75" s="162"/>
      <c r="T75" s="148"/>
      <c r="U75" s="161"/>
      <c r="V75" s="146" t="str">
        <f>IF(U75&lt;&gt;"", SUMIF(Bets!$D:$D, U75, Bets!AE:AE), "")</f>
        <v/>
      </c>
      <c r="W75" s="162"/>
      <c r="X75" s="148"/>
      <c r="Y75" s="161"/>
      <c r="Z75" s="146" t="str">
        <f>IF(Y75&lt;&gt;"", SUMIF(Bets!$D:$D, Y75, Bets!AF:AF), "")</f>
        <v/>
      </c>
      <c r="AA75" s="162"/>
      <c r="AB75" s="148"/>
      <c r="AC75" s="161"/>
      <c r="AD75" s="146" t="str">
        <f>IF(AC75&lt;&gt;"", SUMIF(Bets!$D:$D, AC75, Bets!AG:AG), "")</f>
        <v/>
      </c>
      <c r="AE75" s="162"/>
      <c r="AF75" s="148"/>
    </row>
    <row r="76" hidden="1" outlineLevel="1">
      <c r="A76" s="161">
        <f>IFERROR(__xludf.DUMMYFUNCTION("""COMPUTED_VALUE"""),45589.0)</f>
        <v>45589</v>
      </c>
      <c r="B76" s="146">
        <f>IF(A76&lt;&gt;"", SUMIF(Bets!$D:$D, A76, Bets!Z:Z), "")</f>
        <v>-11</v>
      </c>
      <c r="C76" s="162"/>
      <c r="D76" s="148"/>
      <c r="E76" s="161">
        <f>IFERROR(__xludf.DUMMYFUNCTION("""COMPUTED_VALUE"""),45238.0)</f>
        <v>45238</v>
      </c>
      <c r="F76" s="146">
        <f>IF(E76&lt;&gt;"", SUMIF(Bets!$D:$D, E76, Bets!AB:AB), "")</f>
        <v>-3.572</v>
      </c>
      <c r="G76" s="162"/>
      <c r="H76" s="148"/>
      <c r="I76" s="161">
        <f>IFERROR(__xludf.DUMMYFUNCTION("""COMPUTED_VALUE"""),45589.0)</f>
        <v>45589</v>
      </c>
      <c r="J76" s="146">
        <f>IF(I76&lt;&gt;"", SUMIF(Bets!$D:$D, I76, Bets!AA:AA), "")</f>
        <v>-23</v>
      </c>
      <c r="K76" s="162"/>
      <c r="L76" s="148"/>
      <c r="M76" s="161"/>
      <c r="N76" s="146"/>
      <c r="O76" s="162"/>
      <c r="P76" s="148"/>
      <c r="Q76" s="161"/>
      <c r="R76" s="146" t="str">
        <f>IF(Q76&lt;&gt;"", SUMIF(Bets!$D:$D, Q76, Bets!AD:AD), "")</f>
        <v/>
      </c>
      <c r="S76" s="162"/>
      <c r="T76" s="148"/>
      <c r="U76" s="161"/>
      <c r="V76" s="146" t="str">
        <f>IF(U76&lt;&gt;"", SUMIF(Bets!$D:$D, U76, Bets!AE:AE), "")</f>
        <v/>
      </c>
      <c r="W76" s="162"/>
      <c r="X76" s="148"/>
      <c r="Y76" s="161"/>
      <c r="Z76" s="146" t="str">
        <f>IF(Y76&lt;&gt;"", SUMIF(Bets!$D:$D, Y76, Bets!AF:AF), "")</f>
        <v/>
      </c>
      <c r="AA76" s="162"/>
      <c r="AB76" s="148"/>
      <c r="AC76" s="161"/>
      <c r="AD76" s="146" t="str">
        <f>IF(AC76&lt;&gt;"", SUMIF(Bets!$D:$D, AC76, Bets!AG:AG), "")</f>
        <v/>
      </c>
      <c r="AE76" s="162"/>
      <c r="AF76" s="148"/>
    </row>
    <row r="77" hidden="1" outlineLevel="1">
      <c r="A77" s="161">
        <f>IFERROR(__xludf.DUMMYFUNCTION("""COMPUTED_VALUE"""),45586.0)</f>
        <v>45586</v>
      </c>
      <c r="B77" s="146">
        <f>IF(A77&lt;&gt;"", SUMIF(Bets!$D:$D, A77, Bets!Z:Z), "")</f>
        <v>9.2075</v>
      </c>
      <c r="C77" s="162"/>
      <c r="D77" s="148"/>
      <c r="E77" s="161">
        <f>IFERROR(__xludf.DUMMYFUNCTION("""COMPUTED_VALUE"""),45236.0)</f>
        <v>45236</v>
      </c>
      <c r="F77" s="146">
        <f>IF(E77&lt;&gt;"", SUMIF(Bets!$D:$D, E77, Bets!AB:AB), "")</f>
        <v>1.361166667</v>
      </c>
      <c r="G77" s="162"/>
      <c r="H77" s="148"/>
      <c r="I77" s="161">
        <f>IFERROR(__xludf.DUMMYFUNCTION("""COMPUTED_VALUE"""),45586.0)</f>
        <v>45586</v>
      </c>
      <c r="J77" s="146">
        <f>IF(I77&lt;&gt;"", SUMIF(Bets!$D:$D, I77, Bets!AA:AA), "")</f>
        <v>8.9025</v>
      </c>
      <c r="K77" s="162"/>
      <c r="L77" s="148"/>
      <c r="M77" s="161"/>
      <c r="N77" s="146"/>
      <c r="O77" s="162"/>
      <c r="P77" s="148"/>
      <c r="Q77" s="161"/>
      <c r="R77" s="146" t="str">
        <f>IF(Q77&lt;&gt;"", SUMIF(Bets!$D:$D, Q77, Bets!AD:AD), "")</f>
        <v/>
      </c>
      <c r="S77" s="162"/>
      <c r="T77" s="148"/>
      <c r="U77" s="161"/>
      <c r="V77" s="146" t="str">
        <f>IF(U77&lt;&gt;"", SUMIF(Bets!$D:$D, U77, Bets!AE:AE), "")</f>
        <v/>
      </c>
      <c r="W77" s="162"/>
      <c r="X77" s="148"/>
      <c r="Y77" s="161"/>
      <c r="Z77" s="146" t="str">
        <f>IF(Y77&lt;&gt;"", SUMIF(Bets!$D:$D, Y77, Bets!AF:AF), "")</f>
        <v/>
      </c>
      <c r="AA77" s="162"/>
      <c r="AB77" s="148"/>
      <c r="AC77" s="161"/>
      <c r="AD77" s="146" t="str">
        <f>IF(AC77&lt;&gt;"", SUMIF(Bets!$D:$D, AC77, Bets!AG:AG), "")</f>
        <v/>
      </c>
      <c r="AE77" s="162"/>
      <c r="AF77" s="148"/>
    </row>
    <row r="78" hidden="1" outlineLevel="1">
      <c r="A78" s="161">
        <f>IFERROR(__xludf.DUMMYFUNCTION("""COMPUTED_VALUE"""),45575.0)</f>
        <v>45575</v>
      </c>
      <c r="B78" s="146">
        <f>IF(A78&lt;&gt;"", SUMIF(Bets!$D:$D, A78, Bets!Z:Z), "")</f>
        <v>-6.90125</v>
      </c>
      <c r="C78" s="162"/>
      <c r="D78" s="148"/>
      <c r="E78" s="161">
        <f>IFERROR(__xludf.DUMMYFUNCTION("""COMPUTED_VALUE"""),45235.0)</f>
        <v>45235</v>
      </c>
      <c r="F78" s="146">
        <f>IF(E78&lt;&gt;"", SUMIF(Bets!$D:$D, E78, Bets!AB:AB), "")</f>
        <v>15.22805</v>
      </c>
      <c r="G78" s="162"/>
      <c r="H78" s="148"/>
      <c r="I78" s="161">
        <f>IFERROR(__xludf.DUMMYFUNCTION("""COMPUTED_VALUE"""),45575.0)</f>
        <v>45575</v>
      </c>
      <c r="J78" s="146">
        <f>IF(I78&lt;&gt;"", SUMIF(Bets!$D:$D, I78, Bets!AA:AA), "")</f>
        <v>-9.16875</v>
      </c>
      <c r="K78" s="162"/>
      <c r="L78" s="148"/>
      <c r="M78" s="161"/>
      <c r="N78" s="146"/>
      <c r="O78" s="162"/>
      <c r="P78" s="148"/>
      <c r="Q78" s="161"/>
      <c r="R78" s="146" t="str">
        <f>IF(Q78&lt;&gt;"", SUMIF(Bets!$D:$D, Q78, Bets!AD:AD), "")</f>
        <v/>
      </c>
      <c r="S78" s="162"/>
      <c r="T78" s="148"/>
      <c r="U78" s="161"/>
      <c r="V78" s="146" t="str">
        <f>IF(U78&lt;&gt;"", SUMIF(Bets!$D:$D, U78, Bets!AE:AE), "")</f>
        <v/>
      </c>
      <c r="W78" s="162"/>
      <c r="X78" s="148"/>
      <c r="Y78" s="161"/>
      <c r="Z78" s="146" t="str">
        <f>IF(Y78&lt;&gt;"", SUMIF(Bets!$D:$D, Y78, Bets!AF:AF), "")</f>
        <v/>
      </c>
      <c r="AA78" s="162"/>
      <c r="AB78" s="148"/>
      <c r="AC78" s="161"/>
      <c r="AD78" s="146" t="str">
        <f>IF(AC78&lt;&gt;"", SUMIF(Bets!$D:$D, AC78, Bets!AG:AG), "")</f>
        <v/>
      </c>
      <c r="AE78" s="162"/>
      <c r="AF78" s="148"/>
    </row>
    <row r="79" hidden="1" outlineLevel="1">
      <c r="A79" s="161">
        <f>IFERROR(__xludf.DUMMYFUNCTION("""COMPUTED_VALUE"""),45572.0)</f>
        <v>45572</v>
      </c>
      <c r="B79" s="146">
        <f>IF(A79&lt;&gt;"", SUMIF(Bets!$D:$D, A79, Bets!Z:Z), "")</f>
        <v>-8</v>
      </c>
      <c r="C79" s="162"/>
      <c r="D79" s="148"/>
      <c r="E79" s="161">
        <f>IFERROR(__xludf.DUMMYFUNCTION("""COMPUTED_VALUE"""),45174.0)</f>
        <v>45174</v>
      </c>
      <c r="F79" s="146">
        <f>IF(E79&lt;&gt;"", SUMIF(Bets!$D:$D, E79, Bets!AB:AB), "")</f>
        <v>-5.25</v>
      </c>
      <c r="G79" s="162"/>
      <c r="H79" s="148"/>
      <c r="I79" s="161">
        <f>IFERROR(__xludf.DUMMYFUNCTION("""COMPUTED_VALUE"""),45572.0)</f>
        <v>45572</v>
      </c>
      <c r="J79" s="146">
        <f>IF(I79&lt;&gt;"", SUMIF(Bets!$D:$D, I79, Bets!AA:AA), "")</f>
        <v>-10</v>
      </c>
      <c r="K79" s="162"/>
      <c r="L79" s="148"/>
      <c r="M79" s="161"/>
      <c r="N79" s="146"/>
      <c r="O79" s="162"/>
      <c r="P79" s="148"/>
      <c r="Q79" s="161"/>
      <c r="R79" s="146" t="str">
        <f>IF(Q79&lt;&gt;"", SUMIF(Bets!$D:$D, Q79, Bets!AD:AD), "")</f>
        <v/>
      </c>
      <c r="S79" s="162"/>
      <c r="T79" s="148"/>
      <c r="U79" s="161"/>
      <c r="V79" s="146" t="str">
        <f>IF(U79&lt;&gt;"", SUMIF(Bets!$D:$D, U79, Bets!AE:AE), "")</f>
        <v/>
      </c>
      <c r="W79" s="162"/>
      <c r="X79" s="148"/>
      <c r="Y79" s="161"/>
      <c r="Z79" s="146" t="str">
        <f>IF(Y79&lt;&gt;"", SUMIF(Bets!$D:$D, Y79, Bets!AF:AF), "")</f>
        <v/>
      </c>
      <c r="AA79" s="162"/>
      <c r="AB79" s="148"/>
      <c r="AC79" s="161"/>
      <c r="AD79" s="146" t="str">
        <f>IF(AC79&lt;&gt;"", SUMIF(Bets!$D:$D, AC79, Bets!AG:AG), "")</f>
        <v/>
      </c>
      <c r="AE79" s="162"/>
      <c r="AF79" s="148"/>
    </row>
    <row r="80" hidden="1" outlineLevel="1">
      <c r="A80" s="161">
        <f>IFERROR(__xludf.DUMMYFUNCTION("""COMPUTED_VALUE"""),45571.0)</f>
        <v>45571</v>
      </c>
      <c r="B80" s="146">
        <f>IF(A80&lt;&gt;"", SUMIF(Bets!$D:$D, A80, Bets!Z:Z), "")</f>
        <v>43.88533333</v>
      </c>
      <c r="C80" s="162"/>
      <c r="D80" s="148"/>
      <c r="E80" s="161"/>
      <c r="F80" s="146" t="str">
        <f>IF(E80&lt;&gt;"", SUMIF(Bets!$D:$D, E80, Bets!AB:AB), "")</f>
        <v/>
      </c>
      <c r="G80" s="162"/>
      <c r="H80" s="148"/>
      <c r="I80" s="161">
        <f>IFERROR(__xludf.DUMMYFUNCTION("""COMPUTED_VALUE"""),45571.0)</f>
        <v>45571</v>
      </c>
      <c r="J80" s="146">
        <f>IF(I80&lt;&gt;"", SUMIF(Bets!$D:$D, I80, Bets!AA:AA), "")</f>
        <v>107.3446667</v>
      </c>
      <c r="K80" s="162"/>
      <c r="L80" s="148"/>
      <c r="M80" s="161"/>
      <c r="N80" s="146"/>
      <c r="O80" s="162"/>
      <c r="P80" s="148"/>
      <c r="Q80" s="161"/>
      <c r="R80" s="146" t="str">
        <f>IF(Q80&lt;&gt;"", SUMIF(Bets!$D:$D, Q80, Bets!AD:AD), "")</f>
        <v/>
      </c>
      <c r="S80" s="162"/>
      <c r="T80" s="148"/>
      <c r="U80" s="161"/>
      <c r="V80" s="146" t="str">
        <f>IF(U80&lt;&gt;"", SUMIF(Bets!$D:$D, U80, Bets!AE:AE), "")</f>
        <v/>
      </c>
      <c r="W80" s="162"/>
      <c r="X80" s="148"/>
      <c r="Y80" s="161"/>
      <c r="Z80" s="146" t="str">
        <f>IF(Y80&lt;&gt;"", SUMIF(Bets!$D:$D, Y80, Bets!AF:AF), "")</f>
        <v/>
      </c>
      <c r="AA80" s="162"/>
      <c r="AB80" s="148"/>
      <c r="AC80" s="161"/>
      <c r="AD80" s="146" t="str">
        <f>IF(AC80&lt;&gt;"", SUMIF(Bets!$D:$D, AC80, Bets!AG:AG), "")</f>
        <v/>
      </c>
      <c r="AE80" s="162"/>
      <c r="AF80" s="148"/>
    </row>
    <row r="81" hidden="1" outlineLevel="1">
      <c r="A81" s="161">
        <f>IFERROR(__xludf.DUMMYFUNCTION("""COMPUTED_VALUE"""),45568.0)</f>
        <v>45568</v>
      </c>
      <c r="B81" s="146">
        <f>IF(A81&lt;&gt;"", SUMIF(Bets!$D:$D, A81, Bets!Z:Z), "")</f>
        <v>2.225</v>
      </c>
      <c r="C81" s="162"/>
      <c r="D81" s="148"/>
      <c r="E81" s="161"/>
      <c r="F81" s="146" t="str">
        <f>IF(E81&lt;&gt;"", SUMIF(Bets!$D:$D, E81, Bets!AB:AB), "")</f>
        <v/>
      </c>
      <c r="G81" s="162"/>
      <c r="H81" s="148"/>
      <c r="I81" s="161">
        <f>IFERROR(__xludf.DUMMYFUNCTION("""COMPUTED_VALUE"""),45568.0)</f>
        <v>45568</v>
      </c>
      <c r="J81" s="146">
        <f>IF(I81&lt;&gt;"", SUMIF(Bets!$D:$D, I81, Bets!AA:AA), "")</f>
        <v>4.285</v>
      </c>
      <c r="K81" s="162"/>
      <c r="L81" s="148"/>
      <c r="M81" s="161"/>
      <c r="N81" s="146"/>
      <c r="O81" s="162"/>
      <c r="P81" s="148"/>
      <c r="Q81" s="161"/>
      <c r="R81" s="146" t="str">
        <f>IF(Q81&lt;&gt;"", SUMIF(Bets!$D:$D, Q81, Bets!AD:AD), "")</f>
        <v/>
      </c>
      <c r="S81" s="162"/>
      <c r="T81" s="148"/>
      <c r="U81" s="161"/>
      <c r="V81" s="146" t="str">
        <f>IF(U81&lt;&gt;"", SUMIF(Bets!$D:$D, U81, Bets!AE:AE), "")</f>
        <v/>
      </c>
      <c r="W81" s="162"/>
      <c r="X81" s="148"/>
      <c r="Y81" s="161"/>
      <c r="Z81" s="146" t="str">
        <f>IF(Y81&lt;&gt;"", SUMIF(Bets!$D:$D, Y81, Bets!AF:AF), "")</f>
        <v/>
      </c>
      <c r="AA81" s="162"/>
      <c r="AB81" s="148"/>
      <c r="AC81" s="161"/>
      <c r="AD81" s="146" t="str">
        <f>IF(AC81&lt;&gt;"", SUMIF(Bets!$D:$D, AC81, Bets!AG:AG), "")</f>
        <v/>
      </c>
      <c r="AE81" s="162"/>
      <c r="AF81" s="148"/>
    </row>
    <row r="82" hidden="1" outlineLevel="1">
      <c r="A82" s="161">
        <f>IFERROR(__xludf.DUMMYFUNCTION("""COMPUTED_VALUE"""),45564.0)</f>
        <v>45564</v>
      </c>
      <c r="B82" s="146">
        <f>IF(A82&lt;&gt;"", SUMIF(Bets!$D:$D, A82, Bets!Z:Z), "")</f>
        <v>-6</v>
      </c>
      <c r="C82" s="162"/>
      <c r="D82" s="148"/>
      <c r="E82" s="161"/>
      <c r="F82" s="146" t="str">
        <f>IF(E82&lt;&gt;"", SUMIF(Bets!$D:$D, E82, Bets!AB:AB), "")</f>
        <v/>
      </c>
      <c r="G82" s="162"/>
      <c r="H82" s="148"/>
      <c r="I82" s="161">
        <f>IFERROR(__xludf.DUMMYFUNCTION("""COMPUTED_VALUE"""),45564.0)</f>
        <v>45564</v>
      </c>
      <c r="J82" s="146">
        <f>IF(I82&lt;&gt;"", SUMIF(Bets!$D:$D, I82, Bets!AA:AA), "")</f>
        <v>-7</v>
      </c>
      <c r="K82" s="162"/>
      <c r="L82" s="148"/>
      <c r="M82" s="161"/>
      <c r="N82" s="146"/>
      <c r="O82" s="162"/>
      <c r="P82" s="148"/>
      <c r="Q82" s="161"/>
      <c r="R82" s="146" t="str">
        <f>IF(Q82&lt;&gt;"", SUMIF(Bets!$D:$D, Q82, Bets!AD:AD), "")</f>
        <v/>
      </c>
      <c r="S82" s="162"/>
      <c r="T82" s="148"/>
      <c r="U82" s="161"/>
      <c r="V82" s="146" t="str">
        <f>IF(U82&lt;&gt;"", SUMIF(Bets!$D:$D, U82, Bets!AE:AE), "")</f>
        <v/>
      </c>
      <c r="W82" s="162"/>
      <c r="X82" s="148"/>
      <c r="Y82" s="161"/>
      <c r="Z82" s="146" t="str">
        <f>IF(Y82&lt;&gt;"", SUMIF(Bets!$D:$D, Y82, Bets!AF:AF), "")</f>
        <v/>
      </c>
      <c r="AA82" s="162"/>
      <c r="AB82" s="148"/>
      <c r="AC82" s="161"/>
      <c r="AD82" s="146" t="str">
        <f>IF(AC82&lt;&gt;"", SUMIF(Bets!$D:$D, AC82, Bets!AG:AG), "")</f>
        <v/>
      </c>
      <c r="AE82" s="162"/>
      <c r="AF82" s="148"/>
    </row>
    <row r="83" hidden="1" outlineLevel="1">
      <c r="A83" s="161">
        <f>IFERROR(__xludf.DUMMYFUNCTION("""COMPUTED_VALUE"""),45561.0)</f>
        <v>45561</v>
      </c>
      <c r="B83" s="146">
        <f>IF(A83&lt;&gt;"", SUMIF(Bets!$D:$D, A83, Bets!Z:Z), "")</f>
        <v>-4.2</v>
      </c>
      <c r="C83" s="162"/>
      <c r="D83" s="148"/>
      <c r="E83" s="161"/>
      <c r="F83" s="146" t="str">
        <f>IF(E83&lt;&gt;"", SUMIF(Bets!$D:$D, E83, Bets!AB:AB), "")</f>
        <v/>
      </c>
      <c r="G83" s="162"/>
      <c r="H83" s="148"/>
      <c r="I83" s="161">
        <f>IFERROR(__xludf.DUMMYFUNCTION("""COMPUTED_VALUE"""),45561.0)</f>
        <v>45561</v>
      </c>
      <c r="J83" s="146">
        <f>IF(I83&lt;&gt;"", SUMIF(Bets!$D:$D, I83, Bets!AA:AA), "")</f>
        <v>-9.4</v>
      </c>
      <c r="K83" s="162"/>
      <c r="L83" s="148"/>
      <c r="M83" s="161"/>
      <c r="N83" s="146"/>
      <c r="O83" s="162"/>
      <c r="P83" s="148"/>
      <c r="Q83" s="161"/>
      <c r="R83" s="146" t="str">
        <f>IF(Q83&lt;&gt;"", SUMIF(Bets!$D:$D, Q83, Bets!AD:AD), "")</f>
        <v/>
      </c>
      <c r="S83" s="162"/>
      <c r="T83" s="148"/>
      <c r="U83" s="161"/>
      <c r="V83" s="146" t="str">
        <f>IF(U83&lt;&gt;"", SUMIF(Bets!$D:$D, U83, Bets!AE:AE), "")</f>
        <v/>
      </c>
      <c r="W83" s="162"/>
      <c r="X83" s="148"/>
      <c r="Y83" s="161"/>
      <c r="Z83" s="146" t="str">
        <f>IF(Y83&lt;&gt;"", SUMIF(Bets!$D:$D, Y83, Bets!AF:AF), "")</f>
        <v/>
      </c>
      <c r="AA83" s="162"/>
      <c r="AB83" s="148"/>
      <c r="AC83" s="161"/>
      <c r="AD83" s="146" t="str">
        <f>IF(AC83&lt;&gt;"", SUMIF(Bets!$D:$D, AC83, Bets!AG:AG), "")</f>
        <v/>
      </c>
      <c r="AE83" s="162"/>
      <c r="AF83" s="148"/>
    </row>
    <row r="84" hidden="1" outlineLevel="1">
      <c r="A84" s="161">
        <f>IFERROR(__xludf.DUMMYFUNCTION("""COMPUTED_VALUE"""),45558.0)</f>
        <v>45558</v>
      </c>
      <c r="B84" s="146">
        <f>IF(A84&lt;&gt;"", SUMIF(Bets!$D:$D, A84, Bets!Z:Z), "")</f>
        <v>-2</v>
      </c>
      <c r="C84" s="162"/>
      <c r="D84" s="148"/>
      <c r="E84" s="161"/>
      <c r="F84" s="146" t="str">
        <f>IF(E84&lt;&gt;"", SUMIF(Bets!$D:$D, E84, Bets!AB:AB), "")</f>
        <v/>
      </c>
      <c r="G84" s="162"/>
      <c r="H84" s="148"/>
      <c r="I84" s="161">
        <f>IFERROR(__xludf.DUMMYFUNCTION("""COMPUTED_VALUE"""),45558.0)</f>
        <v>45558</v>
      </c>
      <c r="J84" s="146">
        <f>IF(I84&lt;&gt;"", SUMIF(Bets!$D:$D, I84, Bets!AA:AA), "")</f>
        <v>-2</v>
      </c>
      <c r="K84" s="162"/>
      <c r="L84" s="148"/>
      <c r="M84" s="161"/>
      <c r="N84" s="146"/>
      <c r="O84" s="162"/>
      <c r="P84" s="148"/>
      <c r="Q84" s="161"/>
      <c r="R84" s="146" t="str">
        <f>IF(Q84&lt;&gt;"", SUMIF(Bets!$D:$D, Q84, Bets!AD:AD), "")</f>
        <v/>
      </c>
      <c r="S84" s="162"/>
      <c r="T84" s="148"/>
      <c r="U84" s="161"/>
      <c r="V84" s="146" t="str">
        <f>IF(U84&lt;&gt;"", SUMIF(Bets!$D:$D, U84, Bets!AE:AE), "")</f>
        <v/>
      </c>
      <c r="W84" s="162"/>
      <c r="X84" s="148"/>
      <c r="Y84" s="161"/>
      <c r="Z84" s="146" t="str">
        <f>IF(Y84&lt;&gt;"", SUMIF(Bets!$D:$D, Y84, Bets!AF:AF), "")</f>
        <v/>
      </c>
      <c r="AA84" s="162"/>
      <c r="AB84" s="148"/>
      <c r="AC84" s="161"/>
      <c r="AD84" s="146" t="str">
        <f>IF(AC84&lt;&gt;"", SUMIF(Bets!$D:$D, AC84, Bets!AG:AG), "")</f>
        <v/>
      </c>
      <c r="AE84" s="162"/>
      <c r="AF84" s="148"/>
    </row>
    <row r="85" hidden="1" outlineLevel="1">
      <c r="A85" s="161">
        <f>IFERROR(__xludf.DUMMYFUNCTION("""COMPUTED_VALUE"""),45556.0)</f>
        <v>45556</v>
      </c>
      <c r="B85" s="146">
        <f>IF(A85&lt;&gt;"", SUMIF(Bets!$D:$D, A85, Bets!Z:Z), "")</f>
        <v>-11.04333333</v>
      </c>
      <c r="C85" s="162"/>
      <c r="D85" s="148"/>
      <c r="E85" s="161"/>
      <c r="F85" s="146" t="str">
        <f>IF(E85&lt;&gt;"", SUMIF(Bets!$D:$D, E85, Bets!AB:AB), "")</f>
        <v/>
      </c>
      <c r="G85" s="162"/>
      <c r="H85" s="148"/>
      <c r="I85" s="161">
        <f>IFERROR(__xludf.DUMMYFUNCTION("""COMPUTED_VALUE"""),45556.0)</f>
        <v>45556</v>
      </c>
      <c r="J85" s="146">
        <f>IF(I85&lt;&gt;"", SUMIF(Bets!$D:$D, I85, Bets!AA:AA), "")</f>
        <v>-10.27666667</v>
      </c>
      <c r="K85" s="162"/>
      <c r="L85" s="148"/>
      <c r="M85" s="161"/>
      <c r="N85" s="146"/>
      <c r="O85" s="162"/>
      <c r="P85" s="148"/>
      <c r="Q85" s="161"/>
      <c r="R85" s="146" t="str">
        <f>IF(Q85&lt;&gt;"", SUMIF(Bets!$D:$D, Q85, Bets!AD:AD), "")</f>
        <v/>
      </c>
      <c r="S85" s="162"/>
      <c r="T85" s="148"/>
      <c r="U85" s="161"/>
      <c r="V85" s="146" t="str">
        <f>IF(U85&lt;&gt;"", SUMIF(Bets!$D:$D, U85, Bets!AE:AE), "")</f>
        <v/>
      </c>
      <c r="W85" s="162"/>
      <c r="X85" s="148"/>
      <c r="Y85" s="161"/>
      <c r="Z85" s="146" t="str">
        <f>IF(Y85&lt;&gt;"", SUMIF(Bets!$D:$D, Y85, Bets!AF:AF), "")</f>
        <v/>
      </c>
      <c r="AA85" s="162"/>
      <c r="AB85" s="148"/>
      <c r="AC85" s="161"/>
      <c r="AD85" s="146" t="str">
        <f>IF(AC85&lt;&gt;"", SUMIF(Bets!$D:$D, AC85, Bets!AG:AG), "")</f>
        <v/>
      </c>
      <c r="AE85" s="162"/>
      <c r="AF85" s="148"/>
    </row>
    <row r="86" hidden="1" outlineLevel="1">
      <c r="A86" s="161">
        <f>IFERROR(__xludf.DUMMYFUNCTION("""COMPUTED_VALUE"""),45554.0)</f>
        <v>45554</v>
      </c>
      <c r="B86" s="146">
        <f>IF(A86&lt;&gt;"", SUMIF(Bets!$D:$D, A86, Bets!Z:Z), "")</f>
        <v>-1.75</v>
      </c>
      <c r="C86" s="162"/>
      <c r="D86" s="148"/>
      <c r="E86" s="161"/>
      <c r="F86" s="146" t="str">
        <f>IF(E86&lt;&gt;"", SUMIF(Bets!$D:$D, E86, Bets!AB:AB), "")</f>
        <v/>
      </c>
      <c r="G86" s="162"/>
      <c r="H86" s="148"/>
      <c r="I86" s="161">
        <f>IFERROR(__xludf.DUMMYFUNCTION("""COMPUTED_VALUE"""),45554.0)</f>
        <v>45554</v>
      </c>
      <c r="J86" s="146">
        <f>IF(I86&lt;&gt;"", SUMIF(Bets!$D:$D, I86, Bets!AA:AA), "")</f>
        <v>-5.75</v>
      </c>
      <c r="K86" s="162"/>
      <c r="L86" s="148"/>
      <c r="M86" s="161"/>
      <c r="N86" s="146"/>
      <c r="O86" s="162"/>
      <c r="P86" s="148"/>
      <c r="Q86" s="161"/>
      <c r="R86" s="146" t="str">
        <f>IF(Q86&lt;&gt;"", SUMIF(Bets!$D:$D, Q86, Bets!AD:AD), "")</f>
        <v/>
      </c>
      <c r="S86" s="162"/>
      <c r="T86" s="148"/>
      <c r="U86" s="161"/>
      <c r="V86" s="146" t="str">
        <f>IF(U86&lt;&gt;"", SUMIF(Bets!$D:$D, U86, Bets!AE:AE), "")</f>
        <v/>
      </c>
      <c r="W86" s="162"/>
      <c r="X86" s="148"/>
      <c r="Y86" s="161"/>
      <c r="Z86" s="146" t="str">
        <f>IF(Y86&lt;&gt;"", SUMIF(Bets!$D:$D, Y86, Bets!AF:AF), "")</f>
        <v/>
      </c>
      <c r="AA86" s="162"/>
      <c r="AB86" s="148"/>
      <c r="AC86" s="161"/>
      <c r="AD86" s="146" t="str">
        <f>IF(AC86&lt;&gt;"", SUMIF(Bets!$D:$D, AC86, Bets!AG:AG), "")</f>
        <v/>
      </c>
      <c r="AE86" s="162"/>
      <c r="AF86" s="148"/>
    </row>
    <row r="87" hidden="1" outlineLevel="1">
      <c r="A87" s="161">
        <f>IFERROR(__xludf.DUMMYFUNCTION("""COMPUTED_VALUE"""),45551.0)</f>
        <v>45551</v>
      </c>
      <c r="B87" s="146">
        <f>IF(A87&lt;&gt;"", SUMIF(Bets!$D:$D, A87, Bets!Z:Z), "")</f>
        <v>-7</v>
      </c>
      <c r="C87" s="162"/>
      <c r="D87" s="148"/>
      <c r="E87" s="161"/>
      <c r="F87" s="146" t="str">
        <f>IF(E87&lt;&gt;"", SUMIF(Bets!$D:$D, E87, Bets!AB:AB), "")</f>
        <v/>
      </c>
      <c r="G87" s="162"/>
      <c r="H87" s="148"/>
      <c r="I87" s="161">
        <f>IFERROR(__xludf.DUMMYFUNCTION("""COMPUTED_VALUE"""),45551.0)</f>
        <v>45551</v>
      </c>
      <c r="J87" s="146">
        <f>IF(I87&lt;&gt;"", SUMIF(Bets!$D:$D, I87, Bets!AA:AA), "")</f>
        <v>-7.5</v>
      </c>
      <c r="K87" s="162"/>
      <c r="L87" s="148"/>
      <c r="M87" s="161"/>
      <c r="N87" s="146"/>
      <c r="O87" s="162"/>
      <c r="P87" s="148"/>
      <c r="Q87" s="161"/>
      <c r="R87" s="146" t="str">
        <f>IF(Q87&lt;&gt;"", SUMIF(Bets!$D:$D, Q87, Bets!AD:AD), "")</f>
        <v/>
      </c>
      <c r="S87" s="162"/>
      <c r="T87" s="148"/>
      <c r="U87" s="161"/>
      <c r="V87" s="146" t="str">
        <f>IF(U87&lt;&gt;"", SUMIF(Bets!$D:$D, U87, Bets!AE:AE), "")</f>
        <v/>
      </c>
      <c r="W87" s="162"/>
      <c r="X87" s="148"/>
      <c r="Y87" s="161"/>
      <c r="Z87" s="146" t="str">
        <f>IF(Y87&lt;&gt;"", SUMIF(Bets!$D:$D, Y87, Bets!AF:AF), "")</f>
        <v/>
      </c>
      <c r="AA87" s="162"/>
      <c r="AB87" s="148"/>
      <c r="AC87" s="161"/>
      <c r="AD87" s="146" t="str">
        <f>IF(AC87&lt;&gt;"", SUMIF(Bets!$D:$D, AC87, Bets!AG:AG), "")</f>
        <v/>
      </c>
      <c r="AE87" s="162"/>
      <c r="AF87" s="148"/>
    </row>
    <row r="88" hidden="1" outlineLevel="1">
      <c r="A88" s="161">
        <f>IFERROR(__xludf.DUMMYFUNCTION("""COMPUTED_VALUE"""),45550.0)</f>
        <v>45550</v>
      </c>
      <c r="B88" s="146">
        <f>IF(A88&lt;&gt;"", SUMIF(Bets!$D:$D, A88, Bets!Z:Z), "")</f>
        <v>-10.98</v>
      </c>
      <c r="C88" s="162"/>
      <c r="D88" s="148"/>
      <c r="E88" s="161"/>
      <c r="F88" s="146" t="str">
        <f>IF(E88&lt;&gt;"", SUMIF(Bets!$D:$D, E88, Bets!AB:AB), "")</f>
        <v/>
      </c>
      <c r="G88" s="162"/>
      <c r="H88" s="148"/>
      <c r="I88" s="161">
        <f>IFERROR(__xludf.DUMMYFUNCTION("""COMPUTED_VALUE"""),45550.0)</f>
        <v>45550</v>
      </c>
      <c r="J88" s="146">
        <f>IF(I88&lt;&gt;"", SUMIF(Bets!$D:$D, I88, Bets!AA:AA), "")</f>
        <v>-31.91</v>
      </c>
      <c r="K88" s="162"/>
      <c r="L88" s="148"/>
      <c r="M88" s="161"/>
      <c r="N88" s="146"/>
      <c r="O88" s="162"/>
      <c r="P88" s="148"/>
      <c r="Q88" s="161"/>
      <c r="R88" s="146" t="str">
        <f>IF(Q88&lt;&gt;"", SUMIF(Bets!$D:$D, Q88, Bets!AD:AD), "")</f>
        <v/>
      </c>
      <c r="S88" s="162"/>
      <c r="T88" s="148"/>
      <c r="U88" s="161"/>
      <c r="V88" s="146" t="str">
        <f>IF(U88&lt;&gt;"", SUMIF(Bets!$D:$D, U88, Bets!AE:AE), "")</f>
        <v/>
      </c>
      <c r="W88" s="162"/>
      <c r="X88" s="148"/>
      <c r="Y88" s="161"/>
      <c r="Z88" s="146" t="str">
        <f>IF(Y88&lt;&gt;"", SUMIF(Bets!$D:$D, Y88, Bets!AF:AF), "")</f>
        <v/>
      </c>
      <c r="AA88" s="162"/>
      <c r="AB88" s="148"/>
      <c r="AC88" s="161"/>
      <c r="AD88" s="146" t="str">
        <f>IF(AC88&lt;&gt;"", SUMIF(Bets!$D:$D, AC88, Bets!AG:AG), "")</f>
        <v/>
      </c>
      <c r="AE88" s="162"/>
      <c r="AF88" s="148"/>
    </row>
    <row r="89" hidden="1" outlineLevel="1">
      <c r="A89" s="161">
        <f>IFERROR(__xludf.DUMMYFUNCTION("""COMPUTED_VALUE"""),45547.0)</f>
        <v>45547</v>
      </c>
      <c r="B89" s="146">
        <f>IF(A89&lt;&gt;"", SUMIF(Bets!$D:$D, A89, Bets!Z:Z), "")</f>
        <v>-11.38</v>
      </c>
      <c r="C89" s="162"/>
      <c r="D89" s="148"/>
      <c r="E89" s="161"/>
      <c r="F89" s="146" t="str">
        <f>IF(E89&lt;&gt;"", SUMIF(Bets!$D:$D, E89, Bets!AB:AB), "")</f>
        <v/>
      </c>
      <c r="G89" s="162"/>
      <c r="H89" s="148"/>
      <c r="I89" s="161">
        <f>IFERROR(__xludf.DUMMYFUNCTION("""COMPUTED_VALUE"""),45547.0)</f>
        <v>45547</v>
      </c>
      <c r="J89" s="146">
        <f>IF(I89&lt;&gt;"", SUMIF(Bets!$D:$D, I89, Bets!AA:AA), "")</f>
        <v>-25.56</v>
      </c>
      <c r="K89" s="162"/>
      <c r="L89" s="148"/>
      <c r="M89" s="161"/>
      <c r="N89" s="146"/>
      <c r="O89" s="162"/>
      <c r="P89" s="148"/>
      <c r="Q89" s="161"/>
      <c r="R89" s="146" t="str">
        <f>IF(Q89&lt;&gt;"", SUMIF(Bets!$D:$D, Q89, Bets!AD:AD), "")</f>
        <v/>
      </c>
      <c r="S89" s="162"/>
      <c r="T89" s="148"/>
      <c r="U89" s="161"/>
      <c r="V89" s="146" t="str">
        <f>IF(U89&lt;&gt;"", SUMIF(Bets!$D:$D, U89, Bets!AE:AE), "")</f>
        <v/>
      </c>
      <c r="W89" s="162"/>
      <c r="X89" s="148"/>
      <c r="Y89" s="161"/>
      <c r="Z89" s="146" t="str">
        <f>IF(Y89&lt;&gt;"", SUMIF(Bets!$D:$D, Y89, Bets!AF:AF), "")</f>
        <v/>
      </c>
      <c r="AA89" s="162"/>
      <c r="AB89" s="148"/>
      <c r="AC89" s="161"/>
      <c r="AD89" s="146" t="str">
        <f>IF(AC89&lt;&gt;"", SUMIF(Bets!$D:$D, AC89, Bets!AG:AG), "")</f>
        <v/>
      </c>
      <c r="AE89" s="162"/>
      <c r="AF89" s="148"/>
    </row>
    <row r="90" hidden="1" outlineLevel="1">
      <c r="A90" s="161">
        <f>IFERROR(__xludf.DUMMYFUNCTION("""COMPUTED_VALUE"""),45544.0)</f>
        <v>45544</v>
      </c>
      <c r="B90" s="146">
        <f>IF(A90&lt;&gt;"", SUMIF(Bets!$D:$D, A90, Bets!Z:Z), "")</f>
        <v>4.370769231</v>
      </c>
      <c r="C90" s="162"/>
      <c r="D90" s="148"/>
      <c r="E90" s="161"/>
      <c r="F90" s="146" t="str">
        <f>IF(E90&lt;&gt;"", SUMIF(Bets!$D:$D, E90, Bets!AB:AB), "")</f>
        <v/>
      </c>
      <c r="G90" s="162"/>
      <c r="H90" s="148"/>
      <c r="I90" s="161">
        <f>IFERROR(__xludf.DUMMYFUNCTION("""COMPUTED_VALUE"""),45544.0)</f>
        <v>45544</v>
      </c>
      <c r="J90" s="146">
        <f>IF(I90&lt;&gt;"", SUMIF(Bets!$D:$D, I90, Bets!AA:AA), "")</f>
        <v>16.36923077</v>
      </c>
      <c r="K90" s="162"/>
      <c r="L90" s="148"/>
      <c r="M90" s="161"/>
      <c r="N90" s="146"/>
      <c r="O90" s="162"/>
      <c r="P90" s="148"/>
      <c r="Q90" s="161"/>
      <c r="R90" s="146" t="str">
        <f>IF(Q90&lt;&gt;"", SUMIF(Bets!$D:$D, Q90, Bets!AD:AD), "")</f>
        <v/>
      </c>
      <c r="S90" s="162"/>
      <c r="T90" s="148"/>
      <c r="U90" s="161"/>
      <c r="V90" s="146" t="str">
        <f>IF(U90&lt;&gt;"", SUMIF(Bets!$D:$D, U90, Bets!AE:AE), "")</f>
        <v/>
      </c>
      <c r="W90" s="162"/>
      <c r="X90" s="148"/>
      <c r="Y90" s="161"/>
      <c r="Z90" s="146" t="str">
        <f>IF(Y90&lt;&gt;"", SUMIF(Bets!$D:$D, Y90, Bets!AF:AF), "")</f>
        <v/>
      </c>
      <c r="AA90" s="162"/>
      <c r="AB90" s="148"/>
      <c r="AC90" s="161"/>
      <c r="AD90" s="146" t="str">
        <f>IF(AC90&lt;&gt;"", SUMIF(Bets!$D:$D, AC90, Bets!AG:AG), "")</f>
        <v/>
      </c>
      <c r="AE90" s="162"/>
      <c r="AF90" s="148"/>
    </row>
    <row r="91" hidden="1" outlineLevel="1">
      <c r="A91" s="161">
        <f>IFERROR(__xludf.DUMMYFUNCTION("""COMPUTED_VALUE"""),45543.0)</f>
        <v>45543</v>
      </c>
      <c r="B91" s="146">
        <f>IF(A91&lt;&gt;"", SUMIF(Bets!$D:$D, A91, Bets!Z:Z), "")</f>
        <v>-22.5</v>
      </c>
      <c r="C91" s="162"/>
      <c r="D91" s="148"/>
      <c r="E91" s="161"/>
      <c r="F91" s="146" t="str">
        <f>IF(E91&lt;&gt;"", SUMIF(Bets!$D:$D, E91, Bets!AB:AB), "")</f>
        <v/>
      </c>
      <c r="G91" s="162"/>
      <c r="H91" s="148"/>
      <c r="I91" s="161">
        <f>IFERROR(__xludf.DUMMYFUNCTION("""COMPUTED_VALUE"""),45543.0)</f>
        <v>45543</v>
      </c>
      <c r="J91" s="146">
        <f>IF(I91&lt;&gt;"", SUMIF(Bets!$D:$D, I91, Bets!AA:AA), "")</f>
        <v>-28.5</v>
      </c>
      <c r="K91" s="162"/>
      <c r="L91" s="148"/>
      <c r="M91" s="161"/>
      <c r="N91" s="146"/>
      <c r="O91" s="162"/>
      <c r="P91" s="148"/>
      <c r="Q91" s="161"/>
      <c r="R91" s="146" t="str">
        <f>IF(Q91&lt;&gt;"", SUMIF(Bets!$D:$D, Q91, Bets!AD:AD), "")</f>
        <v/>
      </c>
      <c r="S91" s="162"/>
      <c r="T91" s="148"/>
      <c r="U91" s="161"/>
      <c r="V91" s="146" t="str">
        <f>IF(U91&lt;&gt;"", SUMIF(Bets!$D:$D, U91, Bets!AE:AE), "")</f>
        <v/>
      </c>
      <c r="W91" s="162"/>
      <c r="X91" s="148"/>
      <c r="Y91" s="161"/>
      <c r="Z91" s="146" t="str">
        <f>IF(Y91&lt;&gt;"", SUMIF(Bets!$D:$D, Y91, Bets!AF:AF), "")</f>
        <v/>
      </c>
      <c r="AA91" s="162"/>
      <c r="AB91" s="148"/>
      <c r="AC91" s="161"/>
      <c r="AD91" s="146" t="str">
        <f>IF(AC91&lt;&gt;"", SUMIF(Bets!$D:$D, AC91, Bets!AG:AG), "")</f>
        <v/>
      </c>
      <c r="AE91" s="162"/>
      <c r="AF91" s="148"/>
    </row>
    <row r="92" hidden="1" outlineLevel="1">
      <c r="A92" s="161">
        <f>IFERROR(__xludf.DUMMYFUNCTION("""COMPUTED_VALUE"""),45541.0)</f>
        <v>45541</v>
      </c>
      <c r="B92" s="146">
        <f>IF(A92&lt;&gt;"", SUMIF(Bets!$D:$D, A92, Bets!Z:Z), "")</f>
        <v>86.91333333</v>
      </c>
      <c r="C92" s="162"/>
      <c r="D92" s="148"/>
      <c r="E92" s="161"/>
      <c r="F92" s="146" t="str">
        <f>IF(E92&lt;&gt;"", SUMIF(Bets!$D:$D, E92, Bets!AB:AB), "")</f>
        <v/>
      </c>
      <c r="G92" s="162"/>
      <c r="H92" s="148"/>
      <c r="I92" s="161">
        <f>IFERROR(__xludf.DUMMYFUNCTION("""COMPUTED_VALUE"""),45541.0)</f>
        <v>45541</v>
      </c>
      <c r="J92" s="146">
        <f>IF(I92&lt;&gt;"", SUMIF(Bets!$D:$D, I92, Bets!AA:AA), "")</f>
        <v>124.5633333</v>
      </c>
      <c r="K92" s="162"/>
      <c r="L92" s="148"/>
      <c r="M92" s="161"/>
      <c r="N92" s="146"/>
      <c r="O92" s="162"/>
      <c r="P92" s="148"/>
      <c r="Q92" s="161"/>
      <c r="R92" s="146" t="str">
        <f>IF(Q92&lt;&gt;"", SUMIF(Bets!$D:$D, Q92, Bets!AD:AD), "")</f>
        <v/>
      </c>
      <c r="S92" s="162"/>
      <c r="T92" s="148"/>
      <c r="U92" s="161"/>
      <c r="V92" s="146" t="str">
        <f>IF(U92&lt;&gt;"", SUMIF(Bets!$D:$D, U92, Bets!AE:AE), "")</f>
        <v/>
      </c>
      <c r="W92" s="162"/>
      <c r="X92" s="148"/>
      <c r="Y92" s="161"/>
      <c r="Z92" s="146" t="str">
        <f>IF(Y92&lt;&gt;"", SUMIF(Bets!$D:$D, Y92, Bets!AF:AF), "")</f>
        <v/>
      </c>
      <c r="AA92" s="162"/>
      <c r="AB92" s="148"/>
      <c r="AC92" s="161"/>
      <c r="AD92" s="146" t="str">
        <f>IF(AC92&lt;&gt;"", SUMIF(Bets!$D:$D, AC92, Bets!AG:AG), "")</f>
        <v/>
      </c>
      <c r="AE92" s="162"/>
      <c r="AF92" s="148"/>
    </row>
    <row r="93" hidden="1" outlineLevel="1">
      <c r="A93" s="161">
        <f>IFERROR(__xludf.DUMMYFUNCTION("""COMPUTED_VALUE"""),45540.0)</f>
        <v>45540</v>
      </c>
      <c r="B93" s="146">
        <f>IF(A93&lt;&gt;"", SUMIF(Bets!$D:$D, A93, Bets!Z:Z), "")</f>
        <v>-2.28</v>
      </c>
      <c r="C93" s="162"/>
      <c r="D93" s="148"/>
      <c r="E93" s="161"/>
      <c r="F93" s="146" t="str">
        <f>IF(E93&lt;&gt;"", SUMIF(Bets!$D:$D, E93, Bets!AB:AB), "")</f>
        <v/>
      </c>
      <c r="G93" s="162"/>
      <c r="H93" s="148"/>
      <c r="I93" s="161">
        <f>IFERROR(__xludf.DUMMYFUNCTION("""COMPUTED_VALUE"""),45540.0)</f>
        <v>45540</v>
      </c>
      <c r="J93" s="146">
        <f>IF(I93&lt;&gt;"", SUMIF(Bets!$D:$D, I93, Bets!AA:AA), "")</f>
        <v>42.91</v>
      </c>
      <c r="K93" s="162"/>
      <c r="L93" s="148"/>
      <c r="M93" s="161"/>
      <c r="N93" s="146"/>
      <c r="O93" s="162"/>
      <c r="P93" s="148"/>
      <c r="Q93" s="161"/>
      <c r="R93" s="146" t="str">
        <f>IF(Q93&lt;&gt;"", SUMIF(Bets!$D:$D, Q93, Bets!AD:AD), "")</f>
        <v/>
      </c>
      <c r="S93" s="162"/>
      <c r="T93" s="148"/>
      <c r="U93" s="161"/>
      <c r="V93" s="146" t="str">
        <f>IF(U93&lt;&gt;"", SUMIF(Bets!$D:$D, U93, Bets!AE:AE), "")</f>
        <v/>
      </c>
      <c r="W93" s="162"/>
      <c r="X93" s="148"/>
      <c r="Y93" s="161"/>
      <c r="Z93" s="146" t="str">
        <f>IF(Y93&lt;&gt;"", SUMIF(Bets!$D:$D, Y93, Bets!AF:AF), "")</f>
        <v/>
      </c>
      <c r="AA93" s="162"/>
      <c r="AB93" s="148"/>
      <c r="AC93" s="161"/>
      <c r="AD93" s="146" t="str">
        <f>IF(AC93&lt;&gt;"", SUMIF(Bets!$D:$D, AC93, Bets!AG:AG), "")</f>
        <v/>
      </c>
      <c r="AE93" s="162"/>
      <c r="AF93" s="148"/>
    </row>
    <row r="94" hidden="1" outlineLevel="1">
      <c r="A94" s="161">
        <f>IFERROR(__xludf.DUMMYFUNCTION("""COMPUTED_VALUE"""),45500.0)</f>
        <v>45500</v>
      </c>
      <c r="B94" s="146">
        <f>IF(A94&lt;&gt;"", SUMIF(Bets!$D:$D, A94, Bets!Z:Z), "")</f>
        <v>-1</v>
      </c>
      <c r="C94" s="162"/>
      <c r="D94" s="148"/>
      <c r="E94" s="161"/>
      <c r="F94" s="146" t="str">
        <f>IF(E94&lt;&gt;"", SUMIF(Bets!$D:$D, E94, Bets!AB:AB), "")</f>
        <v/>
      </c>
      <c r="G94" s="162"/>
      <c r="H94" s="148"/>
      <c r="I94" s="161">
        <f>IFERROR(__xludf.DUMMYFUNCTION("""COMPUTED_VALUE"""),45500.0)</f>
        <v>45500</v>
      </c>
      <c r="J94" s="146">
        <f>IF(I94&lt;&gt;"", SUMIF(Bets!$D:$D, I94, Bets!AA:AA), "")</f>
        <v>-4</v>
      </c>
      <c r="K94" s="162"/>
      <c r="L94" s="148"/>
      <c r="M94" s="161"/>
      <c r="N94" s="146"/>
      <c r="O94" s="162"/>
      <c r="P94" s="148"/>
      <c r="Q94" s="161"/>
      <c r="R94" s="146" t="str">
        <f>IF(Q94&lt;&gt;"", SUMIF(Bets!$D:$D, Q94, Bets!AD:AD), "")</f>
        <v/>
      </c>
      <c r="S94" s="162"/>
      <c r="T94" s="148"/>
      <c r="U94" s="161"/>
      <c r="V94" s="146" t="str">
        <f>IF(U94&lt;&gt;"", SUMIF(Bets!$D:$D, U94, Bets!AE:AE), "")</f>
        <v/>
      </c>
      <c r="W94" s="162"/>
      <c r="X94" s="148"/>
      <c r="Y94" s="161"/>
      <c r="Z94" s="146" t="str">
        <f>IF(Y94&lt;&gt;"", SUMIF(Bets!$D:$D, Y94, Bets!AF:AF), "")</f>
        <v/>
      </c>
      <c r="AA94" s="162"/>
      <c r="AB94" s="148"/>
      <c r="AC94" s="161"/>
      <c r="AD94" s="146" t="str">
        <f>IF(AC94&lt;&gt;"", SUMIF(Bets!$D:$D, AC94, Bets!AG:AG), "")</f>
        <v/>
      </c>
      <c r="AE94" s="162"/>
      <c r="AF94" s="148"/>
    </row>
    <row r="95" hidden="1" outlineLevel="1">
      <c r="A95" s="161">
        <f>IFERROR(__xludf.DUMMYFUNCTION("""COMPUTED_VALUE"""),45406.0)</f>
        <v>45406</v>
      </c>
      <c r="B95" s="146">
        <f>IF(A95&lt;&gt;"", SUMIF(Bets!$D:$D, A95, Bets!Z:Z), "")</f>
        <v>3.19</v>
      </c>
      <c r="C95" s="162"/>
      <c r="D95" s="148"/>
      <c r="E95" s="161"/>
      <c r="F95" s="146" t="str">
        <f>IF(E95&lt;&gt;"", SUMIF(Bets!$D:$D, E95, Bets!AB:AB), "")</f>
        <v/>
      </c>
      <c r="G95" s="162"/>
      <c r="H95" s="148"/>
      <c r="I95" s="161">
        <f>IFERROR(__xludf.DUMMYFUNCTION("""COMPUTED_VALUE"""),45406.0)</f>
        <v>45406</v>
      </c>
      <c r="J95" s="146">
        <f>IF(I95&lt;&gt;"", SUMIF(Bets!$D:$D, I95, Bets!AA:AA), "")</f>
        <v>3.79</v>
      </c>
      <c r="K95" s="162"/>
      <c r="L95" s="148"/>
      <c r="M95" s="161"/>
      <c r="N95" s="146"/>
      <c r="O95" s="162"/>
      <c r="P95" s="148"/>
      <c r="Q95" s="161"/>
      <c r="R95" s="146" t="str">
        <f>IF(Q95&lt;&gt;"", SUMIF(Bets!$D:$D, Q95, Bets!AD:AD), "")</f>
        <v/>
      </c>
      <c r="S95" s="162"/>
      <c r="T95" s="148"/>
      <c r="U95" s="161"/>
      <c r="V95" s="146" t="str">
        <f>IF(U95&lt;&gt;"", SUMIF(Bets!$D:$D, U95, Bets!AE:AE), "")</f>
        <v/>
      </c>
      <c r="W95" s="162"/>
      <c r="X95" s="148"/>
      <c r="Y95" s="161"/>
      <c r="Z95" s="146" t="str">
        <f>IF(Y95&lt;&gt;"", SUMIF(Bets!$D:$D, Y95, Bets!AF:AF), "")</f>
        <v/>
      </c>
      <c r="AA95" s="162"/>
      <c r="AB95" s="148"/>
      <c r="AC95" s="161"/>
      <c r="AD95" s="146" t="str">
        <f>IF(AC95&lt;&gt;"", SUMIF(Bets!$D:$D, AC95, Bets!AG:AG), "")</f>
        <v/>
      </c>
      <c r="AE95" s="162"/>
      <c r="AF95" s="148"/>
    </row>
    <row r="96" hidden="1" outlineLevel="1">
      <c r="A96" s="161">
        <f>IFERROR(__xludf.DUMMYFUNCTION("""COMPUTED_VALUE"""),45405.0)</f>
        <v>45405</v>
      </c>
      <c r="B96" s="146">
        <f>IF(A96&lt;&gt;"", SUMIF(Bets!$D:$D, A96, Bets!Z:Z), "")</f>
        <v>-7.57</v>
      </c>
      <c r="C96" s="162"/>
      <c r="D96" s="148"/>
      <c r="E96" s="161"/>
      <c r="F96" s="146" t="str">
        <f>IF(E96&lt;&gt;"", SUMIF(Bets!$D:$D, E96, Bets!AB:AB), "")</f>
        <v/>
      </c>
      <c r="G96" s="162"/>
      <c r="H96" s="148"/>
      <c r="I96" s="161">
        <f>IFERROR(__xludf.DUMMYFUNCTION("""COMPUTED_VALUE"""),45405.0)</f>
        <v>45405</v>
      </c>
      <c r="J96" s="146">
        <f>IF(I96&lt;&gt;"", SUMIF(Bets!$D:$D, I96, Bets!AA:AA), "")</f>
        <v>-7.57</v>
      </c>
      <c r="K96" s="162"/>
      <c r="L96" s="148"/>
      <c r="M96" s="161"/>
      <c r="N96" s="146"/>
      <c r="O96" s="162"/>
      <c r="P96" s="148"/>
      <c r="Q96" s="161"/>
      <c r="R96" s="146" t="str">
        <f>IF(Q96&lt;&gt;"", SUMIF(Bets!$D:$D, Q96, Bets!AD:AD), "")</f>
        <v/>
      </c>
      <c r="S96" s="162"/>
      <c r="T96" s="148"/>
      <c r="U96" s="161"/>
      <c r="V96" s="146" t="str">
        <f>IF(U96&lt;&gt;"", SUMIF(Bets!$D:$D, U96, Bets!AE:AE), "")</f>
        <v/>
      </c>
      <c r="W96" s="162"/>
      <c r="X96" s="148"/>
      <c r="Y96" s="161"/>
      <c r="Z96" s="146" t="str">
        <f>IF(Y96&lt;&gt;"", SUMIF(Bets!$D:$D, Y96, Bets!AF:AF), "")</f>
        <v/>
      </c>
      <c r="AA96" s="162"/>
      <c r="AB96" s="148"/>
      <c r="AC96" s="161"/>
      <c r="AD96" s="146" t="str">
        <f>IF(AC96&lt;&gt;"", SUMIF(Bets!$D:$D, AC96, Bets!AG:AG), "")</f>
        <v/>
      </c>
      <c r="AE96" s="162"/>
      <c r="AF96" s="148"/>
    </row>
    <row r="97" hidden="1" outlineLevel="1">
      <c r="A97" s="161">
        <f>IFERROR(__xludf.DUMMYFUNCTION("""COMPUTED_VALUE"""),45402.0)</f>
        <v>45402</v>
      </c>
      <c r="B97" s="146">
        <f>IF(A97&lt;&gt;"", SUMIF(Bets!$D:$D, A97, Bets!Z:Z), "")</f>
        <v>-4</v>
      </c>
      <c r="C97" s="162"/>
      <c r="D97" s="148"/>
      <c r="E97" s="161"/>
      <c r="F97" s="146" t="str">
        <f>IF(E97&lt;&gt;"", SUMIF(Bets!$D:$D, E97, Bets!AB:AB), "")</f>
        <v/>
      </c>
      <c r="G97" s="162"/>
      <c r="H97" s="148"/>
      <c r="I97" s="161">
        <f>IFERROR(__xludf.DUMMYFUNCTION("""COMPUTED_VALUE"""),45402.0)</f>
        <v>45402</v>
      </c>
      <c r="J97" s="146">
        <f>IF(I97&lt;&gt;"", SUMIF(Bets!$D:$D, I97, Bets!AA:AA), "")</f>
        <v>-5</v>
      </c>
      <c r="K97" s="162"/>
      <c r="L97" s="148"/>
      <c r="M97" s="161"/>
      <c r="N97" s="146"/>
      <c r="O97" s="162"/>
      <c r="P97" s="148"/>
      <c r="Q97" s="161"/>
      <c r="R97" s="146" t="str">
        <f>IF(Q97&lt;&gt;"", SUMIF(Bets!$D:$D, Q97, Bets!AD:AD), "")</f>
        <v/>
      </c>
      <c r="S97" s="162"/>
      <c r="T97" s="148"/>
      <c r="U97" s="161"/>
      <c r="V97" s="146" t="str">
        <f>IF(U97&lt;&gt;"", SUMIF(Bets!$D:$D, U97, Bets!AE:AE), "")</f>
        <v/>
      </c>
      <c r="W97" s="162"/>
      <c r="X97" s="148"/>
      <c r="Y97" s="161"/>
      <c r="Z97" s="146" t="str">
        <f>IF(Y97&lt;&gt;"", SUMIF(Bets!$D:$D, Y97, Bets!AF:AF), "")</f>
        <v/>
      </c>
      <c r="AA97" s="162"/>
      <c r="AB97" s="148"/>
      <c r="AC97" s="161"/>
      <c r="AD97" s="146" t="str">
        <f>IF(AC97&lt;&gt;"", SUMIF(Bets!$D:$D, AC97, Bets!AG:AG), "")</f>
        <v/>
      </c>
      <c r="AE97" s="162"/>
      <c r="AF97" s="148"/>
    </row>
    <row r="98" hidden="1" outlineLevel="1">
      <c r="A98" s="161">
        <f>IFERROR(__xludf.DUMMYFUNCTION("""COMPUTED_VALUE"""),45401.0)</f>
        <v>45401</v>
      </c>
      <c r="B98" s="146">
        <f>IF(A98&lt;&gt;"", SUMIF(Bets!$D:$D, A98, Bets!Z:Z), "")</f>
        <v>-4.5</v>
      </c>
      <c r="C98" s="162"/>
      <c r="D98" s="148"/>
      <c r="E98" s="161"/>
      <c r="F98" s="146" t="str">
        <f>IF(E98&lt;&gt;"", SUMIF(Bets!$D:$D, E98, Bets!AB:AB), "")</f>
        <v/>
      </c>
      <c r="G98" s="162"/>
      <c r="H98" s="148"/>
      <c r="I98" s="161">
        <f>IFERROR(__xludf.DUMMYFUNCTION("""COMPUTED_VALUE"""),45401.0)</f>
        <v>45401</v>
      </c>
      <c r="J98" s="146">
        <f>IF(I98&lt;&gt;"", SUMIF(Bets!$D:$D, I98, Bets!AA:AA), "")</f>
        <v>-6</v>
      </c>
      <c r="K98" s="162"/>
      <c r="L98" s="148"/>
      <c r="M98" s="161"/>
      <c r="N98" s="146"/>
      <c r="O98" s="162"/>
      <c r="P98" s="148"/>
      <c r="Q98" s="161"/>
      <c r="R98" s="146" t="str">
        <f>IF(Q98&lt;&gt;"", SUMIF(Bets!$D:$D, Q98, Bets!AD:AD), "")</f>
        <v/>
      </c>
      <c r="S98" s="162"/>
      <c r="T98" s="148"/>
      <c r="U98" s="161"/>
      <c r="V98" s="146" t="str">
        <f>IF(U98&lt;&gt;"", SUMIF(Bets!$D:$D, U98, Bets!AE:AE), "")</f>
        <v/>
      </c>
      <c r="W98" s="162"/>
      <c r="X98" s="148"/>
      <c r="Y98" s="161"/>
      <c r="Z98" s="146" t="str">
        <f>IF(Y98&lt;&gt;"", SUMIF(Bets!$D:$D, Y98, Bets!AF:AF), "")</f>
        <v/>
      </c>
      <c r="AA98" s="162"/>
      <c r="AB98" s="148"/>
      <c r="AC98" s="161"/>
      <c r="AD98" s="146" t="str">
        <f>IF(AC98&lt;&gt;"", SUMIF(Bets!$D:$D, AC98, Bets!AG:AG), "")</f>
        <v/>
      </c>
      <c r="AE98" s="162"/>
      <c r="AF98" s="148"/>
    </row>
    <row r="99" hidden="1" outlineLevel="1">
      <c r="A99" s="161">
        <f>IFERROR(__xludf.DUMMYFUNCTION("""COMPUTED_VALUE"""),45399.0)</f>
        <v>45399</v>
      </c>
      <c r="B99" s="146">
        <f>IF(A99&lt;&gt;"", SUMIF(Bets!$D:$D, A99, Bets!Z:Z), "")</f>
        <v>-7</v>
      </c>
      <c r="C99" s="162"/>
      <c r="D99" s="148"/>
      <c r="E99" s="161"/>
      <c r="F99" s="146" t="str">
        <f>IF(E99&lt;&gt;"", SUMIF(Bets!$D:$D, E99, Bets!AB:AB), "")</f>
        <v/>
      </c>
      <c r="G99" s="162"/>
      <c r="H99" s="148"/>
      <c r="I99" s="161">
        <f>IFERROR(__xludf.DUMMYFUNCTION("""COMPUTED_VALUE"""),45399.0)</f>
        <v>45399</v>
      </c>
      <c r="J99" s="146">
        <f>IF(I99&lt;&gt;"", SUMIF(Bets!$D:$D, I99, Bets!AA:AA), "")</f>
        <v>-11</v>
      </c>
      <c r="K99" s="162"/>
      <c r="L99" s="148"/>
      <c r="M99" s="161"/>
      <c r="N99" s="146"/>
      <c r="O99" s="162"/>
      <c r="P99" s="148"/>
      <c r="Q99" s="161"/>
      <c r="R99" s="146" t="str">
        <f>IF(Q99&lt;&gt;"", SUMIF(Bets!$D:$D, Q99, Bets!AD:AD), "")</f>
        <v/>
      </c>
      <c r="S99" s="162"/>
      <c r="T99" s="148"/>
      <c r="U99" s="161"/>
      <c r="V99" s="146" t="str">
        <f>IF(U99&lt;&gt;"", SUMIF(Bets!$D:$D, U99, Bets!AE:AE), "")</f>
        <v/>
      </c>
      <c r="W99" s="162"/>
      <c r="X99" s="148"/>
      <c r="Y99" s="161"/>
      <c r="Z99" s="146" t="str">
        <f>IF(Y99&lt;&gt;"", SUMIF(Bets!$D:$D, Y99, Bets!AF:AF), "")</f>
        <v/>
      </c>
      <c r="AA99" s="162"/>
      <c r="AB99" s="148"/>
      <c r="AC99" s="161"/>
      <c r="AD99" s="146" t="str">
        <f>IF(AC99&lt;&gt;"", SUMIF(Bets!$D:$D, AC99, Bets!AG:AG), "")</f>
        <v/>
      </c>
      <c r="AE99" s="162"/>
      <c r="AF99" s="148"/>
    </row>
    <row r="100" hidden="1" outlineLevel="1">
      <c r="A100" s="161">
        <f>IFERROR(__xludf.DUMMYFUNCTION("""COMPUTED_VALUE"""),45398.0)</f>
        <v>45398</v>
      </c>
      <c r="B100" s="146">
        <f>IF(A100&lt;&gt;"", SUMIF(Bets!$D:$D, A100, Bets!Z:Z), "")</f>
        <v>-8</v>
      </c>
      <c r="C100" s="162"/>
      <c r="D100" s="148"/>
      <c r="E100" s="161"/>
      <c r="F100" s="146" t="str">
        <f>IF(E100&lt;&gt;"", SUMIF(Bets!$D:$D, E100, Bets!AB:AB), "")</f>
        <v/>
      </c>
      <c r="G100" s="162"/>
      <c r="H100" s="148"/>
      <c r="I100" s="161">
        <f>IFERROR(__xludf.DUMMYFUNCTION("""COMPUTED_VALUE"""),45398.0)</f>
        <v>45398</v>
      </c>
      <c r="J100" s="146">
        <f>IF(I100&lt;&gt;"", SUMIF(Bets!$D:$D, I100, Bets!AA:AA), "")</f>
        <v>-11</v>
      </c>
      <c r="K100" s="162"/>
      <c r="L100" s="148"/>
      <c r="M100" s="161"/>
      <c r="N100" s="146"/>
      <c r="O100" s="162"/>
      <c r="P100" s="148"/>
      <c r="Q100" s="161"/>
      <c r="R100" s="146" t="str">
        <f>IF(Q100&lt;&gt;"", SUMIF(Bets!$D:$D, Q100, Bets!AD:AD), "")</f>
        <v/>
      </c>
      <c r="S100" s="162"/>
      <c r="T100" s="148"/>
      <c r="U100" s="161"/>
      <c r="V100" s="146" t="str">
        <f>IF(U100&lt;&gt;"", SUMIF(Bets!$D:$D, U100, Bets!AE:AE), "")</f>
        <v/>
      </c>
      <c r="W100" s="162"/>
      <c r="X100" s="148"/>
      <c r="Y100" s="161"/>
      <c r="Z100" s="146" t="str">
        <f>IF(Y100&lt;&gt;"", SUMIF(Bets!$D:$D, Y100, Bets!AF:AF), "")</f>
        <v/>
      </c>
      <c r="AA100" s="162"/>
      <c r="AB100" s="148"/>
      <c r="AC100" s="161"/>
      <c r="AD100" s="146" t="str">
        <f>IF(AC100&lt;&gt;"", SUMIF(Bets!$D:$D, AC100, Bets!AG:AG), "")</f>
        <v/>
      </c>
      <c r="AE100" s="162"/>
      <c r="AF100" s="148"/>
    </row>
    <row r="101" hidden="1" outlineLevel="1">
      <c r="A101" s="161">
        <f>IFERROR(__xludf.DUMMYFUNCTION("""COMPUTED_VALUE"""),45392.0)</f>
        <v>45392</v>
      </c>
      <c r="B101" s="146">
        <f>IF(A101&lt;&gt;"", SUMIF(Bets!$D:$D, A101, Bets!Z:Z), "")</f>
        <v>10.6</v>
      </c>
      <c r="C101" s="162"/>
      <c r="D101" s="148"/>
      <c r="E101" s="161"/>
      <c r="F101" s="146" t="str">
        <f>IF(E101&lt;&gt;"", SUMIF(Bets!$D:$D, E101, Bets!AB:AB), "")</f>
        <v/>
      </c>
      <c r="G101" s="162"/>
      <c r="H101" s="148"/>
      <c r="I101" s="161">
        <f>IFERROR(__xludf.DUMMYFUNCTION("""COMPUTED_VALUE"""),45392.0)</f>
        <v>45392</v>
      </c>
      <c r="J101" s="146">
        <f>IF(I101&lt;&gt;"", SUMIF(Bets!$D:$D, I101, Bets!AA:AA), "")</f>
        <v>10.6</v>
      </c>
      <c r="K101" s="162"/>
      <c r="L101" s="148"/>
      <c r="M101" s="161"/>
      <c r="N101" s="146"/>
      <c r="O101" s="162"/>
      <c r="P101" s="148"/>
      <c r="Q101" s="161"/>
      <c r="R101" s="146" t="str">
        <f>IF(Q101&lt;&gt;"", SUMIF(Bets!$D:$D, Q101, Bets!AD:AD), "")</f>
        <v/>
      </c>
      <c r="S101" s="162"/>
      <c r="T101" s="148"/>
      <c r="U101" s="161"/>
      <c r="V101" s="146" t="str">
        <f>IF(U101&lt;&gt;"", SUMIF(Bets!$D:$D, U101, Bets!AE:AE), "")</f>
        <v/>
      </c>
      <c r="W101" s="162"/>
      <c r="X101" s="148"/>
      <c r="Y101" s="161"/>
      <c r="Z101" s="146" t="str">
        <f>IF(Y101&lt;&gt;"", SUMIF(Bets!$D:$D, Y101, Bets!AF:AF), "")</f>
        <v/>
      </c>
      <c r="AA101" s="162"/>
      <c r="AB101" s="148"/>
      <c r="AC101" s="161"/>
      <c r="AD101" s="146" t="str">
        <f>IF(AC101&lt;&gt;"", SUMIF(Bets!$D:$D, AC101, Bets!AG:AG), "")</f>
        <v/>
      </c>
      <c r="AE101" s="162"/>
      <c r="AF101" s="148"/>
    </row>
    <row r="102" hidden="1" outlineLevel="1">
      <c r="A102" s="161">
        <f>IFERROR(__xludf.DUMMYFUNCTION("""COMPUTED_VALUE"""),45391.0)</f>
        <v>45391</v>
      </c>
      <c r="B102" s="146">
        <f>IF(A102&lt;&gt;"", SUMIF(Bets!$D:$D, A102, Bets!Z:Z), "")</f>
        <v>-3</v>
      </c>
      <c r="C102" s="162"/>
      <c r="D102" s="148"/>
      <c r="E102" s="161"/>
      <c r="F102" s="146" t="str">
        <f>IF(E102&lt;&gt;"", SUMIF(Bets!$D:$D, E102, Bets!AB:AB), "")</f>
        <v/>
      </c>
      <c r="G102" s="162"/>
      <c r="H102" s="148"/>
      <c r="I102" s="161">
        <f>IFERROR(__xludf.DUMMYFUNCTION("""COMPUTED_VALUE"""),45391.0)</f>
        <v>45391</v>
      </c>
      <c r="J102" s="146">
        <f>IF(I102&lt;&gt;"", SUMIF(Bets!$D:$D, I102, Bets!AA:AA), "")</f>
        <v>-3</v>
      </c>
      <c r="K102" s="162"/>
      <c r="L102" s="148"/>
      <c r="M102" s="161"/>
      <c r="N102" s="146"/>
      <c r="O102" s="162"/>
      <c r="P102" s="148"/>
      <c r="Q102" s="161"/>
      <c r="R102" s="146" t="str">
        <f>IF(Q102&lt;&gt;"", SUMIF(Bets!$D:$D, Q102, Bets!AD:AD), "")</f>
        <v/>
      </c>
      <c r="S102" s="162"/>
      <c r="T102" s="148"/>
      <c r="U102" s="161"/>
      <c r="V102" s="146" t="str">
        <f>IF(U102&lt;&gt;"", SUMIF(Bets!$D:$D, U102, Bets!AE:AE), "")</f>
        <v/>
      </c>
      <c r="W102" s="162"/>
      <c r="X102" s="148"/>
      <c r="Y102" s="161"/>
      <c r="Z102" s="146" t="str">
        <f>IF(Y102&lt;&gt;"", SUMIF(Bets!$D:$D, Y102, Bets!AF:AF), "")</f>
        <v/>
      </c>
      <c r="AA102" s="162"/>
      <c r="AB102" s="148"/>
      <c r="AC102" s="161"/>
      <c r="AD102" s="146" t="str">
        <f>IF(AC102&lt;&gt;"", SUMIF(Bets!$D:$D, AC102, Bets!AG:AG), "")</f>
        <v/>
      </c>
      <c r="AE102" s="162"/>
      <c r="AF102" s="148"/>
    </row>
    <row r="103" hidden="1" outlineLevel="1">
      <c r="A103" s="161">
        <f>IFERROR(__xludf.DUMMYFUNCTION("""COMPUTED_VALUE"""),45387.0)</f>
        <v>45387</v>
      </c>
      <c r="B103" s="146">
        <f>IF(A103&lt;&gt;"", SUMIF(Bets!$D:$D, A103, Bets!Z:Z), "")</f>
        <v>7.624</v>
      </c>
      <c r="C103" s="162"/>
      <c r="D103" s="148"/>
      <c r="E103" s="161"/>
      <c r="F103" s="146" t="str">
        <f>IF(E103&lt;&gt;"", SUMIF(Bets!$D:$D, E103, Bets!AB:AB), "")</f>
        <v/>
      </c>
      <c r="G103" s="162"/>
      <c r="H103" s="148"/>
      <c r="I103" s="161">
        <f>IFERROR(__xludf.DUMMYFUNCTION("""COMPUTED_VALUE"""),45387.0)</f>
        <v>45387</v>
      </c>
      <c r="J103" s="146">
        <f>IF(I103&lt;&gt;"", SUMIF(Bets!$D:$D, I103, Bets!AA:AA), "")</f>
        <v>10.686</v>
      </c>
      <c r="K103" s="162"/>
      <c r="L103" s="148"/>
      <c r="M103" s="161"/>
      <c r="N103" s="146"/>
      <c r="O103" s="162"/>
      <c r="P103" s="148"/>
      <c r="Q103" s="161"/>
      <c r="R103" s="146" t="str">
        <f>IF(Q103&lt;&gt;"", SUMIF(Bets!$D:$D, Q103, Bets!AD:AD), "")</f>
        <v/>
      </c>
      <c r="S103" s="162"/>
      <c r="T103" s="148"/>
      <c r="U103" s="161"/>
      <c r="V103" s="146" t="str">
        <f>IF(U103&lt;&gt;"", SUMIF(Bets!$D:$D, U103, Bets!AE:AE), "")</f>
        <v/>
      </c>
      <c r="W103" s="162"/>
      <c r="X103" s="148"/>
      <c r="Y103" s="161"/>
      <c r="Z103" s="146" t="str">
        <f>IF(Y103&lt;&gt;"", SUMIF(Bets!$D:$D, Y103, Bets!AF:AF), "")</f>
        <v/>
      </c>
      <c r="AA103" s="162"/>
      <c r="AB103" s="148"/>
      <c r="AC103" s="161"/>
      <c r="AD103" s="146" t="str">
        <f>IF(AC103&lt;&gt;"", SUMIF(Bets!$D:$D, AC103, Bets!AG:AG), "")</f>
        <v/>
      </c>
      <c r="AE103" s="162"/>
      <c r="AF103" s="148"/>
    </row>
    <row r="104" hidden="1" outlineLevel="1">
      <c r="A104" s="161">
        <f>IFERROR(__xludf.DUMMYFUNCTION("""COMPUTED_VALUE"""),45386.0)</f>
        <v>45386</v>
      </c>
      <c r="B104" s="146">
        <f>IF(A104&lt;&gt;"", SUMIF(Bets!$D:$D, A104, Bets!Z:Z), "")</f>
        <v>-0.01</v>
      </c>
      <c r="C104" s="162"/>
      <c r="D104" s="148"/>
      <c r="E104" s="161"/>
      <c r="F104" s="146" t="str">
        <f>IF(E104&lt;&gt;"", SUMIF(Bets!$D:$D, E104, Bets!AB:AB), "")</f>
        <v/>
      </c>
      <c r="G104" s="162"/>
      <c r="H104" s="148"/>
      <c r="I104" s="161">
        <f>IFERROR(__xludf.DUMMYFUNCTION("""COMPUTED_VALUE"""),45386.0)</f>
        <v>45386</v>
      </c>
      <c r="J104" s="146">
        <f>IF(I104&lt;&gt;"", SUMIF(Bets!$D:$D, I104, Bets!AA:AA), "")</f>
        <v>-1.01</v>
      </c>
      <c r="K104" s="162"/>
      <c r="L104" s="148"/>
      <c r="M104" s="161"/>
      <c r="N104" s="146"/>
      <c r="O104" s="162"/>
      <c r="P104" s="148"/>
      <c r="Q104" s="161"/>
      <c r="R104" s="146" t="str">
        <f>IF(Q104&lt;&gt;"", SUMIF(Bets!$D:$D, Q104, Bets!AD:AD), "")</f>
        <v/>
      </c>
      <c r="S104" s="162"/>
      <c r="T104" s="148"/>
      <c r="U104" s="161"/>
      <c r="V104" s="146" t="str">
        <f>IF(U104&lt;&gt;"", SUMIF(Bets!$D:$D, U104, Bets!AE:AE), "")</f>
        <v/>
      </c>
      <c r="W104" s="162"/>
      <c r="X104" s="148"/>
      <c r="Y104" s="161"/>
      <c r="Z104" s="146" t="str">
        <f>IF(Y104&lt;&gt;"", SUMIF(Bets!$D:$D, Y104, Bets!AF:AF), "")</f>
        <v/>
      </c>
      <c r="AA104" s="162"/>
      <c r="AB104" s="148"/>
      <c r="AC104" s="161"/>
      <c r="AD104" s="146" t="str">
        <f>IF(AC104&lt;&gt;"", SUMIF(Bets!$D:$D, AC104, Bets!AG:AG), "")</f>
        <v/>
      </c>
      <c r="AE104" s="162"/>
      <c r="AF104" s="148"/>
    </row>
    <row r="105" hidden="1" outlineLevel="1">
      <c r="A105" s="161">
        <f>IFERROR(__xludf.DUMMYFUNCTION("""COMPUTED_VALUE"""),45385.0)</f>
        <v>45385</v>
      </c>
      <c r="B105" s="146">
        <f>IF(A105&lt;&gt;"", SUMIF(Bets!$D:$D, A105, Bets!Z:Z), "")</f>
        <v>-3</v>
      </c>
      <c r="C105" s="162"/>
      <c r="D105" s="148"/>
      <c r="E105" s="161"/>
      <c r="F105" s="146" t="str">
        <f>IF(E105&lt;&gt;"", SUMIF(Bets!$D:$D, E105, Bets!AB:AB), "")</f>
        <v/>
      </c>
      <c r="G105" s="162"/>
      <c r="H105" s="148"/>
      <c r="I105" s="161">
        <f>IFERROR(__xludf.DUMMYFUNCTION("""COMPUTED_VALUE"""),45385.0)</f>
        <v>45385</v>
      </c>
      <c r="J105" s="146">
        <f>IF(I105&lt;&gt;"", SUMIF(Bets!$D:$D, I105, Bets!AA:AA), "")</f>
        <v>-3</v>
      </c>
      <c r="K105" s="162"/>
      <c r="L105" s="148"/>
      <c r="M105" s="161"/>
      <c r="N105" s="146"/>
      <c r="O105" s="162"/>
      <c r="P105" s="148"/>
      <c r="Q105" s="161"/>
      <c r="R105" s="146" t="str">
        <f>IF(Q105&lt;&gt;"", SUMIF(Bets!$D:$D, Q105, Bets!AD:AD), "")</f>
        <v/>
      </c>
      <c r="S105" s="162"/>
      <c r="T105" s="148"/>
      <c r="U105" s="161"/>
      <c r="V105" s="146" t="str">
        <f>IF(U105&lt;&gt;"", SUMIF(Bets!$D:$D, U105, Bets!AE:AE), "")</f>
        <v/>
      </c>
      <c r="W105" s="162"/>
      <c r="X105" s="148"/>
      <c r="Y105" s="161"/>
      <c r="Z105" s="146" t="str">
        <f>IF(Y105&lt;&gt;"", SUMIF(Bets!$D:$D, Y105, Bets!AF:AF), "")</f>
        <v/>
      </c>
      <c r="AA105" s="162"/>
      <c r="AB105" s="148"/>
      <c r="AC105" s="161"/>
      <c r="AD105" s="146" t="str">
        <f>IF(AC105&lt;&gt;"", SUMIF(Bets!$D:$D, AC105, Bets!AG:AG), "")</f>
        <v/>
      </c>
      <c r="AE105" s="162"/>
      <c r="AF105" s="148"/>
    </row>
    <row r="106" hidden="1" outlineLevel="1">
      <c r="A106" s="161">
        <f>IFERROR(__xludf.DUMMYFUNCTION("""COMPUTED_VALUE"""),45384.0)</f>
        <v>45384</v>
      </c>
      <c r="B106" s="146">
        <f>IF(A106&lt;&gt;"", SUMIF(Bets!$D:$D, A106, Bets!Z:Z), "")</f>
        <v>-3.33</v>
      </c>
      <c r="C106" s="162"/>
      <c r="D106" s="148"/>
      <c r="E106" s="161"/>
      <c r="F106" s="146" t="str">
        <f>IF(E106&lt;&gt;"", SUMIF(Bets!$D:$D, E106, Bets!AB:AB), "")</f>
        <v/>
      </c>
      <c r="G106" s="162"/>
      <c r="H106" s="148"/>
      <c r="I106" s="161">
        <f>IFERROR(__xludf.DUMMYFUNCTION("""COMPUTED_VALUE"""),45384.0)</f>
        <v>45384</v>
      </c>
      <c r="J106" s="146">
        <f>IF(I106&lt;&gt;"", SUMIF(Bets!$D:$D, I106, Bets!AA:AA), "")</f>
        <v>-5.33</v>
      </c>
      <c r="K106" s="162"/>
      <c r="L106" s="148"/>
      <c r="M106" s="161"/>
      <c r="N106" s="146"/>
      <c r="O106" s="162"/>
      <c r="P106" s="148"/>
      <c r="Q106" s="161"/>
      <c r="R106" s="146" t="str">
        <f>IF(Q106&lt;&gt;"", SUMIF(Bets!$D:$D, Q106, Bets!AD:AD), "")</f>
        <v/>
      </c>
      <c r="S106" s="162"/>
      <c r="T106" s="148"/>
      <c r="U106" s="161"/>
      <c r="V106" s="146" t="str">
        <f>IF(U106&lt;&gt;"", SUMIF(Bets!$D:$D, U106, Bets!AE:AE), "")</f>
        <v/>
      </c>
      <c r="W106" s="162"/>
      <c r="X106" s="148"/>
      <c r="Y106" s="161"/>
      <c r="Z106" s="146" t="str">
        <f>IF(Y106&lt;&gt;"", SUMIF(Bets!$D:$D, Y106, Bets!AF:AF), "")</f>
        <v/>
      </c>
      <c r="AA106" s="162"/>
      <c r="AB106" s="148"/>
      <c r="AC106" s="161"/>
      <c r="AD106" s="146" t="str">
        <f>IF(AC106&lt;&gt;"", SUMIF(Bets!$D:$D, AC106, Bets!AG:AG), "")</f>
        <v/>
      </c>
      <c r="AE106" s="162"/>
      <c r="AF106" s="148"/>
    </row>
    <row r="107" hidden="1" outlineLevel="1">
      <c r="A107" s="161">
        <f>IFERROR(__xludf.DUMMYFUNCTION("""COMPUTED_VALUE"""),45382.0)</f>
        <v>45382</v>
      </c>
      <c r="B107" s="146">
        <f>IF(A107&lt;&gt;"", SUMIF(Bets!$D:$D, A107, Bets!Z:Z), "")</f>
        <v>3.6</v>
      </c>
      <c r="C107" s="162"/>
      <c r="D107" s="148"/>
      <c r="E107" s="161"/>
      <c r="F107" s="146" t="str">
        <f>IF(E107&lt;&gt;"", SUMIF(Bets!$D:$D, E107, Bets!AB:AB), "")</f>
        <v/>
      </c>
      <c r="G107" s="162"/>
      <c r="H107" s="148"/>
      <c r="I107" s="161">
        <f>IFERROR(__xludf.DUMMYFUNCTION("""COMPUTED_VALUE"""),45382.0)</f>
        <v>45382</v>
      </c>
      <c r="J107" s="146">
        <f>IF(I107&lt;&gt;"", SUMIF(Bets!$D:$D, I107, Bets!AA:AA), "")</f>
        <v>3.6</v>
      </c>
      <c r="K107" s="162"/>
      <c r="L107" s="148"/>
      <c r="M107" s="161"/>
      <c r="N107" s="146"/>
      <c r="O107" s="162"/>
      <c r="P107" s="148"/>
      <c r="Q107" s="161"/>
      <c r="R107" s="146" t="str">
        <f>IF(Q107&lt;&gt;"", SUMIF(Bets!$D:$D, Q107, Bets!AD:AD), "")</f>
        <v/>
      </c>
      <c r="S107" s="162"/>
      <c r="T107" s="148"/>
      <c r="U107" s="161"/>
      <c r="V107" s="146" t="str">
        <f>IF(U107&lt;&gt;"", SUMIF(Bets!$D:$D, U107, Bets!AE:AE), "")</f>
        <v/>
      </c>
      <c r="W107" s="162"/>
      <c r="X107" s="148"/>
      <c r="Y107" s="161"/>
      <c r="Z107" s="146" t="str">
        <f>IF(Y107&lt;&gt;"", SUMIF(Bets!$D:$D, Y107, Bets!AF:AF), "")</f>
        <v/>
      </c>
      <c r="AA107" s="162"/>
      <c r="AB107" s="148"/>
      <c r="AC107" s="161"/>
      <c r="AD107" s="146" t="str">
        <f>IF(AC107&lt;&gt;"", SUMIF(Bets!$D:$D, AC107, Bets!AG:AG), "")</f>
        <v/>
      </c>
      <c r="AE107" s="162"/>
      <c r="AF107" s="148"/>
    </row>
    <row r="108" hidden="1" outlineLevel="1">
      <c r="A108" s="161">
        <f>IFERROR(__xludf.DUMMYFUNCTION("""COMPUTED_VALUE"""),45381.0)</f>
        <v>45381</v>
      </c>
      <c r="B108" s="146">
        <f>IF(A108&lt;&gt;"", SUMIF(Bets!$D:$D, A108, Bets!Z:Z), "")</f>
        <v>8.74</v>
      </c>
      <c r="C108" s="162"/>
      <c r="D108" s="148"/>
      <c r="E108" s="161"/>
      <c r="F108" s="146" t="str">
        <f>IF(E108&lt;&gt;"", SUMIF(Bets!$D:$D, E108, Bets!AB:AB), "")</f>
        <v/>
      </c>
      <c r="G108" s="162"/>
      <c r="H108" s="148"/>
      <c r="I108" s="161">
        <f>IFERROR(__xludf.DUMMYFUNCTION("""COMPUTED_VALUE"""),45381.0)</f>
        <v>45381</v>
      </c>
      <c r="J108" s="146">
        <f>IF(I108&lt;&gt;"", SUMIF(Bets!$D:$D, I108, Bets!AA:AA), "")</f>
        <v>5.74</v>
      </c>
      <c r="K108" s="162"/>
      <c r="L108" s="148"/>
      <c r="M108" s="161"/>
      <c r="N108" s="146"/>
      <c r="O108" s="162"/>
      <c r="P108" s="148"/>
      <c r="Q108" s="161"/>
      <c r="R108" s="146" t="str">
        <f>IF(Q108&lt;&gt;"", SUMIF(Bets!$D:$D, Q108, Bets!AD:AD), "")</f>
        <v/>
      </c>
      <c r="S108" s="162"/>
      <c r="T108" s="148"/>
      <c r="U108" s="161"/>
      <c r="V108" s="146" t="str">
        <f>IF(U108&lt;&gt;"", SUMIF(Bets!$D:$D, U108, Bets!AE:AE), "")</f>
        <v/>
      </c>
      <c r="W108" s="162"/>
      <c r="X108" s="148"/>
      <c r="Y108" s="161"/>
      <c r="Z108" s="146" t="str">
        <f>IF(Y108&lt;&gt;"", SUMIF(Bets!$D:$D, Y108, Bets!AF:AF), "")</f>
        <v/>
      </c>
      <c r="AA108" s="162"/>
      <c r="AB108" s="148"/>
      <c r="AC108" s="161"/>
      <c r="AD108" s="146" t="str">
        <f>IF(AC108&lt;&gt;"", SUMIF(Bets!$D:$D, AC108, Bets!AG:AG), "")</f>
        <v/>
      </c>
      <c r="AE108" s="162"/>
      <c r="AF108" s="148"/>
    </row>
    <row r="109" hidden="1" outlineLevel="1">
      <c r="A109" s="161">
        <f>IFERROR(__xludf.DUMMYFUNCTION("""COMPUTED_VALUE"""),45380.0)</f>
        <v>45380</v>
      </c>
      <c r="B109" s="146">
        <f>IF(A109&lt;&gt;"", SUMIF(Bets!$D:$D, A109, Bets!Z:Z), "")</f>
        <v>-7</v>
      </c>
      <c r="C109" s="162"/>
      <c r="D109" s="148"/>
      <c r="E109" s="161"/>
      <c r="F109" s="146" t="str">
        <f>IF(E109&lt;&gt;"", SUMIF(Bets!$D:$D, E109, Bets!AB:AB), "")</f>
        <v/>
      </c>
      <c r="G109" s="162"/>
      <c r="H109" s="148"/>
      <c r="I109" s="161">
        <f>IFERROR(__xludf.DUMMYFUNCTION("""COMPUTED_VALUE"""),45380.0)</f>
        <v>45380</v>
      </c>
      <c r="J109" s="146">
        <f>IF(I109&lt;&gt;"", SUMIF(Bets!$D:$D, I109, Bets!AA:AA), "")</f>
        <v>-9</v>
      </c>
      <c r="K109" s="162"/>
      <c r="L109" s="148"/>
      <c r="M109" s="161"/>
      <c r="N109" s="146"/>
      <c r="O109" s="162"/>
      <c r="P109" s="148"/>
      <c r="Q109" s="161"/>
      <c r="R109" s="146" t="str">
        <f>IF(Q109&lt;&gt;"", SUMIF(Bets!$D:$D, Q109, Bets!AD:AD), "")</f>
        <v/>
      </c>
      <c r="S109" s="162"/>
      <c r="T109" s="148"/>
      <c r="U109" s="161"/>
      <c r="V109" s="146" t="str">
        <f>IF(U109&lt;&gt;"", SUMIF(Bets!$D:$D, U109, Bets!AE:AE), "")</f>
        <v/>
      </c>
      <c r="W109" s="162"/>
      <c r="X109" s="148"/>
      <c r="Y109" s="161"/>
      <c r="Z109" s="146" t="str">
        <f>IF(Y109&lt;&gt;"", SUMIF(Bets!$D:$D, Y109, Bets!AF:AF), "")</f>
        <v/>
      </c>
      <c r="AA109" s="162"/>
      <c r="AB109" s="148"/>
      <c r="AC109" s="161"/>
      <c r="AD109" s="146" t="str">
        <f>IF(AC109&lt;&gt;"", SUMIF(Bets!$D:$D, AC109, Bets!AG:AG), "")</f>
        <v/>
      </c>
      <c r="AE109" s="162"/>
      <c r="AF109" s="148"/>
    </row>
    <row r="110" hidden="1" outlineLevel="1">
      <c r="A110" s="161">
        <f>IFERROR(__xludf.DUMMYFUNCTION("""COMPUTED_VALUE"""),45379.0)</f>
        <v>45379</v>
      </c>
      <c r="B110" s="146">
        <f>IF(A110&lt;&gt;"", SUMIF(Bets!$D:$D, A110, Bets!Z:Z), "")</f>
        <v>2.19</v>
      </c>
      <c r="C110" s="162"/>
      <c r="D110" s="148"/>
      <c r="E110" s="161"/>
      <c r="F110" s="146" t="str">
        <f>IF(E110&lt;&gt;"", SUMIF(Bets!$D:$D, E110, Bets!AB:AB), "")</f>
        <v/>
      </c>
      <c r="G110" s="162"/>
      <c r="H110" s="148"/>
      <c r="I110" s="161">
        <f>IFERROR(__xludf.DUMMYFUNCTION("""COMPUTED_VALUE"""),45379.0)</f>
        <v>45379</v>
      </c>
      <c r="J110" s="146">
        <f>IF(I110&lt;&gt;"", SUMIF(Bets!$D:$D, I110, Bets!AA:AA), "")</f>
        <v>1.19</v>
      </c>
      <c r="K110" s="162"/>
      <c r="L110" s="148"/>
      <c r="M110" s="161"/>
      <c r="N110" s="146"/>
      <c r="O110" s="162"/>
      <c r="P110" s="148"/>
      <c r="Q110" s="161"/>
      <c r="R110" s="146" t="str">
        <f>IF(Q110&lt;&gt;"", SUMIF(Bets!$D:$D, Q110, Bets!AD:AD), "")</f>
        <v/>
      </c>
      <c r="S110" s="162"/>
      <c r="T110" s="148"/>
      <c r="U110" s="161"/>
      <c r="V110" s="146" t="str">
        <f>IF(U110&lt;&gt;"", SUMIF(Bets!$D:$D, U110, Bets!AE:AE), "")</f>
        <v/>
      </c>
      <c r="W110" s="162"/>
      <c r="X110" s="148"/>
      <c r="Y110" s="161"/>
      <c r="Z110" s="146" t="str">
        <f>IF(Y110&lt;&gt;"", SUMIF(Bets!$D:$D, Y110, Bets!AF:AF), "")</f>
        <v/>
      </c>
      <c r="AA110" s="162"/>
      <c r="AB110" s="148"/>
      <c r="AC110" s="161"/>
      <c r="AD110" s="146" t="str">
        <f>IF(AC110&lt;&gt;"", SUMIF(Bets!$D:$D, AC110, Bets!AG:AG), "")</f>
        <v/>
      </c>
      <c r="AE110" s="162"/>
      <c r="AF110" s="148"/>
    </row>
    <row r="111" hidden="1" outlineLevel="1">
      <c r="A111" s="161">
        <f>IFERROR(__xludf.DUMMYFUNCTION("""COMPUTED_VALUE"""),45377.0)</f>
        <v>45377</v>
      </c>
      <c r="B111" s="146">
        <f>IF(A111&lt;&gt;"", SUMIF(Bets!$D:$D, A111, Bets!Z:Z), "")</f>
        <v>0.56</v>
      </c>
      <c r="C111" s="162"/>
      <c r="D111" s="148"/>
      <c r="E111" s="161"/>
      <c r="F111" s="146" t="str">
        <f>IF(E111&lt;&gt;"", SUMIF(Bets!$D:$D, E111, Bets!AB:AB), "")</f>
        <v/>
      </c>
      <c r="G111" s="162"/>
      <c r="H111" s="148"/>
      <c r="I111" s="161">
        <f>IFERROR(__xludf.DUMMYFUNCTION("""COMPUTED_VALUE"""),45377.0)</f>
        <v>45377</v>
      </c>
      <c r="J111" s="146">
        <f>IF(I111&lt;&gt;"", SUMIF(Bets!$D:$D, I111, Bets!AA:AA), "")</f>
        <v>2.34</v>
      </c>
      <c r="K111" s="162"/>
      <c r="L111" s="148"/>
      <c r="M111" s="161"/>
      <c r="N111" s="146"/>
      <c r="O111" s="162"/>
      <c r="P111" s="148"/>
      <c r="Q111" s="161"/>
      <c r="R111" s="146" t="str">
        <f>IF(Q111&lt;&gt;"", SUMIF(Bets!$D:$D, Q111, Bets!AD:AD), "")</f>
        <v/>
      </c>
      <c r="S111" s="162"/>
      <c r="T111" s="148"/>
      <c r="U111" s="161"/>
      <c r="V111" s="146" t="str">
        <f>IF(U111&lt;&gt;"", SUMIF(Bets!$D:$D, U111, Bets!AE:AE), "")</f>
        <v/>
      </c>
      <c r="W111" s="162"/>
      <c r="X111" s="148"/>
      <c r="Y111" s="161"/>
      <c r="Z111" s="146" t="str">
        <f>IF(Y111&lt;&gt;"", SUMIF(Bets!$D:$D, Y111, Bets!AF:AF), "")</f>
        <v/>
      </c>
      <c r="AA111" s="162"/>
      <c r="AB111" s="148"/>
      <c r="AC111" s="161"/>
      <c r="AD111" s="146" t="str">
        <f>IF(AC111&lt;&gt;"", SUMIF(Bets!$D:$D, AC111, Bets!AG:AG), "")</f>
        <v/>
      </c>
      <c r="AE111" s="162"/>
      <c r="AF111" s="148"/>
    </row>
    <row r="112" hidden="1" outlineLevel="1">
      <c r="A112" s="161">
        <f>IFERROR(__xludf.DUMMYFUNCTION("""COMPUTED_VALUE"""),45373.0)</f>
        <v>45373</v>
      </c>
      <c r="B112" s="146">
        <f>IF(A112&lt;&gt;"", SUMIF(Bets!$D:$D, A112, Bets!Z:Z), "")</f>
        <v>-6</v>
      </c>
      <c r="C112" s="162"/>
      <c r="D112" s="148"/>
      <c r="E112" s="161"/>
      <c r="F112" s="146" t="str">
        <f>IF(E112&lt;&gt;"", SUMIF(Bets!$D:$D, E112, Bets!AB:AB), "")</f>
        <v/>
      </c>
      <c r="G112" s="162"/>
      <c r="H112" s="148"/>
      <c r="I112" s="161">
        <f>IFERROR(__xludf.DUMMYFUNCTION("""COMPUTED_VALUE"""),45373.0)</f>
        <v>45373</v>
      </c>
      <c r="J112" s="146">
        <f>IF(I112&lt;&gt;"", SUMIF(Bets!$D:$D, I112, Bets!AA:AA), "")</f>
        <v>-6</v>
      </c>
      <c r="K112" s="162"/>
      <c r="L112" s="148"/>
      <c r="M112" s="161"/>
      <c r="N112" s="146"/>
      <c r="O112" s="162"/>
      <c r="P112" s="148"/>
      <c r="Q112" s="161"/>
      <c r="R112" s="146" t="str">
        <f>IF(Q112&lt;&gt;"", SUMIF(Bets!$D:$D, Q112, Bets!AD:AD), "")</f>
        <v/>
      </c>
      <c r="S112" s="162"/>
      <c r="T112" s="148"/>
      <c r="U112" s="161"/>
      <c r="V112" s="146" t="str">
        <f>IF(U112&lt;&gt;"", SUMIF(Bets!$D:$D, U112, Bets!AE:AE), "")</f>
        <v/>
      </c>
      <c r="W112" s="162"/>
      <c r="X112" s="148"/>
      <c r="Y112" s="161"/>
      <c r="Z112" s="146" t="str">
        <f>IF(Y112&lt;&gt;"", SUMIF(Bets!$D:$D, Y112, Bets!AF:AF), "")</f>
        <v/>
      </c>
      <c r="AA112" s="162"/>
      <c r="AB112" s="148"/>
      <c r="AC112" s="161"/>
      <c r="AD112" s="146" t="str">
        <f>IF(AC112&lt;&gt;"", SUMIF(Bets!$D:$D, AC112, Bets!AG:AG), "")</f>
        <v/>
      </c>
      <c r="AE112" s="162"/>
      <c r="AF112" s="148"/>
    </row>
    <row r="113" hidden="1" outlineLevel="1">
      <c r="A113" s="161">
        <f>IFERROR(__xludf.DUMMYFUNCTION("""COMPUTED_VALUE"""),45370.0)</f>
        <v>45370</v>
      </c>
      <c r="B113" s="146">
        <f>IF(A113&lt;&gt;"", SUMIF(Bets!$D:$D, A113, Bets!Z:Z), "")</f>
        <v>-1</v>
      </c>
      <c r="C113" s="162"/>
      <c r="D113" s="148"/>
      <c r="E113" s="161"/>
      <c r="F113" s="146" t="str">
        <f>IF(E113&lt;&gt;"", SUMIF(Bets!$D:$D, E113, Bets!AB:AB), "")</f>
        <v/>
      </c>
      <c r="G113" s="162"/>
      <c r="H113" s="148"/>
      <c r="I113" s="161">
        <f>IFERROR(__xludf.DUMMYFUNCTION("""COMPUTED_VALUE"""),45370.0)</f>
        <v>45370</v>
      </c>
      <c r="J113" s="146">
        <f>IF(I113&lt;&gt;"", SUMIF(Bets!$D:$D, I113, Bets!AA:AA), "")</f>
        <v>-1.5</v>
      </c>
      <c r="K113" s="162"/>
      <c r="L113" s="148"/>
      <c r="M113" s="161"/>
      <c r="N113" s="146"/>
      <c r="O113" s="162"/>
      <c r="P113" s="148"/>
      <c r="Q113" s="161"/>
      <c r="R113" s="146" t="str">
        <f>IF(Q113&lt;&gt;"", SUMIF(Bets!$D:$D, Q113, Bets!AD:AD), "")</f>
        <v/>
      </c>
      <c r="S113" s="162"/>
      <c r="T113" s="148"/>
      <c r="U113" s="161"/>
      <c r="V113" s="146" t="str">
        <f>IF(U113&lt;&gt;"", SUMIF(Bets!$D:$D, U113, Bets!AE:AE), "")</f>
        <v/>
      </c>
      <c r="W113" s="162"/>
      <c r="X113" s="148"/>
      <c r="Y113" s="161"/>
      <c r="Z113" s="146" t="str">
        <f>IF(Y113&lt;&gt;"", SUMIF(Bets!$D:$D, Y113, Bets!AF:AF), "")</f>
        <v/>
      </c>
      <c r="AA113" s="162"/>
      <c r="AB113" s="148"/>
      <c r="AC113" s="161"/>
      <c r="AD113" s="146" t="str">
        <f>IF(AC113&lt;&gt;"", SUMIF(Bets!$D:$D, AC113, Bets!AG:AG), "")</f>
        <v/>
      </c>
      <c r="AE113" s="162"/>
      <c r="AF113" s="148"/>
    </row>
    <row r="114" hidden="1" outlineLevel="1">
      <c r="A114" s="161">
        <f>IFERROR(__xludf.DUMMYFUNCTION("""COMPUTED_VALUE"""),45369.0)</f>
        <v>45369</v>
      </c>
      <c r="B114" s="146">
        <f>IF(A114&lt;&gt;"", SUMIF(Bets!$D:$D, A114, Bets!Z:Z), "")</f>
        <v>-1.57</v>
      </c>
      <c r="C114" s="162"/>
      <c r="D114" s="148"/>
      <c r="E114" s="161"/>
      <c r="F114" s="146" t="str">
        <f>IF(E114&lt;&gt;"", SUMIF(Bets!$D:$D, E114, Bets!AB:AB), "")</f>
        <v/>
      </c>
      <c r="G114" s="162"/>
      <c r="H114" s="148"/>
      <c r="I114" s="161">
        <f>IFERROR(__xludf.DUMMYFUNCTION("""COMPUTED_VALUE"""),45369.0)</f>
        <v>45369</v>
      </c>
      <c r="J114" s="146">
        <f>IF(I114&lt;&gt;"", SUMIF(Bets!$D:$D, I114, Bets!AA:AA), "")</f>
        <v>-1.57</v>
      </c>
      <c r="K114" s="162"/>
      <c r="L114" s="148"/>
      <c r="M114" s="161"/>
      <c r="N114" s="146"/>
      <c r="O114" s="162"/>
      <c r="P114" s="148"/>
      <c r="Q114" s="161"/>
      <c r="R114" s="146" t="str">
        <f>IF(Q114&lt;&gt;"", SUMIF(Bets!$D:$D, Q114, Bets!AD:AD), "")</f>
        <v/>
      </c>
      <c r="S114" s="162"/>
      <c r="T114" s="148"/>
      <c r="U114" s="161"/>
      <c r="V114" s="146" t="str">
        <f>IF(U114&lt;&gt;"", SUMIF(Bets!$D:$D, U114, Bets!AE:AE), "")</f>
        <v/>
      </c>
      <c r="W114" s="162"/>
      <c r="X114" s="148"/>
      <c r="Y114" s="161"/>
      <c r="Z114" s="146" t="str">
        <f>IF(Y114&lt;&gt;"", SUMIF(Bets!$D:$D, Y114, Bets!AF:AF), "")</f>
        <v/>
      </c>
      <c r="AA114" s="162"/>
      <c r="AB114" s="148"/>
      <c r="AC114" s="161"/>
      <c r="AD114" s="146" t="str">
        <f>IF(AC114&lt;&gt;"", SUMIF(Bets!$D:$D, AC114, Bets!AG:AG), "")</f>
        <v/>
      </c>
      <c r="AE114" s="162"/>
      <c r="AF114" s="148"/>
    </row>
    <row r="115" hidden="1" outlineLevel="1">
      <c r="A115" s="161">
        <f>IFERROR(__xludf.DUMMYFUNCTION("""COMPUTED_VALUE"""),45361.0)</f>
        <v>45361</v>
      </c>
      <c r="B115" s="146">
        <f>IF(A115&lt;&gt;"", SUMIF(Bets!$D:$D, A115, Bets!Z:Z), "")</f>
        <v>-8</v>
      </c>
      <c r="C115" s="162"/>
      <c r="D115" s="148"/>
      <c r="E115" s="161"/>
      <c r="F115" s="146" t="str">
        <f>IF(E115&lt;&gt;"", SUMIF(Bets!$D:$D, E115, Bets!AB:AB), "")</f>
        <v/>
      </c>
      <c r="G115" s="162"/>
      <c r="H115" s="148"/>
      <c r="I115" s="161">
        <f>IFERROR(__xludf.DUMMYFUNCTION("""COMPUTED_VALUE"""),45361.0)</f>
        <v>45361</v>
      </c>
      <c r="J115" s="146">
        <f>IF(I115&lt;&gt;"", SUMIF(Bets!$D:$D, I115, Bets!AA:AA), "")</f>
        <v>-10.5</v>
      </c>
      <c r="K115" s="162"/>
      <c r="L115" s="148"/>
      <c r="M115" s="161"/>
      <c r="N115" s="146"/>
      <c r="O115" s="162"/>
      <c r="P115" s="148"/>
      <c r="Q115" s="161"/>
      <c r="R115" s="146" t="str">
        <f>IF(Q115&lt;&gt;"", SUMIF(Bets!$D:$D, Q115, Bets!AD:AD), "")</f>
        <v/>
      </c>
      <c r="S115" s="162"/>
      <c r="T115" s="148"/>
      <c r="U115" s="161"/>
      <c r="V115" s="146" t="str">
        <f>IF(U115&lt;&gt;"", SUMIF(Bets!$D:$D, U115, Bets!AE:AE), "")</f>
        <v/>
      </c>
      <c r="W115" s="162"/>
      <c r="X115" s="148"/>
      <c r="Y115" s="161"/>
      <c r="Z115" s="146" t="str">
        <f>IF(Y115&lt;&gt;"", SUMIF(Bets!$D:$D, Y115, Bets!AF:AF), "")</f>
        <v/>
      </c>
      <c r="AA115" s="162"/>
      <c r="AB115" s="148"/>
      <c r="AC115" s="161"/>
      <c r="AD115" s="146" t="str">
        <f>IF(AC115&lt;&gt;"", SUMIF(Bets!$D:$D, AC115, Bets!AG:AG), "")</f>
        <v/>
      </c>
      <c r="AE115" s="162"/>
      <c r="AF115" s="148"/>
    </row>
    <row r="116" hidden="1" outlineLevel="1">
      <c r="A116" s="161">
        <f>IFERROR(__xludf.DUMMYFUNCTION("""COMPUTED_VALUE"""),45360.0)</f>
        <v>45360</v>
      </c>
      <c r="B116" s="146">
        <f>IF(A116&lt;&gt;"", SUMIF(Bets!$D:$D, A116, Bets!Z:Z), "")</f>
        <v>-2.888333333</v>
      </c>
      <c r="C116" s="162"/>
      <c r="D116" s="148"/>
      <c r="E116" s="161"/>
      <c r="F116" s="146" t="str">
        <f>IF(E116&lt;&gt;"", SUMIF(Bets!$D:$D, E116, Bets!AB:AB), "")</f>
        <v/>
      </c>
      <c r="G116" s="162"/>
      <c r="H116" s="148"/>
      <c r="I116" s="161">
        <f>IFERROR(__xludf.DUMMYFUNCTION("""COMPUTED_VALUE"""),45360.0)</f>
        <v>45360</v>
      </c>
      <c r="J116" s="146">
        <f>IF(I116&lt;&gt;"", SUMIF(Bets!$D:$D, I116, Bets!AA:AA), "")</f>
        <v>-12.44166667</v>
      </c>
      <c r="K116" s="162"/>
      <c r="L116" s="148"/>
      <c r="M116" s="161"/>
      <c r="N116" s="146"/>
      <c r="O116" s="162"/>
      <c r="P116" s="148"/>
      <c r="Q116" s="161"/>
      <c r="R116" s="146" t="str">
        <f>IF(Q116&lt;&gt;"", SUMIF(Bets!$D:$D, Q116, Bets!AD:AD), "")</f>
        <v/>
      </c>
      <c r="S116" s="162"/>
      <c r="T116" s="148"/>
      <c r="U116" s="161"/>
      <c r="V116" s="146" t="str">
        <f>IF(U116&lt;&gt;"", SUMIF(Bets!$D:$D, U116, Bets!AE:AE), "")</f>
        <v/>
      </c>
      <c r="W116" s="162"/>
      <c r="X116" s="148"/>
      <c r="Y116" s="161"/>
      <c r="Z116" s="146" t="str">
        <f>IF(Y116&lt;&gt;"", SUMIF(Bets!$D:$D, Y116, Bets!AF:AF), "")</f>
        <v/>
      </c>
      <c r="AA116" s="162"/>
      <c r="AB116" s="148"/>
      <c r="AC116" s="161"/>
      <c r="AD116" s="146" t="str">
        <f>IF(AC116&lt;&gt;"", SUMIF(Bets!$D:$D, AC116, Bets!AG:AG), "")</f>
        <v/>
      </c>
      <c r="AE116" s="162"/>
      <c r="AF116" s="148"/>
    </row>
    <row r="117" hidden="1" outlineLevel="1">
      <c r="A117" s="161">
        <f>IFERROR(__xludf.DUMMYFUNCTION("""COMPUTED_VALUE"""),45359.0)</f>
        <v>45359</v>
      </c>
      <c r="B117" s="146">
        <f>IF(A117&lt;&gt;"", SUMIF(Bets!$D:$D, A117, Bets!Z:Z), "")</f>
        <v>-7.5</v>
      </c>
      <c r="C117" s="162"/>
      <c r="D117" s="148"/>
      <c r="E117" s="161"/>
      <c r="F117" s="146" t="str">
        <f>IF(E117&lt;&gt;"", SUMIF(Bets!$D:$D, E117, Bets!AB:AB), "")</f>
        <v/>
      </c>
      <c r="G117" s="162"/>
      <c r="H117" s="148"/>
      <c r="I117" s="161">
        <f>IFERROR(__xludf.DUMMYFUNCTION("""COMPUTED_VALUE"""),45359.0)</f>
        <v>45359</v>
      </c>
      <c r="J117" s="146">
        <f>IF(I117&lt;&gt;"", SUMIF(Bets!$D:$D, I117, Bets!AA:AA), "")</f>
        <v>-7.5</v>
      </c>
      <c r="K117" s="162"/>
      <c r="L117" s="148"/>
      <c r="M117" s="161"/>
      <c r="N117" s="146"/>
      <c r="O117" s="162"/>
      <c r="P117" s="148"/>
      <c r="Q117" s="161"/>
      <c r="R117" s="146" t="str">
        <f>IF(Q117&lt;&gt;"", SUMIF(Bets!$D:$D, Q117, Bets!AD:AD), "")</f>
        <v/>
      </c>
      <c r="S117" s="162"/>
      <c r="T117" s="148"/>
      <c r="U117" s="161"/>
      <c r="V117" s="146" t="str">
        <f>IF(U117&lt;&gt;"", SUMIF(Bets!$D:$D, U117, Bets!AE:AE), "")</f>
        <v/>
      </c>
      <c r="W117" s="162"/>
      <c r="X117" s="148"/>
      <c r="Y117" s="161"/>
      <c r="Z117" s="146" t="str">
        <f>IF(Y117&lt;&gt;"", SUMIF(Bets!$D:$D, Y117, Bets!AF:AF), "")</f>
        <v/>
      </c>
      <c r="AA117" s="162"/>
      <c r="AB117" s="148"/>
      <c r="AC117" s="161"/>
      <c r="AD117" s="146" t="str">
        <f>IF(AC117&lt;&gt;"", SUMIF(Bets!$D:$D, AC117, Bets!AG:AG), "")</f>
        <v/>
      </c>
      <c r="AE117" s="162"/>
      <c r="AF117" s="148"/>
    </row>
    <row r="118" hidden="1" outlineLevel="1">
      <c r="A118" s="161">
        <f>IFERROR(__xludf.DUMMYFUNCTION("""COMPUTED_VALUE"""),45358.0)</f>
        <v>45358</v>
      </c>
      <c r="B118" s="146">
        <f>IF(A118&lt;&gt;"", SUMIF(Bets!$D:$D, A118, Bets!Z:Z), "")</f>
        <v>1.53</v>
      </c>
      <c r="C118" s="162"/>
      <c r="D118" s="148"/>
      <c r="E118" s="161"/>
      <c r="F118" s="146" t="str">
        <f>IF(E118&lt;&gt;"", SUMIF(Bets!$D:$D, E118, Bets!AB:AB), "")</f>
        <v/>
      </c>
      <c r="G118" s="162"/>
      <c r="H118" s="148"/>
      <c r="I118" s="161">
        <f>IFERROR(__xludf.DUMMYFUNCTION("""COMPUTED_VALUE"""),45358.0)</f>
        <v>45358</v>
      </c>
      <c r="J118" s="146">
        <f>IF(I118&lt;&gt;"", SUMIF(Bets!$D:$D, I118, Bets!AA:AA), "")</f>
        <v>-1.47</v>
      </c>
      <c r="K118" s="162"/>
      <c r="L118" s="148"/>
      <c r="M118" s="161"/>
      <c r="N118" s="146"/>
      <c r="O118" s="162"/>
      <c r="P118" s="148"/>
      <c r="Q118" s="161"/>
      <c r="R118" s="146" t="str">
        <f>IF(Q118&lt;&gt;"", SUMIF(Bets!$D:$D, Q118, Bets!AD:AD), "")</f>
        <v/>
      </c>
      <c r="S118" s="162"/>
      <c r="T118" s="148"/>
      <c r="U118" s="161"/>
      <c r="V118" s="146" t="str">
        <f>IF(U118&lt;&gt;"", SUMIF(Bets!$D:$D, U118, Bets!AE:AE), "")</f>
        <v/>
      </c>
      <c r="W118" s="162"/>
      <c r="X118" s="148"/>
      <c r="Y118" s="161"/>
      <c r="Z118" s="146" t="str">
        <f>IF(Y118&lt;&gt;"", SUMIF(Bets!$D:$D, Y118, Bets!AF:AF), "")</f>
        <v/>
      </c>
      <c r="AA118" s="162"/>
      <c r="AB118" s="148"/>
      <c r="AC118" s="161"/>
      <c r="AD118" s="146" t="str">
        <f>IF(AC118&lt;&gt;"", SUMIF(Bets!$D:$D, AC118, Bets!AG:AG), "")</f>
        <v/>
      </c>
      <c r="AE118" s="162"/>
      <c r="AF118" s="148"/>
    </row>
    <row r="119" hidden="1" outlineLevel="1">
      <c r="A119" s="161">
        <f>IFERROR(__xludf.DUMMYFUNCTION("""COMPUTED_VALUE"""),45357.0)</f>
        <v>45357</v>
      </c>
      <c r="B119" s="146">
        <f>IF(A119&lt;&gt;"", SUMIF(Bets!$D:$D, A119, Bets!Z:Z), "")</f>
        <v>1.975</v>
      </c>
      <c r="C119" s="162"/>
      <c r="D119" s="148"/>
      <c r="E119" s="161"/>
      <c r="F119" s="146" t="str">
        <f>IF(E119&lt;&gt;"", SUMIF(Bets!$D:$D, E119, Bets!AB:AB), "")</f>
        <v/>
      </c>
      <c r="G119" s="162"/>
      <c r="H119" s="148"/>
      <c r="I119" s="161">
        <f>IFERROR(__xludf.DUMMYFUNCTION("""COMPUTED_VALUE"""),45357.0)</f>
        <v>45357</v>
      </c>
      <c r="J119" s="146">
        <f>IF(I119&lt;&gt;"", SUMIF(Bets!$D:$D, I119, Bets!AA:AA), "")</f>
        <v>0.975</v>
      </c>
      <c r="K119" s="162"/>
      <c r="L119" s="148"/>
      <c r="M119" s="161"/>
      <c r="N119" s="146"/>
      <c r="O119" s="162"/>
      <c r="P119" s="148"/>
      <c r="Q119" s="161"/>
      <c r="R119" s="146" t="str">
        <f>IF(Q119&lt;&gt;"", SUMIF(Bets!$D:$D, Q119, Bets!AD:AD), "")</f>
        <v/>
      </c>
      <c r="S119" s="162"/>
      <c r="T119" s="148"/>
      <c r="U119" s="161"/>
      <c r="V119" s="146" t="str">
        <f>IF(U119&lt;&gt;"", SUMIF(Bets!$D:$D, U119, Bets!AE:AE), "")</f>
        <v/>
      </c>
      <c r="W119" s="162"/>
      <c r="X119" s="148"/>
      <c r="Y119" s="161"/>
      <c r="Z119" s="146" t="str">
        <f>IF(Y119&lt;&gt;"", SUMIF(Bets!$D:$D, Y119, Bets!AF:AF), "")</f>
        <v/>
      </c>
      <c r="AA119" s="162"/>
      <c r="AB119" s="148"/>
      <c r="AC119" s="161"/>
      <c r="AD119" s="146" t="str">
        <f>IF(AC119&lt;&gt;"", SUMIF(Bets!$D:$D, AC119, Bets!AG:AG), "")</f>
        <v/>
      </c>
      <c r="AE119" s="162"/>
      <c r="AF119" s="148"/>
    </row>
    <row r="120" hidden="1" outlineLevel="1">
      <c r="A120" s="161">
        <f>IFERROR(__xludf.DUMMYFUNCTION("""COMPUTED_VALUE"""),45356.0)</f>
        <v>45356</v>
      </c>
      <c r="B120" s="146">
        <f>IF(A120&lt;&gt;"", SUMIF(Bets!$D:$D, A120, Bets!Z:Z), "")</f>
        <v>3.735</v>
      </c>
      <c r="C120" s="162"/>
      <c r="D120" s="148"/>
      <c r="E120" s="161"/>
      <c r="F120" s="146" t="str">
        <f>IF(E120&lt;&gt;"", SUMIF(Bets!$D:$D, E120, Bets!AB:AB), "")</f>
        <v/>
      </c>
      <c r="G120" s="162"/>
      <c r="H120" s="148"/>
      <c r="I120" s="161">
        <f>IFERROR(__xludf.DUMMYFUNCTION("""COMPUTED_VALUE"""),45356.0)</f>
        <v>45356</v>
      </c>
      <c r="J120" s="146">
        <f>IF(I120&lt;&gt;"", SUMIF(Bets!$D:$D, I120, Bets!AA:AA), "")</f>
        <v>3.735</v>
      </c>
      <c r="K120" s="162"/>
      <c r="L120" s="148"/>
      <c r="M120" s="161"/>
      <c r="N120" s="146"/>
      <c r="O120" s="162"/>
      <c r="P120" s="148"/>
      <c r="Q120" s="161"/>
      <c r="R120" s="146" t="str">
        <f>IF(Q120&lt;&gt;"", SUMIF(Bets!$D:$D, Q120, Bets!AD:AD), "")</f>
        <v/>
      </c>
      <c r="S120" s="162"/>
      <c r="T120" s="148"/>
      <c r="U120" s="161"/>
      <c r="V120" s="146" t="str">
        <f>IF(U120&lt;&gt;"", SUMIF(Bets!$D:$D, U120, Bets!AE:AE), "")</f>
        <v/>
      </c>
      <c r="W120" s="162"/>
      <c r="X120" s="148"/>
      <c r="Y120" s="161"/>
      <c r="Z120" s="146" t="str">
        <f>IF(Y120&lt;&gt;"", SUMIF(Bets!$D:$D, Y120, Bets!AF:AF), "")</f>
        <v/>
      </c>
      <c r="AA120" s="162"/>
      <c r="AB120" s="148"/>
      <c r="AC120" s="161"/>
      <c r="AD120" s="146" t="str">
        <f>IF(AC120&lt;&gt;"", SUMIF(Bets!$D:$D, AC120, Bets!AG:AG), "")</f>
        <v/>
      </c>
      <c r="AE120" s="162"/>
      <c r="AF120" s="148"/>
    </row>
    <row r="121" hidden="1" outlineLevel="1">
      <c r="A121" s="161">
        <f>IFERROR(__xludf.DUMMYFUNCTION("""COMPUTED_VALUE"""),45353.0)</f>
        <v>45353</v>
      </c>
      <c r="B121" s="146">
        <f>IF(A121&lt;&gt;"", SUMIF(Bets!$D:$D, A121, Bets!Z:Z), "")</f>
        <v>-8</v>
      </c>
      <c r="C121" s="162"/>
      <c r="D121" s="148"/>
      <c r="E121" s="161"/>
      <c r="F121" s="146" t="str">
        <f>IF(E121&lt;&gt;"", SUMIF(Bets!$D:$D, E121, Bets!AB:AB), "")</f>
        <v/>
      </c>
      <c r="G121" s="162"/>
      <c r="H121" s="148"/>
      <c r="I121" s="161">
        <f>IFERROR(__xludf.DUMMYFUNCTION("""COMPUTED_VALUE"""),45353.0)</f>
        <v>45353</v>
      </c>
      <c r="J121" s="146">
        <f>IF(I121&lt;&gt;"", SUMIF(Bets!$D:$D, I121, Bets!AA:AA), "")</f>
        <v>-10</v>
      </c>
      <c r="K121" s="162"/>
      <c r="L121" s="148"/>
      <c r="M121" s="161"/>
      <c r="N121" s="146"/>
      <c r="O121" s="162"/>
      <c r="P121" s="148"/>
      <c r="Q121" s="161"/>
      <c r="R121" s="146" t="str">
        <f>IF(Q121&lt;&gt;"", SUMIF(Bets!$D:$D, Q121, Bets!AD:AD), "")</f>
        <v/>
      </c>
      <c r="S121" s="162"/>
      <c r="T121" s="148"/>
      <c r="U121" s="161"/>
      <c r="V121" s="146" t="str">
        <f>IF(U121&lt;&gt;"", SUMIF(Bets!$D:$D, U121, Bets!AE:AE), "")</f>
        <v/>
      </c>
      <c r="W121" s="162"/>
      <c r="X121" s="148"/>
      <c r="Y121" s="161"/>
      <c r="Z121" s="146" t="str">
        <f>IF(Y121&lt;&gt;"", SUMIF(Bets!$D:$D, Y121, Bets!AF:AF), "")</f>
        <v/>
      </c>
      <c r="AA121" s="162"/>
      <c r="AB121" s="148"/>
      <c r="AC121" s="161"/>
      <c r="AD121" s="146" t="str">
        <f>IF(AC121&lt;&gt;"", SUMIF(Bets!$D:$D, AC121, Bets!AG:AG), "")</f>
        <v/>
      </c>
      <c r="AE121" s="162"/>
      <c r="AF121" s="148"/>
    </row>
    <row r="122" hidden="1" outlineLevel="1">
      <c r="A122" s="161">
        <f>IFERROR(__xludf.DUMMYFUNCTION("""COMPUTED_VALUE"""),45352.0)</f>
        <v>45352</v>
      </c>
      <c r="B122" s="146">
        <f>IF(A122&lt;&gt;"", SUMIF(Bets!$D:$D, A122, Bets!Z:Z), "")</f>
        <v>4.675</v>
      </c>
      <c r="C122" s="162"/>
      <c r="D122" s="148"/>
      <c r="E122" s="161"/>
      <c r="F122" s="146" t="str">
        <f>IF(E122&lt;&gt;"", SUMIF(Bets!$D:$D, E122, Bets!AB:AB), "")</f>
        <v/>
      </c>
      <c r="G122" s="162"/>
      <c r="H122" s="148"/>
      <c r="I122" s="161">
        <f>IFERROR(__xludf.DUMMYFUNCTION("""COMPUTED_VALUE"""),45352.0)</f>
        <v>45352</v>
      </c>
      <c r="J122" s="146">
        <f>IF(I122&lt;&gt;"", SUMIF(Bets!$D:$D, I122, Bets!AA:AA), "")</f>
        <v>4.675</v>
      </c>
      <c r="K122" s="162"/>
      <c r="L122" s="148"/>
      <c r="M122" s="161"/>
      <c r="N122" s="146"/>
      <c r="O122" s="162"/>
      <c r="P122" s="148"/>
      <c r="Q122" s="161"/>
      <c r="R122" s="146" t="str">
        <f>IF(Q122&lt;&gt;"", SUMIF(Bets!$D:$D, Q122, Bets!AD:AD), "")</f>
        <v/>
      </c>
      <c r="S122" s="162"/>
      <c r="T122" s="148"/>
      <c r="U122" s="161"/>
      <c r="V122" s="146" t="str">
        <f>IF(U122&lt;&gt;"", SUMIF(Bets!$D:$D, U122, Bets!AE:AE), "")</f>
        <v/>
      </c>
      <c r="W122" s="162"/>
      <c r="X122" s="148"/>
      <c r="Y122" s="161"/>
      <c r="Z122" s="146" t="str">
        <f>IF(Y122&lt;&gt;"", SUMIF(Bets!$D:$D, Y122, Bets!AF:AF), "")</f>
        <v/>
      </c>
      <c r="AA122" s="162"/>
      <c r="AB122" s="148"/>
      <c r="AC122" s="161"/>
      <c r="AD122" s="146" t="str">
        <f>IF(AC122&lt;&gt;"", SUMIF(Bets!$D:$D, AC122, Bets!AG:AG), "")</f>
        <v/>
      </c>
      <c r="AE122" s="162"/>
      <c r="AF122" s="148"/>
    </row>
    <row r="123" hidden="1" outlineLevel="1">
      <c r="A123" s="161">
        <f>IFERROR(__xludf.DUMMYFUNCTION("""COMPUTED_VALUE"""),45351.0)</f>
        <v>45351</v>
      </c>
      <c r="B123" s="146">
        <f>IF(A123&lt;&gt;"", SUMIF(Bets!$D:$D, A123, Bets!Z:Z), "")</f>
        <v>-4.5</v>
      </c>
      <c r="C123" s="162"/>
      <c r="D123" s="148"/>
      <c r="E123" s="161"/>
      <c r="F123" s="146" t="str">
        <f>IF(E123&lt;&gt;"", SUMIF(Bets!$D:$D, E123, Bets!AB:AB), "")</f>
        <v/>
      </c>
      <c r="G123" s="162"/>
      <c r="H123" s="148"/>
      <c r="I123" s="161">
        <f>IFERROR(__xludf.DUMMYFUNCTION("""COMPUTED_VALUE"""),45351.0)</f>
        <v>45351</v>
      </c>
      <c r="J123" s="146">
        <f>IF(I123&lt;&gt;"", SUMIF(Bets!$D:$D, I123, Bets!AA:AA), "")</f>
        <v>39.5</v>
      </c>
      <c r="K123" s="162"/>
      <c r="L123" s="148"/>
      <c r="M123" s="161"/>
      <c r="N123" s="146"/>
      <c r="O123" s="162"/>
      <c r="P123" s="148"/>
      <c r="Q123" s="161"/>
      <c r="R123" s="146" t="str">
        <f>IF(Q123&lt;&gt;"", SUMIF(Bets!$D:$D, Q123, Bets!AD:AD), "")</f>
        <v/>
      </c>
      <c r="S123" s="162"/>
      <c r="T123" s="148"/>
      <c r="U123" s="161"/>
      <c r="V123" s="146" t="str">
        <f>IF(U123&lt;&gt;"", SUMIF(Bets!$D:$D, U123, Bets!AE:AE), "")</f>
        <v/>
      </c>
      <c r="W123" s="162"/>
      <c r="X123" s="148"/>
      <c r="Y123" s="161"/>
      <c r="Z123" s="146" t="str">
        <f>IF(Y123&lt;&gt;"", SUMIF(Bets!$D:$D, Y123, Bets!AF:AF), "")</f>
        <v/>
      </c>
      <c r="AA123" s="162"/>
      <c r="AB123" s="148"/>
      <c r="AC123" s="161"/>
      <c r="AD123" s="146" t="str">
        <f>IF(AC123&lt;&gt;"", SUMIF(Bets!$D:$D, AC123, Bets!AG:AG), "")</f>
        <v/>
      </c>
      <c r="AE123" s="162"/>
      <c r="AF123" s="148"/>
    </row>
    <row r="124" hidden="1" outlineLevel="1">
      <c r="A124" s="161">
        <f>IFERROR(__xludf.DUMMYFUNCTION("""COMPUTED_VALUE"""),45350.0)</f>
        <v>45350</v>
      </c>
      <c r="B124" s="146">
        <f>IF(A124&lt;&gt;"", SUMIF(Bets!$D:$D, A124, Bets!Z:Z), "")</f>
        <v>2.88375</v>
      </c>
      <c r="C124" s="162"/>
      <c r="D124" s="148"/>
      <c r="E124" s="161"/>
      <c r="F124" s="146" t="str">
        <f>IF(E124&lt;&gt;"", SUMIF(Bets!$D:$D, E124, Bets!AB:AB), "")</f>
        <v/>
      </c>
      <c r="G124" s="162"/>
      <c r="H124" s="148"/>
      <c r="I124" s="161">
        <f>IFERROR(__xludf.DUMMYFUNCTION("""COMPUTED_VALUE"""),45350.0)</f>
        <v>45350</v>
      </c>
      <c r="J124" s="146">
        <f>IF(I124&lt;&gt;"", SUMIF(Bets!$D:$D, I124, Bets!AA:AA), "")</f>
        <v>4.80625</v>
      </c>
      <c r="K124" s="162"/>
      <c r="L124" s="148"/>
      <c r="M124" s="161"/>
      <c r="N124" s="146"/>
      <c r="O124" s="162"/>
      <c r="P124" s="148"/>
      <c r="Q124" s="161"/>
      <c r="R124" s="146" t="str">
        <f>IF(Q124&lt;&gt;"", SUMIF(Bets!$D:$D, Q124, Bets!AD:AD), "")</f>
        <v/>
      </c>
      <c r="S124" s="162"/>
      <c r="T124" s="148"/>
      <c r="U124" s="161"/>
      <c r="V124" s="146" t="str">
        <f>IF(U124&lt;&gt;"", SUMIF(Bets!$D:$D, U124, Bets!AE:AE), "")</f>
        <v/>
      </c>
      <c r="W124" s="162"/>
      <c r="X124" s="148"/>
      <c r="Y124" s="161"/>
      <c r="Z124" s="146" t="str">
        <f>IF(Y124&lt;&gt;"", SUMIF(Bets!$D:$D, Y124, Bets!AF:AF), "")</f>
        <v/>
      </c>
      <c r="AA124" s="162"/>
      <c r="AB124" s="148"/>
      <c r="AC124" s="161"/>
      <c r="AD124" s="146" t="str">
        <f>IF(AC124&lt;&gt;"", SUMIF(Bets!$D:$D, AC124, Bets!AG:AG), "")</f>
        <v/>
      </c>
      <c r="AE124" s="162"/>
      <c r="AF124" s="148"/>
    </row>
    <row r="125" hidden="1" outlineLevel="1">
      <c r="A125" s="161">
        <f>IFERROR(__xludf.DUMMYFUNCTION("""COMPUTED_VALUE"""),45349.0)</f>
        <v>45349</v>
      </c>
      <c r="B125" s="146">
        <f>IF(A125&lt;&gt;"", SUMIF(Bets!$D:$D, A125, Bets!Z:Z), "")</f>
        <v>8.655</v>
      </c>
      <c r="C125" s="162"/>
      <c r="D125" s="148"/>
      <c r="E125" s="161"/>
      <c r="F125" s="146" t="str">
        <f>IF(E125&lt;&gt;"", SUMIF(Bets!$D:$D, E125, Bets!AB:AB), "")</f>
        <v/>
      </c>
      <c r="G125" s="162"/>
      <c r="H125" s="148"/>
      <c r="I125" s="161">
        <f>IFERROR(__xludf.DUMMYFUNCTION("""COMPUTED_VALUE"""),45349.0)</f>
        <v>45349</v>
      </c>
      <c r="J125" s="146">
        <f>IF(I125&lt;&gt;"", SUMIF(Bets!$D:$D, I125, Bets!AA:AA), "")</f>
        <v>8.155</v>
      </c>
      <c r="K125" s="162"/>
      <c r="L125" s="148"/>
      <c r="M125" s="161"/>
      <c r="N125" s="146"/>
      <c r="O125" s="162"/>
      <c r="P125" s="148"/>
      <c r="Q125" s="161"/>
      <c r="R125" s="146" t="str">
        <f>IF(Q125&lt;&gt;"", SUMIF(Bets!$D:$D, Q125, Bets!AD:AD), "")</f>
        <v/>
      </c>
      <c r="S125" s="162"/>
      <c r="T125" s="148"/>
      <c r="U125" s="161"/>
      <c r="V125" s="146" t="str">
        <f>IF(U125&lt;&gt;"", SUMIF(Bets!$D:$D, U125, Bets!AE:AE), "")</f>
        <v/>
      </c>
      <c r="W125" s="162"/>
      <c r="X125" s="148"/>
      <c r="Y125" s="161"/>
      <c r="Z125" s="146" t="str">
        <f>IF(Y125&lt;&gt;"", SUMIF(Bets!$D:$D, Y125, Bets!AF:AF), "")</f>
        <v/>
      </c>
      <c r="AA125" s="162"/>
      <c r="AB125" s="148"/>
      <c r="AC125" s="161"/>
      <c r="AD125" s="146" t="str">
        <f>IF(AC125&lt;&gt;"", SUMIF(Bets!$D:$D, AC125, Bets!AG:AG), "")</f>
        <v/>
      </c>
      <c r="AE125" s="162"/>
      <c r="AF125" s="148"/>
    </row>
    <row r="126" hidden="1" outlineLevel="1">
      <c r="A126" s="161">
        <f>IFERROR(__xludf.DUMMYFUNCTION("""COMPUTED_VALUE"""),45348.0)</f>
        <v>45348</v>
      </c>
      <c r="B126" s="146">
        <f>IF(A126&lt;&gt;"", SUMIF(Bets!$D:$D, A126, Bets!Z:Z), "")</f>
        <v>-1.36</v>
      </c>
      <c r="C126" s="162"/>
      <c r="D126" s="148"/>
      <c r="E126" s="161"/>
      <c r="F126" s="146" t="str">
        <f>IF(E126&lt;&gt;"", SUMIF(Bets!$D:$D, E126, Bets!AB:AB), "")</f>
        <v/>
      </c>
      <c r="G126" s="162"/>
      <c r="H126" s="148"/>
      <c r="I126" s="161">
        <f>IFERROR(__xludf.DUMMYFUNCTION("""COMPUTED_VALUE"""),45348.0)</f>
        <v>45348</v>
      </c>
      <c r="J126" s="146">
        <f>IF(I126&lt;&gt;"", SUMIF(Bets!$D:$D, I126, Bets!AA:AA), "")</f>
        <v>-0.22</v>
      </c>
      <c r="K126" s="162"/>
      <c r="L126" s="148"/>
      <c r="M126" s="161"/>
      <c r="N126" s="146"/>
      <c r="O126" s="162"/>
      <c r="P126" s="148"/>
      <c r="Q126" s="161"/>
      <c r="R126" s="146" t="str">
        <f>IF(Q126&lt;&gt;"", SUMIF(Bets!$D:$D, Q126, Bets!AD:AD), "")</f>
        <v/>
      </c>
      <c r="S126" s="162"/>
      <c r="T126" s="148"/>
      <c r="U126" s="161"/>
      <c r="V126" s="146" t="str">
        <f>IF(U126&lt;&gt;"", SUMIF(Bets!$D:$D, U126, Bets!AE:AE), "")</f>
        <v/>
      </c>
      <c r="W126" s="162"/>
      <c r="X126" s="148"/>
      <c r="Y126" s="161"/>
      <c r="Z126" s="146" t="str">
        <f>IF(Y126&lt;&gt;"", SUMIF(Bets!$D:$D, Y126, Bets!AF:AF), "")</f>
        <v/>
      </c>
      <c r="AA126" s="162"/>
      <c r="AB126" s="148"/>
      <c r="AC126" s="161"/>
      <c r="AD126" s="146" t="str">
        <f>IF(AC126&lt;&gt;"", SUMIF(Bets!$D:$D, AC126, Bets!AG:AG), "")</f>
        <v/>
      </c>
      <c r="AE126" s="162"/>
      <c r="AF126" s="148"/>
    </row>
    <row r="127" collapsed="1">
      <c r="A127" s="161">
        <f>IFERROR(__xludf.DUMMYFUNCTION("""COMPUTED_VALUE"""),45336.0)</f>
        <v>45336</v>
      </c>
      <c r="B127" s="146">
        <f>IF(A127&lt;&gt;"", SUMIF(Bets!$D:$D, A127, Bets!Z:Z), "")</f>
        <v>0.3</v>
      </c>
      <c r="C127" s="162"/>
      <c r="D127" s="148"/>
      <c r="E127" s="161"/>
      <c r="F127" s="146" t="str">
        <f>IF(E127&lt;&gt;"", SUMIF(Bets!$D:$D, E127, Bets!AB:AB), "")</f>
        <v/>
      </c>
      <c r="G127" s="162"/>
      <c r="H127" s="148"/>
      <c r="I127" s="161">
        <f>IFERROR(__xludf.DUMMYFUNCTION("""COMPUTED_VALUE"""),45336.0)</f>
        <v>45336</v>
      </c>
      <c r="J127" s="146">
        <f>IF(I127&lt;&gt;"", SUMIF(Bets!$D:$D, I127, Bets!AA:AA), "")</f>
        <v>0.3</v>
      </c>
      <c r="K127" s="162"/>
      <c r="L127" s="148"/>
      <c r="M127" s="161"/>
      <c r="N127" s="146"/>
      <c r="O127" s="162"/>
      <c r="P127" s="148"/>
      <c r="Q127" s="161"/>
      <c r="R127" s="146" t="str">
        <f>IF(Q127&lt;&gt;"", SUMIF(Bets!$D:$D, Q127, Bets!AD:AD), "")</f>
        <v/>
      </c>
      <c r="S127" s="162"/>
      <c r="T127" s="148"/>
      <c r="U127" s="161"/>
      <c r="V127" s="146" t="str">
        <f>IF(U127&lt;&gt;"", SUMIF(Bets!$D:$D, U127, Bets!AE:AE), "")</f>
        <v/>
      </c>
      <c r="W127" s="162"/>
      <c r="X127" s="148"/>
      <c r="Y127" s="161"/>
      <c r="Z127" s="146" t="str">
        <f>IF(Y127&lt;&gt;"", SUMIF(Bets!$D:$D, Y127, Bets!AF:AF), "")</f>
        <v/>
      </c>
      <c r="AA127" s="162"/>
      <c r="AB127" s="148"/>
      <c r="AC127" s="161"/>
      <c r="AD127" s="146" t="str">
        <f>IF(AC127&lt;&gt;"", SUMIF(Bets!$D:$D, AC127, Bets!AG:AG), "")</f>
        <v/>
      </c>
      <c r="AE127" s="162"/>
      <c r="AF127" s="148"/>
    </row>
    <row r="128" hidden="1" outlineLevel="1">
      <c r="A128" s="161">
        <f>IFERROR(__xludf.DUMMYFUNCTION("""COMPUTED_VALUE"""),45335.0)</f>
        <v>45335</v>
      </c>
      <c r="B128" s="146">
        <f>IF(A128&lt;&gt;"", SUMIF(Bets!$D:$D, A128, Bets!Z:Z), "")</f>
        <v>11.745</v>
      </c>
      <c r="C128" s="162"/>
      <c r="D128" s="148"/>
      <c r="E128" s="161"/>
      <c r="F128" s="146" t="str">
        <f>IF(E128&lt;&gt;"", SUMIF(Bets!$D:$D, E128, Bets!AB:AB), "")</f>
        <v/>
      </c>
      <c r="G128" s="162"/>
      <c r="H128" s="148"/>
      <c r="I128" s="161">
        <f>IFERROR(__xludf.DUMMYFUNCTION("""COMPUTED_VALUE"""),45335.0)</f>
        <v>45335</v>
      </c>
      <c r="J128" s="146">
        <f>IF(I128&lt;&gt;"", SUMIF(Bets!$D:$D, I128, Bets!AA:AA), "")</f>
        <v>11.745</v>
      </c>
      <c r="K128" s="162"/>
      <c r="L128" s="148"/>
      <c r="M128" s="161"/>
      <c r="N128" s="146"/>
      <c r="O128" s="162"/>
      <c r="P128" s="148"/>
      <c r="Q128" s="161"/>
      <c r="R128" s="146" t="str">
        <f>IF(Q128&lt;&gt;"", SUMIF(Bets!$D:$D, Q128, Bets!AD:AD), "")</f>
        <v/>
      </c>
      <c r="S128" s="162"/>
      <c r="T128" s="148"/>
      <c r="U128" s="161"/>
      <c r="V128" s="146" t="str">
        <f>IF(U128&lt;&gt;"", SUMIF(Bets!$D:$D, U128, Bets!AE:AE), "")</f>
        <v/>
      </c>
      <c r="W128" s="162"/>
      <c r="X128" s="148"/>
      <c r="Y128" s="161"/>
      <c r="Z128" s="146" t="str">
        <f>IF(Y128&lt;&gt;"", SUMIF(Bets!$D:$D, Y128, Bets!AF:AF), "")</f>
        <v/>
      </c>
      <c r="AA128" s="162"/>
      <c r="AB128" s="148"/>
      <c r="AC128" s="161"/>
      <c r="AD128" s="146" t="str">
        <f>IF(AC128&lt;&gt;"", SUMIF(Bets!$D:$D, AC128, Bets!AG:AG), "")</f>
        <v/>
      </c>
      <c r="AE128" s="162"/>
      <c r="AF128" s="148"/>
    </row>
    <row r="129" hidden="1" outlineLevel="1">
      <c r="A129" s="161">
        <f>IFERROR(__xludf.DUMMYFUNCTION("""COMPUTED_VALUE"""),45334.0)</f>
        <v>45334</v>
      </c>
      <c r="B129" s="146">
        <f>IF(A129&lt;&gt;"", SUMIF(Bets!$D:$D, A129, Bets!Z:Z), "")</f>
        <v>7.36</v>
      </c>
      <c r="C129" s="162"/>
      <c r="D129" s="148"/>
      <c r="E129" s="161"/>
      <c r="F129" s="146" t="str">
        <f>IF(E129&lt;&gt;"", SUMIF(Bets!$D:$D, E129, Bets!AB:AB), "")</f>
        <v/>
      </c>
      <c r="G129" s="162"/>
      <c r="H129" s="148"/>
      <c r="I129" s="161">
        <f>IFERROR(__xludf.DUMMYFUNCTION("""COMPUTED_VALUE"""),45334.0)</f>
        <v>45334</v>
      </c>
      <c r="J129" s="146">
        <f>IF(I129&lt;&gt;"", SUMIF(Bets!$D:$D, I129, Bets!AA:AA), "")</f>
        <v>7.36</v>
      </c>
      <c r="K129" s="162"/>
      <c r="L129" s="148"/>
      <c r="M129" s="161"/>
      <c r="N129" s="146"/>
      <c r="O129" s="162"/>
      <c r="P129" s="148"/>
      <c r="Q129" s="161"/>
      <c r="R129" s="146" t="str">
        <f>IF(Q129&lt;&gt;"", SUMIF(Bets!$D:$D, Q129, Bets!AD:AD), "")</f>
        <v/>
      </c>
      <c r="S129" s="162"/>
      <c r="T129" s="148"/>
      <c r="U129" s="161"/>
      <c r="V129" s="146" t="str">
        <f>IF(U129&lt;&gt;"", SUMIF(Bets!$D:$D, U129, Bets!AE:AE), "")</f>
        <v/>
      </c>
      <c r="W129" s="162"/>
      <c r="X129" s="148"/>
      <c r="Y129" s="161"/>
      <c r="Z129" s="146" t="str">
        <f>IF(Y129&lt;&gt;"", SUMIF(Bets!$D:$D, Y129, Bets!AF:AF), "")</f>
        <v/>
      </c>
      <c r="AA129" s="162"/>
      <c r="AB129" s="148"/>
      <c r="AC129" s="161"/>
      <c r="AD129" s="146" t="str">
        <f>IF(AC129&lt;&gt;"", SUMIF(Bets!$D:$D, AC129, Bets!AG:AG), "")</f>
        <v/>
      </c>
      <c r="AE129" s="162"/>
      <c r="AF129" s="148"/>
    </row>
    <row r="130" hidden="1" outlineLevel="1">
      <c r="A130" s="161">
        <f>IFERROR(__xludf.DUMMYFUNCTION("""COMPUTED_VALUE"""),45333.0)</f>
        <v>45333</v>
      </c>
      <c r="B130" s="146">
        <f>IF(A130&lt;&gt;"", SUMIF(Bets!$D:$D, A130, Bets!Z:Z), "")</f>
        <v>-24.52727273</v>
      </c>
      <c r="C130" s="162"/>
      <c r="D130" s="148"/>
      <c r="E130" s="161"/>
      <c r="F130" s="146" t="str">
        <f>IF(E130&lt;&gt;"", SUMIF(Bets!$D:$D, E130, Bets!AB:AB), "")</f>
        <v/>
      </c>
      <c r="G130" s="162"/>
      <c r="H130" s="148"/>
      <c r="I130" s="161">
        <f>IFERROR(__xludf.DUMMYFUNCTION("""COMPUTED_VALUE"""),45333.0)</f>
        <v>45333</v>
      </c>
      <c r="J130" s="146">
        <f>IF(I130&lt;&gt;"", SUMIF(Bets!$D:$D, I130, Bets!AA:AA), "")</f>
        <v>-48.42136364</v>
      </c>
      <c r="K130" s="162"/>
      <c r="L130" s="148"/>
      <c r="M130" s="161"/>
      <c r="N130" s="146"/>
      <c r="O130" s="162"/>
      <c r="P130" s="148"/>
      <c r="Q130" s="161"/>
      <c r="R130" s="146" t="str">
        <f>IF(Q130&lt;&gt;"", SUMIF(Bets!$D:$D, Q130, Bets!AD:AD), "")</f>
        <v/>
      </c>
      <c r="S130" s="162"/>
      <c r="T130" s="148"/>
      <c r="U130" s="161"/>
      <c r="V130" s="146" t="str">
        <f>IF(U130&lt;&gt;"", SUMIF(Bets!$D:$D, U130, Bets!AE:AE), "")</f>
        <v/>
      </c>
      <c r="W130" s="162"/>
      <c r="X130" s="148"/>
      <c r="Y130" s="161"/>
      <c r="Z130" s="146" t="str">
        <f>IF(Y130&lt;&gt;"", SUMIF(Bets!$D:$D, Y130, Bets!AF:AF), "")</f>
        <v/>
      </c>
      <c r="AA130" s="162"/>
      <c r="AB130" s="148"/>
      <c r="AC130" s="161"/>
      <c r="AD130" s="146" t="str">
        <f>IF(AC130&lt;&gt;"", SUMIF(Bets!$D:$D, AC130, Bets!AG:AG), "")</f>
        <v/>
      </c>
      <c r="AE130" s="162"/>
      <c r="AF130" s="148"/>
    </row>
    <row r="131" hidden="1" outlineLevel="1">
      <c r="A131" s="161">
        <f>IFERROR(__xludf.DUMMYFUNCTION("""COMPUTED_VALUE"""),45322.0)</f>
        <v>45322</v>
      </c>
      <c r="B131" s="146">
        <f>IF(A131&lt;&gt;"", SUMIF(Bets!$D:$D, A131, Bets!Z:Z), "")</f>
        <v>-4</v>
      </c>
      <c r="C131" s="162"/>
      <c r="D131" s="148"/>
      <c r="E131" s="161"/>
      <c r="F131" s="146" t="str">
        <f>IF(E131&lt;&gt;"", SUMIF(Bets!$D:$D, E131, Bets!AB:AB), "")</f>
        <v/>
      </c>
      <c r="G131" s="162"/>
      <c r="H131" s="148"/>
      <c r="I131" s="161">
        <f>IFERROR(__xludf.DUMMYFUNCTION("""COMPUTED_VALUE"""),45322.0)</f>
        <v>45322</v>
      </c>
      <c r="J131" s="146">
        <f>IF(I131&lt;&gt;"", SUMIF(Bets!$D:$D, I131, Bets!AA:AA), "")</f>
        <v>-4</v>
      </c>
      <c r="K131" s="162"/>
      <c r="L131" s="148"/>
      <c r="M131" s="161"/>
      <c r="N131" s="146"/>
      <c r="O131" s="162"/>
      <c r="P131" s="148"/>
      <c r="Q131" s="161"/>
      <c r="R131" s="146" t="str">
        <f>IF(Q131&lt;&gt;"", SUMIF(Bets!$D:$D, Q131, Bets!AD:AD), "")</f>
        <v/>
      </c>
      <c r="S131" s="162"/>
      <c r="T131" s="148"/>
      <c r="U131" s="161"/>
      <c r="V131" s="146" t="str">
        <f>IF(U131&lt;&gt;"", SUMIF(Bets!$D:$D, U131, Bets!AE:AE), "")</f>
        <v/>
      </c>
      <c r="W131" s="162"/>
      <c r="X131" s="148"/>
      <c r="Y131" s="161"/>
      <c r="Z131" s="146" t="str">
        <f>IF(Y131&lt;&gt;"", SUMIF(Bets!$D:$D, Y131, Bets!AF:AF), "")</f>
        <v/>
      </c>
      <c r="AA131" s="162"/>
      <c r="AB131" s="148"/>
      <c r="AC131" s="161"/>
      <c r="AD131" s="146" t="str">
        <f>IF(AC131&lt;&gt;"", SUMIF(Bets!$D:$D, AC131, Bets!AG:AG), "")</f>
        <v/>
      </c>
      <c r="AE131" s="162"/>
      <c r="AF131" s="148"/>
    </row>
    <row r="132" hidden="1" outlineLevel="1">
      <c r="A132" s="161">
        <f>IFERROR(__xludf.DUMMYFUNCTION("""COMPUTED_VALUE"""),45319.0)</f>
        <v>45319</v>
      </c>
      <c r="B132" s="146">
        <f>IF(A132&lt;&gt;"", SUMIF(Bets!$D:$D, A132, Bets!Z:Z), "")</f>
        <v>5.948</v>
      </c>
      <c r="C132" s="162"/>
      <c r="D132" s="148"/>
      <c r="E132" s="161"/>
      <c r="F132" s="146" t="str">
        <f>IF(E132&lt;&gt;"", SUMIF(Bets!$D:$D, E132, Bets!AB:AB), "")</f>
        <v/>
      </c>
      <c r="G132" s="162"/>
      <c r="H132" s="148"/>
      <c r="I132" s="161">
        <f>IFERROR(__xludf.DUMMYFUNCTION("""COMPUTED_VALUE"""),45319.0)</f>
        <v>45319</v>
      </c>
      <c r="J132" s="146">
        <f>IF(I132&lt;&gt;"", SUMIF(Bets!$D:$D, I132, Bets!AA:AA), "")</f>
        <v>12.428</v>
      </c>
      <c r="K132" s="162"/>
      <c r="L132" s="148"/>
      <c r="M132" s="161"/>
      <c r="N132" s="146"/>
      <c r="O132" s="162"/>
      <c r="P132" s="148"/>
      <c r="Q132" s="161"/>
      <c r="R132" s="146" t="str">
        <f>IF(Q132&lt;&gt;"", SUMIF(Bets!$D:$D, Q132, Bets!AD:AD), "")</f>
        <v/>
      </c>
      <c r="S132" s="162"/>
      <c r="T132" s="148"/>
      <c r="U132" s="161"/>
      <c r="V132" s="146" t="str">
        <f>IF(U132&lt;&gt;"", SUMIF(Bets!$D:$D, U132, Bets!AE:AE), "")</f>
        <v/>
      </c>
      <c r="W132" s="162"/>
      <c r="X132" s="148"/>
      <c r="Y132" s="161"/>
      <c r="Z132" s="146" t="str">
        <f>IF(Y132&lt;&gt;"", SUMIF(Bets!$D:$D, Y132, Bets!AF:AF), "")</f>
        <v/>
      </c>
      <c r="AA132" s="162"/>
      <c r="AB132" s="148"/>
      <c r="AC132" s="161"/>
      <c r="AD132" s="146" t="str">
        <f>IF(AC132&lt;&gt;"", SUMIF(Bets!$D:$D, AC132, Bets!AG:AG), "")</f>
        <v/>
      </c>
      <c r="AE132" s="162"/>
      <c r="AF132" s="148"/>
    </row>
    <row r="133" hidden="1" outlineLevel="1">
      <c r="A133" s="161">
        <f>IFERROR(__xludf.DUMMYFUNCTION("""COMPUTED_VALUE"""),45318.0)</f>
        <v>45318</v>
      </c>
      <c r="B133" s="146">
        <f>IF(A133&lt;&gt;"", SUMIF(Bets!$D:$D, A133, Bets!Z:Z), "")</f>
        <v>-1</v>
      </c>
      <c r="C133" s="162"/>
      <c r="D133" s="148"/>
      <c r="E133" s="161"/>
      <c r="F133" s="146" t="str">
        <f>IF(E133&lt;&gt;"", SUMIF(Bets!$D:$D, E133, Bets!AB:AB), "")</f>
        <v/>
      </c>
      <c r="G133" s="162"/>
      <c r="H133" s="148"/>
      <c r="I133" s="161">
        <f>IFERROR(__xludf.DUMMYFUNCTION("""COMPUTED_VALUE"""),45318.0)</f>
        <v>45318</v>
      </c>
      <c r="J133" s="146">
        <f>IF(I133&lt;&gt;"", SUMIF(Bets!$D:$D, I133, Bets!AA:AA), "")</f>
        <v>-1</v>
      </c>
      <c r="K133" s="162"/>
      <c r="L133" s="148"/>
      <c r="M133" s="161"/>
      <c r="N133" s="146"/>
      <c r="O133" s="162"/>
      <c r="P133" s="148"/>
      <c r="Q133" s="161"/>
      <c r="R133" s="146" t="str">
        <f>IF(Q133&lt;&gt;"", SUMIF(Bets!$D:$D, Q133, Bets!AD:AD), "")</f>
        <v/>
      </c>
      <c r="S133" s="162"/>
      <c r="T133" s="148"/>
      <c r="U133" s="161"/>
      <c r="V133" s="146" t="str">
        <f>IF(U133&lt;&gt;"", SUMIF(Bets!$D:$D, U133, Bets!AE:AE), "")</f>
        <v/>
      </c>
      <c r="W133" s="162"/>
      <c r="X133" s="148"/>
      <c r="Y133" s="161"/>
      <c r="Z133" s="146" t="str">
        <f>IF(Y133&lt;&gt;"", SUMIF(Bets!$D:$D, Y133, Bets!AF:AF), "")</f>
        <v/>
      </c>
      <c r="AA133" s="162"/>
      <c r="AB133" s="148"/>
      <c r="AC133" s="161"/>
      <c r="AD133" s="146" t="str">
        <f>IF(AC133&lt;&gt;"", SUMIF(Bets!$D:$D, AC133, Bets!AG:AG), "")</f>
        <v/>
      </c>
      <c r="AE133" s="162"/>
      <c r="AF133" s="148"/>
    </row>
    <row r="134" hidden="1" outlineLevel="1">
      <c r="A134" s="161">
        <f>IFERROR(__xludf.DUMMYFUNCTION("""COMPUTED_VALUE"""),45317.0)</f>
        <v>45317</v>
      </c>
      <c r="B134" s="146">
        <f>IF(A134&lt;&gt;"", SUMIF(Bets!$D:$D, A134, Bets!Z:Z), "")</f>
        <v>-2</v>
      </c>
      <c r="C134" s="162"/>
      <c r="D134" s="148"/>
      <c r="E134" s="161"/>
      <c r="F134" s="146" t="str">
        <f>IF(E134&lt;&gt;"", SUMIF(Bets!$D:$D, E134, Bets!AB:AB), "")</f>
        <v/>
      </c>
      <c r="G134" s="162"/>
      <c r="H134" s="148"/>
      <c r="I134" s="161">
        <f>IFERROR(__xludf.DUMMYFUNCTION("""COMPUTED_VALUE"""),45317.0)</f>
        <v>45317</v>
      </c>
      <c r="J134" s="146">
        <f>IF(I134&lt;&gt;"", SUMIF(Bets!$D:$D, I134, Bets!AA:AA), "")</f>
        <v>-3</v>
      </c>
      <c r="K134" s="162"/>
      <c r="L134" s="148"/>
      <c r="M134" s="161"/>
      <c r="N134" s="146"/>
      <c r="O134" s="162"/>
      <c r="P134" s="148"/>
      <c r="Q134" s="161"/>
      <c r="R134" s="146" t="str">
        <f>IF(Q134&lt;&gt;"", SUMIF(Bets!$D:$D, Q134, Bets!AD:AD), "")</f>
        <v/>
      </c>
      <c r="S134" s="162"/>
      <c r="T134" s="148"/>
      <c r="U134" s="161"/>
      <c r="V134" s="146" t="str">
        <f>IF(U134&lt;&gt;"", SUMIF(Bets!$D:$D, U134, Bets!AE:AE), "")</f>
        <v/>
      </c>
      <c r="W134" s="162"/>
      <c r="X134" s="148"/>
      <c r="Y134" s="161"/>
      <c r="Z134" s="146" t="str">
        <f>IF(Y134&lt;&gt;"", SUMIF(Bets!$D:$D, Y134, Bets!AF:AF), "")</f>
        <v/>
      </c>
      <c r="AA134" s="162"/>
      <c r="AB134" s="148"/>
      <c r="AC134" s="161"/>
      <c r="AD134" s="146" t="str">
        <f>IF(AC134&lt;&gt;"", SUMIF(Bets!$D:$D, AC134, Bets!AG:AG), "")</f>
        <v/>
      </c>
      <c r="AE134" s="162"/>
      <c r="AF134" s="148"/>
    </row>
    <row r="135" hidden="1" outlineLevel="1">
      <c r="A135" s="161">
        <f>IFERROR(__xludf.DUMMYFUNCTION("""COMPUTED_VALUE"""),45316.0)</f>
        <v>45316</v>
      </c>
      <c r="B135" s="146">
        <f>IF(A135&lt;&gt;"", SUMIF(Bets!$D:$D, A135, Bets!Z:Z), "")</f>
        <v>-6</v>
      </c>
      <c r="C135" s="162"/>
      <c r="D135" s="148"/>
      <c r="E135" s="161"/>
      <c r="F135" s="146" t="str">
        <f>IF(E135&lt;&gt;"", SUMIF(Bets!$D:$D, E135, Bets!AB:AB), "")</f>
        <v/>
      </c>
      <c r="G135" s="162"/>
      <c r="H135" s="148"/>
      <c r="I135" s="161">
        <f>IFERROR(__xludf.DUMMYFUNCTION("""COMPUTED_VALUE"""),45316.0)</f>
        <v>45316</v>
      </c>
      <c r="J135" s="146">
        <f>IF(I135&lt;&gt;"", SUMIF(Bets!$D:$D, I135, Bets!AA:AA), "")</f>
        <v>-6</v>
      </c>
      <c r="K135" s="162"/>
      <c r="L135" s="148"/>
      <c r="M135" s="161"/>
      <c r="N135" s="146"/>
      <c r="O135" s="162"/>
      <c r="P135" s="148"/>
      <c r="Q135" s="161"/>
      <c r="R135" s="146" t="str">
        <f>IF(Q135&lt;&gt;"", SUMIF(Bets!$D:$D, Q135, Bets!AD:AD), "")</f>
        <v/>
      </c>
      <c r="S135" s="162"/>
      <c r="T135" s="148"/>
      <c r="U135" s="161"/>
      <c r="V135" s="146" t="str">
        <f>IF(U135&lt;&gt;"", SUMIF(Bets!$D:$D, U135, Bets!AE:AE), "")</f>
        <v/>
      </c>
      <c r="W135" s="162"/>
      <c r="X135" s="148"/>
      <c r="Y135" s="161"/>
      <c r="Z135" s="146" t="str">
        <f>IF(Y135&lt;&gt;"", SUMIF(Bets!$D:$D, Y135, Bets!AF:AF), "")</f>
        <v/>
      </c>
      <c r="AA135" s="162"/>
      <c r="AB135" s="148"/>
      <c r="AC135" s="161"/>
      <c r="AD135" s="146" t="str">
        <f>IF(AC135&lt;&gt;"", SUMIF(Bets!$D:$D, AC135, Bets!AG:AG), "")</f>
        <v/>
      </c>
      <c r="AE135" s="162"/>
      <c r="AF135" s="148"/>
    </row>
    <row r="136" hidden="1" outlineLevel="1">
      <c r="A136" s="161">
        <f>IFERROR(__xludf.DUMMYFUNCTION("""COMPUTED_VALUE"""),45314.0)</f>
        <v>45314</v>
      </c>
      <c r="B136" s="146">
        <f>IF(A136&lt;&gt;"", SUMIF(Bets!$D:$D, A136, Bets!Z:Z), "")</f>
        <v>2.886666667</v>
      </c>
      <c r="C136" s="162"/>
      <c r="D136" s="148"/>
      <c r="E136" s="161"/>
      <c r="F136" s="146" t="str">
        <f>IF(E136&lt;&gt;"", SUMIF(Bets!$D:$D, E136, Bets!AB:AB), "")</f>
        <v/>
      </c>
      <c r="G136" s="162"/>
      <c r="H136" s="148"/>
      <c r="I136" s="161">
        <f>IFERROR(__xludf.DUMMYFUNCTION("""COMPUTED_VALUE"""),45314.0)</f>
        <v>45314</v>
      </c>
      <c r="J136" s="146">
        <f>IF(I136&lt;&gt;"", SUMIF(Bets!$D:$D, I136, Bets!AA:AA), "")</f>
        <v>7.33</v>
      </c>
      <c r="K136" s="162"/>
      <c r="L136" s="148"/>
      <c r="M136" s="161"/>
      <c r="N136" s="146"/>
      <c r="O136" s="162"/>
      <c r="P136" s="148"/>
      <c r="Q136" s="161"/>
      <c r="R136" s="146" t="str">
        <f>IF(Q136&lt;&gt;"", SUMIF(Bets!$D:$D, Q136, Bets!AD:AD), "")</f>
        <v/>
      </c>
      <c r="S136" s="162"/>
      <c r="T136" s="148"/>
      <c r="U136" s="161"/>
      <c r="V136" s="146" t="str">
        <f>IF(U136&lt;&gt;"", SUMIF(Bets!$D:$D, U136, Bets!AE:AE), "")</f>
        <v/>
      </c>
      <c r="W136" s="162"/>
      <c r="X136" s="148"/>
      <c r="Y136" s="161"/>
      <c r="Z136" s="146" t="str">
        <f>IF(Y136&lt;&gt;"", SUMIF(Bets!$D:$D, Y136, Bets!AF:AF), "")</f>
        <v/>
      </c>
      <c r="AA136" s="162"/>
      <c r="AB136" s="148"/>
      <c r="AC136" s="161"/>
      <c r="AD136" s="146" t="str">
        <f>IF(AC136&lt;&gt;"", SUMIF(Bets!$D:$D, AC136, Bets!AG:AG), "")</f>
        <v/>
      </c>
      <c r="AE136" s="162"/>
      <c r="AF136" s="148"/>
    </row>
    <row r="137" hidden="1" outlineLevel="1">
      <c r="A137" s="161">
        <f>IFERROR(__xludf.DUMMYFUNCTION("""COMPUTED_VALUE"""),45313.0)</f>
        <v>45313</v>
      </c>
      <c r="B137" s="146">
        <f>IF(A137&lt;&gt;"", SUMIF(Bets!$D:$D, A137, Bets!Z:Z), "")</f>
        <v>4.916</v>
      </c>
      <c r="C137" s="162"/>
      <c r="D137" s="148"/>
      <c r="E137" s="161"/>
      <c r="F137" s="146" t="str">
        <f>IF(E137&lt;&gt;"", SUMIF(Bets!$D:$D, E137, Bets!AB:AB), "")</f>
        <v/>
      </c>
      <c r="G137" s="162"/>
      <c r="H137" s="148"/>
      <c r="I137" s="161">
        <f>IFERROR(__xludf.DUMMYFUNCTION("""COMPUTED_VALUE"""),45313.0)</f>
        <v>45313</v>
      </c>
      <c r="J137" s="146">
        <f>IF(I137&lt;&gt;"", SUMIF(Bets!$D:$D, I137, Bets!AA:AA), "")</f>
        <v>4.916</v>
      </c>
      <c r="K137" s="162"/>
      <c r="L137" s="148"/>
      <c r="M137" s="161"/>
      <c r="N137" s="146"/>
      <c r="O137" s="162"/>
      <c r="P137" s="148"/>
      <c r="Q137" s="161"/>
      <c r="R137" s="146" t="str">
        <f>IF(Q137&lt;&gt;"", SUMIF(Bets!$D:$D, Q137, Bets!AD:AD), "")</f>
        <v/>
      </c>
      <c r="S137" s="162"/>
      <c r="T137" s="148"/>
      <c r="U137" s="161"/>
      <c r="V137" s="146" t="str">
        <f>IF(U137&lt;&gt;"", SUMIF(Bets!$D:$D, U137, Bets!AE:AE), "")</f>
        <v/>
      </c>
      <c r="W137" s="162"/>
      <c r="X137" s="148"/>
      <c r="Y137" s="161"/>
      <c r="Z137" s="146" t="str">
        <f>IF(Y137&lt;&gt;"", SUMIF(Bets!$D:$D, Y137, Bets!AF:AF), "")</f>
        <v/>
      </c>
      <c r="AA137" s="162"/>
      <c r="AB137" s="148"/>
      <c r="AC137" s="161"/>
      <c r="AD137" s="146" t="str">
        <f>IF(AC137&lt;&gt;"", SUMIF(Bets!$D:$D, AC137, Bets!AG:AG), "")</f>
        <v/>
      </c>
      <c r="AE137" s="162"/>
      <c r="AF137" s="148"/>
    </row>
    <row r="138" hidden="1" outlineLevel="1">
      <c r="A138" s="161">
        <f>IFERROR(__xludf.DUMMYFUNCTION("""COMPUTED_VALUE"""),45312.0)</f>
        <v>45312</v>
      </c>
      <c r="B138" s="146">
        <f>IF(A138&lt;&gt;"", SUMIF(Bets!$D:$D, A138, Bets!Z:Z), "")</f>
        <v>4.886666667</v>
      </c>
      <c r="C138" s="162"/>
      <c r="D138" s="148"/>
      <c r="E138" s="161"/>
      <c r="F138" s="146" t="str">
        <f>IF(E138&lt;&gt;"", SUMIF(Bets!$D:$D, E138, Bets!AB:AB), "")</f>
        <v/>
      </c>
      <c r="G138" s="162"/>
      <c r="H138" s="148"/>
      <c r="I138" s="161">
        <f>IFERROR(__xludf.DUMMYFUNCTION("""COMPUTED_VALUE"""),45312.0)</f>
        <v>45312</v>
      </c>
      <c r="J138" s="146">
        <f>IF(I138&lt;&gt;"", SUMIF(Bets!$D:$D, I138, Bets!AA:AA), "")</f>
        <v>50.55</v>
      </c>
      <c r="K138" s="162"/>
      <c r="L138" s="148"/>
      <c r="M138" s="161"/>
      <c r="N138" s="146"/>
      <c r="O138" s="162"/>
      <c r="P138" s="148"/>
      <c r="Q138" s="161"/>
      <c r="R138" s="146" t="str">
        <f>IF(Q138&lt;&gt;"", SUMIF(Bets!$D:$D, Q138, Bets!AD:AD), "")</f>
        <v/>
      </c>
      <c r="S138" s="162"/>
      <c r="T138" s="148"/>
      <c r="U138" s="161"/>
      <c r="V138" s="146" t="str">
        <f>IF(U138&lt;&gt;"", SUMIF(Bets!$D:$D, U138, Bets!AE:AE), "")</f>
        <v/>
      </c>
      <c r="W138" s="162"/>
      <c r="X138" s="148"/>
      <c r="Y138" s="161"/>
      <c r="Z138" s="146" t="str">
        <f>IF(Y138&lt;&gt;"", SUMIF(Bets!$D:$D, Y138, Bets!AF:AF), "")</f>
        <v/>
      </c>
      <c r="AA138" s="162"/>
      <c r="AB138" s="148"/>
      <c r="AC138" s="161"/>
      <c r="AD138" s="146" t="str">
        <f>IF(AC138&lt;&gt;"", SUMIF(Bets!$D:$D, AC138, Bets!AG:AG), "")</f>
        <v/>
      </c>
      <c r="AE138" s="162"/>
      <c r="AF138" s="148"/>
    </row>
    <row r="139" hidden="1" outlineLevel="1">
      <c r="A139" s="161">
        <f>IFERROR(__xludf.DUMMYFUNCTION("""COMPUTED_VALUE"""),45311.0)</f>
        <v>45311</v>
      </c>
      <c r="B139" s="146">
        <f>IF(A139&lt;&gt;"", SUMIF(Bets!$D:$D, A139, Bets!Z:Z), "")</f>
        <v>-9.286666667</v>
      </c>
      <c r="C139" s="162"/>
      <c r="D139" s="148"/>
      <c r="E139" s="161"/>
      <c r="F139" s="146" t="str">
        <f>IF(E139&lt;&gt;"", SUMIF(Bets!$D:$D, E139, Bets!AB:AB), "")</f>
        <v/>
      </c>
      <c r="G139" s="162"/>
      <c r="H139" s="148"/>
      <c r="I139" s="161">
        <f>IFERROR(__xludf.DUMMYFUNCTION("""COMPUTED_VALUE"""),45311.0)</f>
        <v>45311</v>
      </c>
      <c r="J139" s="146">
        <f>IF(I139&lt;&gt;"", SUMIF(Bets!$D:$D, I139, Bets!AA:AA), "")</f>
        <v>-25.14</v>
      </c>
      <c r="K139" s="162"/>
      <c r="L139" s="148"/>
      <c r="M139" s="161"/>
      <c r="N139" s="146"/>
      <c r="O139" s="162"/>
      <c r="P139" s="148"/>
      <c r="Q139" s="161"/>
      <c r="R139" s="146" t="str">
        <f>IF(Q139&lt;&gt;"", SUMIF(Bets!$D:$D, Q139, Bets!AD:AD), "")</f>
        <v/>
      </c>
      <c r="S139" s="162"/>
      <c r="T139" s="148"/>
      <c r="U139" s="161"/>
      <c r="V139" s="146" t="str">
        <f>IF(U139&lt;&gt;"", SUMIF(Bets!$D:$D, U139, Bets!AE:AE), "")</f>
        <v/>
      </c>
      <c r="W139" s="162"/>
      <c r="X139" s="148"/>
      <c r="Y139" s="161"/>
      <c r="Z139" s="146" t="str">
        <f>IF(Y139&lt;&gt;"", SUMIF(Bets!$D:$D, Y139, Bets!AF:AF), "")</f>
        <v/>
      </c>
      <c r="AA139" s="162"/>
      <c r="AB139" s="148"/>
      <c r="AC139" s="161"/>
      <c r="AD139" s="146" t="str">
        <f>IF(AC139&lt;&gt;"", SUMIF(Bets!$D:$D, AC139, Bets!AG:AG), "")</f>
        <v/>
      </c>
      <c r="AE139" s="162"/>
      <c r="AF139" s="148"/>
    </row>
    <row r="140" hidden="1" outlineLevel="1">
      <c r="A140" s="161">
        <f>IFERROR(__xludf.DUMMYFUNCTION("""COMPUTED_VALUE"""),45308.0)</f>
        <v>45308</v>
      </c>
      <c r="B140" s="146">
        <f>IF(A140&lt;&gt;"", SUMIF(Bets!$D:$D, A140, Bets!Z:Z), "")</f>
        <v>3.67</v>
      </c>
      <c r="C140" s="162"/>
      <c r="D140" s="148"/>
      <c r="E140" s="161"/>
      <c r="F140" s="146" t="str">
        <f>IF(E140&lt;&gt;"", SUMIF(Bets!$D:$D, E140, Bets!AB:AB), "")</f>
        <v/>
      </c>
      <c r="G140" s="162"/>
      <c r="H140" s="148"/>
      <c r="I140" s="161">
        <f>IFERROR(__xludf.DUMMYFUNCTION("""COMPUTED_VALUE"""),45308.0)</f>
        <v>45308</v>
      </c>
      <c r="J140" s="146">
        <f>IF(I140&lt;&gt;"", SUMIF(Bets!$D:$D, I140, Bets!AA:AA), "")</f>
        <v>22.955</v>
      </c>
      <c r="K140" s="162"/>
      <c r="L140" s="148"/>
      <c r="M140" s="161"/>
      <c r="N140" s="146"/>
      <c r="O140" s="162"/>
      <c r="P140" s="148"/>
      <c r="Q140" s="161"/>
      <c r="R140" s="146" t="str">
        <f>IF(Q140&lt;&gt;"", SUMIF(Bets!$D:$D, Q140, Bets!AD:AD), "")</f>
        <v/>
      </c>
      <c r="S140" s="162"/>
      <c r="T140" s="148"/>
      <c r="U140" s="161"/>
      <c r="V140" s="146" t="str">
        <f>IF(U140&lt;&gt;"", SUMIF(Bets!$D:$D, U140, Bets!AE:AE), "")</f>
        <v/>
      </c>
      <c r="W140" s="162"/>
      <c r="X140" s="148"/>
      <c r="Y140" s="161"/>
      <c r="Z140" s="146" t="str">
        <f>IF(Y140&lt;&gt;"", SUMIF(Bets!$D:$D, Y140, Bets!AF:AF), "")</f>
        <v/>
      </c>
      <c r="AA140" s="162"/>
      <c r="AB140" s="148"/>
      <c r="AC140" s="161"/>
      <c r="AD140" s="146" t="str">
        <f>IF(AC140&lt;&gt;"", SUMIF(Bets!$D:$D, AC140, Bets!AG:AG), "")</f>
        <v/>
      </c>
      <c r="AE140" s="162"/>
      <c r="AF140" s="148"/>
    </row>
    <row r="141" hidden="1" outlineLevel="1">
      <c r="A141" s="161">
        <f>IFERROR(__xludf.DUMMYFUNCTION("""COMPUTED_VALUE"""),45307.0)</f>
        <v>45307</v>
      </c>
      <c r="B141" s="146">
        <f>IF(A141&lt;&gt;"", SUMIF(Bets!$D:$D, A141, Bets!Z:Z), "")</f>
        <v>0.908</v>
      </c>
      <c r="C141" s="162"/>
      <c r="D141" s="148"/>
      <c r="E141" s="161"/>
      <c r="F141" s="146" t="str">
        <f>IF(E141&lt;&gt;"", SUMIF(Bets!$D:$D, E141, Bets!AB:AB), "")</f>
        <v/>
      </c>
      <c r="G141" s="162"/>
      <c r="H141" s="148"/>
      <c r="I141" s="161">
        <f>IFERROR(__xludf.DUMMYFUNCTION("""COMPUTED_VALUE"""),45307.0)</f>
        <v>45307</v>
      </c>
      <c r="J141" s="146">
        <f>IF(I141&lt;&gt;"", SUMIF(Bets!$D:$D, I141, Bets!AA:AA), "")</f>
        <v>0.908</v>
      </c>
      <c r="K141" s="162"/>
      <c r="L141" s="148"/>
      <c r="M141" s="161"/>
      <c r="N141" s="146"/>
      <c r="O141" s="162"/>
      <c r="P141" s="148"/>
      <c r="Q141" s="161"/>
      <c r="R141" s="146" t="str">
        <f>IF(Q141&lt;&gt;"", SUMIF(Bets!$D:$D, Q141, Bets!AD:AD), "")</f>
        <v/>
      </c>
      <c r="S141" s="162"/>
      <c r="T141" s="148"/>
      <c r="U141" s="161"/>
      <c r="V141" s="146" t="str">
        <f>IF(U141&lt;&gt;"", SUMIF(Bets!$D:$D, U141, Bets!AE:AE), "")</f>
        <v/>
      </c>
      <c r="W141" s="162"/>
      <c r="X141" s="148"/>
      <c r="Y141" s="161"/>
      <c r="Z141" s="146" t="str">
        <f>IF(Y141&lt;&gt;"", SUMIF(Bets!$D:$D, Y141, Bets!AF:AF), "")</f>
        <v/>
      </c>
      <c r="AA141" s="162"/>
      <c r="AB141" s="148"/>
      <c r="AC141" s="161"/>
      <c r="AD141" s="146" t="str">
        <f>IF(AC141&lt;&gt;"", SUMIF(Bets!$D:$D, AC141, Bets!AG:AG), "")</f>
        <v/>
      </c>
      <c r="AE141" s="162"/>
      <c r="AF141" s="148"/>
    </row>
    <row r="142" hidden="1" outlineLevel="1">
      <c r="A142" s="161">
        <f>IFERROR(__xludf.DUMMYFUNCTION("""COMPUTED_VALUE"""),45306.0)</f>
        <v>45306</v>
      </c>
      <c r="B142" s="146">
        <f>IF(A142&lt;&gt;"", SUMIF(Bets!$D:$D, A142, Bets!Z:Z), "")</f>
        <v>-7.02</v>
      </c>
      <c r="C142" s="162"/>
      <c r="D142" s="148"/>
      <c r="E142" s="161"/>
      <c r="F142" s="146" t="str">
        <f>IF(E142&lt;&gt;"", SUMIF(Bets!$D:$D, E142, Bets!AB:AB), "")</f>
        <v/>
      </c>
      <c r="G142" s="162"/>
      <c r="H142" s="148"/>
      <c r="I142" s="161">
        <f>IFERROR(__xludf.DUMMYFUNCTION("""COMPUTED_VALUE"""),45306.0)</f>
        <v>45306</v>
      </c>
      <c r="J142" s="146">
        <f>IF(I142&lt;&gt;"", SUMIF(Bets!$D:$D, I142, Bets!AA:AA), "")</f>
        <v>-14.02</v>
      </c>
      <c r="K142" s="162"/>
      <c r="L142" s="148"/>
      <c r="M142" s="161"/>
      <c r="N142" s="146"/>
      <c r="O142" s="162"/>
      <c r="P142" s="148"/>
      <c r="Q142" s="161"/>
      <c r="R142" s="146" t="str">
        <f>IF(Q142&lt;&gt;"", SUMIF(Bets!$D:$D, Q142, Bets!AD:AD), "")</f>
        <v/>
      </c>
      <c r="S142" s="162"/>
      <c r="T142" s="148"/>
      <c r="U142" s="161"/>
      <c r="V142" s="146" t="str">
        <f>IF(U142&lt;&gt;"", SUMIF(Bets!$D:$D, U142, Bets!AE:AE), "")</f>
        <v/>
      </c>
      <c r="W142" s="162"/>
      <c r="X142" s="148"/>
      <c r="Y142" s="161"/>
      <c r="Z142" s="146" t="str">
        <f>IF(Y142&lt;&gt;"", SUMIF(Bets!$D:$D, Y142, Bets!AF:AF), "")</f>
        <v/>
      </c>
      <c r="AA142" s="162"/>
      <c r="AB142" s="148"/>
      <c r="AC142" s="161"/>
      <c r="AD142" s="146" t="str">
        <f>IF(AC142&lt;&gt;"", SUMIF(Bets!$D:$D, AC142, Bets!AG:AG), "")</f>
        <v/>
      </c>
      <c r="AE142" s="162"/>
      <c r="AF142" s="148"/>
    </row>
    <row r="143" hidden="1" outlineLevel="1">
      <c r="A143" s="161">
        <f>IFERROR(__xludf.DUMMYFUNCTION("""COMPUTED_VALUE"""),45305.0)</f>
        <v>45305</v>
      </c>
      <c r="B143" s="146">
        <f>IF(A143&lt;&gt;"", SUMIF(Bets!$D:$D, A143, Bets!Z:Z), "")</f>
        <v>-5.382352941</v>
      </c>
      <c r="C143" s="162"/>
      <c r="D143" s="148"/>
      <c r="E143" s="161"/>
      <c r="F143" s="146" t="str">
        <f>IF(E143&lt;&gt;"", SUMIF(Bets!$D:$D, E143, Bets!AB:AB), "")</f>
        <v/>
      </c>
      <c r="G143" s="162"/>
      <c r="H143" s="148"/>
      <c r="I143" s="161">
        <f>IFERROR(__xludf.DUMMYFUNCTION("""COMPUTED_VALUE"""),45305.0)</f>
        <v>45305</v>
      </c>
      <c r="J143" s="146">
        <f>IF(I143&lt;&gt;"", SUMIF(Bets!$D:$D, I143, Bets!AA:AA), "")</f>
        <v>16.23529412</v>
      </c>
      <c r="K143" s="162"/>
      <c r="L143" s="148"/>
      <c r="M143" s="161"/>
      <c r="N143" s="146"/>
      <c r="O143" s="162"/>
      <c r="P143" s="148"/>
      <c r="Q143" s="161"/>
      <c r="R143" s="146" t="str">
        <f>IF(Q143&lt;&gt;"", SUMIF(Bets!$D:$D, Q143, Bets!AD:AD), "")</f>
        <v/>
      </c>
      <c r="S143" s="162"/>
      <c r="T143" s="148"/>
      <c r="U143" s="161"/>
      <c r="V143" s="146" t="str">
        <f>IF(U143&lt;&gt;"", SUMIF(Bets!$D:$D, U143, Bets!AE:AE), "")</f>
        <v/>
      </c>
      <c r="W143" s="162"/>
      <c r="X143" s="148"/>
      <c r="Y143" s="161"/>
      <c r="Z143" s="146" t="str">
        <f>IF(Y143&lt;&gt;"", SUMIF(Bets!$D:$D, Y143, Bets!AF:AF), "")</f>
        <v/>
      </c>
      <c r="AA143" s="162"/>
      <c r="AB143" s="148"/>
      <c r="AC143" s="161"/>
      <c r="AD143" s="146" t="str">
        <f>IF(AC143&lt;&gt;"", SUMIF(Bets!$D:$D, AC143, Bets!AG:AG), "")</f>
        <v/>
      </c>
      <c r="AE143" s="162"/>
      <c r="AF143" s="148"/>
    </row>
    <row r="144" hidden="1" outlineLevel="1">
      <c r="A144" s="161">
        <f>IFERROR(__xludf.DUMMYFUNCTION("""COMPUTED_VALUE"""),45304.0)</f>
        <v>45304</v>
      </c>
      <c r="B144" s="146">
        <f>IF(A144&lt;&gt;"", SUMIF(Bets!$D:$D, A144, Bets!Z:Z), "")</f>
        <v>-4.989230769</v>
      </c>
      <c r="C144" s="162"/>
      <c r="D144" s="148"/>
      <c r="E144" s="161"/>
      <c r="F144" s="146" t="str">
        <f>IF(E144&lt;&gt;"", SUMIF(Bets!$D:$D, E144, Bets!AB:AB), "")</f>
        <v/>
      </c>
      <c r="G144" s="162"/>
      <c r="H144" s="148"/>
      <c r="I144" s="161">
        <f>IFERROR(__xludf.DUMMYFUNCTION("""COMPUTED_VALUE"""),45304.0)</f>
        <v>45304</v>
      </c>
      <c r="J144" s="146">
        <f>IF(I144&lt;&gt;"", SUMIF(Bets!$D:$D, I144, Bets!AA:AA), "")</f>
        <v>-9.446153846</v>
      </c>
      <c r="K144" s="162"/>
      <c r="L144" s="148"/>
      <c r="M144" s="161"/>
      <c r="N144" s="146"/>
      <c r="O144" s="162"/>
      <c r="P144" s="148"/>
      <c r="Q144" s="161"/>
      <c r="R144" s="146" t="str">
        <f>IF(Q144&lt;&gt;"", SUMIF(Bets!$D:$D, Q144, Bets!AD:AD), "")</f>
        <v/>
      </c>
      <c r="S144" s="162"/>
      <c r="T144" s="148"/>
      <c r="U144" s="161"/>
      <c r="V144" s="146" t="str">
        <f>IF(U144&lt;&gt;"", SUMIF(Bets!$D:$D, U144, Bets!AE:AE), "")</f>
        <v/>
      </c>
      <c r="W144" s="162"/>
      <c r="X144" s="148"/>
      <c r="Y144" s="161"/>
      <c r="Z144" s="146" t="str">
        <f>IF(Y144&lt;&gt;"", SUMIF(Bets!$D:$D, Y144, Bets!AF:AF), "")</f>
        <v/>
      </c>
      <c r="AA144" s="162"/>
      <c r="AB144" s="148"/>
      <c r="AC144" s="161"/>
      <c r="AD144" s="146" t="str">
        <f>IF(AC144&lt;&gt;"", SUMIF(Bets!$D:$D, AC144, Bets!AG:AG), "")</f>
        <v/>
      </c>
      <c r="AE144" s="162"/>
      <c r="AF144" s="148"/>
    </row>
    <row r="145" hidden="1" outlineLevel="1">
      <c r="A145" s="161">
        <f>IFERROR(__xludf.DUMMYFUNCTION("""COMPUTED_VALUE"""),45299.0)</f>
        <v>45299</v>
      </c>
      <c r="B145" s="146">
        <f>IF(A145&lt;&gt;"", SUMIF(Bets!$D:$D, A145, Bets!Z:Z), "")</f>
        <v>0.6</v>
      </c>
      <c r="C145" s="162"/>
      <c r="D145" s="148"/>
      <c r="E145" s="161"/>
      <c r="F145" s="146" t="str">
        <f>IF(E145&lt;&gt;"", SUMIF(Bets!$D:$D, E145, Bets!AB:AB), "")</f>
        <v/>
      </c>
      <c r="G145" s="162"/>
      <c r="H145" s="148"/>
      <c r="I145" s="161">
        <f>IFERROR(__xludf.DUMMYFUNCTION("""COMPUTED_VALUE"""),45299.0)</f>
        <v>45299</v>
      </c>
      <c r="J145" s="146">
        <f>IF(I145&lt;&gt;"", SUMIF(Bets!$D:$D, I145, Bets!AA:AA), "")</f>
        <v>1.1</v>
      </c>
      <c r="K145" s="162"/>
      <c r="L145" s="148"/>
      <c r="M145" s="161"/>
      <c r="N145" s="146"/>
      <c r="O145" s="162"/>
      <c r="P145" s="148"/>
      <c r="Q145" s="161"/>
      <c r="R145" s="146" t="str">
        <f>IF(Q145&lt;&gt;"", SUMIF(Bets!$D:$D, Q145, Bets!AD:AD), "")</f>
        <v/>
      </c>
      <c r="S145" s="162"/>
      <c r="T145" s="148"/>
      <c r="U145" s="161"/>
      <c r="V145" s="146" t="str">
        <f>IF(U145&lt;&gt;"", SUMIF(Bets!$D:$D, U145, Bets!AE:AE), "")</f>
        <v/>
      </c>
      <c r="W145" s="162"/>
      <c r="X145" s="148"/>
      <c r="Y145" s="161"/>
      <c r="Z145" s="146" t="str">
        <f>IF(Y145&lt;&gt;"", SUMIF(Bets!$D:$D, Y145, Bets!AF:AF), "")</f>
        <v/>
      </c>
      <c r="AA145" s="162"/>
      <c r="AB145" s="148"/>
      <c r="AC145" s="161"/>
      <c r="AD145" s="146" t="str">
        <f>IF(AC145&lt;&gt;"", SUMIF(Bets!$D:$D, AC145, Bets!AG:AG), "")</f>
        <v/>
      </c>
      <c r="AE145" s="162"/>
      <c r="AF145" s="148"/>
    </row>
    <row r="146" hidden="1" outlineLevel="1">
      <c r="A146" s="161">
        <f>IFERROR(__xludf.DUMMYFUNCTION("""COMPUTED_VALUE"""),45297.0)</f>
        <v>45297</v>
      </c>
      <c r="B146" s="146">
        <f>IF(A146&lt;&gt;"", SUMIF(Bets!$D:$D, A146, Bets!Z:Z), "")</f>
        <v>1.209722222</v>
      </c>
      <c r="C146" s="162"/>
      <c r="D146" s="148"/>
      <c r="E146" s="161"/>
      <c r="F146" s="146" t="str">
        <f>IF(E146&lt;&gt;"", SUMIF(Bets!$D:$D, E146, Bets!AB:AB), "")</f>
        <v/>
      </c>
      <c r="G146" s="162"/>
      <c r="H146" s="148"/>
      <c r="I146" s="161">
        <f>IFERROR(__xludf.DUMMYFUNCTION("""COMPUTED_VALUE"""),45297.0)</f>
        <v>45297</v>
      </c>
      <c r="J146" s="146">
        <f>IF(I146&lt;&gt;"", SUMIF(Bets!$D:$D, I146, Bets!AA:AA), "")</f>
        <v>3.555416667</v>
      </c>
      <c r="K146" s="162"/>
      <c r="L146" s="148"/>
      <c r="M146" s="161"/>
      <c r="N146" s="146"/>
      <c r="O146" s="162"/>
      <c r="P146" s="148"/>
      <c r="Q146" s="161"/>
      <c r="R146" s="146" t="str">
        <f>IF(Q146&lt;&gt;"", SUMIF(Bets!$D:$D, Q146, Bets!AD:AD), "")</f>
        <v/>
      </c>
      <c r="S146" s="162"/>
      <c r="T146" s="148"/>
      <c r="U146" s="161"/>
      <c r="V146" s="146" t="str">
        <f>IF(U146&lt;&gt;"", SUMIF(Bets!$D:$D, U146, Bets!AE:AE), "")</f>
        <v/>
      </c>
      <c r="W146" s="162"/>
      <c r="X146" s="148"/>
      <c r="Y146" s="161"/>
      <c r="Z146" s="146" t="str">
        <f>IF(Y146&lt;&gt;"", SUMIF(Bets!$D:$D, Y146, Bets!AF:AF), "")</f>
        <v/>
      </c>
      <c r="AA146" s="162"/>
      <c r="AB146" s="148"/>
      <c r="AC146" s="161"/>
      <c r="AD146" s="146" t="str">
        <f>IF(AC146&lt;&gt;"", SUMIF(Bets!$D:$D, AC146, Bets!AG:AG), "")</f>
        <v/>
      </c>
      <c r="AE146" s="162"/>
      <c r="AF146" s="148"/>
    </row>
    <row r="147" hidden="1" outlineLevel="1">
      <c r="A147" s="161">
        <f>IFERROR(__xludf.DUMMYFUNCTION("""COMPUTED_VALUE"""),45296.0)</f>
        <v>45296</v>
      </c>
      <c r="B147" s="146">
        <f>IF(A147&lt;&gt;"", SUMIF(Bets!$D:$D, A147, Bets!Z:Z), "")</f>
        <v>-8.050666667</v>
      </c>
      <c r="C147" s="162"/>
      <c r="D147" s="148"/>
      <c r="E147" s="161"/>
      <c r="F147" s="146" t="str">
        <f>IF(E147&lt;&gt;"", SUMIF(Bets!$D:$D, E147, Bets!AB:AB), "")</f>
        <v/>
      </c>
      <c r="G147" s="162"/>
      <c r="H147" s="148"/>
      <c r="I147" s="161">
        <f>IFERROR(__xludf.DUMMYFUNCTION("""COMPUTED_VALUE"""),45296.0)</f>
        <v>45296</v>
      </c>
      <c r="J147" s="146">
        <f>IF(I147&lt;&gt;"", SUMIF(Bets!$D:$D, I147, Bets!AA:AA), "")</f>
        <v>-7.964</v>
      </c>
      <c r="K147" s="162"/>
      <c r="L147" s="148"/>
      <c r="M147" s="161"/>
      <c r="N147" s="146"/>
      <c r="O147" s="162"/>
      <c r="P147" s="148"/>
      <c r="Q147" s="161"/>
      <c r="R147" s="146" t="str">
        <f>IF(Q147&lt;&gt;"", SUMIF(Bets!$D:$D, Q147, Bets!AD:AD), "")</f>
        <v/>
      </c>
      <c r="S147" s="162"/>
      <c r="T147" s="148"/>
      <c r="U147" s="161"/>
      <c r="V147" s="146" t="str">
        <f>IF(U147&lt;&gt;"", SUMIF(Bets!$D:$D, U147, Bets!AE:AE), "")</f>
        <v/>
      </c>
      <c r="W147" s="162"/>
      <c r="X147" s="148"/>
      <c r="Y147" s="161"/>
      <c r="Z147" s="146" t="str">
        <f>IF(Y147&lt;&gt;"", SUMIF(Bets!$D:$D, Y147, Bets!AF:AF), "")</f>
        <v/>
      </c>
      <c r="AA147" s="162"/>
      <c r="AB147" s="148"/>
      <c r="AC147" s="161"/>
      <c r="AD147" s="146" t="str">
        <f>IF(AC147&lt;&gt;"", SUMIF(Bets!$D:$D, AC147, Bets!AG:AG), "")</f>
        <v/>
      </c>
      <c r="AE147" s="162"/>
      <c r="AF147" s="148"/>
    </row>
    <row r="148" hidden="1" outlineLevel="1">
      <c r="A148" s="161">
        <f>IFERROR(__xludf.DUMMYFUNCTION("""COMPUTED_VALUE"""),45295.0)</f>
        <v>45295</v>
      </c>
      <c r="B148" s="146">
        <f>IF(A148&lt;&gt;"", SUMIF(Bets!$D:$D, A148, Bets!Z:Z), "")</f>
        <v>-1.252</v>
      </c>
      <c r="C148" s="162"/>
      <c r="D148" s="148"/>
      <c r="E148" s="161"/>
      <c r="F148" s="146" t="str">
        <f>IF(E148&lt;&gt;"", SUMIF(Bets!$D:$D, E148, Bets!AB:AB), "")</f>
        <v/>
      </c>
      <c r="G148" s="162"/>
      <c r="H148" s="148"/>
      <c r="I148" s="161">
        <f>IFERROR(__xludf.DUMMYFUNCTION("""COMPUTED_VALUE"""),45295.0)</f>
        <v>45295</v>
      </c>
      <c r="J148" s="146">
        <f>IF(I148&lt;&gt;"", SUMIF(Bets!$D:$D, I148, Bets!AA:AA), "")</f>
        <v>-1.252</v>
      </c>
      <c r="K148" s="162"/>
      <c r="L148" s="148"/>
      <c r="M148" s="161"/>
      <c r="N148" s="146"/>
      <c r="O148" s="162"/>
      <c r="P148" s="148"/>
      <c r="Q148" s="161"/>
      <c r="R148" s="146" t="str">
        <f>IF(Q148&lt;&gt;"", SUMIF(Bets!$D:$D, Q148, Bets!AD:AD), "")</f>
        <v/>
      </c>
      <c r="S148" s="162"/>
      <c r="T148" s="148"/>
      <c r="U148" s="161"/>
      <c r="V148" s="146" t="str">
        <f>IF(U148&lt;&gt;"", SUMIF(Bets!$D:$D, U148, Bets!AE:AE), "")</f>
        <v/>
      </c>
      <c r="W148" s="162"/>
      <c r="X148" s="148"/>
      <c r="Y148" s="161"/>
      <c r="Z148" s="146" t="str">
        <f>IF(Y148&lt;&gt;"", SUMIF(Bets!$D:$D, Y148, Bets!AF:AF), "")</f>
        <v/>
      </c>
      <c r="AA148" s="162"/>
      <c r="AB148" s="148"/>
      <c r="AC148" s="161"/>
      <c r="AD148" s="146" t="str">
        <f>IF(AC148&lt;&gt;"", SUMIF(Bets!$D:$D, AC148, Bets!AG:AG), "")</f>
        <v/>
      </c>
      <c r="AE148" s="162"/>
      <c r="AF148" s="148"/>
    </row>
    <row r="149" hidden="1" outlineLevel="1">
      <c r="A149" s="161">
        <f>IFERROR(__xludf.DUMMYFUNCTION("""COMPUTED_VALUE"""),45294.0)</f>
        <v>45294</v>
      </c>
      <c r="B149" s="146">
        <f>IF(A149&lt;&gt;"", SUMIF(Bets!$D:$D, A149, Bets!Z:Z), "")</f>
        <v>-1.392</v>
      </c>
      <c r="C149" s="162"/>
      <c r="D149" s="148"/>
      <c r="E149" s="161"/>
      <c r="F149" s="146" t="str">
        <f>IF(E149&lt;&gt;"", SUMIF(Bets!$D:$D, E149, Bets!AB:AB), "")</f>
        <v/>
      </c>
      <c r="G149" s="162"/>
      <c r="H149" s="148"/>
      <c r="I149" s="161">
        <f>IFERROR(__xludf.DUMMYFUNCTION("""COMPUTED_VALUE"""),45294.0)</f>
        <v>45294</v>
      </c>
      <c r="J149" s="146">
        <f>IF(I149&lt;&gt;"", SUMIF(Bets!$D:$D, I149, Bets!AA:AA), "")</f>
        <v>-1.392</v>
      </c>
      <c r="K149" s="162"/>
      <c r="L149" s="148"/>
      <c r="M149" s="161"/>
      <c r="N149" s="146"/>
      <c r="O149" s="162"/>
      <c r="P149" s="148"/>
      <c r="Q149" s="161"/>
      <c r="R149" s="146" t="str">
        <f>IF(Q149&lt;&gt;"", SUMIF(Bets!$D:$D, Q149, Bets!AD:AD), "")</f>
        <v/>
      </c>
      <c r="S149" s="162"/>
      <c r="T149" s="148"/>
      <c r="U149" s="161"/>
      <c r="V149" s="146" t="str">
        <f>IF(U149&lt;&gt;"", SUMIF(Bets!$D:$D, U149, Bets!AE:AE), "")</f>
        <v/>
      </c>
      <c r="W149" s="162"/>
      <c r="X149" s="148"/>
      <c r="Y149" s="161"/>
      <c r="Z149" s="146" t="str">
        <f>IF(Y149&lt;&gt;"", SUMIF(Bets!$D:$D, Y149, Bets!AF:AF), "")</f>
        <v/>
      </c>
      <c r="AA149" s="162"/>
      <c r="AB149" s="148"/>
      <c r="AC149" s="161"/>
      <c r="AD149" s="146" t="str">
        <f>IF(AC149&lt;&gt;"", SUMIF(Bets!$D:$D, AC149, Bets!AG:AG), "")</f>
        <v/>
      </c>
      <c r="AE149" s="162"/>
      <c r="AF149" s="148"/>
    </row>
    <row r="150" hidden="1" outlineLevel="1">
      <c r="A150" s="161">
        <f>IFERROR(__xludf.DUMMYFUNCTION("""COMPUTED_VALUE"""),45291.0)</f>
        <v>45291</v>
      </c>
      <c r="B150" s="146">
        <f>IF(A150&lt;&gt;"", SUMIF(Bets!$D:$D, A150, Bets!Z:Z), "")</f>
        <v>-3.5</v>
      </c>
      <c r="C150" s="162"/>
      <c r="D150" s="148"/>
      <c r="E150" s="161"/>
      <c r="F150" s="146" t="str">
        <f>IF(E150&lt;&gt;"", SUMIF(Bets!$D:$D, E150, Bets!AB:AB), "")</f>
        <v/>
      </c>
      <c r="G150" s="162"/>
      <c r="H150" s="148"/>
      <c r="I150" s="161">
        <f>IFERROR(__xludf.DUMMYFUNCTION("""COMPUTED_VALUE"""),45288.0)</f>
        <v>45288</v>
      </c>
      <c r="J150" s="146">
        <f>IF(I150&lt;&gt;"", SUMIF(Bets!$D:$D, I150, Bets!AA:AA), "")</f>
        <v>-12.75</v>
      </c>
      <c r="K150" s="162"/>
      <c r="L150" s="148"/>
      <c r="M150" s="161"/>
      <c r="N150" s="146"/>
      <c r="O150" s="162"/>
      <c r="P150" s="148"/>
      <c r="Q150" s="161"/>
      <c r="R150" s="146" t="str">
        <f>IF(Q150&lt;&gt;"", SUMIF(Bets!$D:$D, Q150, Bets!AD:AD), "")</f>
        <v/>
      </c>
      <c r="S150" s="162"/>
      <c r="T150" s="148"/>
      <c r="U150" s="161"/>
      <c r="V150" s="146" t="str">
        <f>IF(U150&lt;&gt;"", SUMIF(Bets!$D:$D, U150, Bets!AE:AE), "")</f>
        <v/>
      </c>
      <c r="W150" s="162"/>
      <c r="X150" s="148"/>
      <c r="Y150" s="161"/>
      <c r="Z150" s="146" t="str">
        <f>IF(Y150&lt;&gt;"", SUMIF(Bets!$D:$D, Y150, Bets!AF:AF), "")</f>
        <v/>
      </c>
      <c r="AA150" s="162"/>
      <c r="AB150" s="148"/>
      <c r="AC150" s="161"/>
      <c r="AD150" s="146" t="str">
        <f>IF(AC150&lt;&gt;"", SUMIF(Bets!$D:$D, AC150, Bets!AG:AG), "")</f>
        <v/>
      </c>
      <c r="AE150" s="162"/>
      <c r="AF150" s="148"/>
    </row>
    <row r="151" hidden="1" outlineLevel="1">
      <c r="A151" s="161">
        <f>IFERROR(__xludf.DUMMYFUNCTION("""COMPUTED_VALUE"""),45288.0)</f>
        <v>45288</v>
      </c>
      <c r="B151" s="146">
        <f>IF(A151&lt;&gt;"", SUMIF(Bets!$D:$D, A151, Bets!Z:Z), "")</f>
        <v>-10</v>
      </c>
      <c r="C151" s="162"/>
      <c r="D151" s="148"/>
      <c r="E151" s="161"/>
      <c r="F151" s="146" t="str">
        <f>IF(E151&lt;&gt;"", SUMIF(Bets!$D:$D, E151, Bets!AB:AB), "")</f>
        <v/>
      </c>
      <c r="G151" s="162"/>
      <c r="H151" s="148"/>
      <c r="I151" s="161">
        <f>IFERROR(__xludf.DUMMYFUNCTION("""COMPUTED_VALUE"""),45287.0)</f>
        <v>45287</v>
      </c>
      <c r="J151" s="146">
        <f>IF(I151&lt;&gt;"", SUMIF(Bets!$D:$D, I151, Bets!AA:AA), "")</f>
        <v>-4.895</v>
      </c>
      <c r="K151" s="162"/>
      <c r="L151" s="148"/>
      <c r="M151" s="161"/>
      <c r="N151" s="146"/>
      <c r="O151" s="162"/>
      <c r="P151" s="148"/>
      <c r="Q151" s="161"/>
      <c r="R151" s="146" t="str">
        <f>IF(Q151&lt;&gt;"", SUMIF(Bets!$D:$D, Q151, Bets!AD:AD), "")</f>
        <v/>
      </c>
      <c r="S151" s="162"/>
      <c r="T151" s="148"/>
      <c r="U151" s="161"/>
      <c r="V151" s="146" t="str">
        <f>IF(U151&lt;&gt;"", SUMIF(Bets!$D:$D, U151, Bets!AE:AE), "")</f>
        <v/>
      </c>
      <c r="W151" s="162"/>
      <c r="X151" s="148"/>
      <c r="Y151" s="161"/>
      <c r="Z151" s="146" t="str">
        <f>IF(Y151&lt;&gt;"", SUMIF(Bets!$D:$D, Y151, Bets!AF:AF), "")</f>
        <v/>
      </c>
      <c r="AA151" s="162"/>
      <c r="AB151" s="148"/>
      <c r="AC151" s="161"/>
      <c r="AD151" s="146" t="str">
        <f>IF(AC151&lt;&gt;"", SUMIF(Bets!$D:$D, AC151, Bets!AG:AG), "")</f>
        <v/>
      </c>
      <c r="AE151" s="162"/>
      <c r="AF151" s="148"/>
    </row>
    <row r="152" hidden="1" outlineLevel="1">
      <c r="A152" s="161">
        <f>IFERROR(__xludf.DUMMYFUNCTION("""COMPUTED_VALUE"""),45287.0)</f>
        <v>45287</v>
      </c>
      <c r="B152" s="146">
        <f>IF(A152&lt;&gt;"", SUMIF(Bets!$D:$D, A152, Bets!Z:Z), "")</f>
        <v>-3.93</v>
      </c>
      <c r="C152" s="162"/>
      <c r="D152" s="148"/>
      <c r="E152" s="161"/>
      <c r="F152" s="146" t="str">
        <f>IF(E152&lt;&gt;"", SUMIF(Bets!$D:$D, E152, Bets!AB:AB), "")</f>
        <v/>
      </c>
      <c r="G152" s="162"/>
      <c r="H152" s="148"/>
      <c r="I152" s="161">
        <f>IFERROR(__xludf.DUMMYFUNCTION("""COMPUTED_VALUE"""),45285.0)</f>
        <v>45285</v>
      </c>
      <c r="J152" s="146">
        <f>IF(I152&lt;&gt;"", SUMIF(Bets!$D:$D, I152, Bets!AA:AA), "")</f>
        <v>0.0475</v>
      </c>
      <c r="K152" s="162"/>
      <c r="L152" s="148"/>
      <c r="M152" s="161"/>
      <c r="N152" s="146"/>
      <c r="O152" s="162"/>
      <c r="P152" s="148"/>
      <c r="Q152" s="161"/>
      <c r="R152" s="146" t="str">
        <f>IF(Q152&lt;&gt;"", SUMIF(Bets!$D:$D, Q152, Bets!AD:AD), "")</f>
        <v/>
      </c>
      <c r="S152" s="162"/>
      <c r="T152" s="148"/>
      <c r="U152" s="161"/>
      <c r="V152" s="146" t="str">
        <f>IF(U152&lt;&gt;"", SUMIF(Bets!$D:$D, U152, Bets!AE:AE), "")</f>
        <v/>
      </c>
      <c r="W152" s="162"/>
      <c r="X152" s="148"/>
      <c r="Y152" s="161"/>
      <c r="Z152" s="146" t="str">
        <f>IF(Y152&lt;&gt;"", SUMIF(Bets!$D:$D, Y152, Bets!AF:AF), "")</f>
        <v/>
      </c>
      <c r="AA152" s="162"/>
      <c r="AB152" s="148"/>
      <c r="AC152" s="161"/>
      <c r="AD152" s="146" t="str">
        <f>IF(AC152&lt;&gt;"", SUMIF(Bets!$D:$D, AC152, Bets!AG:AG), "")</f>
        <v/>
      </c>
      <c r="AE152" s="162"/>
      <c r="AF152" s="148"/>
    </row>
    <row r="153" hidden="1" outlineLevel="1">
      <c r="A153" s="161">
        <f>IFERROR(__xludf.DUMMYFUNCTION("""COMPUTED_VALUE"""),45285.0)</f>
        <v>45285</v>
      </c>
      <c r="B153" s="146">
        <f>IF(A153&lt;&gt;"", SUMIF(Bets!$D:$D, A153, Bets!Z:Z), "")</f>
        <v>0.935</v>
      </c>
      <c r="C153" s="162"/>
      <c r="D153" s="148"/>
      <c r="E153" s="161"/>
      <c r="F153" s="146" t="str">
        <f>IF(E153&lt;&gt;"", SUMIF(Bets!$D:$D, E153, Bets!AB:AB), "")</f>
        <v/>
      </c>
      <c r="G153" s="162"/>
      <c r="H153" s="148"/>
      <c r="I153" s="161">
        <f>IFERROR(__xludf.DUMMYFUNCTION("""COMPUTED_VALUE"""),45284.0)</f>
        <v>45284</v>
      </c>
      <c r="J153" s="146">
        <f>IF(I153&lt;&gt;"", SUMIF(Bets!$D:$D, I153, Bets!AA:AA), "")</f>
        <v>-10</v>
      </c>
      <c r="K153" s="162"/>
      <c r="L153" s="148"/>
      <c r="M153" s="161"/>
      <c r="N153" s="146"/>
      <c r="O153" s="162"/>
      <c r="P153" s="148"/>
      <c r="Q153" s="161"/>
      <c r="R153" s="146" t="str">
        <f>IF(Q153&lt;&gt;"", SUMIF(Bets!$D:$D, Q153, Bets!AD:AD), "")</f>
        <v/>
      </c>
      <c r="S153" s="162"/>
      <c r="T153" s="148"/>
      <c r="U153" s="161"/>
      <c r="V153" s="146" t="str">
        <f>IF(U153&lt;&gt;"", SUMIF(Bets!$D:$D, U153, Bets!AE:AE), "")</f>
        <v/>
      </c>
      <c r="W153" s="162"/>
      <c r="X153" s="148"/>
      <c r="Y153" s="161"/>
      <c r="Z153" s="146" t="str">
        <f>IF(Y153&lt;&gt;"", SUMIF(Bets!$D:$D, Y153, Bets!AF:AF), "")</f>
        <v/>
      </c>
      <c r="AA153" s="162"/>
      <c r="AB153" s="148"/>
      <c r="AC153" s="161"/>
      <c r="AD153" s="146" t="str">
        <f>IF(AC153&lt;&gt;"", SUMIF(Bets!$D:$D, AC153, Bets!AG:AG), "")</f>
        <v/>
      </c>
      <c r="AE153" s="162"/>
      <c r="AF153" s="148"/>
    </row>
    <row r="154" hidden="1" outlineLevel="1">
      <c r="A154" s="161">
        <f>IFERROR(__xludf.DUMMYFUNCTION("""COMPUTED_VALUE"""),45284.0)</f>
        <v>45284</v>
      </c>
      <c r="B154" s="146">
        <f>IF(A154&lt;&gt;"", SUMIF(Bets!$D:$D, A154, Bets!Z:Z), "")</f>
        <v>-1</v>
      </c>
      <c r="C154" s="162"/>
      <c r="D154" s="148"/>
      <c r="E154" s="161"/>
      <c r="F154" s="146" t="str">
        <f>IF(E154&lt;&gt;"", SUMIF(Bets!$D:$D, E154, Bets!AB:AB), "")</f>
        <v/>
      </c>
      <c r="G154" s="162"/>
      <c r="H154" s="148"/>
      <c r="I154" s="161">
        <f>IFERROR(__xludf.DUMMYFUNCTION("""COMPUTED_VALUE"""),45282.0)</f>
        <v>45282</v>
      </c>
      <c r="J154" s="146">
        <f>IF(I154&lt;&gt;"", SUMIF(Bets!$D:$D, I154, Bets!AA:AA), "")</f>
        <v>4.848</v>
      </c>
      <c r="K154" s="162"/>
      <c r="L154" s="148"/>
      <c r="M154" s="161"/>
      <c r="N154" s="146"/>
      <c r="O154" s="162"/>
      <c r="P154" s="148"/>
      <c r="Q154" s="161"/>
      <c r="R154" s="146" t="str">
        <f>IF(Q154&lt;&gt;"", SUMIF(Bets!$D:$D, Q154, Bets!AD:AD), "")</f>
        <v/>
      </c>
      <c r="S154" s="162"/>
      <c r="T154" s="148"/>
      <c r="U154" s="161"/>
      <c r="V154" s="146" t="str">
        <f>IF(U154&lt;&gt;"", SUMIF(Bets!$D:$D, U154, Bets!AE:AE), "")</f>
        <v/>
      </c>
      <c r="W154" s="162"/>
      <c r="X154" s="148"/>
      <c r="Y154" s="161"/>
      <c r="Z154" s="146" t="str">
        <f>IF(Y154&lt;&gt;"", SUMIF(Bets!$D:$D, Y154, Bets!AF:AF), "")</f>
        <v/>
      </c>
      <c r="AA154" s="162"/>
      <c r="AB154" s="148"/>
      <c r="AC154" s="161"/>
      <c r="AD154" s="146" t="str">
        <f>IF(AC154&lt;&gt;"", SUMIF(Bets!$D:$D, AC154, Bets!AG:AG), "")</f>
        <v/>
      </c>
      <c r="AE154" s="162"/>
      <c r="AF154" s="148"/>
    </row>
    <row r="155" hidden="1" outlineLevel="1">
      <c r="A155" s="161">
        <f>IFERROR(__xludf.DUMMYFUNCTION("""COMPUTED_VALUE"""),45282.0)</f>
        <v>45282</v>
      </c>
      <c r="B155" s="146">
        <f>IF(A155&lt;&gt;"", SUMIF(Bets!$D:$D, A155, Bets!Z:Z), "")</f>
        <v>4.848</v>
      </c>
      <c r="C155" s="162"/>
      <c r="D155" s="148"/>
      <c r="E155" s="161"/>
      <c r="F155" s="146" t="str">
        <f>IF(E155&lt;&gt;"", SUMIF(Bets!$D:$D, E155, Bets!AB:AB), "")</f>
        <v/>
      </c>
      <c r="G155" s="162"/>
      <c r="H155" s="148"/>
      <c r="I155" s="161">
        <f>IFERROR(__xludf.DUMMYFUNCTION("""COMPUTED_VALUE"""),45281.0)</f>
        <v>45281</v>
      </c>
      <c r="J155" s="146">
        <f>IF(I155&lt;&gt;"", SUMIF(Bets!$D:$D, I155, Bets!AA:AA), "")</f>
        <v>13.05</v>
      </c>
      <c r="K155" s="162"/>
      <c r="L155" s="148"/>
      <c r="M155" s="161"/>
      <c r="N155" s="146"/>
      <c r="O155" s="162"/>
      <c r="P155" s="148"/>
      <c r="Q155" s="161"/>
      <c r="R155" s="146" t="str">
        <f>IF(Q155&lt;&gt;"", SUMIF(Bets!$D:$D, Q155, Bets!AD:AD), "")</f>
        <v/>
      </c>
      <c r="S155" s="162"/>
      <c r="T155" s="148"/>
      <c r="U155" s="161"/>
      <c r="V155" s="146" t="str">
        <f>IF(U155&lt;&gt;"", SUMIF(Bets!$D:$D, U155, Bets!AE:AE), "")</f>
        <v/>
      </c>
      <c r="W155" s="162"/>
      <c r="X155" s="148"/>
      <c r="Y155" s="161"/>
      <c r="Z155" s="146" t="str">
        <f>IF(Y155&lt;&gt;"", SUMIF(Bets!$D:$D, Y155, Bets!AF:AF), "")</f>
        <v/>
      </c>
      <c r="AA155" s="162"/>
      <c r="AB155" s="148"/>
      <c r="AC155" s="161"/>
      <c r="AD155" s="146" t="str">
        <f>IF(AC155&lt;&gt;"", SUMIF(Bets!$D:$D, AC155, Bets!AG:AG), "")</f>
        <v/>
      </c>
      <c r="AE155" s="162"/>
      <c r="AF155" s="148"/>
    </row>
    <row r="156" hidden="1" outlineLevel="1">
      <c r="A156" s="161">
        <f>IFERROR(__xludf.DUMMYFUNCTION("""COMPUTED_VALUE"""),45281.0)</f>
        <v>45281</v>
      </c>
      <c r="B156" s="146">
        <f>IF(A156&lt;&gt;"", SUMIF(Bets!$D:$D, A156, Bets!Z:Z), "")</f>
        <v>-3.2375</v>
      </c>
      <c r="C156" s="162"/>
      <c r="D156" s="148"/>
      <c r="E156" s="161"/>
      <c r="F156" s="146" t="str">
        <f>IF(E156&lt;&gt;"", SUMIF(Bets!$D:$D, E156, Bets!AB:AB), "")</f>
        <v/>
      </c>
      <c r="G156" s="162"/>
      <c r="H156" s="148"/>
      <c r="I156" s="161">
        <f>IFERROR(__xludf.DUMMYFUNCTION("""COMPUTED_VALUE"""),45280.0)</f>
        <v>45280</v>
      </c>
      <c r="J156" s="146">
        <f>IF(I156&lt;&gt;"", SUMIF(Bets!$D:$D, I156, Bets!AA:AA), "")</f>
        <v>-3.764</v>
      </c>
      <c r="K156" s="162"/>
      <c r="L156" s="148"/>
      <c r="M156" s="161"/>
      <c r="N156" s="146"/>
      <c r="O156" s="162"/>
      <c r="P156" s="148"/>
      <c r="Q156" s="161"/>
      <c r="R156" s="146" t="str">
        <f>IF(Q156&lt;&gt;"", SUMIF(Bets!$D:$D, Q156, Bets!AD:AD), "")</f>
        <v/>
      </c>
      <c r="S156" s="162"/>
      <c r="T156" s="148"/>
      <c r="U156" s="161"/>
      <c r="V156" s="146" t="str">
        <f>IF(U156&lt;&gt;"", SUMIF(Bets!$D:$D, U156, Bets!AE:AE), "")</f>
        <v/>
      </c>
      <c r="W156" s="162"/>
      <c r="X156" s="148"/>
      <c r="Y156" s="161"/>
      <c r="Z156" s="146" t="str">
        <f>IF(Y156&lt;&gt;"", SUMIF(Bets!$D:$D, Y156, Bets!AF:AF), "")</f>
        <v/>
      </c>
      <c r="AA156" s="162"/>
      <c r="AB156" s="148"/>
      <c r="AC156" s="161"/>
      <c r="AD156" s="146" t="str">
        <f>IF(AC156&lt;&gt;"", SUMIF(Bets!$D:$D, AC156, Bets!AG:AG), "")</f>
        <v/>
      </c>
      <c r="AE156" s="162"/>
      <c r="AF156" s="148"/>
    </row>
    <row r="157" hidden="1" outlineLevel="1">
      <c r="A157" s="161">
        <f>IFERROR(__xludf.DUMMYFUNCTION("""COMPUTED_VALUE"""),45280.0)</f>
        <v>45280</v>
      </c>
      <c r="B157" s="146">
        <f>IF(A157&lt;&gt;"", SUMIF(Bets!$D:$D, A157, Bets!Z:Z), "")</f>
        <v>-3.764</v>
      </c>
      <c r="C157" s="162"/>
      <c r="D157" s="148"/>
      <c r="E157" s="161"/>
      <c r="F157" s="146" t="str">
        <f>IF(E157&lt;&gt;"", SUMIF(Bets!$D:$D, E157, Bets!AB:AB), "")</f>
        <v/>
      </c>
      <c r="G157" s="162"/>
      <c r="H157" s="148"/>
      <c r="I157" s="161">
        <f>IFERROR(__xludf.DUMMYFUNCTION("""COMPUTED_VALUE"""),45279.0)</f>
        <v>45279</v>
      </c>
      <c r="J157" s="146">
        <f>IF(I157&lt;&gt;"", SUMIF(Bets!$D:$D, I157, Bets!AA:AA), "")</f>
        <v>20.576</v>
      </c>
      <c r="K157" s="162"/>
      <c r="L157" s="148"/>
      <c r="M157" s="161"/>
      <c r="N157" s="146"/>
      <c r="O157" s="162"/>
      <c r="P157" s="148"/>
      <c r="Q157" s="161"/>
      <c r="R157" s="146" t="str">
        <f>IF(Q157&lt;&gt;"", SUMIF(Bets!$D:$D, Q157, Bets!AD:AD), "")</f>
        <v/>
      </c>
      <c r="S157" s="162"/>
      <c r="T157" s="148"/>
      <c r="U157" s="161"/>
      <c r="V157" s="146" t="str">
        <f>IF(U157&lt;&gt;"", SUMIF(Bets!$D:$D, U157, Bets!AE:AE), "")</f>
        <v/>
      </c>
      <c r="W157" s="162"/>
      <c r="X157" s="148"/>
      <c r="Y157" s="161"/>
      <c r="Z157" s="146" t="str">
        <f>IF(Y157&lt;&gt;"", SUMIF(Bets!$D:$D, Y157, Bets!AF:AF), "")</f>
        <v/>
      </c>
      <c r="AA157" s="162"/>
      <c r="AB157" s="148"/>
      <c r="AC157" s="161"/>
      <c r="AD157" s="146" t="str">
        <f>IF(AC157&lt;&gt;"", SUMIF(Bets!$D:$D, AC157, Bets!AG:AG), "")</f>
        <v/>
      </c>
      <c r="AE157" s="162"/>
      <c r="AF157" s="148"/>
    </row>
    <row r="158" hidden="1" outlineLevel="1">
      <c r="A158" s="161">
        <f>IFERROR(__xludf.DUMMYFUNCTION("""COMPUTED_VALUE"""),45279.0)</f>
        <v>45279</v>
      </c>
      <c r="B158" s="146">
        <f>IF(A158&lt;&gt;"", SUMIF(Bets!$D:$D, A158, Bets!Z:Z), "")</f>
        <v>20.576</v>
      </c>
      <c r="C158" s="162"/>
      <c r="D158" s="148"/>
      <c r="E158" s="161"/>
      <c r="F158" s="146" t="str">
        <f>IF(E158&lt;&gt;"", SUMIF(Bets!$D:$D, E158, Bets!AB:AB), "")</f>
        <v/>
      </c>
      <c r="G158" s="162"/>
      <c r="H158" s="148"/>
      <c r="I158" s="161">
        <f>IFERROR(__xludf.DUMMYFUNCTION("""COMPUTED_VALUE"""),45278.0)</f>
        <v>45278</v>
      </c>
      <c r="J158" s="146">
        <f>IF(I158&lt;&gt;"", SUMIF(Bets!$D:$D, I158, Bets!AA:AA), "")</f>
        <v>-2.132</v>
      </c>
      <c r="K158" s="162"/>
      <c r="L158" s="148"/>
      <c r="M158" s="161"/>
      <c r="N158" s="146"/>
      <c r="O158" s="162"/>
      <c r="P158" s="148"/>
      <c r="Q158" s="161"/>
      <c r="R158" s="146" t="str">
        <f>IF(Q158&lt;&gt;"", SUMIF(Bets!$D:$D, Q158, Bets!AD:AD), "")</f>
        <v/>
      </c>
      <c r="S158" s="162"/>
      <c r="T158" s="148"/>
      <c r="U158" s="161"/>
      <c r="V158" s="146" t="str">
        <f>IF(U158&lt;&gt;"", SUMIF(Bets!$D:$D, U158, Bets!AE:AE), "")</f>
        <v/>
      </c>
      <c r="W158" s="162"/>
      <c r="X158" s="148"/>
      <c r="Y158" s="161"/>
      <c r="Z158" s="146" t="str">
        <f>IF(Y158&lt;&gt;"", SUMIF(Bets!$D:$D, Y158, Bets!AF:AF), "")</f>
        <v/>
      </c>
      <c r="AA158" s="162"/>
      <c r="AB158" s="148"/>
      <c r="AC158" s="161"/>
      <c r="AD158" s="146" t="str">
        <f>IF(AC158&lt;&gt;"", SUMIF(Bets!$D:$D, AC158, Bets!AG:AG), "")</f>
        <v/>
      </c>
      <c r="AE158" s="162"/>
      <c r="AF158" s="148"/>
    </row>
    <row r="159" hidden="1" outlineLevel="1">
      <c r="A159" s="161">
        <f>IFERROR(__xludf.DUMMYFUNCTION("""COMPUTED_VALUE"""),45278.0)</f>
        <v>45278</v>
      </c>
      <c r="B159" s="146">
        <f>IF(A159&lt;&gt;"", SUMIF(Bets!$D:$D, A159, Bets!Z:Z), "")</f>
        <v>-1.132</v>
      </c>
      <c r="C159" s="162"/>
      <c r="D159" s="148"/>
      <c r="E159" s="161"/>
      <c r="F159" s="146" t="str">
        <f>IF(E159&lt;&gt;"", SUMIF(Bets!$D:$D, E159, Bets!AB:AB), "")</f>
        <v/>
      </c>
      <c r="G159" s="162"/>
      <c r="H159" s="148"/>
      <c r="I159" s="161">
        <f>IFERROR(__xludf.DUMMYFUNCTION("""COMPUTED_VALUE"""),45277.0)</f>
        <v>45277</v>
      </c>
      <c r="J159" s="146">
        <f>IF(I159&lt;&gt;"", SUMIF(Bets!$D:$D, I159, Bets!AA:AA), "")</f>
        <v>-51.106</v>
      </c>
      <c r="K159" s="162"/>
      <c r="L159" s="148"/>
      <c r="M159" s="161"/>
      <c r="N159" s="146"/>
      <c r="O159" s="162"/>
      <c r="P159" s="148"/>
      <c r="Q159" s="161"/>
      <c r="R159" s="146" t="str">
        <f>IF(Q159&lt;&gt;"", SUMIF(Bets!$D:$D, Q159, Bets!AD:AD), "")</f>
        <v/>
      </c>
      <c r="S159" s="162"/>
      <c r="T159" s="148"/>
      <c r="U159" s="161"/>
      <c r="V159" s="146" t="str">
        <f>IF(U159&lt;&gt;"", SUMIF(Bets!$D:$D, U159, Bets!AE:AE), "")</f>
        <v/>
      </c>
      <c r="W159" s="162"/>
      <c r="X159" s="148"/>
      <c r="Y159" s="161"/>
      <c r="Z159" s="146" t="str">
        <f>IF(Y159&lt;&gt;"", SUMIF(Bets!$D:$D, Y159, Bets!AF:AF), "")</f>
        <v/>
      </c>
      <c r="AA159" s="162"/>
      <c r="AB159" s="148"/>
      <c r="AC159" s="161"/>
      <c r="AD159" s="146" t="str">
        <f>IF(AC159&lt;&gt;"", SUMIF(Bets!$D:$D, AC159, Bets!AG:AG), "")</f>
        <v/>
      </c>
      <c r="AE159" s="162"/>
      <c r="AF159" s="148"/>
    </row>
    <row r="160" hidden="1" outlineLevel="1">
      <c r="A160" s="161">
        <f>IFERROR(__xludf.DUMMYFUNCTION("""COMPUTED_VALUE"""),45277.0)</f>
        <v>45277</v>
      </c>
      <c r="B160" s="146">
        <f>IF(A160&lt;&gt;"", SUMIF(Bets!$D:$D, A160, Bets!Z:Z), "")</f>
        <v>-27.356</v>
      </c>
      <c r="C160" s="162"/>
      <c r="D160" s="148"/>
      <c r="E160" s="161"/>
      <c r="F160" s="146" t="str">
        <f>IF(E160&lt;&gt;"", SUMIF(Bets!$D:$D, E160, Bets!AB:AB), "")</f>
        <v/>
      </c>
      <c r="G160" s="162"/>
      <c r="H160" s="148"/>
      <c r="I160" s="161">
        <f>IFERROR(__xludf.DUMMYFUNCTION("""COMPUTED_VALUE"""),45276.0)</f>
        <v>45276</v>
      </c>
      <c r="J160" s="146">
        <f>IF(I160&lt;&gt;"", SUMIF(Bets!$D:$D, I160, Bets!AA:AA), "")</f>
        <v>16.20198135</v>
      </c>
      <c r="K160" s="162"/>
      <c r="L160" s="148"/>
      <c r="M160" s="161"/>
      <c r="N160" s="146"/>
      <c r="O160" s="162"/>
      <c r="P160" s="148"/>
      <c r="Q160" s="161"/>
      <c r="R160" s="146" t="str">
        <f>IF(Q160&lt;&gt;"", SUMIF(Bets!$D:$D, Q160, Bets!AD:AD), "")</f>
        <v/>
      </c>
      <c r="S160" s="162"/>
      <c r="T160" s="148"/>
      <c r="U160" s="161"/>
      <c r="V160" s="146" t="str">
        <f>IF(U160&lt;&gt;"", SUMIF(Bets!$D:$D, U160, Bets!AE:AE), "")</f>
        <v/>
      </c>
      <c r="W160" s="162"/>
      <c r="X160" s="148"/>
      <c r="Y160" s="161"/>
      <c r="Z160" s="146" t="str">
        <f>IF(Y160&lt;&gt;"", SUMIF(Bets!$D:$D, Y160, Bets!AF:AF), "")</f>
        <v/>
      </c>
      <c r="AA160" s="162"/>
      <c r="AB160" s="148"/>
      <c r="AC160" s="161"/>
      <c r="AD160" s="146" t="str">
        <f>IF(AC160&lt;&gt;"", SUMIF(Bets!$D:$D, AC160, Bets!AG:AG), "")</f>
        <v/>
      </c>
      <c r="AE160" s="162"/>
      <c r="AF160" s="148"/>
    </row>
    <row r="161" hidden="1" outlineLevel="1">
      <c r="A161" s="161">
        <f>IFERROR(__xludf.DUMMYFUNCTION("""COMPUTED_VALUE"""),45276.0)</f>
        <v>45276</v>
      </c>
      <c r="B161" s="146">
        <f>IF(A161&lt;&gt;"", SUMIF(Bets!$D:$D, A161, Bets!Z:Z), "")</f>
        <v>9.612750583</v>
      </c>
      <c r="C161" s="162"/>
      <c r="D161" s="148"/>
      <c r="E161" s="161"/>
      <c r="F161" s="146" t="str">
        <f>IF(E161&lt;&gt;"", SUMIF(Bets!$D:$D, E161, Bets!AB:AB), "")</f>
        <v/>
      </c>
      <c r="G161" s="162"/>
      <c r="H161" s="148"/>
      <c r="I161" s="161">
        <f>IFERROR(__xludf.DUMMYFUNCTION("""COMPUTED_VALUE"""),45275.0)</f>
        <v>45275</v>
      </c>
      <c r="J161" s="146">
        <f>IF(I161&lt;&gt;"", SUMIF(Bets!$D:$D, I161, Bets!AA:AA), "")</f>
        <v>-0.328</v>
      </c>
      <c r="K161" s="162"/>
      <c r="L161" s="148"/>
      <c r="M161" s="161"/>
      <c r="N161" s="146"/>
      <c r="O161" s="162"/>
      <c r="P161" s="148"/>
      <c r="Q161" s="161"/>
      <c r="R161" s="146" t="str">
        <f>IF(Q161&lt;&gt;"", SUMIF(Bets!$D:$D, Q161, Bets!AD:AD), "")</f>
        <v/>
      </c>
      <c r="S161" s="162"/>
      <c r="T161" s="148"/>
      <c r="U161" s="161"/>
      <c r="V161" s="146" t="str">
        <f>IF(U161&lt;&gt;"", SUMIF(Bets!$D:$D, U161, Bets!AE:AE), "")</f>
        <v/>
      </c>
      <c r="W161" s="162"/>
      <c r="X161" s="148"/>
      <c r="Y161" s="161"/>
      <c r="Z161" s="146" t="str">
        <f>IF(Y161&lt;&gt;"", SUMIF(Bets!$D:$D, Y161, Bets!AF:AF), "")</f>
        <v/>
      </c>
      <c r="AA161" s="162"/>
      <c r="AB161" s="148"/>
      <c r="AC161" s="161"/>
      <c r="AD161" s="146" t="str">
        <f>IF(AC161&lt;&gt;"", SUMIF(Bets!$D:$D, AC161, Bets!AG:AG), "")</f>
        <v/>
      </c>
      <c r="AE161" s="162"/>
      <c r="AF161" s="148"/>
    </row>
    <row r="162" hidden="1" outlineLevel="1">
      <c r="A162" s="161">
        <f>IFERROR(__xludf.DUMMYFUNCTION("""COMPUTED_VALUE"""),45275.0)</f>
        <v>45275</v>
      </c>
      <c r="B162" s="146">
        <f>IF(A162&lt;&gt;"", SUMIF(Bets!$D:$D, A162, Bets!Z:Z), "")</f>
        <v>2.172</v>
      </c>
      <c r="C162" s="162"/>
      <c r="D162" s="148"/>
      <c r="E162" s="161"/>
      <c r="F162" s="146" t="str">
        <f>IF(E162&lt;&gt;"", SUMIF(Bets!$D:$D, E162, Bets!AB:AB), "")</f>
        <v/>
      </c>
      <c r="G162" s="162"/>
      <c r="H162" s="148"/>
      <c r="I162" s="161">
        <f>IFERROR(__xludf.DUMMYFUNCTION("""COMPUTED_VALUE"""),45274.0)</f>
        <v>45274</v>
      </c>
      <c r="J162" s="146">
        <f>IF(I162&lt;&gt;"", SUMIF(Bets!$D:$D, I162, Bets!AA:AA), "")</f>
        <v>15.566</v>
      </c>
      <c r="K162" s="162"/>
      <c r="L162" s="148"/>
      <c r="M162" s="161"/>
      <c r="N162" s="146"/>
      <c r="O162" s="162"/>
      <c r="P162" s="148"/>
      <c r="Q162" s="161"/>
      <c r="R162" s="146" t="str">
        <f>IF(Q162&lt;&gt;"", SUMIF(Bets!$D:$D, Q162, Bets!AD:AD), "")</f>
        <v/>
      </c>
      <c r="S162" s="162"/>
      <c r="T162" s="148"/>
      <c r="U162" s="161"/>
      <c r="V162" s="146" t="str">
        <f>IF(U162&lt;&gt;"", SUMIF(Bets!$D:$D, U162, Bets!AE:AE), "")</f>
        <v/>
      </c>
      <c r="W162" s="162"/>
      <c r="X162" s="148"/>
      <c r="Y162" s="161"/>
      <c r="Z162" s="146" t="str">
        <f>IF(Y162&lt;&gt;"", SUMIF(Bets!$D:$D, Y162, Bets!AF:AF), "")</f>
        <v/>
      </c>
      <c r="AA162" s="162"/>
      <c r="AB162" s="148"/>
      <c r="AC162" s="161"/>
      <c r="AD162" s="146" t="str">
        <f>IF(AC162&lt;&gt;"", SUMIF(Bets!$D:$D, AC162, Bets!AG:AG), "")</f>
        <v/>
      </c>
      <c r="AE162" s="162"/>
      <c r="AF162" s="148"/>
    </row>
    <row r="163" hidden="1" outlineLevel="1">
      <c r="A163" s="161">
        <f>IFERROR(__xludf.DUMMYFUNCTION("""COMPUTED_VALUE"""),45274.0)</f>
        <v>45274</v>
      </c>
      <c r="B163" s="146">
        <f>IF(A163&lt;&gt;"", SUMIF(Bets!$D:$D, A163, Bets!Z:Z), "")</f>
        <v>0.576</v>
      </c>
      <c r="C163" s="162"/>
      <c r="D163" s="148"/>
      <c r="E163" s="161"/>
      <c r="F163" s="146" t="str">
        <f>IF(E163&lt;&gt;"", SUMIF(Bets!$D:$D, E163, Bets!AB:AB), "")</f>
        <v/>
      </c>
      <c r="G163" s="162"/>
      <c r="H163" s="148"/>
      <c r="I163" s="161">
        <f>IFERROR(__xludf.DUMMYFUNCTION("""COMPUTED_VALUE"""),45271.0)</f>
        <v>45271</v>
      </c>
      <c r="J163" s="146">
        <f>IF(I163&lt;&gt;"", SUMIF(Bets!$D:$D, I163, Bets!AA:AA), "")</f>
        <v>-18.5</v>
      </c>
      <c r="K163" s="162"/>
      <c r="L163" s="148"/>
      <c r="M163" s="161"/>
      <c r="N163" s="146"/>
      <c r="O163" s="162"/>
      <c r="P163" s="148"/>
      <c r="Q163" s="161"/>
      <c r="R163" s="146" t="str">
        <f>IF(Q163&lt;&gt;"", SUMIF(Bets!$D:$D, Q163, Bets!AD:AD), "")</f>
        <v/>
      </c>
      <c r="S163" s="162"/>
      <c r="T163" s="148"/>
      <c r="U163" s="161"/>
      <c r="V163" s="146" t="str">
        <f>IF(U163&lt;&gt;"", SUMIF(Bets!$D:$D, U163, Bets!AE:AE), "")</f>
        <v/>
      </c>
      <c r="W163" s="162"/>
      <c r="X163" s="148"/>
      <c r="Y163" s="161"/>
      <c r="Z163" s="146" t="str">
        <f>IF(Y163&lt;&gt;"", SUMIF(Bets!$D:$D, Y163, Bets!AF:AF), "")</f>
        <v/>
      </c>
      <c r="AA163" s="162"/>
      <c r="AB163" s="148"/>
      <c r="AC163" s="161"/>
      <c r="AD163" s="146" t="str">
        <f>IF(AC163&lt;&gt;"", SUMIF(Bets!$D:$D, AC163, Bets!AG:AG), "")</f>
        <v/>
      </c>
      <c r="AE163" s="162"/>
      <c r="AF163" s="148"/>
    </row>
    <row r="164" hidden="1" outlineLevel="1">
      <c r="A164" s="161">
        <f>IFERROR(__xludf.DUMMYFUNCTION("""COMPUTED_VALUE"""),45271.0)</f>
        <v>45271</v>
      </c>
      <c r="B164" s="146">
        <f>IF(A164&lt;&gt;"", SUMIF(Bets!$D:$D, A164, Bets!Z:Z), "")</f>
        <v>-17</v>
      </c>
      <c r="C164" s="162"/>
      <c r="D164" s="148"/>
      <c r="E164" s="161"/>
      <c r="F164" s="146" t="str">
        <f>IF(E164&lt;&gt;"", SUMIF(Bets!$D:$D, E164, Bets!AB:AB), "")</f>
        <v/>
      </c>
      <c r="G164" s="162"/>
      <c r="H164" s="148"/>
      <c r="I164" s="161">
        <f>IFERROR(__xludf.DUMMYFUNCTION("""COMPUTED_VALUE"""),45270.0)</f>
        <v>45270</v>
      </c>
      <c r="J164" s="146">
        <f>IF(I164&lt;&gt;"", SUMIF(Bets!$D:$D, I164, Bets!AA:AA), "")</f>
        <v>-37.28362637</v>
      </c>
      <c r="K164" s="162"/>
      <c r="L164" s="148"/>
      <c r="M164" s="161"/>
      <c r="N164" s="146"/>
      <c r="O164" s="162"/>
      <c r="P164" s="148"/>
      <c r="Q164" s="161"/>
      <c r="R164" s="146" t="str">
        <f>IF(Q164&lt;&gt;"", SUMIF(Bets!$D:$D, Q164, Bets!AD:AD), "")</f>
        <v/>
      </c>
      <c r="S164" s="162"/>
      <c r="T164" s="148"/>
      <c r="U164" s="161"/>
      <c r="V164" s="146" t="str">
        <f>IF(U164&lt;&gt;"", SUMIF(Bets!$D:$D, U164, Bets!AE:AE), "")</f>
        <v/>
      </c>
      <c r="W164" s="162"/>
      <c r="X164" s="148"/>
      <c r="Y164" s="161"/>
      <c r="Z164" s="146" t="str">
        <f>IF(Y164&lt;&gt;"", SUMIF(Bets!$D:$D, Y164, Bets!AF:AF), "")</f>
        <v/>
      </c>
      <c r="AA164" s="162"/>
      <c r="AB164" s="148"/>
      <c r="AC164" s="161"/>
      <c r="AD164" s="146" t="str">
        <f>IF(AC164&lt;&gt;"", SUMIF(Bets!$D:$D, AC164, Bets!AG:AG), "")</f>
        <v/>
      </c>
      <c r="AE164" s="162"/>
      <c r="AF164" s="148"/>
    </row>
    <row r="165" hidden="1" outlineLevel="1">
      <c r="A165" s="161">
        <f>IFERROR(__xludf.DUMMYFUNCTION("""COMPUTED_VALUE"""),45270.0)</f>
        <v>45270</v>
      </c>
      <c r="B165" s="146">
        <f>IF(A165&lt;&gt;"", SUMIF(Bets!$D:$D, A165, Bets!Z:Z), "")</f>
        <v>-25.84148352</v>
      </c>
      <c r="C165" s="162"/>
      <c r="D165" s="148"/>
      <c r="E165" s="161"/>
      <c r="F165" s="146" t="str">
        <f>IF(E165&lt;&gt;"", SUMIF(Bets!$D:$D, E165, Bets!AB:AB), "")</f>
        <v/>
      </c>
      <c r="G165" s="162"/>
      <c r="H165" s="148"/>
      <c r="I165" s="161">
        <f>IFERROR(__xludf.DUMMYFUNCTION("""COMPUTED_VALUE"""),45269.0)</f>
        <v>45269</v>
      </c>
      <c r="J165" s="146">
        <f>IF(I165&lt;&gt;"", SUMIF(Bets!$D:$D, I165, Bets!AA:AA), "")</f>
        <v>-11.2</v>
      </c>
      <c r="K165" s="162"/>
      <c r="L165" s="148"/>
      <c r="M165" s="161"/>
      <c r="N165" s="146"/>
      <c r="O165" s="162"/>
      <c r="P165" s="148"/>
      <c r="Q165" s="161"/>
      <c r="R165" s="146" t="str">
        <f>IF(Q165&lt;&gt;"", SUMIF(Bets!$D:$D, Q165, Bets!AD:AD), "")</f>
        <v/>
      </c>
      <c r="S165" s="162"/>
      <c r="T165" s="148"/>
      <c r="U165" s="161"/>
      <c r="V165" s="146" t="str">
        <f>IF(U165&lt;&gt;"", SUMIF(Bets!$D:$D, U165, Bets!AE:AE), "")</f>
        <v/>
      </c>
      <c r="W165" s="162"/>
      <c r="X165" s="148"/>
      <c r="Y165" s="161"/>
      <c r="Z165" s="146" t="str">
        <f>IF(Y165&lt;&gt;"", SUMIF(Bets!$D:$D, Y165, Bets!AF:AF), "")</f>
        <v/>
      </c>
      <c r="AA165" s="162"/>
      <c r="AB165" s="148"/>
      <c r="AC165" s="161"/>
      <c r="AD165" s="146" t="str">
        <f>IF(AC165&lt;&gt;"", SUMIF(Bets!$D:$D, AC165, Bets!AG:AG), "")</f>
        <v/>
      </c>
      <c r="AE165" s="162"/>
      <c r="AF165" s="148"/>
    </row>
    <row r="166" hidden="1" outlineLevel="1">
      <c r="A166" s="161">
        <f>IFERROR(__xludf.DUMMYFUNCTION("""COMPUTED_VALUE"""),45269.0)</f>
        <v>45269</v>
      </c>
      <c r="B166" s="146">
        <f>IF(A166&lt;&gt;"", SUMIF(Bets!$D:$D, A166, Bets!Z:Z), "")</f>
        <v>-7.5</v>
      </c>
      <c r="C166" s="162"/>
      <c r="D166" s="148"/>
      <c r="E166" s="161"/>
      <c r="F166" s="146" t="str">
        <f>IF(E166&lt;&gt;"", SUMIF(Bets!$D:$D, E166, Bets!AB:AB), "")</f>
        <v/>
      </c>
      <c r="G166" s="162"/>
      <c r="H166" s="148"/>
      <c r="I166" s="161">
        <f>IFERROR(__xludf.DUMMYFUNCTION("""COMPUTED_VALUE"""),45268.0)</f>
        <v>45268</v>
      </c>
      <c r="J166" s="146">
        <f>IF(I166&lt;&gt;"", SUMIF(Bets!$D:$D, I166, Bets!AA:AA), "")</f>
        <v>5.751428571</v>
      </c>
      <c r="K166" s="162"/>
      <c r="L166" s="148"/>
      <c r="M166" s="161"/>
      <c r="N166" s="146"/>
      <c r="O166" s="162"/>
      <c r="P166" s="148"/>
      <c r="Q166" s="161"/>
      <c r="R166" s="146" t="str">
        <f>IF(Q166&lt;&gt;"", SUMIF(Bets!$D:$D, Q166, Bets!AD:AD), "")</f>
        <v/>
      </c>
      <c r="S166" s="162"/>
      <c r="T166" s="148"/>
      <c r="U166" s="161"/>
      <c r="V166" s="146" t="str">
        <f>IF(U166&lt;&gt;"", SUMIF(Bets!$D:$D, U166, Bets!AE:AE), "")</f>
        <v/>
      </c>
      <c r="W166" s="162"/>
      <c r="X166" s="148"/>
      <c r="Y166" s="161"/>
      <c r="Z166" s="146" t="str">
        <f>IF(Y166&lt;&gt;"", SUMIF(Bets!$D:$D, Y166, Bets!AF:AF), "")</f>
        <v/>
      </c>
      <c r="AA166" s="162"/>
      <c r="AB166" s="148"/>
      <c r="AC166" s="161"/>
      <c r="AD166" s="146" t="str">
        <f>IF(AC166&lt;&gt;"", SUMIF(Bets!$D:$D, AC166, Bets!AG:AG), "")</f>
        <v/>
      </c>
      <c r="AE166" s="162"/>
      <c r="AF166" s="148"/>
    </row>
    <row r="167" hidden="1" outlineLevel="1">
      <c r="A167" s="161">
        <f>IFERROR(__xludf.DUMMYFUNCTION("""COMPUTED_VALUE"""),45268.0)</f>
        <v>45268</v>
      </c>
      <c r="B167" s="146">
        <f>IF(A167&lt;&gt;"", SUMIF(Bets!$D:$D, A167, Bets!Z:Z), "")</f>
        <v>4.792857143</v>
      </c>
      <c r="C167" s="162"/>
      <c r="D167" s="148"/>
      <c r="E167" s="161"/>
      <c r="F167" s="146" t="str">
        <f>IF(E167&lt;&gt;"", SUMIF(Bets!$D:$D, E167, Bets!AB:AB), "")</f>
        <v/>
      </c>
      <c r="G167" s="162"/>
      <c r="H167" s="148"/>
      <c r="I167" s="161">
        <f>IFERROR(__xludf.DUMMYFUNCTION("""COMPUTED_VALUE"""),45267.0)</f>
        <v>45267</v>
      </c>
      <c r="J167" s="146">
        <f>IF(I167&lt;&gt;"", SUMIF(Bets!$D:$D, I167, Bets!AA:AA), "")</f>
        <v>-15.57</v>
      </c>
      <c r="K167" s="162"/>
      <c r="L167" s="148"/>
      <c r="M167" s="161"/>
      <c r="N167" s="146"/>
      <c r="O167" s="162"/>
      <c r="P167" s="148"/>
      <c r="Q167" s="161"/>
      <c r="R167" s="146" t="str">
        <f>IF(Q167&lt;&gt;"", SUMIF(Bets!$D:$D, Q167, Bets!AD:AD), "")</f>
        <v/>
      </c>
      <c r="S167" s="162"/>
      <c r="T167" s="148"/>
      <c r="U167" s="161"/>
      <c r="V167" s="146" t="str">
        <f>IF(U167&lt;&gt;"", SUMIF(Bets!$D:$D, U167, Bets!AE:AE), "")</f>
        <v/>
      </c>
      <c r="W167" s="162"/>
      <c r="X167" s="148"/>
      <c r="Y167" s="161"/>
      <c r="Z167" s="146" t="str">
        <f>IF(Y167&lt;&gt;"", SUMIF(Bets!$D:$D, Y167, Bets!AF:AF), "")</f>
        <v/>
      </c>
      <c r="AA167" s="162"/>
      <c r="AB167" s="148"/>
      <c r="AC167" s="161"/>
      <c r="AD167" s="146" t="str">
        <f>IF(AC167&lt;&gt;"", SUMIF(Bets!$D:$D, AC167, Bets!AG:AG), "")</f>
        <v/>
      </c>
      <c r="AE167" s="162"/>
      <c r="AF167" s="148"/>
    </row>
    <row r="168" hidden="1" outlineLevel="1">
      <c r="A168" s="161">
        <f>IFERROR(__xludf.DUMMYFUNCTION("""COMPUTED_VALUE"""),45267.0)</f>
        <v>45267</v>
      </c>
      <c r="B168" s="146">
        <f>IF(A168&lt;&gt;"", SUMIF(Bets!$D:$D, A168, Bets!Z:Z), "")</f>
        <v>-8.8</v>
      </c>
      <c r="C168" s="162"/>
      <c r="D168" s="148"/>
      <c r="E168" s="161"/>
      <c r="F168" s="146" t="str">
        <f>IF(E168&lt;&gt;"", SUMIF(Bets!$D:$D, E168, Bets!AB:AB), "")</f>
        <v/>
      </c>
      <c r="G168" s="162"/>
      <c r="H168" s="148"/>
      <c r="I168" s="161">
        <f>IFERROR(__xludf.DUMMYFUNCTION("""COMPUTED_VALUE"""),45266.0)</f>
        <v>45266</v>
      </c>
      <c r="J168" s="146">
        <f>IF(I168&lt;&gt;"", SUMIF(Bets!$D:$D, I168, Bets!AA:AA), "")</f>
        <v>-7.316666667</v>
      </c>
      <c r="K168" s="162"/>
      <c r="L168" s="148"/>
      <c r="M168" s="161"/>
      <c r="N168" s="146"/>
      <c r="O168" s="162"/>
      <c r="P168" s="148"/>
      <c r="Q168" s="161"/>
      <c r="R168" s="146" t="str">
        <f>IF(Q168&lt;&gt;"", SUMIF(Bets!$D:$D, Q168, Bets!AD:AD), "")</f>
        <v/>
      </c>
      <c r="S168" s="162"/>
      <c r="T168" s="148"/>
      <c r="U168" s="161"/>
      <c r="V168" s="146" t="str">
        <f>IF(U168&lt;&gt;"", SUMIF(Bets!$D:$D, U168, Bets!AE:AE), "")</f>
        <v/>
      </c>
      <c r="W168" s="162"/>
      <c r="X168" s="148"/>
      <c r="Y168" s="161"/>
      <c r="Z168" s="146" t="str">
        <f>IF(Y168&lt;&gt;"", SUMIF(Bets!$D:$D, Y168, Bets!AF:AF), "")</f>
        <v/>
      </c>
      <c r="AA168" s="162"/>
      <c r="AB168" s="148"/>
      <c r="AC168" s="161"/>
      <c r="AD168" s="146" t="str">
        <f>IF(AC168&lt;&gt;"", SUMIF(Bets!$D:$D, AC168, Bets!AG:AG), "")</f>
        <v/>
      </c>
      <c r="AE168" s="162"/>
      <c r="AF168" s="148"/>
    </row>
    <row r="169" hidden="1" outlineLevel="1">
      <c r="A169" s="161">
        <f>IFERROR(__xludf.DUMMYFUNCTION("""COMPUTED_VALUE"""),45266.0)</f>
        <v>45266</v>
      </c>
      <c r="B169" s="146">
        <f>IF(A169&lt;&gt;"", SUMIF(Bets!$D:$D, A169, Bets!Z:Z), "")</f>
        <v>-5.316666667</v>
      </c>
      <c r="C169" s="162"/>
      <c r="D169" s="148"/>
      <c r="E169" s="161"/>
      <c r="F169" s="146" t="str">
        <f>IF(E169&lt;&gt;"", SUMIF(Bets!$D:$D, E169, Bets!AB:AB), "")</f>
        <v/>
      </c>
      <c r="G169" s="162"/>
      <c r="H169" s="148"/>
      <c r="I169" s="161">
        <f>IFERROR(__xludf.DUMMYFUNCTION("""COMPUTED_VALUE"""),45265.0)</f>
        <v>45265</v>
      </c>
      <c r="J169" s="146">
        <f>IF(I169&lt;&gt;"", SUMIF(Bets!$D:$D, I169, Bets!AA:AA), "")</f>
        <v>-12.34</v>
      </c>
      <c r="K169" s="162"/>
      <c r="L169" s="148"/>
      <c r="M169" s="161"/>
      <c r="N169" s="146"/>
      <c r="O169" s="162"/>
      <c r="P169" s="148"/>
      <c r="Q169" s="161"/>
      <c r="R169" s="146" t="str">
        <f>IF(Q169&lt;&gt;"", SUMIF(Bets!$D:$D, Q169, Bets!AD:AD), "")</f>
        <v/>
      </c>
      <c r="S169" s="162"/>
      <c r="T169" s="148"/>
      <c r="U169" s="161"/>
      <c r="V169" s="146" t="str">
        <f>IF(U169&lt;&gt;"", SUMIF(Bets!$D:$D, U169, Bets!AE:AE), "")</f>
        <v/>
      </c>
      <c r="W169" s="162"/>
      <c r="X169" s="148"/>
      <c r="Y169" s="161"/>
      <c r="Z169" s="146" t="str">
        <f>IF(Y169&lt;&gt;"", SUMIF(Bets!$D:$D, Y169, Bets!AF:AF), "")</f>
        <v/>
      </c>
      <c r="AA169" s="162"/>
      <c r="AB169" s="148"/>
      <c r="AC169" s="161"/>
      <c r="AD169" s="146" t="str">
        <f>IF(AC169&lt;&gt;"", SUMIF(Bets!$D:$D, AC169, Bets!AG:AG), "")</f>
        <v/>
      </c>
      <c r="AE169" s="162"/>
      <c r="AF169" s="148"/>
    </row>
    <row r="170" hidden="1" outlineLevel="1">
      <c r="A170" s="161">
        <f>IFERROR(__xludf.DUMMYFUNCTION("""COMPUTED_VALUE"""),45265.0)</f>
        <v>45265</v>
      </c>
      <c r="B170" s="146">
        <f>IF(A170&lt;&gt;"", SUMIF(Bets!$D:$D, A170, Bets!Z:Z), "")</f>
        <v>-10.83</v>
      </c>
      <c r="C170" s="162"/>
      <c r="D170" s="148"/>
      <c r="E170" s="161"/>
      <c r="F170" s="146" t="str">
        <f>IF(E170&lt;&gt;"", SUMIF(Bets!$D:$D, E170, Bets!AB:AB), "")</f>
        <v/>
      </c>
      <c r="G170" s="162"/>
      <c r="H170" s="148"/>
      <c r="I170" s="161">
        <f>IFERROR(__xludf.DUMMYFUNCTION("""COMPUTED_VALUE"""),45264.0)</f>
        <v>45264</v>
      </c>
      <c r="J170" s="146">
        <f>IF(I170&lt;&gt;"", SUMIF(Bets!$D:$D, I170, Bets!AA:AA), "")</f>
        <v>-38.53</v>
      </c>
      <c r="K170" s="162"/>
      <c r="L170" s="148"/>
      <c r="M170" s="161"/>
      <c r="N170" s="146"/>
      <c r="O170" s="162"/>
      <c r="P170" s="148"/>
      <c r="Q170" s="161"/>
      <c r="R170" s="146" t="str">
        <f>IF(Q170&lt;&gt;"", SUMIF(Bets!$D:$D, Q170, Bets!AD:AD), "")</f>
        <v/>
      </c>
      <c r="S170" s="162"/>
      <c r="T170" s="148"/>
      <c r="U170" s="161"/>
      <c r="V170" s="146" t="str">
        <f>IF(U170&lt;&gt;"", SUMIF(Bets!$D:$D, U170, Bets!AE:AE), "")</f>
        <v/>
      </c>
      <c r="W170" s="162"/>
      <c r="X170" s="148"/>
      <c r="Y170" s="161"/>
      <c r="Z170" s="146" t="str">
        <f>IF(Y170&lt;&gt;"", SUMIF(Bets!$D:$D, Y170, Bets!AF:AF), "")</f>
        <v/>
      </c>
      <c r="AA170" s="162"/>
      <c r="AB170" s="148"/>
      <c r="AC170" s="161"/>
      <c r="AD170" s="146" t="str">
        <f>IF(AC170&lt;&gt;"", SUMIF(Bets!$D:$D, AC170, Bets!AG:AG), "")</f>
        <v/>
      </c>
      <c r="AE170" s="162"/>
      <c r="AF170" s="148"/>
    </row>
    <row r="171" hidden="1" outlineLevel="1">
      <c r="A171" s="161">
        <f>IFERROR(__xludf.DUMMYFUNCTION("""COMPUTED_VALUE"""),45264.0)</f>
        <v>45264</v>
      </c>
      <c r="B171" s="146">
        <f>IF(A171&lt;&gt;"", SUMIF(Bets!$D:$D, A171, Bets!Z:Z), "")</f>
        <v>-9</v>
      </c>
      <c r="C171" s="162"/>
      <c r="D171" s="148"/>
      <c r="E171" s="161"/>
      <c r="F171" s="146" t="str">
        <f>IF(E171&lt;&gt;"", SUMIF(Bets!$D:$D, E171, Bets!AB:AB), "")</f>
        <v/>
      </c>
      <c r="G171" s="162"/>
      <c r="H171" s="148"/>
      <c r="I171" s="161">
        <f>IFERROR(__xludf.DUMMYFUNCTION("""COMPUTED_VALUE"""),45263.0)</f>
        <v>45263</v>
      </c>
      <c r="J171" s="146">
        <f>IF(I171&lt;&gt;"", SUMIF(Bets!$D:$D, I171, Bets!AA:AA), "")</f>
        <v>-15.80953846</v>
      </c>
      <c r="K171" s="162"/>
      <c r="L171" s="148"/>
      <c r="M171" s="161"/>
      <c r="N171" s="146"/>
      <c r="O171" s="162"/>
      <c r="P171" s="148"/>
      <c r="Q171" s="161"/>
      <c r="R171" s="146" t="str">
        <f>IF(Q171&lt;&gt;"", SUMIF(Bets!$D:$D, Q171, Bets!AD:AD), "")</f>
        <v/>
      </c>
      <c r="S171" s="162"/>
      <c r="T171" s="148"/>
      <c r="U171" s="161"/>
      <c r="V171" s="146" t="str">
        <f>IF(U171&lt;&gt;"", SUMIF(Bets!$D:$D, U171, Bets!AE:AE), "")</f>
        <v/>
      </c>
      <c r="W171" s="162"/>
      <c r="X171" s="148"/>
      <c r="Y171" s="161"/>
      <c r="Z171" s="146" t="str">
        <f>IF(Y171&lt;&gt;"", SUMIF(Bets!$D:$D, Y171, Bets!AF:AF), "")</f>
        <v/>
      </c>
      <c r="AA171" s="162"/>
      <c r="AB171" s="148"/>
      <c r="AC171" s="161"/>
      <c r="AD171" s="146" t="str">
        <f>IF(AC171&lt;&gt;"", SUMIF(Bets!$D:$D, AC171, Bets!AG:AG), "")</f>
        <v/>
      </c>
      <c r="AE171" s="162"/>
      <c r="AF171" s="148"/>
    </row>
    <row r="172" hidden="1" outlineLevel="1">
      <c r="A172" s="161">
        <f>IFERROR(__xludf.DUMMYFUNCTION("""COMPUTED_VALUE"""),45263.0)</f>
        <v>45263</v>
      </c>
      <c r="B172" s="146">
        <f>IF(A172&lt;&gt;"", SUMIF(Bets!$D:$D, A172, Bets!Z:Z), "")</f>
        <v>-15.94030769</v>
      </c>
      <c r="C172" s="162"/>
      <c r="D172" s="148"/>
      <c r="E172" s="161"/>
      <c r="F172" s="146" t="str">
        <f>IF(E172&lt;&gt;"", SUMIF(Bets!$D:$D, E172, Bets!AB:AB), "")</f>
        <v/>
      </c>
      <c r="G172" s="162"/>
      <c r="H172" s="148"/>
      <c r="I172" s="161">
        <f>IFERROR(__xludf.DUMMYFUNCTION("""COMPUTED_VALUE"""),45262.0)</f>
        <v>45262</v>
      </c>
      <c r="J172" s="146">
        <f>IF(I172&lt;&gt;"", SUMIF(Bets!$D:$D, I172, Bets!AA:AA), "")</f>
        <v>13.372</v>
      </c>
      <c r="K172" s="162"/>
      <c r="L172" s="148"/>
      <c r="M172" s="161"/>
      <c r="N172" s="146"/>
      <c r="O172" s="162"/>
      <c r="P172" s="148"/>
      <c r="Q172" s="161"/>
      <c r="R172" s="146" t="str">
        <f>IF(Q172&lt;&gt;"", SUMIF(Bets!$D:$D, Q172, Bets!AD:AD), "")</f>
        <v/>
      </c>
      <c r="S172" s="162"/>
      <c r="T172" s="148"/>
      <c r="U172" s="161"/>
      <c r="V172" s="146" t="str">
        <f>IF(U172&lt;&gt;"", SUMIF(Bets!$D:$D, U172, Bets!AE:AE), "")</f>
        <v/>
      </c>
      <c r="W172" s="162"/>
      <c r="X172" s="148"/>
      <c r="Y172" s="161"/>
      <c r="Z172" s="146" t="str">
        <f>IF(Y172&lt;&gt;"", SUMIF(Bets!$D:$D, Y172, Bets!AF:AF), "")</f>
        <v/>
      </c>
      <c r="AA172" s="162"/>
      <c r="AB172" s="148"/>
      <c r="AC172" s="161"/>
      <c r="AD172" s="146" t="str">
        <f>IF(AC172&lt;&gt;"", SUMIF(Bets!$D:$D, AC172, Bets!AG:AG), "")</f>
        <v/>
      </c>
      <c r="AE172" s="162"/>
      <c r="AF172" s="148"/>
    </row>
    <row r="173" hidden="1" outlineLevel="1">
      <c r="A173" s="161">
        <f>IFERROR(__xludf.DUMMYFUNCTION("""COMPUTED_VALUE"""),45262.0)</f>
        <v>45262</v>
      </c>
      <c r="B173" s="146">
        <f>IF(A173&lt;&gt;"", SUMIF(Bets!$D:$D, A173, Bets!Z:Z), "")</f>
        <v>7.722</v>
      </c>
      <c r="C173" s="162"/>
      <c r="D173" s="148"/>
      <c r="E173" s="161"/>
      <c r="F173" s="146" t="str">
        <f>IF(E173&lt;&gt;"", SUMIF(Bets!$D:$D, E173, Bets!AB:AB), "")</f>
        <v/>
      </c>
      <c r="G173" s="162"/>
      <c r="H173" s="148"/>
      <c r="I173" s="161">
        <f>IFERROR(__xludf.DUMMYFUNCTION("""COMPUTED_VALUE"""),45261.0)</f>
        <v>45261</v>
      </c>
      <c r="J173" s="146">
        <f>IF(I173&lt;&gt;"", SUMIF(Bets!$D:$D, I173, Bets!AA:AA), "")</f>
        <v>4.289285714</v>
      </c>
      <c r="K173" s="162"/>
      <c r="L173" s="148"/>
      <c r="M173" s="161"/>
      <c r="N173" s="146"/>
      <c r="O173" s="162"/>
      <c r="P173" s="148"/>
      <c r="Q173" s="161"/>
      <c r="R173" s="146" t="str">
        <f>IF(Q173&lt;&gt;"", SUMIF(Bets!$D:$D, Q173, Bets!AD:AD), "")</f>
        <v/>
      </c>
      <c r="S173" s="162"/>
      <c r="T173" s="148"/>
      <c r="U173" s="161"/>
      <c r="V173" s="146" t="str">
        <f>IF(U173&lt;&gt;"", SUMIF(Bets!$D:$D, U173, Bets!AE:AE), "")</f>
        <v/>
      </c>
      <c r="W173" s="162"/>
      <c r="X173" s="148"/>
      <c r="Y173" s="161"/>
      <c r="Z173" s="146" t="str">
        <f>IF(Y173&lt;&gt;"", SUMIF(Bets!$D:$D, Y173, Bets!AF:AF), "")</f>
        <v/>
      </c>
      <c r="AA173" s="162"/>
      <c r="AB173" s="148"/>
      <c r="AC173" s="161"/>
      <c r="AD173" s="146" t="str">
        <f>IF(AC173&lt;&gt;"", SUMIF(Bets!$D:$D, AC173, Bets!AG:AG), "")</f>
        <v/>
      </c>
      <c r="AE173" s="162"/>
      <c r="AF173" s="148"/>
    </row>
    <row r="174">
      <c r="A174" s="161">
        <f>IFERROR(__xludf.DUMMYFUNCTION("""COMPUTED_VALUE"""),45261.0)</f>
        <v>45261</v>
      </c>
      <c r="B174" s="146">
        <f>IF(A174&lt;&gt;"", SUMIF(Bets!$D:$D, A174, Bets!Z:Z), "")</f>
        <v>1.793809524</v>
      </c>
      <c r="C174" s="162"/>
      <c r="D174" s="148"/>
      <c r="E174" s="161"/>
      <c r="F174" s="146" t="str">
        <f>IF(E174&lt;&gt;"", SUMIF(Bets!$D:$D, E174, Bets!AB:AB), "")</f>
        <v/>
      </c>
      <c r="G174" s="162"/>
      <c r="H174" s="148"/>
      <c r="I174" s="161">
        <f>IFERROR(__xludf.DUMMYFUNCTION("""COMPUTED_VALUE"""),45260.0)</f>
        <v>45260</v>
      </c>
      <c r="J174" s="146">
        <f>IF(I174&lt;&gt;"", SUMIF(Bets!$D:$D, I174, Bets!AA:AA), "")</f>
        <v>17.23</v>
      </c>
      <c r="K174" s="162"/>
      <c r="L174" s="148"/>
      <c r="M174" s="161"/>
      <c r="N174" s="146"/>
      <c r="O174" s="162"/>
      <c r="P174" s="148"/>
      <c r="Q174" s="161"/>
      <c r="R174" s="146" t="str">
        <f>IF(Q174&lt;&gt;"", SUMIF(Bets!$D:$D, Q174, Bets!AD:AD), "")</f>
        <v/>
      </c>
      <c r="S174" s="162"/>
      <c r="T174" s="148"/>
      <c r="U174" s="161"/>
      <c r="V174" s="146" t="str">
        <f>IF(U174&lt;&gt;"", SUMIF(Bets!$D:$D, U174, Bets!AE:AE), "")</f>
        <v/>
      </c>
      <c r="W174" s="162"/>
      <c r="X174" s="148"/>
      <c r="Y174" s="161"/>
      <c r="Z174" s="146" t="str">
        <f>IF(Y174&lt;&gt;"", SUMIF(Bets!$D:$D, Y174, Bets!AF:AF), "")</f>
        <v/>
      </c>
      <c r="AA174" s="162"/>
      <c r="AB174" s="148"/>
      <c r="AC174" s="161"/>
      <c r="AD174" s="146" t="str">
        <f>IF(AC174&lt;&gt;"", SUMIF(Bets!$D:$D, AC174, Bets!AG:AG), "")</f>
        <v/>
      </c>
      <c r="AE174" s="162"/>
      <c r="AF174" s="148"/>
    </row>
    <row r="175">
      <c r="A175" s="161">
        <f>IFERROR(__xludf.DUMMYFUNCTION("""COMPUTED_VALUE"""),45260.0)</f>
        <v>45260</v>
      </c>
      <c r="B175" s="146">
        <f>IF(A175&lt;&gt;"", SUMIF(Bets!$D:$D, A175, Bets!Z:Z), "")</f>
        <v>3.46</v>
      </c>
      <c r="C175" s="162"/>
      <c r="D175" s="148"/>
      <c r="E175" s="161"/>
      <c r="F175" s="146" t="str">
        <f>IF(E175&lt;&gt;"", SUMIF(Bets!$D:$D, E175, Bets!AB:AB), "")</f>
        <v/>
      </c>
      <c r="G175" s="162"/>
      <c r="H175" s="148"/>
      <c r="I175" s="161">
        <f>IFERROR(__xludf.DUMMYFUNCTION("""COMPUTED_VALUE"""),45259.0)</f>
        <v>45259</v>
      </c>
      <c r="J175" s="146">
        <f>IF(I175&lt;&gt;"", SUMIF(Bets!$D:$D, I175, Bets!AA:AA), "")</f>
        <v>-12.39428571</v>
      </c>
      <c r="K175" s="162"/>
      <c r="L175" s="148"/>
      <c r="M175" s="161"/>
      <c r="N175" s="146"/>
      <c r="O175" s="162"/>
      <c r="P175" s="148"/>
      <c r="Q175" s="161"/>
      <c r="R175" s="146" t="str">
        <f>IF(Q175&lt;&gt;"", SUMIF(Bets!$D:$D, Q175, Bets!AD:AD), "")</f>
        <v/>
      </c>
      <c r="S175" s="162"/>
      <c r="T175" s="148"/>
      <c r="U175" s="161"/>
      <c r="V175" s="146" t="str">
        <f>IF(U175&lt;&gt;"", SUMIF(Bets!$D:$D, U175, Bets!AE:AE), "")</f>
        <v/>
      </c>
      <c r="W175" s="162"/>
      <c r="X175" s="148"/>
      <c r="Y175" s="161"/>
      <c r="Z175" s="146" t="str">
        <f>IF(Y175&lt;&gt;"", SUMIF(Bets!$D:$D, Y175, Bets!AF:AF), "")</f>
        <v/>
      </c>
      <c r="AA175" s="162"/>
      <c r="AB175" s="148"/>
      <c r="AC175" s="161"/>
      <c r="AD175" s="146" t="str">
        <f>IF(AC175&lt;&gt;"", SUMIF(Bets!$D:$D, AC175, Bets!AG:AG), "")</f>
        <v/>
      </c>
      <c r="AE175" s="162"/>
      <c r="AF175" s="148"/>
    </row>
    <row r="176">
      <c r="A176" s="161">
        <f>IFERROR(__xludf.DUMMYFUNCTION("""COMPUTED_VALUE"""),45259.0)</f>
        <v>45259</v>
      </c>
      <c r="B176" s="146">
        <f>IF(A176&lt;&gt;"", SUMIF(Bets!$D:$D, A176, Bets!Z:Z), "")</f>
        <v>-9.197142857</v>
      </c>
      <c r="C176" s="162"/>
      <c r="D176" s="148"/>
      <c r="E176" s="161"/>
      <c r="F176" s="146" t="str">
        <f>IF(E176&lt;&gt;"", SUMIF(Bets!$D:$D, E176, Bets!AB:AB), "")</f>
        <v/>
      </c>
      <c r="G176" s="162"/>
      <c r="H176" s="148"/>
      <c r="I176" s="161">
        <f>IFERROR(__xludf.DUMMYFUNCTION("""COMPUTED_VALUE"""),45258.0)</f>
        <v>45258</v>
      </c>
      <c r="J176" s="146">
        <f>IF(I176&lt;&gt;"", SUMIF(Bets!$D:$D, I176, Bets!AA:AA), "")</f>
        <v>10.595</v>
      </c>
      <c r="K176" s="162"/>
      <c r="L176" s="148"/>
      <c r="M176" s="161"/>
      <c r="N176" s="146"/>
      <c r="O176" s="162"/>
      <c r="P176" s="148"/>
      <c r="Q176" s="161"/>
      <c r="R176" s="146" t="str">
        <f>IF(Q176&lt;&gt;"", SUMIF(Bets!$D:$D, Q176, Bets!AD:AD), "")</f>
        <v/>
      </c>
      <c r="S176" s="162"/>
      <c r="T176" s="148"/>
      <c r="U176" s="161"/>
      <c r="V176" s="146" t="str">
        <f>IF(U176&lt;&gt;"", SUMIF(Bets!$D:$D, U176, Bets!AE:AE), "")</f>
        <v/>
      </c>
      <c r="W176" s="162"/>
      <c r="X176" s="148"/>
      <c r="Y176" s="161"/>
      <c r="Z176" s="146" t="str">
        <f>IF(Y176&lt;&gt;"", SUMIF(Bets!$D:$D, Y176, Bets!AF:AF), "")</f>
        <v/>
      </c>
      <c r="AA176" s="162"/>
      <c r="AB176" s="148"/>
      <c r="AC176" s="161"/>
      <c r="AD176" s="146" t="str">
        <f>IF(AC176&lt;&gt;"", SUMIF(Bets!$D:$D, AC176, Bets!AG:AG), "")</f>
        <v/>
      </c>
      <c r="AE176" s="162"/>
      <c r="AF176" s="148"/>
    </row>
    <row r="177">
      <c r="A177" s="161">
        <f>IFERROR(__xludf.DUMMYFUNCTION("""COMPUTED_VALUE"""),45258.0)</f>
        <v>45258</v>
      </c>
      <c r="B177" s="146">
        <f>IF(A177&lt;&gt;"", SUMIF(Bets!$D:$D, A177, Bets!Z:Z), "")</f>
        <v>1.95</v>
      </c>
      <c r="C177" s="162"/>
      <c r="D177" s="148"/>
      <c r="E177" s="161"/>
      <c r="F177" s="146" t="str">
        <f>IF(E177&lt;&gt;"", SUMIF(Bets!$D:$D, E177, Bets!AB:AB), "")</f>
        <v/>
      </c>
      <c r="G177" s="162"/>
      <c r="H177" s="148"/>
      <c r="I177" s="161">
        <f>IFERROR(__xludf.DUMMYFUNCTION("""COMPUTED_VALUE"""),45257.0)</f>
        <v>45257</v>
      </c>
      <c r="J177" s="146">
        <f>IF(I177&lt;&gt;"", SUMIF(Bets!$D:$D, I177, Bets!AA:AA), "")</f>
        <v>-4.702</v>
      </c>
      <c r="K177" s="162"/>
      <c r="L177" s="148"/>
      <c r="M177" s="161"/>
      <c r="N177" s="146"/>
      <c r="O177" s="162"/>
      <c r="P177" s="148"/>
      <c r="Q177" s="161"/>
      <c r="R177" s="146" t="str">
        <f>IF(Q177&lt;&gt;"", SUMIF(Bets!$D:$D, Q177, Bets!AD:AD), "")</f>
        <v/>
      </c>
      <c r="S177" s="162"/>
      <c r="T177" s="148"/>
      <c r="U177" s="161"/>
      <c r="V177" s="146" t="str">
        <f>IF(U177&lt;&gt;"", SUMIF(Bets!$D:$D, U177, Bets!AE:AE), "")</f>
        <v/>
      </c>
      <c r="W177" s="162"/>
      <c r="X177" s="148"/>
      <c r="Y177" s="161"/>
      <c r="Z177" s="146" t="str">
        <f>IF(Y177&lt;&gt;"", SUMIF(Bets!$D:$D, Y177, Bets!AF:AF), "")</f>
        <v/>
      </c>
      <c r="AA177" s="162"/>
      <c r="AB177" s="148"/>
      <c r="AC177" s="161"/>
      <c r="AD177" s="146" t="str">
        <f>IF(AC177&lt;&gt;"", SUMIF(Bets!$D:$D, AC177, Bets!AG:AG), "")</f>
        <v/>
      </c>
      <c r="AE177" s="162"/>
      <c r="AF177" s="148"/>
    </row>
    <row r="178">
      <c r="A178" s="161">
        <f>IFERROR(__xludf.DUMMYFUNCTION("""COMPUTED_VALUE"""),45257.0)</f>
        <v>45257</v>
      </c>
      <c r="B178" s="146">
        <f>IF(A178&lt;&gt;"", SUMIF(Bets!$D:$D, A178, Bets!Z:Z), "")</f>
        <v>-1.145</v>
      </c>
      <c r="C178" s="162"/>
      <c r="D178" s="148"/>
      <c r="E178" s="161"/>
      <c r="F178" s="146" t="str">
        <f>IF(E178&lt;&gt;"", SUMIF(Bets!$D:$D, E178, Bets!AB:AB), "")</f>
        <v/>
      </c>
      <c r="G178" s="162"/>
      <c r="H178" s="148"/>
      <c r="I178" s="161">
        <f>IFERROR(__xludf.DUMMYFUNCTION("""COMPUTED_VALUE"""),45256.0)</f>
        <v>45256</v>
      </c>
      <c r="J178" s="146">
        <f>IF(I178&lt;&gt;"", SUMIF(Bets!$D:$D, I178, Bets!AA:AA), "")</f>
        <v>-5.500705882</v>
      </c>
      <c r="K178" s="162"/>
      <c r="L178" s="148"/>
      <c r="M178" s="161"/>
      <c r="N178" s="146"/>
      <c r="O178" s="162"/>
      <c r="P178" s="148"/>
      <c r="Q178" s="161"/>
      <c r="R178" s="146" t="str">
        <f>IF(Q178&lt;&gt;"", SUMIF(Bets!$D:$D, Q178, Bets!AD:AD), "")</f>
        <v/>
      </c>
      <c r="S178" s="162"/>
      <c r="T178" s="148"/>
      <c r="U178" s="161"/>
      <c r="V178" s="146" t="str">
        <f>IF(U178&lt;&gt;"", SUMIF(Bets!$D:$D, U178, Bets!AE:AE), "")</f>
        <v/>
      </c>
      <c r="W178" s="162"/>
      <c r="X178" s="148"/>
      <c r="Y178" s="161"/>
      <c r="Z178" s="146" t="str">
        <f>IF(Y178&lt;&gt;"", SUMIF(Bets!$D:$D, Y178, Bets!AF:AF), "")</f>
        <v/>
      </c>
      <c r="AA178" s="162"/>
      <c r="AB178" s="148"/>
      <c r="AC178" s="161"/>
      <c r="AD178" s="146" t="str">
        <f>IF(AC178&lt;&gt;"", SUMIF(Bets!$D:$D, AC178, Bets!AG:AG), "")</f>
        <v/>
      </c>
      <c r="AE178" s="162"/>
      <c r="AF178" s="148"/>
    </row>
    <row r="179">
      <c r="A179" s="161">
        <f>IFERROR(__xludf.DUMMYFUNCTION("""COMPUTED_VALUE"""),45256.0)</f>
        <v>45256</v>
      </c>
      <c r="B179" s="146">
        <f>IF(A179&lt;&gt;"", SUMIF(Bets!$D:$D, A179, Bets!Z:Z), "")</f>
        <v>-0.4528627451</v>
      </c>
      <c r="C179" s="162"/>
      <c r="D179" s="148"/>
      <c r="E179" s="161"/>
      <c r="F179" s="146" t="str">
        <f>IF(E179&lt;&gt;"", SUMIF(Bets!$D:$D, E179, Bets!AB:AB), "")</f>
        <v/>
      </c>
      <c r="G179" s="162"/>
      <c r="H179" s="148"/>
      <c r="I179" s="161">
        <f>IFERROR(__xludf.DUMMYFUNCTION("""COMPUTED_VALUE"""),45255.0)</f>
        <v>45255</v>
      </c>
      <c r="J179" s="146">
        <f>IF(I179&lt;&gt;"", SUMIF(Bets!$D:$D, I179, Bets!AA:AA), "")</f>
        <v>-6</v>
      </c>
      <c r="K179" s="162"/>
      <c r="L179" s="148"/>
      <c r="M179" s="161"/>
      <c r="N179" s="146"/>
      <c r="O179" s="162"/>
      <c r="P179" s="148"/>
      <c r="Q179" s="161"/>
      <c r="R179" s="146" t="str">
        <f>IF(Q179&lt;&gt;"", SUMIF(Bets!$D:$D, Q179, Bets!AD:AD), "")</f>
        <v/>
      </c>
      <c r="S179" s="162"/>
      <c r="T179" s="148"/>
      <c r="U179" s="161"/>
      <c r="V179" s="146" t="str">
        <f>IF(U179&lt;&gt;"", SUMIF(Bets!$D:$D, U179, Bets!AE:AE), "")</f>
        <v/>
      </c>
      <c r="W179" s="162"/>
      <c r="X179" s="148"/>
      <c r="Y179" s="161"/>
      <c r="Z179" s="146" t="str">
        <f>IF(Y179&lt;&gt;"", SUMIF(Bets!$D:$D, Y179, Bets!AF:AF), "")</f>
        <v/>
      </c>
      <c r="AA179" s="162"/>
      <c r="AB179" s="148"/>
      <c r="AC179" s="161"/>
      <c r="AD179" s="146" t="str">
        <f>IF(AC179&lt;&gt;"", SUMIF(Bets!$D:$D, AC179, Bets!AG:AG), "")</f>
        <v/>
      </c>
      <c r="AE179" s="162"/>
      <c r="AF179" s="148"/>
    </row>
    <row r="180">
      <c r="A180" s="161">
        <f>IFERROR(__xludf.DUMMYFUNCTION("""COMPUTED_VALUE"""),45255.0)</f>
        <v>45255</v>
      </c>
      <c r="B180" s="146">
        <f>IF(A180&lt;&gt;"", SUMIF(Bets!$D:$D, A180, Bets!Z:Z), "")</f>
        <v>-4</v>
      </c>
      <c r="C180" s="162"/>
      <c r="D180" s="148"/>
      <c r="E180" s="161"/>
      <c r="F180" s="146" t="str">
        <f>IF(E180&lt;&gt;"", SUMIF(Bets!$D:$D, E180, Bets!AB:AB), "")</f>
        <v/>
      </c>
      <c r="G180" s="162"/>
      <c r="H180" s="148"/>
      <c r="I180" s="161">
        <f>IFERROR(__xludf.DUMMYFUNCTION("""COMPUTED_VALUE"""),45253.0)</f>
        <v>45253</v>
      </c>
      <c r="J180" s="146">
        <f>IF(I180&lt;&gt;"", SUMIF(Bets!$D:$D, I180, Bets!AA:AA), "")</f>
        <v>9.929545455</v>
      </c>
      <c r="K180" s="162"/>
      <c r="L180" s="148"/>
      <c r="M180" s="161"/>
      <c r="N180" s="146"/>
      <c r="O180" s="162"/>
      <c r="P180" s="148"/>
      <c r="Q180" s="161"/>
      <c r="R180" s="146" t="str">
        <f>IF(Q180&lt;&gt;"", SUMIF(Bets!$D:$D, Q180, Bets!AD:AD), "")</f>
        <v/>
      </c>
      <c r="S180" s="162"/>
      <c r="T180" s="148"/>
      <c r="U180" s="161"/>
      <c r="V180" s="146" t="str">
        <f>IF(U180&lt;&gt;"", SUMIF(Bets!$D:$D, U180, Bets!AE:AE), "")</f>
        <v/>
      </c>
      <c r="W180" s="162"/>
      <c r="X180" s="148"/>
      <c r="Y180" s="161"/>
      <c r="Z180" s="146" t="str">
        <f>IF(Y180&lt;&gt;"", SUMIF(Bets!$D:$D, Y180, Bets!AF:AF), "")</f>
        <v/>
      </c>
      <c r="AA180" s="162"/>
      <c r="AB180" s="148"/>
      <c r="AC180" s="161"/>
      <c r="AD180" s="146" t="str">
        <f>IF(AC180&lt;&gt;"", SUMIF(Bets!$D:$D, AC180, Bets!AG:AG), "")</f>
        <v/>
      </c>
      <c r="AE180" s="162"/>
      <c r="AF180" s="148"/>
    </row>
    <row r="181">
      <c r="A181" s="161">
        <f>IFERROR(__xludf.DUMMYFUNCTION("""COMPUTED_VALUE"""),45254.0)</f>
        <v>45254</v>
      </c>
      <c r="B181" s="146">
        <f>IF(A181&lt;&gt;"", SUMIF(Bets!$D:$D, A181, Bets!Z:Z), "")</f>
        <v>-2</v>
      </c>
      <c r="C181" s="162"/>
      <c r="D181" s="148"/>
      <c r="E181" s="161"/>
      <c r="F181" s="146" t="str">
        <f>IF(E181&lt;&gt;"", SUMIF(Bets!$D:$D, E181, Bets!AB:AB), "")</f>
        <v/>
      </c>
      <c r="G181" s="162"/>
      <c r="H181" s="148"/>
      <c r="I181" s="161">
        <f>IFERROR(__xludf.DUMMYFUNCTION("""COMPUTED_VALUE"""),45252.0)</f>
        <v>45252</v>
      </c>
      <c r="J181" s="146">
        <f>IF(I181&lt;&gt;"", SUMIF(Bets!$D:$D, I181, Bets!AA:AA), "")</f>
        <v>6.39825</v>
      </c>
      <c r="K181" s="162"/>
      <c r="L181" s="148"/>
      <c r="M181" s="161"/>
      <c r="N181" s="146"/>
      <c r="O181" s="162"/>
      <c r="P181" s="148"/>
      <c r="Q181" s="161"/>
      <c r="R181" s="146" t="str">
        <f>IF(Q181&lt;&gt;"", SUMIF(Bets!$D:$D, Q181, Bets!AD:AD), "")</f>
        <v/>
      </c>
      <c r="S181" s="162"/>
      <c r="T181" s="148"/>
      <c r="U181" s="161"/>
      <c r="V181" s="146" t="str">
        <f>IF(U181&lt;&gt;"", SUMIF(Bets!$D:$D, U181, Bets!AE:AE), "")</f>
        <v/>
      </c>
      <c r="W181" s="162"/>
      <c r="X181" s="148"/>
      <c r="Y181" s="161"/>
      <c r="Z181" s="146" t="str">
        <f>IF(Y181&lt;&gt;"", SUMIF(Bets!$D:$D, Y181, Bets!AF:AF), "")</f>
        <v/>
      </c>
      <c r="AA181" s="162"/>
      <c r="AB181" s="148"/>
      <c r="AC181" s="161"/>
      <c r="AD181" s="146" t="str">
        <f>IF(AC181&lt;&gt;"", SUMIF(Bets!$D:$D, AC181, Bets!AG:AG), "")</f>
        <v/>
      </c>
      <c r="AE181" s="162"/>
      <c r="AF181" s="148"/>
    </row>
    <row r="182">
      <c r="A182" s="161">
        <f>IFERROR(__xludf.DUMMYFUNCTION("""COMPUTED_VALUE"""),45253.0)</f>
        <v>45253</v>
      </c>
      <c r="B182" s="146">
        <f>IF(A182&lt;&gt;"", SUMIF(Bets!$D:$D, A182, Bets!Z:Z), "")</f>
        <v>5.253636364</v>
      </c>
      <c r="C182" s="162"/>
      <c r="D182" s="148"/>
      <c r="E182" s="161"/>
      <c r="F182" s="146" t="str">
        <f>IF(E182&lt;&gt;"", SUMIF(Bets!$D:$D, E182, Bets!AB:AB), "")</f>
        <v/>
      </c>
      <c r="G182" s="162"/>
      <c r="H182" s="148"/>
      <c r="I182" s="161">
        <f>IFERROR(__xludf.DUMMYFUNCTION("""COMPUTED_VALUE"""),45251.0)</f>
        <v>45251</v>
      </c>
      <c r="J182" s="146">
        <f>IF(I182&lt;&gt;"", SUMIF(Bets!$D:$D, I182, Bets!AA:AA), "")</f>
        <v>-0.575</v>
      </c>
      <c r="K182" s="162"/>
      <c r="L182" s="148"/>
      <c r="M182" s="161"/>
      <c r="N182" s="146"/>
      <c r="O182" s="162"/>
      <c r="P182" s="148"/>
      <c r="Q182" s="161"/>
      <c r="R182" s="146" t="str">
        <f>IF(Q182&lt;&gt;"", SUMIF(Bets!$D:$D, Q182, Bets!AD:AD), "")</f>
        <v/>
      </c>
      <c r="S182" s="162"/>
      <c r="T182" s="148"/>
      <c r="U182" s="161"/>
      <c r="V182" s="146" t="str">
        <f>IF(U182&lt;&gt;"", SUMIF(Bets!$D:$D, U182, Bets!AE:AE), "")</f>
        <v/>
      </c>
      <c r="W182" s="162"/>
      <c r="X182" s="148"/>
      <c r="Y182" s="161"/>
      <c r="Z182" s="146" t="str">
        <f>IF(Y182&lt;&gt;"", SUMIF(Bets!$D:$D, Y182, Bets!AF:AF), "")</f>
        <v/>
      </c>
      <c r="AA182" s="162"/>
      <c r="AB182" s="148"/>
      <c r="AC182" s="161"/>
      <c r="AD182" s="146" t="str">
        <f>IF(AC182&lt;&gt;"", SUMIF(Bets!$D:$D, AC182, Bets!AG:AG), "")</f>
        <v/>
      </c>
      <c r="AE182" s="162"/>
      <c r="AF182" s="148"/>
    </row>
    <row r="183">
      <c r="A183" s="161">
        <f>IFERROR(__xludf.DUMMYFUNCTION("""COMPUTED_VALUE"""),45252.0)</f>
        <v>45252</v>
      </c>
      <c r="B183" s="146">
        <f>IF(A183&lt;&gt;"", SUMIF(Bets!$D:$D, A183, Bets!Z:Z), "")</f>
        <v>3.781166667</v>
      </c>
      <c r="C183" s="162"/>
      <c r="D183" s="148"/>
      <c r="E183" s="161"/>
      <c r="F183" s="146" t="str">
        <f>IF(E183&lt;&gt;"", SUMIF(Bets!$D:$D, E183, Bets!AB:AB), "")</f>
        <v/>
      </c>
      <c r="G183" s="162"/>
      <c r="H183" s="148"/>
      <c r="I183" s="161">
        <f>IFERROR(__xludf.DUMMYFUNCTION("""COMPUTED_VALUE"""),45250.0)</f>
        <v>45250</v>
      </c>
      <c r="J183" s="146">
        <f>IF(I183&lt;&gt;"", SUMIF(Bets!$D:$D, I183, Bets!AA:AA), "")</f>
        <v>-9.740357143</v>
      </c>
      <c r="K183" s="162"/>
      <c r="L183" s="148"/>
      <c r="M183" s="161"/>
      <c r="N183" s="146"/>
      <c r="O183" s="162"/>
      <c r="P183" s="148"/>
      <c r="Q183" s="161"/>
      <c r="R183" s="146" t="str">
        <f>IF(Q183&lt;&gt;"", SUMIF(Bets!$D:$D, Q183, Bets!AD:AD), "")</f>
        <v/>
      </c>
      <c r="S183" s="162"/>
      <c r="T183" s="148"/>
      <c r="U183" s="161"/>
      <c r="V183" s="146" t="str">
        <f>IF(U183&lt;&gt;"", SUMIF(Bets!$D:$D, U183, Bets!AE:AE), "")</f>
        <v/>
      </c>
      <c r="W183" s="162"/>
      <c r="X183" s="148"/>
      <c r="Y183" s="161"/>
      <c r="Z183" s="146" t="str">
        <f>IF(Y183&lt;&gt;"", SUMIF(Bets!$D:$D, Y183, Bets!AF:AF), "")</f>
        <v/>
      </c>
      <c r="AA183" s="162"/>
      <c r="AB183" s="148"/>
      <c r="AC183" s="161"/>
      <c r="AD183" s="146" t="str">
        <f>IF(AC183&lt;&gt;"", SUMIF(Bets!$D:$D, AC183, Bets!AG:AG), "")</f>
        <v/>
      </c>
      <c r="AE183" s="162"/>
      <c r="AF183" s="148"/>
    </row>
    <row r="184">
      <c r="A184" s="161">
        <f>IFERROR(__xludf.DUMMYFUNCTION("""COMPUTED_VALUE"""),45251.0)</f>
        <v>45251</v>
      </c>
      <c r="B184" s="146">
        <f>IF(A184&lt;&gt;"", SUMIF(Bets!$D:$D, A184, Bets!Z:Z), "")</f>
        <v>0.75</v>
      </c>
      <c r="C184" s="162"/>
      <c r="D184" s="148"/>
      <c r="E184" s="161"/>
      <c r="F184" s="146" t="str">
        <f>IF(E184&lt;&gt;"", SUMIF(Bets!$D:$D, E184, Bets!AB:AB), "")</f>
        <v/>
      </c>
      <c r="G184" s="162"/>
      <c r="H184" s="148"/>
      <c r="I184" s="161">
        <f>IFERROR(__xludf.DUMMYFUNCTION("""COMPUTED_VALUE"""),45249.0)</f>
        <v>45249</v>
      </c>
      <c r="J184" s="146">
        <f>IF(I184&lt;&gt;"", SUMIF(Bets!$D:$D, I184, Bets!AA:AA), "")</f>
        <v>13.62576923</v>
      </c>
      <c r="K184" s="162"/>
      <c r="L184" s="148"/>
      <c r="M184" s="161"/>
      <c r="N184" s="146"/>
      <c r="O184" s="162"/>
      <c r="P184" s="148"/>
      <c r="Q184" s="161"/>
      <c r="R184" s="146" t="str">
        <f>IF(Q184&lt;&gt;"", SUMIF(Bets!$D:$D, Q184, Bets!AD:AD), "")</f>
        <v/>
      </c>
      <c r="S184" s="162"/>
      <c r="T184" s="148"/>
      <c r="U184" s="161"/>
      <c r="V184" s="146" t="str">
        <f>IF(U184&lt;&gt;"", SUMIF(Bets!$D:$D, U184, Bets!AE:AE), "")</f>
        <v/>
      </c>
      <c r="W184" s="162"/>
      <c r="X184" s="148"/>
      <c r="Y184" s="161"/>
      <c r="Z184" s="146" t="str">
        <f>IF(Y184&lt;&gt;"", SUMIF(Bets!$D:$D, Y184, Bets!AF:AF), "")</f>
        <v/>
      </c>
      <c r="AA184" s="162"/>
      <c r="AB184" s="148"/>
      <c r="AC184" s="161"/>
      <c r="AD184" s="146" t="str">
        <f>IF(AC184&lt;&gt;"", SUMIF(Bets!$D:$D, AC184, Bets!AG:AG), "")</f>
        <v/>
      </c>
      <c r="AE184" s="162"/>
      <c r="AF184" s="148"/>
    </row>
    <row r="185">
      <c r="A185" s="161">
        <f>IFERROR(__xludf.DUMMYFUNCTION("""COMPUTED_VALUE"""),45250.0)</f>
        <v>45250</v>
      </c>
      <c r="B185" s="146">
        <f>IF(A185&lt;&gt;"", SUMIF(Bets!$D:$D, A185, Bets!Z:Z), "")</f>
        <v>-0.09976190476</v>
      </c>
      <c r="C185" s="162"/>
      <c r="D185" s="148"/>
      <c r="E185" s="161"/>
      <c r="F185" s="146" t="str">
        <f>IF(E185&lt;&gt;"", SUMIF(Bets!$D:$D, E185, Bets!AB:AB), "")</f>
        <v/>
      </c>
      <c r="G185" s="162"/>
      <c r="H185" s="148"/>
      <c r="I185" s="161">
        <f>IFERROR(__xludf.DUMMYFUNCTION("""COMPUTED_VALUE"""),45248.0)</f>
        <v>45248</v>
      </c>
      <c r="J185" s="146">
        <f>IF(I185&lt;&gt;"", SUMIF(Bets!$D:$D, I185, Bets!AA:AA), "")</f>
        <v>6.232571429</v>
      </c>
      <c r="K185" s="162"/>
      <c r="L185" s="148"/>
      <c r="M185" s="161"/>
      <c r="N185" s="146"/>
      <c r="O185" s="162"/>
      <c r="P185" s="148"/>
      <c r="Q185" s="161"/>
      <c r="R185" s="146" t="str">
        <f>IF(Q185&lt;&gt;"", SUMIF(Bets!$D:$D, Q185, Bets!AD:AD), "")</f>
        <v/>
      </c>
      <c r="S185" s="162"/>
      <c r="T185" s="148"/>
      <c r="U185" s="161"/>
      <c r="V185" s="146" t="str">
        <f>IF(U185&lt;&gt;"", SUMIF(Bets!$D:$D, U185, Bets!AE:AE), "")</f>
        <v/>
      </c>
      <c r="W185" s="162"/>
      <c r="X185" s="148"/>
      <c r="Y185" s="161"/>
      <c r="Z185" s="146" t="str">
        <f>IF(Y185&lt;&gt;"", SUMIF(Bets!$D:$D, Y185, Bets!AF:AF), "")</f>
        <v/>
      </c>
      <c r="AA185" s="162"/>
      <c r="AB185" s="148"/>
      <c r="AC185" s="161"/>
      <c r="AD185" s="146" t="str">
        <f>IF(AC185&lt;&gt;"", SUMIF(Bets!$D:$D, AC185, Bets!AG:AG), "")</f>
        <v/>
      </c>
      <c r="AE185" s="162"/>
      <c r="AF185" s="148"/>
    </row>
    <row r="186">
      <c r="A186" s="161">
        <f>IFERROR(__xludf.DUMMYFUNCTION("""COMPUTED_VALUE"""),45249.0)</f>
        <v>45249</v>
      </c>
      <c r="B186" s="146">
        <f>IF(A186&lt;&gt;"", SUMIF(Bets!$D:$D, A186, Bets!Z:Z), "")</f>
        <v>12.63615385</v>
      </c>
      <c r="C186" s="162"/>
      <c r="D186" s="148"/>
      <c r="E186" s="161"/>
      <c r="F186" s="146" t="str">
        <f>IF(E186&lt;&gt;"", SUMIF(Bets!$D:$D, E186, Bets!AB:AB), "")</f>
        <v/>
      </c>
      <c r="G186" s="162"/>
      <c r="H186" s="148"/>
      <c r="I186" s="161">
        <f>IFERROR(__xludf.DUMMYFUNCTION("""COMPUTED_VALUE"""),45243.0)</f>
        <v>45243</v>
      </c>
      <c r="J186" s="146">
        <f>IF(I186&lt;&gt;"", SUMIF(Bets!$D:$D, I186, Bets!AA:AA), "")</f>
        <v>-10.784</v>
      </c>
      <c r="K186" s="162"/>
      <c r="L186" s="148"/>
      <c r="M186" s="161"/>
      <c r="N186" s="146"/>
      <c r="O186" s="162"/>
      <c r="P186" s="148"/>
      <c r="Q186" s="161"/>
      <c r="R186" s="146" t="str">
        <f>IF(Q186&lt;&gt;"", SUMIF(Bets!$D:$D, Q186, Bets!AD:AD), "")</f>
        <v/>
      </c>
      <c r="S186" s="162"/>
      <c r="T186" s="148"/>
      <c r="U186" s="161"/>
      <c r="V186" s="146" t="str">
        <f>IF(U186&lt;&gt;"", SUMIF(Bets!$D:$D, U186, Bets!AE:AE), "")</f>
        <v/>
      </c>
      <c r="W186" s="162"/>
      <c r="X186" s="148"/>
      <c r="Y186" s="161"/>
      <c r="Z186" s="146" t="str">
        <f>IF(Y186&lt;&gt;"", SUMIF(Bets!$D:$D, Y186, Bets!AF:AF), "")</f>
        <v/>
      </c>
      <c r="AA186" s="162"/>
      <c r="AB186" s="148"/>
      <c r="AC186" s="161"/>
      <c r="AD186" s="146" t="str">
        <f>IF(AC186&lt;&gt;"", SUMIF(Bets!$D:$D, AC186, Bets!AG:AG), "")</f>
        <v/>
      </c>
      <c r="AE186" s="162"/>
      <c r="AF186" s="148"/>
    </row>
    <row r="187">
      <c r="A187" s="161">
        <f>IFERROR(__xludf.DUMMYFUNCTION("""COMPUTED_VALUE"""),45248.0)</f>
        <v>45248</v>
      </c>
      <c r="B187" s="146">
        <f>IF(A187&lt;&gt;"", SUMIF(Bets!$D:$D, A187, Bets!Z:Z), "")</f>
        <v>4.398285714</v>
      </c>
      <c r="C187" s="162"/>
      <c r="D187" s="148"/>
      <c r="E187" s="161"/>
      <c r="F187" s="146" t="str">
        <f>IF(E187&lt;&gt;"", SUMIF(Bets!$D:$D, E187, Bets!AB:AB), "")</f>
        <v/>
      </c>
      <c r="G187" s="162"/>
      <c r="H187" s="148"/>
      <c r="I187" s="161">
        <f>IFERROR(__xludf.DUMMYFUNCTION("""COMPUTED_VALUE"""),45242.0)</f>
        <v>45242</v>
      </c>
      <c r="J187" s="146">
        <f>IF(I187&lt;&gt;"", SUMIF(Bets!$D:$D, I187, Bets!AA:AA), "")</f>
        <v>-96.11825</v>
      </c>
      <c r="K187" s="162"/>
      <c r="L187" s="148"/>
      <c r="M187" s="161"/>
      <c r="N187" s="146"/>
      <c r="O187" s="162"/>
      <c r="P187" s="148"/>
      <c r="Q187" s="161"/>
      <c r="R187" s="146" t="str">
        <f>IF(Q187&lt;&gt;"", SUMIF(Bets!$D:$D, Q187, Bets!AD:AD), "")</f>
        <v/>
      </c>
      <c r="S187" s="162"/>
      <c r="T187" s="148"/>
      <c r="U187" s="161"/>
      <c r="V187" s="146" t="str">
        <f>IF(U187&lt;&gt;"", SUMIF(Bets!$D:$D, U187, Bets!AE:AE), "")</f>
        <v/>
      </c>
      <c r="W187" s="162"/>
      <c r="X187" s="148"/>
      <c r="Y187" s="161"/>
      <c r="Z187" s="146" t="str">
        <f>IF(Y187&lt;&gt;"", SUMIF(Bets!$D:$D, Y187, Bets!AF:AF), "")</f>
        <v/>
      </c>
      <c r="AA187" s="162"/>
      <c r="AB187" s="148"/>
      <c r="AC187" s="161"/>
      <c r="AD187" s="146" t="str">
        <f>IF(AC187&lt;&gt;"", SUMIF(Bets!$D:$D, AC187, Bets!AG:AG), "")</f>
        <v/>
      </c>
      <c r="AE187" s="162"/>
      <c r="AF187" s="148"/>
    </row>
    <row r="188">
      <c r="A188" s="161">
        <f>IFERROR(__xludf.DUMMYFUNCTION("""COMPUTED_VALUE"""),45243.0)</f>
        <v>45243</v>
      </c>
      <c r="B188" s="146">
        <f>IF(A188&lt;&gt;"", SUMIF(Bets!$D:$D, A188, Bets!Z:Z), "")</f>
        <v>-3.284</v>
      </c>
      <c r="C188" s="162"/>
      <c r="D188" s="148"/>
      <c r="E188" s="161"/>
      <c r="F188" s="146" t="str">
        <f>IF(E188&lt;&gt;"", SUMIF(Bets!$D:$D, E188, Bets!AB:AB), "")</f>
        <v/>
      </c>
      <c r="G188" s="162"/>
      <c r="H188" s="148"/>
      <c r="I188" s="161">
        <f>IFERROR(__xludf.DUMMYFUNCTION("""COMPUTED_VALUE"""),45241.0)</f>
        <v>45241</v>
      </c>
      <c r="J188" s="146">
        <f>IF(I188&lt;&gt;"", SUMIF(Bets!$D:$D, I188, Bets!AA:AA), "")</f>
        <v>0.816</v>
      </c>
      <c r="K188" s="162"/>
      <c r="L188" s="148"/>
      <c r="M188" s="161"/>
      <c r="N188" s="146"/>
      <c r="O188" s="162"/>
      <c r="P188" s="148"/>
      <c r="Q188" s="161"/>
      <c r="R188" s="146" t="str">
        <f>IF(Q188&lt;&gt;"", SUMIF(Bets!$D:$D, Q188, Bets!AD:AD), "")</f>
        <v/>
      </c>
      <c r="S188" s="162"/>
      <c r="T188" s="148"/>
      <c r="U188" s="161"/>
      <c r="V188" s="146" t="str">
        <f>IF(U188&lt;&gt;"", SUMIF(Bets!$D:$D, U188, Bets!AE:AE), "")</f>
        <v/>
      </c>
      <c r="W188" s="162"/>
      <c r="X188" s="148"/>
      <c r="Y188" s="161"/>
      <c r="Z188" s="146" t="str">
        <f>IF(Y188&lt;&gt;"", SUMIF(Bets!$D:$D, Y188, Bets!AF:AF), "")</f>
        <v/>
      </c>
      <c r="AA188" s="162"/>
      <c r="AB188" s="148"/>
      <c r="AC188" s="161"/>
      <c r="AD188" s="146" t="str">
        <f>IF(AC188&lt;&gt;"", SUMIF(Bets!$D:$D, AC188, Bets!AG:AG), "")</f>
        <v/>
      </c>
      <c r="AE188" s="162"/>
      <c r="AF188" s="148"/>
    </row>
    <row r="189">
      <c r="A189" s="161">
        <f>IFERROR(__xludf.DUMMYFUNCTION("""COMPUTED_VALUE"""),45242.0)</f>
        <v>45242</v>
      </c>
      <c r="B189" s="146">
        <f>IF(A189&lt;&gt;"", SUMIF(Bets!$D:$D, A189, Bets!Z:Z), "")</f>
        <v>0.0555</v>
      </c>
      <c r="C189" s="162"/>
      <c r="D189" s="148"/>
      <c r="E189" s="161"/>
      <c r="F189" s="146" t="str">
        <f>IF(E189&lt;&gt;"", SUMIF(Bets!$D:$D, E189, Bets!AB:AB), "")</f>
        <v/>
      </c>
      <c r="G189" s="162"/>
      <c r="H189" s="148"/>
      <c r="I189" s="161">
        <f>IFERROR(__xludf.DUMMYFUNCTION("""COMPUTED_VALUE"""),45240.0)</f>
        <v>45240</v>
      </c>
      <c r="J189" s="146">
        <f>IF(I189&lt;&gt;"", SUMIF(Bets!$D:$D, I189, Bets!AA:AA), "")</f>
        <v>0.516</v>
      </c>
      <c r="K189" s="162"/>
      <c r="L189" s="148"/>
      <c r="M189" s="161"/>
      <c r="N189" s="146"/>
      <c r="O189" s="162"/>
      <c r="P189" s="148"/>
      <c r="Q189" s="161"/>
      <c r="R189" s="146" t="str">
        <f>IF(Q189&lt;&gt;"", SUMIF(Bets!$D:$D, Q189, Bets!AD:AD), "")</f>
        <v/>
      </c>
      <c r="S189" s="162"/>
      <c r="T189" s="148"/>
      <c r="U189" s="161"/>
      <c r="V189" s="146" t="str">
        <f>IF(U189&lt;&gt;"", SUMIF(Bets!$D:$D, U189, Bets!AE:AE), "")</f>
        <v/>
      </c>
      <c r="W189" s="162"/>
      <c r="X189" s="148"/>
      <c r="Y189" s="161"/>
      <c r="Z189" s="146" t="str">
        <f>IF(Y189&lt;&gt;"", SUMIF(Bets!$D:$D, Y189, Bets!AF:AF), "")</f>
        <v/>
      </c>
      <c r="AA189" s="162"/>
      <c r="AB189" s="148"/>
      <c r="AC189" s="161"/>
      <c r="AD189" s="146" t="str">
        <f>IF(AC189&lt;&gt;"", SUMIF(Bets!$D:$D, AC189, Bets!AG:AG), "")</f>
        <v/>
      </c>
      <c r="AE189" s="162"/>
      <c r="AF189" s="148"/>
    </row>
    <row r="190">
      <c r="A190" s="161">
        <f>IFERROR(__xludf.DUMMYFUNCTION("""COMPUTED_VALUE"""),45241.0)</f>
        <v>45241</v>
      </c>
      <c r="B190" s="146">
        <f>IF(A190&lt;&gt;"", SUMIF(Bets!$D:$D, A190, Bets!Z:Z), "")</f>
        <v>3.816</v>
      </c>
      <c r="C190" s="162"/>
      <c r="D190" s="148"/>
      <c r="E190" s="161"/>
      <c r="F190" s="146" t="str">
        <f>IF(E190&lt;&gt;"", SUMIF(Bets!$D:$D, E190, Bets!AB:AB), "")</f>
        <v/>
      </c>
      <c r="G190" s="162"/>
      <c r="H190" s="148"/>
      <c r="I190" s="161">
        <f>IFERROR(__xludf.DUMMYFUNCTION("""COMPUTED_VALUE"""),45239.0)</f>
        <v>45239</v>
      </c>
      <c r="J190" s="146">
        <f>IF(I190&lt;&gt;"", SUMIF(Bets!$D:$D, I190, Bets!AA:AA), "")</f>
        <v>28.512</v>
      </c>
      <c r="K190" s="162"/>
      <c r="L190" s="148"/>
      <c r="M190" s="161"/>
      <c r="N190" s="146"/>
      <c r="O190" s="162"/>
      <c r="P190" s="148"/>
      <c r="Q190" s="161"/>
      <c r="R190" s="146" t="str">
        <f>IF(Q190&lt;&gt;"", SUMIF(Bets!$D:$D, Q190, Bets!AD:AD), "")</f>
        <v/>
      </c>
      <c r="S190" s="162"/>
      <c r="T190" s="148"/>
      <c r="U190" s="161"/>
      <c r="V190" s="146" t="str">
        <f>IF(U190&lt;&gt;"", SUMIF(Bets!$D:$D, U190, Bets!AE:AE), "")</f>
        <v/>
      </c>
      <c r="W190" s="162"/>
      <c r="X190" s="148"/>
      <c r="Y190" s="161"/>
      <c r="Z190" s="146" t="str">
        <f>IF(Y190&lt;&gt;"", SUMIF(Bets!$D:$D, Y190, Bets!AF:AF), "")</f>
        <v/>
      </c>
      <c r="AA190" s="162"/>
      <c r="AB190" s="148"/>
      <c r="AC190" s="161"/>
      <c r="AD190" s="146" t="str">
        <f>IF(AC190&lt;&gt;"", SUMIF(Bets!$D:$D, AC190, Bets!AG:AG), "")</f>
        <v/>
      </c>
      <c r="AE190" s="162"/>
      <c r="AF190" s="148"/>
    </row>
    <row r="191">
      <c r="A191" s="161">
        <f>IFERROR(__xludf.DUMMYFUNCTION("""COMPUTED_VALUE"""),45240.0)</f>
        <v>45240</v>
      </c>
      <c r="B191" s="146">
        <f>IF(A191&lt;&gt;"", SUMIF(Bets!$D:$D, A191, Bets!Z:Z), "")</f>
        <v>1.016</v>
      </c>
      <c r="C191" s="162"/>
      <c r="D191" s="148"/>
      <c r="E191" s="161"/>
      <c r="F191" s="146" t="str">
        <f>IF(E191&lt;&gt;"", SUMIF(Bets!$D:$D, E191, Bets!AB:AB), "")</f>
        <v/>
      </c>
      <c r="G191" s="162"/>
      <c r="H191" s="148"/>
      <c r="I191" s="161">
        <f>IFERROR(__xludf.DUMMYFUNCTION("""COMPUTED_VALUE"""),45238.0)</f>
        <v>45238</v>
      </c>
      <c r="J191" s="146">
        <f>IF(I191&lt;&gt;"", SUMIF(Bets!$D:$D, I191, Bets!AA:AA), "")</f>
        <v>-8.144</v>
      </c>
      <c r="K191" s="162"/>
      <c r="L191" s="148"/>
      <c r="M191" s="161"/>
      <c r="N191" s="146"/>
      <c r="O191" s="162"/>
      <c r="P191" s="148"/>
      <c r="Q191" s="161"/>
      <c r="R191" s="146" t="str">
        <f>IF(Q191&lt;&gt;"", SUMIF(Bets!$D:$D, Q191, Bets!AD:AD), "")</f>
        <v/>
      </c>
      <c r="S191" s="162"/>
      <c r="T191" s="148"/>
      <c r="U191" s="161"/>
      <c r="V191" s="146" t="str">
        <f>IF(U191&lt;&gt;"", SUMIF(Bets!$D:$D, U191, Bets!AE:AE), "")</f>
        <v/>
      </c>
      <c r="W191" s="162"/>
      <c r="X191" s="148"/>
      <c r="Y191" s="161"/>
      <c r="Z191" s="146" t="str">
        <f>IF(Y191&lt;&gt;"", SUMIF(Bets!$D:$D, Y191, Bets!AF:AF), "")</f>
        <v/>
      </c>
      <c r="AA191" s="162"/>
      <c r="AB191" s="148"/>
      <c r="AC191" s="161"/>
      <c r="AD191" s="146" t="str">
        <f>IF(AC191&lt;&gt;"", SUMIF(Bets!$D:$D, AC191, Bets!AG:AG), "")</f>
        <v/>
      </c>
      <c r="AE191" s="162"/>
      <c r="AF191" s="148"/>
    </row>
    <row r="192">
      <c r="A192" s="161">
        <f>IFERROR(__xludf.DUMMYFUNCTION("""COMPUTED_VALUE"""),45239.0)</f>
        <v>45239</v>
      </c>
      <c r="B192" s="146">
        <f>IF(A192&lt;&gt;"", SUMIF(Bets!$D:$D, A192, Bets!Z:Z), "")</f>
        <v>10.912</v>
      </c>
      <c r="C192" s="162"/>
      <c r="D192" s="148"/>
      <c r="E192" s="161"/>
      <c r="F192" s="146" t="str">
        <f>IF(E192&lt;&gt;"", SUMIF(Bets!$D:$D, E192, Bets!AB:AB), "")</f>
        <v/>
      </c>
      <c r="G192" s="162"/>
      <c r="H192" s="148"/>
      <c r="I192" s="161">
        <f>IFERROR(__xludf.DUMMYFUNCTION("""COMPUTED_VALUE"""),45236.0)</f>
        <v>45236</v>
      </c>
      <c r="J192" s="146">
        <f>IF(I192&lt;&gt;"", SUMIF(Bets!$D:$D, I192, Bets!AA:AA), "")</f>
        <v>-23.89683333</v>
      </c>
      <c r="K192" s="162"/>
      <c r="L192" s="148"/>
      <c r="M192" s="161"/>
      <c r="N192" s="146"/>
      <c r="O192" s="162"/>
      <c r="P192" s="148"/>
      <c r="Q192" s="161"/>
      <c r="R192" s="146" t="str">
        <f>IF(Q192&lt;&gt;"", SUMIF(Bets!$D:$D, Q192, Bets!AD:AD), "")</f>
        <v/>
      </c>
      <c r="S192" s="162"/>
      <c r="T192" s="148"/>
      <c r="U192" s="161"/>
      <c r="V192" s="146" t="str">
        <f>IF(U192&lt;&gt;"", SUMIF(Bets!$D:$D, U192, Bets!AE:AE), "")</f>
        <v/>
      </c>
      <c r="W192" s="162"/>
      <c r="X192" s="148"/>
      <c r="Y192" s="161"/>
      <c r="Z192" s="146" t="str">
        <f>IF(Y192&lt;&gt;"", SUMIF(Bets!$D:$D, Y192, Bets!AF:AF), "")</f>
        <v/>
      </c>
      <c r="AA192" s="162"/>
      <c r="AB192" s="148"/>
      <c r="AC192" s="161"/>
      <c r="AD192" s="146" t="str">
        <f>IF(AC192&lt;&gt;"", SUMIF(Bets!$D:$D, AC192, Bets!AG:AG), "")</f>
        <v/>
      </c>
      <c r="AE192" s="162"/>
      <c r="AF192" s="148"/>
    </row>
    <row r="193">
      <c r="A193" s="161">
        <f>IFERROR(__xludf.DUMMYFUNCTION("""COMPUTED_VALUE"""),45238.0)</f>
        <v>45238</v>
      </c>
      <c r="B193" s="146">
        <f>IF(A193&lt;&gt;"", SUMIF(Bets!$D:$D, A193, Bets!Z:Z), "")</f>
        <v>-7.144</v>
      </c>
      <c r="C193" s="162"/>
      <c r="D193" s="148"/>
      <c r="E193" s="161"/>
      <c r="F193" s="146" t="str">
        <f>IF(E193&lt;&gt;"", SUMIF(Bets!$D:$D, E193, Bets!AB:AB), "")</f>
        <v/>
      </c>
      <c r="G193" s="162"/>
      <c r="H193" s="148"/>
      <c r="I193" s="161">
        <f>IFERROR(__xludf.DUMMYFUNCTION("""COMPUTED_VALUE"""),45235.0)</f>
        <v>45235</v>
      </c>
      <c r="J193" s="146">
        <f>IF(I193&lt;&gt;"", SUMIF(Bets!$D:$D, I193, Bets!AA:AA), "")</f>
        <v>65.58225</v>
      </c>
      <c r="K193" s="162"/>
      <c r="L193" s="148"/>
      <c r="M193" s="161"/>
      <c r="N193" s="146"/>
      <c r="O193" s="162"/>
      <c r="P193" s="148"/>
      <c r="Q193" s="161"/>
      <c r="R193" s="146" t="str">
        <f>IF(Q193&lt;&gt;"", SUMIF(Bets!$D:$D, Q193, Bets!AD:AD), "")</f>
        <v/>
      </c>
      <c r="S193" s="162"/>
      <c r="T193" s="148"/>
      <c r="U193" s="161"/>
      <c r="V193" s="146" t="str">
        <f>IF(U193&lt;&gt;"", SUMIF(Bets!$D:$D, U193, Bets!AE:AE), "")</f>
        <v/>
      </c>
      <c r="W193" s="162"/>
      <c r="X193" s="148"/>
      <c r="Y193" s="161"/>
      <c r="Z193" s="146" t="str">
        <f>IF(Y193&lt;&gt;"", SUMIF(Bets!$D:$D, Y193, Bets!AF:AF), "")</f>
        <v/>
      </c>
      <c r="AA193" s="162"/>
      <c r="AB193" s="148"/>
      <c r="AC193" s="161"/>
      <c r="AD193" s="146" t="str">
        <f>IF(AC193&lt;&gt;"", SUMIF(Bets!$D:$D, AC193, Bets!AG:AG), "")</f>
        <v/>
      </c>
      <c r="AE193" s="162"/>
      <c r="AF193" s="148"/>
    </row>
    <row r="194">
      <c r="A194" s="161">
        <f>IFERROR(__xludf.DUMMYFUNCTION("""COMPUTED_VALUE"""),45236.0)</f>
        <v>45236</v>
      </c>
      <c r="B194" s="146">
        <f>IF(A194&lt;&gt;"", SUMIF(Bets!$D:$D, A194, Bets!Z:Z), "")</f>
        <v>-2.934333333</v>
      </c>
      <c r="C194" s="162"/>
      <c r="D194" s="148"/>
      <c r="E194" s="161"/>
      <c r="F194" s="146" t="str">
        <f>IF(E194&lt;&gt;"", SUMIF(Bets!$D:$D, E194, Bets!AB:AB), "")</f>
        <v/>
      </c>
      <c r="G194" s="162"/>
      <c r="H194" s="148"/>
      <c r="I194" s="161">
        <f>IFERROR(__xludf.DUMMYFUNCTION("""COMPUTED_VALUE"""),45174.0)</f>
        <v>45174</v>
      </c>
      <c r="J194" s="146">
        <f>IF(I194&lt;&gt;"", SUMIF(Bets!$D:$D, I194, Bets!AA:AA), "")</f>
        <v>-5</v>
      </c>
      <c r="K194" s="162"/>
      <c r="L194" s="148"/>
      <c r="M194" s="161"/>
      <c r="N194" s="146"/>
      <c r="O194" s="162"/>
      <c r="P194" s="148"/>
      <c r="Q194" s="161"/>
      <c r="R194" s="146" t="str">
        <f>IF(Q194&lt;&gt;"", SUMIF(Bets!$D:$D, Q194, Bets!AD:AD), "")</f>
        <v/>
      </c>
      <c r="S194" s="162"/>
      <c r="T194" s="148"/>
      <c r="U194" s="161"/>
      <c r="V194" s="146" t="str">
        <f>IF(U194&lt;&gt;"", SUMIF(Bets!$D:$D, U194, Bets!AE:AE), "")</f>
        <v/>
      </c>
      <c r="W194" s="162"/>
      <c r="X194" s="148"/>
      <c r="Y194" s="161"/>
      <c r="Z194" s="146" t="str">
        <f>IF(Y194&lt;&gt;"", SUMIF(Bets!$D:$D, Y194, Bets!AF:AF), "")</f>
        <v/>
      </c>
      <c r="AA194" s="162"/>
      <c r="AB194" s="148"/>
      <c r="AC194" s="161"/>
      <c r="AD194" s="146" t="str">
        <f>IF(AC194&lt;&gt;"", SUMIF(Bets!$D:$D, AC194, Bets!AG:AG), "")</f>
        <v/>
      </c>
      <c r="AE194" s="162"/>
      <c r="AF194" s="148"/>
    </row>
    <row r="195">
      <c r="A195" s="161">
        <f>IFERROR(__xludf.DUMMYFUNCTION("""COMPUTED_VALUE"""),45235.0)</f>
        <v>45235</v>
      </c>
      <c r="B195" s="146">
        <f>IF(A195&lt;&gt;"", SUMIF(Bets!$D:$D, A195, Bets!Z:Z), "")</f>
        <v>27.7097</v>
      </c>
      <c r="C195" s="162"/>
      <c r="D195" s="148"/>
      <c r="E195" s="161"/>
      <c r="F195" s="146" t="str">
        <f>IF(E195&lt;&gt;"", SUMIF(Bets!$D:$D, E195, Bets!AB:AB), "")</f>
        <v/>
      </c>
      <c r="G195" s="162"/>
      <c r="H195" s="148"/>
      <c r="I195" s="161"/>
      <c r="J195" s="146" t="str">
        <f>IF(I195&lt;&gt;"", SUMIF(Bets!$D:$D, I195, Bets!AA:AA), "")</f>
        <v/>
      </c>
      <c r="K195" s="162"/>
      <c r="L195" s="148"/>
      <c r="M195" s="161"/>
      <c r="N195" s="146"/>
      <c r="O195" s="162"/>
      <c r="P195" s="148"/>
      <c r="Q195" s="161"/>
      <c r="R195" s="146" t="str">
        <f>IF(Q195&lt;&gt;"", SUMIF(Bets!$D:$D, Q195, Bets!AD:AD), "")</f>
        <v/>
      </c>
      <c r="S195" s="162"/>
      <c r="T195" s="148"/>
      <c r="U195" s="161"/>
      <c r="V195" s="146" t="str">
        <f>IF(U195&lt;&gt;"", SUMIF(Bets!$D:$D, U195, Bets!AE:AE), "")</f>
        <v/>
      </c>
      <c r="W195" s="162"/>
      <c r="X195" s="148"/>
      <c r="Y195" s="161"/>
      <c r="Z195" s="146" t="str">
        <f>IF(Y195&lt;&gt;"", SUMIF(Bets!$D:$D, Y195, Bets!AF:AF), "")</f>
        <v/>
      </c>
      <c r="AA195" s="162"/>
      <c r="AB195" s="148"/>
      <c r="AC195" s="161"/>
      <c r="AD195" s="146" t="str">
        <f>IF(AC195&lt;&gt;"", SUMIF(Bets!$D:$D, AC195, Bets!AG:AG), "")</f>
        <v/>
      </c>
      <c r="AE195" s="162"/>
      <c r="AF195" s="148"/>
    </row>
    <row r="196">
      <c r="A196" s="161">
        <f>IFERROR(__xludf.DUMMYFUNCTION("""COMPUTED_VALUE"""),45174.0)</f>
        <v>45174</v>
      </c>
      <c r="B196" s="146">
        <f>IF(A196&lt;&gt;"", SUMIF(Bets!$D:$D, A196, Bets!Z:Z), "")</f>
        <v>-7.25</v>
      </c>
      <c r="C196" s="162"/>
      <c r="D196" s="148"/>
      <c r="E196" s="161"/>
      <c r="F196" s="146" t="str">
        <f>IF(E196&lt;&gt;"", SUMIF(Bets!$D:$D, E196, Bets!AB:AB), "")</f>
        <v/>
      </c>
      <c r="G196" s="162"/>
      <c r="H196" s="148"/>
      <c r="I196" s="161"/>
      <c r="J196" s="146" t="str">
        <f>IF(I196&lt;&gt;"", SUMIF(Bets!$D:$D, I196, Bets!AA:AA), "")</f>
        <v/>
      </c>
      <c r="K196" s="162"/>
      <c r="L196" s="148"/>
      <c r="M196" s="161"/>
      <c r="N196" s="146"/>
      <c r="O196" s="162"/>
      <c r="P196" s="148"/>
      <c r="Q196" s="161"/>
      <c r="R196" s="146" t="str">
        <f>IF(Q196&lt;&gt;"", SUMIF(Bets!$D:$D, Q196, Bets!AD:AD), "")</f>
        <v/>
      </c>
      <c r="S196" s="162"/>
      <c r="T196" s="148"/>
      <c r="U196" s="161"/>
      <c r="V196" s="146" t="str">
        <f>IF(U196&lt;&gt;"", SUMIF(Bets!$D:$D, U196, Bets!AE:AE), "")</f>
        <v/>
      </c>
      <c r="W196" s="162"/>
      <c r="X196" s="148"/>
      <c r="Y196" s="161"/>
      <c r="Z196" s="146" t="str">
        <f>IF(Y196&lt;&gt;"", SUMIF(Bets!$D:$D, Y196, Bets!AF:AF), "")</f>
        <v/>
      </c>
      <c r="AA196" s="162"/>
      <c r="AB196" s="148"/>
      <c r="AC196" s="161"/>
      <c r="AD196" s="146" t="str">
        <f>IF(AC196&lt;&gt;"", SUMIF(Bets!$D:$D, AC196, Bets!AG:AG), "")</f>
        <v/>
      </c>
      <c r="AE196" s="162"/>
      <c r="AF196" s="148"/>
    </row>
    <row r="197">
      <c r="A197" s="161"/>
      <c r="B197" s="146" t="str">
        <f>IF(A197&lt;&gt;"", SUMIF(Bets!$D:$D, A197, Bets!Z:Z), "")</f>
        <v/>
      </c>
      <c r="C197" s="162"/>
      <c r="D197" s="148"/>
      <c r="E197" s="161"/>
      <c r="F197" s="146" t="str">
        <f>IF(E197&lt;&gt;"", SUMIF(Bets!$D:$D, E197, Bets!AB:AB), "")</f>
        <v/>
      </c>
      <c r="G197" s="162"/>
      <c r="H197" s="148"/>
      <c r="I197" s="161"/>
      <c r="J197" s="146" t="str">
        <f>IF(I197&lt;&gt;"", SUMIF(Bets!$D:$D, I197, Bets!AA:AA), "")</f>
        <v/>
      </c>
      <c r="K197" s="162"/>
      <c r="L197" s="148"/>
      <c r="M197" s="161"/>
      <c r="N197" s="146"/>
      <c r="O197" s="162"/>
      <c r="P197" s="148"/>
      <c r="Q197" s="161"/>
      <c r="R197" s="146" t="str">
        <f>IF(Q197&lt;&gt;"", SUMIF(Bets!$D:$D, Q197, Bets!AD:AD), "")</f>
        <v/>
      </c>
      <c r="S197" s="162"/>
      <c r="T197" s="148"/>
      <c r="U197" s="161"/>
      <c r="V197" s="146" t="str">
        <f>IF(U197&lt;&gt;"", SUMIF(Bets!$D:$D, U197, Bets!AE:AE), "")</f>
        <v/>
      </c>
      <c r="W197" s="162"/>
      <c r="X197" s="148"/>
      <c r="Y197" s="161"/>
      <c r="Z197" s="146" t="str">
        <f>IF(Y197&lt;&gt;"", SUMIF(Bets!$D:$D, Y197, Bets!AF:AF), "")</f>
        <v/>
      </c>
      <c r="AA197" s="162"/>
      <c r="AB197" s="148"/>
      <c r="AC197" s="161"/>
      <c r="AD197" s="146" t="str">
        <f>IF(AC197&lt;&gt;"", SUMIF(Bets!$D:$D, AC197, Bets!AG:AG), "")</f>
        <v/>
      </c>
      <c r="AE197" s="162"/>
      <c r="AF197" s="148"/>
    </row>
    <row r="198">
      <c r="A198" s="161"/>
      <c r="B198" s="146" t="str">
        <f>IF(A198&lt;&gt;"", SUMIF(Bets!$D:$D, A198, Bets!Z:Z), "")</f>
        <v/>
      </c>
      <c r="C198" s="162"/>
      <c r="D198" s="148"/>
      <c r="E198" s="161"/>
      <c r="F198" s="146" t="str">
        <f>IF(E198&lt;&gt;"", SUMIF(Bets!$D:$D, E198, Bets!AB:AB), "")</f>
        <v/>
      </c>
      <c r="G198" s="162"/>
      <c r="H198" s="148"/>
      <c r="I198" s="161"/>
      <c r="J198" s="146" t="str">
        <f>IF(I198&lt;&gt;"", SUMIF(Bets!$D:$D, I198, Bets!AA:AA), "")</f>
        <v/>
      </c>
      <c r="K198" s="162"/>
      <c r="L198" s="148"/>
      <c r="M198" s="161"/>
      <c r="N198" s="146"/>
      <c r="O198" s="162"/>
      <c r="P198" s="148"/>
      <c r="Q198" s="161"/>
      <c r="R198" s="146" t="str">
        <f>IF(Q198&lt;&gt;"", SUMIF(Bets!$D:$D, Q198, Bets!AD:AD), "")</f>
        <v/>
      </c>
      <c r="S198" s="162"/>
      <c r="T198" s="148"/>
      <c r="U198" s="161"/>
      <c r="V198" s="146" t="str">
        <f>IF(U198&lt;&gt;"", SUMIF(Bets!$D:$D, U198, Bets!AE:AE), "")</f>
        <v/>
      </c>
      <c r="W198" s="162"/>
      <c r="X198" s="148"/>
      <c r="Y198" s="161"/>
      <c r="Z198" s="146" t="str">
        <f>IF(Y198&lt;&gt;"", SUMIF(Bets!$D:$D, Y198, Bets!AF:AF), "")</f>
        <v/>
      </c>
      <c r="AA198" s="162"/>
      <c r="AB198" s="148"/>
      <c r="AC198" s="161"/>
      <c r="AD198" s="146" t="str">
        <f>IF(AC198&lt;&gt;"", SUMIF(Bets!$D:$D, AC198, Bets!AG:AG), "")</f>
        <v/>
      </c>
      <c r="AE198" s="162"/>
      <c r="AF198" s="148"/>
    </row>
    <row r="199">
      <c r="A199" s="161"/>
      <c r="B199" s="146" t="str">
        <f>IF(A199&lt;&gt;"", SUMIF(Bets!$D:$D, A199, Bets!Z:Z), "")</f>
        <v/>
      </c>
      <c r="C199" s="162"/>
      <c r="D199" s="148"/>
      <c r="E199" s="161"/>
      <c r="F199" s="146" t="str">
        <f>IF(E199&lt;&gt;"", SUMIF(Bets!$D:$D, E199, Bets!AB:AB), "")</f>
        <v/>
      </c>
      <c r="G199" s="162"/>
      <c r="H199" s="148"/>
      <c r="I199" s="161"/>
      <c r="J199" s="146" t="str">
        <f>IF(I199&lt;&gt;"", SUMIF(Bets!$D:$D, I199, Bets!AA:AA), "")</f>
        <v/>
      </c>
      <c r="K199" s="162"/>
      <c r="L199" s="148"/>
      <c r="M199" s="161"/>
      <c r="N199" s="146"/>
      <c r="O199" s="162"/>
      <c r="P199" s="148"/>
      <c r="Q199" s="161"/>
      <c r="R199" s="146" t="str">
        <f>IF(Q199&lt;&gt;"", SUMIF(Bets!$D:$D, Q199, Bets!AD:AD), "")</f>
        <v/>
      </c>
      <c r="S199" s="162"/>
      <c r="T199" s="148"/>
      <c r="U199" s="161"/>
      <c r="V199" s="146" t="str">
        <f>IF(U199&lt;&gt;"", SUMIF(Bets!$D:$D, U199, Bets!AE:AE), "")</f>
        <v/>
      </c>
      <c r="W199" s="162"/>
      <c r="X199" s="148"/>
      <c r="Y199" s="161"/>
      <c r="Z199" s="146" t="str">
        <f>IF(Y199&lt;&gt;"", SUMIF(Bets!$D:$D, Y199, Bets!AF:AF), "")</f>
        <v/>
      </c>
      <c r="AA199" s="162"/>
      <c r="AB199" s="148"/>
      <c r="AC199" s="161"/>
      <c r="AD199" s="146" t="str">
        <f>IF(AC199&lt;&gt;"", SUMIF(Bets!$D:$D, AC199, Bets!AG:AG), "")</f>
        <v/>
      </c>
      <c r="AE199" s="162"/>
      <c r="AF199" s="148"/>
    </row>
    <row r="200">
      <c r="A200" s="161"/>
      <c r="B200" s="146" t="str">
        <f>IF(A200&lt;&gt;"", SUMIF(Bets!$D:$D, A200, Bets!Z:Z), "")</f>
        <v/>
      </c>
      <c r="C200" s="162"/>
      <c r="D200" s="148"/>
      <c r="E200" s="161"/>
      <c r="F200" s="146" t="str">
        <f>IF(E200&lt;&gt;"", SUMIF(Bets!$D:$D, E200, Bets!AB:AB), "")</f>
        <v/>
      </c>
      <c r="G200" s="162"/>
      <c r="H200" s="148"/>
      <c r="I200" s="161"/>
      <c r="J200" s="146" t="str">
        <f>IF(I200&lt;&gt;"", SUMIF(Bets!$D:$D, I200, Bets!AA:AA), "")</f>
        <v/>
      </c>
      <c r="K200" s="162"/>
      <c r="L200" s="148"/>
      <c r="M200" s="161"/>
      <c r="N200" s="146"/>
      <c r="O200" s="162"/>
      <c r="P200" s="148"/>
      <c r="Q200" s="161"/>
      <c r="R200" s="146" t="str">
        <f>IF(Q200&lt;&gt;"", SUMIF(Bets!$D:$D, Q200, Bets!AD:AD), "")</f>
        <v/>
      </c>
      <c r="S200" s="162"/>
      <c r="T200" s="148"/>
      <c r="U200" s="161"/>
      <c r="V200" s="146" t="str">
        <f>IF(U200&lt;&gt;"", SUMIF(Bets!$D:$D, U200, Bets!AE:AE), "")</f>
        <v/>
      </c>
      <c r="W200" s="162"/>
      <c r="X200" s="148"/>
      <c r="Y200" s="161"/>
      <c r="Z200" s="146" t="str">
        <f>IF(Y200&lt;&gt;"", SUMIF(Bets!$D:$D, Y200, Bets!AF:AF), "")</f>
        <v/>
      </c>
      <c r="AA200" s="162"/>
      <c r="AB200" s="148"/>
      <c r="AC200" s="161"/>
      <c r="AD200" s="146" t="str">
        <f>IF(AC200&lt;&gt;"", SUMIF(Bets!$D:$D, AC200, Bets!AG:AG), "")</f>
        <v/>
      </c>
      <c r="AE200" s="162"/>
      <c r="AF200" s="148"/>
    </row>
    <row r="201">
      <c r="A201" s="161"/>
      <c r="B201" s="146" t="str">
        <f>IF(A201&lt;&gt;"", SUMIF(Bets!$D:$D, A201, Bets!Z:Z), "")</f>
        <v/>
      </c>
      <c r="C201" s="162"/>
      <c r="D201" s="148"/>
      <c r="E201" s="161"/>
      <c r="F201" s="146" t="str">
        <f>IF(E201&lt;&gt;"", SUMIF(Bets!$D:$D, E201, Bets!AB:AB), "")</f>
        <v/>
      </c>
      <c r="G201" s="162"/>
      <c r="H201" s="148"/>
      <c r="I201" s="161"/>
      <c r="J201" s="146" t="str">
        <f>IF(I201&lt;&gt;"", SUMIF(Bets!$D:$D, I201, Bets!AA:AA), "")</f>
        <v/>
      </c>
      <c r="K201" s="162"/>
      <c r="L201" s="148"/>
      <c r="M201" s="161"/>
      <c r="N201" s="146"/>
      <c r="O201" s="162"/>
      <c r="P201" s="148"/>
      <c r="Q201" s="161"/>
      <c r="R201" s="146" t="str">
        <f>IF(Q201&lt;&gt;"", SUMIF(Bets!$D:$D, Q201, Bets!AD:AD), "")</f>
        <v/>
      </c>
      <c r="S201" s="162"/>
      <c r="T201" s="148"/>
      <c r="U201" s="161"/>
      <c r="V201" s="146" t="str">
        <f>IF(U201&lt;&gt;"", SUMIF(Bets!$D:$D, U201, Bets!AE:AE), "")</f>
        <v/>
      </c>
      <c r="W201" s="162"/>
      <c r="X201" s="148"/>
      <c r="Y201" s="161"/>
      <c r="Z201" s="146" t="str">
        <f>IF(Y201&lt;&gt;"", SUMIF(Bets!$D:$D, Y201, Bets!AF:AF), "")</f>
        <v/>
      </c>
      <c r="AA201" s="162"/>
      <c r="AB201" s="148"/>
      <c r="AC201" s="161"/>
      <c r="AD201" s="146" t="str">
        <f>IF(AC201&lt;&gt;"", SUMIF(Bets!$D:$D, AC201, Bets!AG:AG), "")</f>
        <v/>
      </c>
      <c r="AE201" s="162"/>
      <c r="AF201" s="148"/>
    </row>
    <row r="202">
      <c r="A202" s="161"/>
      <c r="B202" s="146" t="str">
        <f>IF(A202&lt;&gt;"", SUMIF(Bets!$D:$D, A202, Bets!Z:Z), "")</f>
        <v/>
      </c>
      <c r="C202" s="162"/>
      <c r="D202" s="148"/>
      <c r="E202" s="161"/>
      <c r="F202" s="146" t="str">
        <f>IF(E202&lt;&gt;"", SUMIF(Bets!$D:$D, E202, Bets!AB:AB), "")</f>
        <v/>
      </c>
      <c r="G202" s="162"/>
      <c r="H202" s="148"/>
      <c r="I202" s="161"/>
      <c r="J202" s="146" t="str">
        <f>IF(I202&lt;&gt;"", SUMIF(Bets!$D:$D, I202, Bets!AA:AA), "")</f>
        <v/>
      </c>
      <c r="K202" s="162"/>
      <c r="L202" s="148"/>
      <c r="M202" s="161"/>
      <c r="N202" s="146"/>
      <c r="O202" s="162"/>
      <c r="P202" s="148"/>
      <c r="Q202" s="161"/>
      <c r="R202" s="146" t="str">
        <f>IF(Q202&lt;&gt;"", SUMIF(Bets!$D:$D, Q202, Bets!AD:AD), "")</f>
        <v/>
      </c>
      <c r="S202" s="162"/>
      <c r="T202" s="148"/>
      <c r="U202" s="161"/>
      <c r="V202" s="146" t="str">
        <f>IF(U202&lt;&gt;"", SUMIF(Bets!$D:$D, U202, Bets!AE:AE), "")</f>
        <v/>
      </c>
      <c r="W202" s="162"/>
      <c r="X202" s="148"/>
      <c r="Y202" s="161"/>
      <c r="Z202" s="146" t="str">
        <f>IF(Y202&lt;&gt;"", SUMIF(Bets!$D:$D, Y202, Bets!AF:AF), "")</f>
        <v/>
      </c>
      <c r="AA202" s="162"/>
      <c r="AB202" s="148"/>
      <c r="AC202" s="161"/>
      <c r="AD202" s="146" t="str">
        <f>IF(AC202&lt;&gt;"", SUMIF(Bets!$D:$D, AC202, Bets!AG:AG), "")</f>
        <v/>
      </c>
      <c r="AE202" s="162"/>
      <c r="AF202" s="148"/>
    </row>
    <row r="203">
      <c r="A203" s="161"/>
      <c r="B203" s="146" t="str">
        <f>IF(A203&lt;&gt;"", SUMIF(Bets!$D:$D, A203, Bets!Z:Z), "")</f>
        <v/>
      </c>
      <c r="C203" s="162"/>
      <c r="D203" s="148"/>
      <c r="E203" s="161"/>
      <c r="F203" s="146" t="str">
        <f>IF(E203&lt;&gt;"", SUMIF(Bets!$D:$D, E203, Bets!AB:AB), "")</f>
        <v/>
      </c>
      <c r="G203" s="162"/>
      <c r="H203" s="148"/>
      <c r="I203" s="161"/>
      <c r="J203" s="146" t="str">
        <f>IF(I203&lt;&gt;"", SUMIF(Bets!$D:$D, I203, Bets!AA:AA), "")</f>
        <v/>
      </c>
      <c r="K203" s="162"/>
      <c r="L203" s="148"/>
      <c r="M203" s="161"/>
      <c r="N203" s="146"/>
      <c r="O203" s="162"/>
      <c r="P203" s="148"/>
      <c r="Q203" s="161"/>
      <c r="R203" s="146" t="str">
        <f>IF(Q203&lt;&gt;"", SUMIF(Bets!$D:$D, Q203, Bets!AD:AD), "")</f>
        <v/>
      </c>
      <c r="S203" s="162"/>
      <c r="T203" s="148"/>
      <c r="U203" s="161"/>
      <c r="V203" s="146" t="str">
        <f>IF(U203&lt;&gt;"", SUMIF(Bets!$D:$D, U203, Bets!AE:AE), "")</f>
        <v/>
      </c>
      <c r="W203" s="162"/>
      <c r="X203" s="148"/>
      <c r="Y203" s="161"/>
      <c r="Z203" s="146" t="str">
        <f>IF(Y203&lt;&gt;"", SUMIF(Bets!$D:$D, Y203, Bets!AF:AF), "")</f>
        <v/>
      </c>
      <c r="AA203" s="162"/>
      <c r="AB203" s="148"/>
      <c r="AC203" s="161"/>
      <c r="AD203" s="146" t="str">
        <f>IF(AC203&lt;&gt;"", SUMIF(Bets!$D:$D, AC203, Bets!AG:AG), "")</f>
        <v/>
      </c>
      <c r="AE203" s="162"/>
      <c r="AF203" s="148"/>
    </row>
    <row r="204">
      <c r="A204" s="161"/>
      <c r="B204" s="146" t="str">
        <f>IF(A204&lt;&gt;"", SUMIF(Bets!$D:$D, A204, Bets!Z:Z), "")</f>
        <v/>
      </c>
      <c r="C204" s="162"/>
      <c r="D204" s="148"/>
      <c r="E204" s="161"/>
      <c r="F204" s="146" t="str">
        <f>IF(E204&lt;&gt;"", SUMIF(Bets!$D:$D, E204, Bets!AB:AB), "")</f>
        <v/>
      </c>
      <c r="G204" s="162"/>
      <c r="H204" s="148"/>
      <c r="I204" s="161"/>
      <c r="J204" s="146" t="str">
        <f>IF(I204&lt;&gt;"", SUMIF(Bets!$D:$D, I204, Bets!AA:AA), "")</f>
        <v/>
      </c>
      <c r="K204" s="162"/>
      <c r="L204" s="148"/>
      <c r="M204" s="161"/>
      <c r="N204" s="146"/>
      <c r="O204" s="162"/>
      <c r="P204" s="148"/>
      <c r="Q204" s="161"/>
      <c r="R204" s="146" t="str">
        <f>IF(Q204&lt;&gt;"", SUMIF(Bets!$D:$D, Q204, Bets!AD:AD), "")</f>
        <v/>
      </c>
      <c r="S204" s="162"/>
      <c r="T204" s="148"/>
      <c r="U204" s="161"/>
      <c r="V204" s="146" t="str">
        <f>IF(U204&lt;&gt;"", SUMIF(Bets!$D:$D, U204, Bets!AE:AE), "")</f>
        <v/>
      </c>
      <c r="W204" s="162"/>
      <c r="X204" s="148"/>
      <c r="Y204" s="161"/>
      <c r="Z204" s="146" t="str">
        <f>IF(Y204&lt;&gt;"", SUMIF(Bets!$D:$D, Y204, Bets!AF:AF), "")</f>
        <v/>
      </c>
      <c r="AA204" s="162"/>
      <c r="AB204" s="148"/>
      <c r="AC204" s="161"/>
      <c r="AD204" s="146" t="str">
        <f>IF(AC204&lt;&gt;"", SUMIF(Bets!$D:$D, AC204, Bets!AG:AG), "")</f>
        <v/>
      </c>
      <c r="AE204" s="162"/>
      <c r="AF204" s="148"/>
    </row>
    <row r="205">
      <c r="A205" s="161"/>
      <c r="B205" s="146" t="str">
        <f>IF(A205&lt;&gt;"", SUMIF(Bets!$D:$D, A205, Bets!Z:Z), "")</f>
        <v/>
      </c>
      <c r="C205" s="162"/>
      <c r="D205" s="148"/>
      <c r="E205" s="161"/>
      <c r="F205" s="146" t="str">
        <f>IF(E205&lt;&gt;"", SUMIF(Bets!$D:$D, E205, Bets!AB:AB), "")</f>
        <v/>
      </c>
      <c r="G205" s="162"/>
      <c r="H205" s="148"/>
      <c r="I205" s="161"/>
      <c r="J205" s="146" t="str">
        <f>IF(I205&lt;&gt;"", SUMIF(Bets!$D:$D, I205, Bets!AA:AA), "")</f>
        <v/>
      </c>
      <c r="K205" s="162"/>
      <c r="L205" s="148"/>
      <c r="M205" s="161"/>
      <c r="N205" s="146"/>
      <c r="O205" s="162"/>
      <c r="P205" s="148"/>
      <c r="Q205" s="161"/>
      <c r="R205" s="146" t="str">
        <f>IF(Q205&lt;&gt;"", SUMIF(Bets!$D:$D, Q205, Bets!AD:AD), "")</f>
        <v/>
      </c>
      <c r="S205" s="162"/>
      <c r="T205" s="148"/>
      <c r="U205" s="161"/>
      <c r="V205" s="146" t="str">
        <f>IF(U205&lt;&gt;"", SUMIF(Bets!$D:$D, U205, Bets!AE:AE), "")</f>
        <v/>
      </c>
      <c r="W205" s="162"/>
      <c r="X205" s="148"/>
      <c r="Y205" s="161"/>
      <c r="Z205" s="146" t="str">
        <f>IF(Y205&lt;&gt;"", SUMIF(Bets!$D:$D, Y205, Bets!AF:AF), "")</f>
        <v/>
      </c>
      <c r="AA205" s="162"/>
      <c r="AB205" s="148"/>
      <c r="AC205" s="161"/>
      <c r="AD205" s="146" t="str">
        <f>IF(AC205&lt;&gt;"", SUMIF(Bets!$D:$D, AC205, Bets!AG:AG), "")</f>
        <v/>
      </c>
      <c r="AE205" s="162"/>
      <c r="AF205" s="148"/>
    </row>
    <row r="206">
      <c r="A206" s="161"/>
      <c r="B206" s="146" t="str">
        <f>IF(A206&lt;&gt;"", SUMIF(Bets!$D:$D, A206, Bets!Z:Z), "")</f>
        <v/>
      </c>
      <c r="C206" s="162"/>
      <c r="D206" s="148"/>
      <c r="E206" s="161"/>
      <c r="F206" s="146" t="str">
        <f>IF(E206&lt;&gt;"", SUMIF(Bets!$D:$D, E206, Bets!AB:AB), "")</f>
        <v/>
      </c>
      <c r="G206" s="162"/>
      <c r="H206" s="148"/>
      <c r="I206" s="161"/>
      <c r="J206" s="146" t="str">
        <f>IF(I206&lt;&gt;"", SUMIF(Bets!$D:$D, I206, Bets!AA:AA), "")</f>
        <v/>
      </c>
      <c r="K206" s="162"/>
      <c r="L206" s="148"/>
      <c r="M206" s="161"/>
      <c r="N206" s="146"/>
      <c r="O206" s="162"/>
      <c r="P206" s="148"/>
      <c r="Q206" s="161"/>
      <c r="R206" s="146" t="str">
        <f>IF(Q206&lt;&gt;"", SUMIF(Bets!$D:$D, Q206, Bets!AD:AD), "")</f>
        <v/>
      </c>
      <c r="S206" s="162"/>
      <c r="T206" s="148"/>
      <c r="U206" s="161"/>
      <c r="V206" s="146" t="str">
        <f>IF(U206&lt;&gt;"", SUMIF(Bets!$D:$D, U206, Bets!AE:AE), "")</f>
        <v/>
      </c>
      <c r="W206" s="162"/>
      <c r="X206" s="148"/>
      <c r="Y206" s="161"/>
      <c r="Z206" s="146" t="str">
        <f>IF(Y206&lt;&gt;"", SUMIF(Bets!$D:$D, Y206, Bets!AF:AF), "")</f>
        <v/>
      </c>
      <c r="AA206" s="162"/>
      <c r="AB206" s="148"/>
      <c r="AC206" s="161"/>
      <c r="AD206" s="146" t="str">
        <f>IF(AC206&lt;&gt;"", SUMIF(Bets!$D:$D, AC206, Bets!AG:AG), "")</f>
        <v/>
      </c>
      <c r="AE206" s="162"/>
      <c r="AF206" s="148"/>
    </row>
    <row r="207">
      <c r="A207" s="161"/>
      <c r="B207" s="146" t="str">
        <f>IF(A207&lt;&gt;"", SUMIF(Bets!$D:$D, A207, Bets!Z:Z), "")</f>
        <v/>
      </c>
      <c r="C207" s="162"/>
      <c r="D207" s="148"/>
      <c r="E207" s="161"/>
      <c r="F207" s="146" t="str">
        <f>IF(E207&lt;&gt;"", SUMIF(Bets!$D:$D, E207, Bets!AB:AB), "")</f>
        <v/>
      </c>
      <c r="G207" s="162"/>
      <c r="H207" s="148"/>
      <c r="I207" s="161"/>
      <c r="J207" s="146" t="str">
        <f>IF(I207&lt;&gt;"", SUMIF(Bets!$D:$D, I207, Bets!AA:AA), "")</f>
        <v/>
      </c>
      <c r="K207" s="162"/>
      <c r="L207" s="148"/>
      <c r="M207" s="161"/>
      <c r="N207" s="146"/>
      <c r="O207" s="162"/>
      <c r="P207" s="148"/>
      <c r="Q207" s="161"/>
      <c r="R207" s="146" t="str">
        <f>IF(Q207&lt;&gt;"", SUMIF(Bets!$D:$D, Q207, Bets!AD:AD), "")</f>
        <v/>
      </c>
      <c r="S207" s="162"/>
      <c r="T207" s="148"/>
      <c r="U207" s="161"/>
      <c r="V207" s="146" t="str">
        <f>IF(U207&lt;&gt;"", SUMIF(Bets!$D:$D, U207, Bets!AE:AE), "")</f>
        <v/>
      </c>
      <c r="W207" s="162"/>
      <c r="X207" s="148"/>
      <c r="Y207" s="161"/>
      <c r="Z207" s="146" t="str">
        <f>IF(Y207&lt;&gt;"", SUMIF(Bets!$D:$D, Y207, Bets!AF:AF), "")</f>
        <v/>
      </c>
      <c r="AA207" s="162"/>
      <c r="AB207" s="148"/>
      <c r="AC207" s="161"/>
      <c r="AD207" s="146" t="str">
        <f>IF(AC207&lt;&gt;"", SUMIF(Bets!$D:$D, AC207, Bets!AG:AG), "")</f>
        <v/>
      </c>
      <c r="AE207" s="162"/>
      <c r="AF207" s="148"/>
    </row>
    <row r="208">
      <c r="A208" s="161"/>
      <c r="B208" s="146" t="str">
        <f>IF(A208&lt;&gt;"", SUMIF(Bets!$D:$D, A208, Bets!Z:Z), "")</f>
        <v/>
      </c>
      <c r="C208" s="162"/>
      <c r="D208" s="148"/>
      <c r="E208" s="161"/>
      <c r="F208" s="146" t="str">
        <f>IF(E208&lt;&gt;"", SUMIF(Bets!$D:$D, E208, Bets!AB:AB), "")</f>
        <v/>
      </c>
      <c r="G208" s="162"/>
      <c r="H208" s="148"/>
      <c r="I208" s="161"/>
      <c r="J208" s="146" t="str">
        <f>IF(I208&lt;&gt;"", SUMIF(Bets!$D:$D, I208, Bets!AA:AA), "")</f>
        <v/>
      </c>
      <c r="K208" s="162"/>
      <c r="L208" s="148"/>
      <c r="M208" s="161"/>
      <c r="N208" s="146"/>
      <c r="O208" s="162"/>
      <c r="P208" s="148"/>
      <c r="Q208" s="161"/>
      <c r="R208" s="146" t="str">
        <f>IF(Q208&lt;&gt;"", SUMIF(Bets!$D:$D, Q208, Bets!AD:AD), "")</f>
        <v/>
      </c>
      <c r="S208" s="162"/>
      <c r="T208" s="148"/>
      <c r="U208" s="161"/>
      <c r="V208" s="146" t="str">
        <f>IF(U208&lt;&gt;"", SUMIF(Bets!$D:$D, U208, Bets!AE:AE), "")</f>
        <v/>
      </c>
      <c r="W208" s="162"/>
      <c r="X208" s="148"/>
      <c r="Y208" s="161"/>
      <c r="Z208" s="146" t="str">
        <f>IF(Y208&lt;&gt;"", SUMIF(Bets!$D:$D, Y208, Bets!AF:AF), "")</f>
        <v/>
      </c>
      <c r="AA208" s="162"/>
      <c r="AB208" s="148"/>
      <c r="AC208" s="161"/>
      <c r="AD208" s="146" t="str">
        <f>IF(AC208&lt;&gt;"", SUMIF(Bets!$D:$D, AC208, Bets!AG:AG), "")</f>
        <v/>
      </c>
      <c r="AE208" s="162"/>
      <c r="AF208" s="148"/>
    </row>
    <row r="209">
      <c r="A209" s="161"/>
      <c r="B209" s="146" t="str">
        <f>IF(A209&lt;&gt;"", SUMIF(Bets!$D:$D, A209, Bets!Z:Z), "")</f>
        <v/>
      </c>
      <c r="C209" s="162"/>
      <c r="D209" s="148"/>
      <c r="E209" s="161"/>
      <c r="F209" s="146" t="str">
        <f>IF(E209&lt;&gt;"", SUMIF(Bets!$D:$D, E209, Bets!AB:AB), "")</f>
        <v/>
      </c>
      <c r="G209" s="162"/>
      <c r="H209" s="148"/>
      <c r="I209" s="161"/>
      <c r="J209" s="146" t="str">
        <f>IF(I209&lt;&gt;"", SUMIF(Bets!$D:$D, I209, Bets!AA:AA), "")</f>
        <v/>
      </c>
      <c r="K209" s="162"/>
      <c r="L209" s="148"/>
      <c r="M209" s="161"/>
      <c r="N209" s="146"/>
      <c r="O209" s="162"/>
      <c r="P209" s="148"/>
      <c r="Q209" s="161"/>
      <c r="R209" s="146" t="str">
        <f>IF(Q209&lt;&gt;"", SUMIF(Bets!$D:$D, Q209, Bets!AD:AD), "")</f>
        <v/>
      </c>
      <c r="S209" s="162"/>
      <c r="T209" s="148"/>
      <c r="U209" s="161"/>
      <c r="V209" s="146" t="str">
        <f>IF(U209&lt;&gt;"", SUMIF(Bets!$D:$D, U209, Bets!AE:AE), "")</f>
        <v/>
      </c>
      <c r="W209" s="162"/>
      <c r="X209" s="148"/>
      <c r="Y209" s="161"/>
      <c r="Z209" s="146" t="str">
        <f>IF(Y209&lt;&gt;"", SUMIF(Bets!$D:$D, Y209, Bets!AF:AF), "")</f>
        <v/>
      </c>
      <c r="AA209" s="162"/>
      <c r="AB209" s="148"/>
      <c r="AC209" s="161"/>
      <c r="AD209" s="146" t="str">
        <f>IF(AC209&lt;&gt;"", SUMIF(Bets!$D:$D, AC209, Bets!AG:AG), "")</f>
        <v/>
      </c>
      <c r="AE209" s="162"/>
      <c r="AF209" s="148"/>
    </row>
    <row r="210">
      <c r="A210" s="161"/>
      <c r="B210" s="146" t="str">
        <f>IF(A210&lt;&gt;"", SUMIF(Bets!$D:$D, A210, Bets!Z:Z), "")</f>
        <v/>
      </c>
      <c r="C210" s="162"/>
      <c r="D210" s="148"/>
      <c r="E210" s="161"/>
      <c r="F210" s="146" t="str">
        <f>IF(E210&lt;&gt;"", SUMIF(Bets!$D:$D, E210, Bets!AB:AB), "")</f>
        <v/>
      </c>
      <c r="G210" s="162"/>
      <c r="H210" s="148"/>
      <c r="I210" s="161"/>
      <c r="J210" s="146" t="str">
        <f>IF(I210&lt;&gt;"", SUMIF(Bets!$D:$D, I210, Bets!AA:AA), "")</f>
        <v/>
      </c>
      <c r="K210" s="162"/>
      <c r="L210" s="148"/>
      <c r="M210" s="161"/>
      <c r="N210" s="146"/>
      <c r="O210" s="162"/>
      <c r="P210" s="148"/>
      <c r="Q210" s="161"/>
      <c r="R210" s="146" t="str">
        <f>IF(Q210&lt;&gt;"", SUMIF(Bets!$D:$D, Q210, Bets!AD:AD), "")</f>
        <v/>
      </c>
      <c r="S210" s="162"/>
      <c r="T210" s="148"/>
      <c r="U210" s="161"/>
      <c r="V210" s="146" t="str">
        <f>IF(U210&lt;&gt;"", SUMIF(Bets!$D:$D, U210, Bets!AE:AE), "")</f>
        <v/>
      </c>
      <c r="W210" s="162"/>
      <c r="X210" s="148"/>
      <c r="Y210" s="161"/>
      <c r="Z210" s="146" t="str">
        <f>IF(Y210&lt;&gt;"", SUMIF(Bets!$D:$D, Y210, Bets!AF:AF), "")</f>
        <v/>
      </c>
      <c r="AA210" s="162"/>
      <c r="AB210" s="148"/>
      <c r="AC210" s="161"/>
      <c r="AD210" s="146" t="str">
        <f>IF(AC210&lt;&gt;"", SUMIF(Bets!$D:$D, AC210, Bets!AG:AG), "")</f>
        <v/>
      </c>
      <c r="AE210" s="162"/>
      <c r="AF210" s="148"/>
    </row>
    <row r="211">
      <c r="A211" s="161"/>
      <c r="B211" s="146" t="str">
        <f>IF(A211&lt;&gt;"", SUMIF(Bets!$D:$D, A211, Bets!Z:Z), "")</f>
        <v/>
      </c>
      <c r="C211" s="162"/>
      <c r="D211" s="148"/>
      <c r="E211" s="161"/>
      <c r="F211" s="146" t="str">
        <f>IF(E211&lt;&gt;"", SUMIF(Bets!$D:$D, E211, Bets!AB:AB), "")</f>
        <v/>
      </c>
      <c r="G211" s="162"/>
      <c r="H211" s="148"/>
      <c r="I211" s="161"/>
      <c r="J211" s="146" t="str">
        <f>IF(I211&lt;&gt;"", SUMIF(Bets!$D:$D, I211, Bets!AA:AA), "")</f>
        <v/>
      </c>
      <c r="K211" s="162"/>
      <c r="L211" s="148"/>
      <c r="M211" s="161"/>
      <c r="N211" s="146"/>
      <c r="O211" s="162"/>
      <c r="P211" s="148"/>
      <c r="Q211" s="161"/>
      <c r="R211" s="146" t="str">
        <f>IF(Q211&lt;&gt;"", SUMIF(Bets!$D:$D, Q211, Bets!AD:AD), "")</f>
        <v/>
      </c>
      <c r="S211" s="162"/>
      <c r="T211" s="148"/>
      <c r="U211" s="161"/>
      <c r="V211" s="146" t="str">
        <f>IF(U211&lt;&gt;"", SUMIF(Bets!$D:$D, U211, Bets!AE:AE), "")</f>
        <v/>
      </c>
      <c r="W211" s="162"/>
      <c r="X211" s="148"/>
      <c r="Y211" s="161"/>
      <c r="Z211" s="146" t="str">
        <f>IF(Y211&lt;&gt;"", SUMIF(Bets!$D:$D, Y211, Bets!AF:AF), "")</f>
        <v/>
      </c>
      <c r="AA211" s="162"/>
      <c r="AB211" s="148"/>
      <c r="AC211" s="161"/>
      <c r="AD211" s="146" t="str">
        <f>IF(AC211&lt;&gt;"", SUMIF(Bets!$D:$D, AC211, Bets!AG:AG), "")</f>
        <v/>
      </c>
      <c r="AE211" s="162"/>
      <c r="AF211" s="148"/>
    </row>
    <row r="212">
      <c r="A212" s="161"/>
      <c r="B212" s="146" t="str">
        <f>IF(A212&lt;&gt;"", SUMIF(Bets!$D:$D, A212, Bets!Z:Z), "")</f>
        <v/>
      </c>
      <c r="C212" s="162"/>
      <c r="D212" s="148"/>
      <c r="E212" s="161"/>
      <c r="F212" s="146" t="str">
        <f>IF(E212&lt;&gt;"", SUMIF(Bets!$D:$D, E212, Bets!AB:AB), "")</f>
        <v/>
      </c>
      <c r="G212" s="162"/>
      <c r="H212" s="148"/>
      <c r="I212" s="161"/>
      <c r="J212" s="146" t="str">
        <f>IF(I212&lt;&gt;"", SUMIF(Bets!$D:$D, I212, Bets!AA:AA), "")</f>
        <v/>
      </c>
      <c r="K212" s="162"/>
      <c r="L212" s="148"/>
      <c r="M212" s="161"/>
      <c r="N212" s="146"/>
      <c r="O212" s="162"/>
      <c r="P212" s="148"/>
      <c r="Q212" s="161"/>
      <c r="R212" s="146" t="str">
        <f>IF(Q212&lt;&gt;"", SUMIF(Bets!$D:$D, Q212, Bets!AD:AD), "")</f>
        <v/>
      </c>
      <c r="S212" s="162"/>
      <c r="T212" s="148"/>
      <c r="U212" s="161"/>
      <c r="V212" s="146" t="str">
        <f>IF(U212&lt;&gt;"", SUMIF(Bets!$D:$D, U212, Bets!AE:AE), "")</f>
        <v/>
      </c>
      <c r="W212" s="162"/>
      <c r="X212" s="148"/>
      <c r="Y212" s="161"/>
      <c r="Z212" s="146" t="str">
        <f>IF(Y212&lt;&gt;"", SUMIF(Bets!$D:$D, Y212, Bets!AF:AF), "")</f>
        <v/>
      </c>
      <c r="AA212" s="162"/>
      <c r="AB212" s="148"/>
      <c r="AC212" s="161"/>
      <c r="AD212" s="146" t="str">
        <f>IF(AC212&lt;&gt;"", SUMIF(Bets!$D:$D, AC212, Bets!AG:AG), "")</f>
        <v/>
      </c>
      <c r="AE212" s="162"/>
      <c r="AF212" s="148"/>
    </row>
    <row r="213">
      <c r="A213" s="161"/>
      <c r="B213" s="146" t="str">
        <f>IF(A213&lt;&gt;"", SUMIF(Bets!$D:$D, A213, Bets!Z:Z), "")</f>
        <v/>
      </c>
      <c r="C213" s="162"/>
      <c r="D213" s="148"/>
      <c r="E213" s="161"/>
      <c r="F213" s="146" t="str">
        <f>IF(E213&lt;&gt;"", SUMIF(Bets!$D:$D, E213, Bets!AB:AB), "")</f>
        <v/>
      </c>
      <c r="G213" s="162"/>
      <c r="H213" s="148"/>
      <c r="I213" s="161"/>
      <c r="J213" s="146" t="str">
        <f>IF(I213&lt;&gt;"", SUMIF(Bets!$D:$D, I213, Bets!AA:AA), "")</f>
        <v/>
      </c>
      <c r="K213" s="162"/>
      <c r="L213" s="148"/>
      <c r="M213" s="161"/>
      <c r="N213" s="146"/>
      <c r="O213" s="162"/>
      <c r="P213" s="148"/>
      <c r="Q213" s="161"/>
      <c r="R213" s="146" t="str">
        <f>IF(Q213&lt;&gt;"", SUMIF(Bets!$D:$D, Q213, Bets!AD:AD), "")</f>
        <v/>
      </c>
      <c r="S213" s="162"/>
      <c r="T213" s="148"/>
      <c r="U213" s="161"/>
      <c r="V213" s="146" t="str">
        <f>IF(U213&lt;&gt;"", SUMIF(Bets!$D:$D, U213, Bets!AE:AE), "")</f>
        <v/>
      </c>
      <c r="W213" s="162"/>
      <c r="X213" s="148"/>
      <c r="Y213" s="161"/>
      <c r="Z213" s="146" t="str">
        <f>IF(Y213&lt;&gt;"", SUMIF(Bets!$D:$D, Y213, Bets!AF:AF), "")</f>
        <v/>
      </c>
      <c r="AA213" s="162"/>
      <c r="AB213" s="148"/>
      <c r="AC213" s="161"/>
      <c r="AD213" s="146" t="str">
        <f>IF(AC213&lt;&gt;"", SUMIF(Bets!$D:$D, AC213, Bets!AG:AG), "")</f>
        <v/>
      </c>
      <c r="AE213" s="162"/>
      <c r="AF213" s="148"/>
    </row>
    <row r="214">
      <c r="A214" s="161"/>
      <c r="B214" s="146" t="str">
        <f>IF(A214&lt;&gt;"", SUMIF(Bets!$D:$D, A214, Bets!Z:Z), "")</f>
        <v/>
      </c>
      <c r="C214" s="162"/>
      <c r="D214" s="148"/>
      <c r="E214" s="161"/>
      <c r="F214" s="146" t="str">
        <f>IF(E214&lt;&gt;"", SUMIF(Bets!$D:$D, E214, Bets!AB:AB), "")</f>
        <v/>
      </c>
      <c r="G214" s="162"/>
      <c r="H214" s="148"/>
      <c r="I214" s="161"/>
      <c r="J214" s="146" t="str">
        <f>IF(I214&lt;&gt;"", SUMIF(Bets!$D:$D, I214, Bets!AA:AA), "")</f>
        <v/>
      </c>
      <c r="K214" s="162"/>
      <c r="L214" s="148"/>
      <c r="M214" s="161"/>
      <c r="N214" s="146"/>
      <c r="O214" s="162"/>
      <c r="P214" s="148"/>
      <c r="Q214" s="161"/>
      <c r="R214" s="146" t="str">
        <f>IF(Q214&lt;&gt;"", SUMIF(Bets!$D:$D, Q214, Bets!AD:AD), "")</f>
        <v/>
      </c>
      <c r="S214" s="162"/>
      <c r="T214" s="148"/>
      <c r="U214" s="161"/>
      <c r="V214" s="146" t="str">
        <f>IF(U214&lt;&gt;"", SUMIF(Bets!$D:$D, U214, Bets!AE:AE), "")</f>
        <v/>
      </c>
      <c r="W214" s="162"/>
      <c r="X214" s="148"/>
      <c r="Y214" s="161"/>
      <c r="Z214" s="146" t="str">
        <f>IF(Y214&lt;&gt;"", SUMIF(Bets!$D:$D, Y214, Bets!AF:AF), "")</f>
        <v/>
      </c>
      <c r="AA214" s="162"/>
      <c r="AB214" s="148"/>
      <c r="AC214" s="161"/>
      <c r="AD214" s="146" t="str">
        <f>IF(AC214&lt;&gt;"", SUMIF(Bets!$D:$D, AC214, Bets!AG:AG), "")</f>
        <v/>
      </c>
      <c r="AE214" s="162"/>
      <c r="AF214" s="148"/>
    </row>
    <row r="215">
      <c r="A215" s="161"/>
      <c r="B215" s="146" t="str">
        <f>IF(A215&lt;&gt;"", SUMIF(Bets!$D:$D, A215, Bets!Z:Z), "")</f>
        <v/>
      </c>
      <c r="C215" s="162"/>
      <c r="D215" s="148"/>
      <c r="E215" s="161"/>
      <c r="F215" s="146" t="str">
        <f>IF(E215&lt;&gt;"", SUMIF(Bets!$D:$D, E215, Bets!AB:AB), "")</f>
        <v/>
      </c>
      <c r="G215" s="162"/>
      <c r="H215" s="148"/>
      <c r="I215" s="161"/>
      <c r="J215" s="146" t="str">
        <f>IF(I215&lt;&gt;"", SUMIF(Bets!$D:$D, I215, Bets!AA:AA), "")</f>
        <v/>
      </c>
      <c r="K215" s="162"/>
      <c r="L215" s="148"/>
      <c r="M215" s="161"/>
      <c r="N215" s="146"/>
      <c r="O215" s="162"/>
      <c r="P215" s="148"/>
      <c r="Q215" s="161"/>
      <c r="R215" s="146" t="str">
        <f>IF(Q215&lt;&gt;"", SUMIF(Bets!$D:$D, Q215, Bets!AD:AD), "")</f>
        <v/>
      </c>
      <c r="S215" s="162"/>
      <c r="T215" s="148"/>
      <c r="U215" s="161"/>
      <c r="V215" s="146" t="str">
        <f>IF(U215&lt;&gt;"", SUMIF(Bets!$D:$D, U215, Bets!AE:AE), "")</f>
        <v/>
      </c>
      <c r="W215" s="162"/>
      <c r="X215" s="148"/>
      <c r="Y215" s="161"/>
      <c r="Z215" s="146" t="str">
        <f>IF(Y215&lt;&gt;"", SUMIF(Bets!$D:$D, Y215, Bets!AF:AF), "")</f>
        <v/>
      </c>
      <c r="AA215" s="162"/>
      <c r="AB215" s="148"/>
      <c r="AC215" s="161"/>
      <c r="AD215" s="146" t="str">
        <f>IF(AC215&lt;&gt;"", SUMIF(Bets!$D:$D, AC215, Bets!AG:AG), "")</f>
        <v/>
      </c>
      <c r="AE215" s="162"/>
      <c r="AF215" s="148"/>
    </row>
    <row r="216">
      <c r="A216" s="161"/>
      <c r="B216" s="146" t="str">
        <f>IF(A216&lt;&gt;"", SUMIF(Bets!$D:$D, A216, Bets!Z:Z), "")</f>
        <v/>
      </c>
      <c r="C216" s="162"/>
      <c r="D216" s="148"/>
      <c r="E216" s="161"/>
      <c r="F216" s="146" t="str">
        <f>IF(E216&lt;&gt;"", SUMIF(Bets!$D:$D, E216, Bets!AB:AB), "")</f>
        <v/>
      </c>
      <c r="G216" s="162"/>
      <c r="H216" s="148"/>
      <c r="I216" s="161"/>
      <c r="J216" s="146" t="str">
        <f>IF(I216&lt;&gt;"", SUMIF(Bets!$D:$D, I216, Bets!AA:AA), "")</f>
        <v/>
      </c>
      <c r="K216" s="162"/>
      <c r="L216" s="148"/>
      <c r="M216" s="161"/>
      <c r="N216" s="146"/>
      <c r="O216" s="162"/>
      <c r="P216" s="148"/>
      <c r="Q216" s="161"/>
      <c r="R216" s="146" t="str">
        <f>IF(Q216&lt;&gt;"", SUMIF(Bets!$D:$D, Q216, Bets!AD:AD), "")</f>
        <v/>
      </c>
      <c r="S216" s="162"/>
      <c r="T216" s="148"/>
      <c r="U216" s="161"/>
      <c r="V216" s="146" t="str">
        <f>IF(U216&lt;&gt;"", SUMIF(Bets!$D:$D, U216, Bets!AE:AE), "")</f>
        <v/>
      </c>
      <c r="W216" s="162"/>
      <c r="X216" s="148"/>
      <c r="Y216" s="161"/>
      <c r="Z216" s="146" t="str">
        <f>IF(Y216&lt;&gt;"", SUMIF(Bets!$D:$D, Y216, Bets!AF:AF), "")</f>
        <v/>
      </c>
      <c r="AA216" s="162"/>
      <c r="AB216" s="148"/>
      <c r="AC216" s="161"/>
      <c r="AD216" s="146" t="str">
        <f>IF(AC216&lt;&gt;"", SUMIF(Bets!$D:$D, AC216, Bets!AG:AG), "")</f>
        <v/>
      </c>
      <c r="AE216" s="162"/>
      <c r="AF216" s="148"/>
    </row>
    <row r="217">
      <c r="A217" s="161"/>
      <c r="B217" s="146" t="str">
        <f>IF(A217&lt;&gt;"", SUMIF(Bets!$D:$D, A217, Bets!Z:Z), "")</f>
        <v/>
      </c>
      <c r="C217" s="162"/>
      <c r="D217" s="148"/>
      <c r="E217" s="161"/>
      <c r="F217" s="146" t="str">
        <f>IF(E217&lt;&gt;"", SUMIF(Bets!$D:$D, E217, Bets!AB:AB), "")</f>
        <v/>
      </c>
      <c r="G217" s="162"/>
      <c r="H217" s="148"/>
      <c r="I217" s="161"/>
      <c r="J217" s="146" t="str">
        <f>IF(I217&lt;&gt;"", SUMIF(Bets!$D:$D, I217, Bets!AA:AA), "")</f>
        <v/>
      </c>
      <c r="K217" s="162"/>
      <c r="L217" s="148"/>
      <c r="M217" s="161"/>
      <c r="N217" s="146"/>
      <c r="O217" s="162"/>
      <c r="P217" s="148"/>
      <c r="Q217" s="161"/>
      <c r="R217" s="146" t="str">
        <f>IF(Q217&lt;&gt;"", SUMIF(Bets!$D:$D, Q217, Bets!AD:AD), "")</f>
        <v/>
      </c>
      <c r="S217" s="162"/>
      <c r="T217" s="148"/>
      <c r="U217" s="161"/>
      <c r="V217" s="146" t="str">
        <f>IF(U217&lt;&gt;"", SUMIF(Bets!$D:$D, U217, Bets!AE:AE), "")</f>
        <v/>
      </c>
      <c r="W217" s="162"/>
      <c r="X217" s="148"/>
      <c r="Y217" s="161"/>
      <c r="Z217" s="146" t="str">
        <f>IF(Y217&lt;&gt;"", SUMIF(Bets!$D:$D, Y217, Bets!AF:AF), "")</f>
        <v/>
      </c>
      <c r="AA217" s="162"/>
      <c r="AB217" s="148"/>
      <c r="AC217" s="161"/>
      <c r="AD217" s="146" t="str">
        <f>IF(AC217&lt;&gt;"", SUMIF(Bets!$D:$D, AC217, Bets!AG:AG), "")</f>
        <v/>
      </c>
      <c r="AE217" s="162"/>
      <c r="AF217" s="148"/>
    </row>
    <row r="218">
      <c r="A218" s="161"/>
      <c r="B218" s="146" t="str">
        <f>IF(A218&lt;&gt;"", SUMIF(Bets!$D:$D, A218, Bets!Z:Z), "")</f>
        <v/>
      </c>
      <c r="C218" s="162"/>
      <c r="D218" s="148"/>
      <c r="E218" s="161"/>
      <c r="F218" s="146" t="str">
        <f>IF(E218&lt;&gt;"", SUMIF(Bets!$D:$D, E218, Bets!AB:AB), "")</f>
        <v/>
      </c>
      <c r="G218" s="162"/>
      <c r="H218" s="148"/>
      <c r="I218" s="161"/>
      <c r="J218" s="146" t="str">
        <f>IF(I218&lt;&gt;"", SUMIF(Bets!$D:$D, I218, Bets!AA:AA), "")</f>
        <v/>
      </c>
      <c r="K218" s="162"/>
      <c r="L218" s="148"/>
      <c r="M218" s="161"/>
      <c r="N218" s="146"/>
      <c r="O218" s="162"/>
      <c r="P218" s="148"/>
      <c r="Q218" s="161"/>
      <c r="R218" s="146" t="str">
        <f>IF(Q218&lt;&gt;"", SUMIF(Bets!$D:$D, Q218, Bets!AD:AD), "")</f>
        <v/>
      </c>
      <c r="S218" s="162"/>
      <c r="T218" s="148"/>
      <c r="U218" s="161"/>
      <c r="V218" s="146" t="str">
        <f>IF(U218&lt;&gt;"", SUMIF(Bets!$D:$D, U218, Bets!AE:AE), "")</f>
        <v/>
      </c>
      <c r="W218" s="162"/>
      <c r="X218" s="148"/>
      <c r="Y218" s="161"/>
      <c r="Z218" s="146" t="str">
        <f>IF(Y218&lt;&gt;"", SUMIF(Bets!$D:$D, Y218, Bets!AF:AF), "")</f>
        <v/>
      </c>
      <c r="AA218" s="162"/>
      <c r="AB218" s="148"/>
      <c r="AC218" s="161"/>
      <c r="AD218" s="146" t="str">
        <f>IF(AC218&lt;&gt;"", SUMIF(Bets!$D:$D, AC218, Bets!AG:AG), "")</f>
        <v/>
      </c>
      <c r="AE218" s="162"/>
      <c r="AF218" s="148"/>
    </row>
    <row r="219">
      <c r="A219" s="161"/>
      <c r="B219" s="146" t="str">
        <f>IF(A219&lt;&gt;"", SUMIF(Bets!$D:$D, A219, Bets!Z:Z), "")</f>
        <v/>
      </c>
      <c r="C219" s="162"/>
      <c r="D219" s="148"/>
      <c r="E219" s="161"/>
      <c r="F219" s="146" t="str">
        <f>IF(E219&lt;&gt;"", SUMIF(Bets!$D:$D, E219, Bets!AB:AB), "")</f>
        <v/>
      </c>
      <c r="G219" s="162"/>
      <c r="H219" s="148"/>
      <c r="I219" s="161"/>
      <c r="J219" s="146" t="str">
        <f>IF(I219&lt;&gt;"", SUMIF(Bets!$D:$D, I219, Bets!AA:AA), "")</f>
        <v/>
      </c>
      <c r="K219" s="162"/>
      <c r="L219" s="148"/>
      <c r="M219" s="161"/>
      <c r="N219" s="146"/>
      <c r="O219" s="162"/>
      <c r="P219" s="148"/>
      <c r="Q219" s="161"/>
      <c r="R219" s="146" t="str">
        <f>IF(Q219&lt;&gt;"", SUMIF(Bets!$D:$D, Q219, Bets!AD:AD), "")</f>
        <v/>
      </c>
      <c r="S219" s="162"/>
      <c r="T219" s="148"/>
      <c r="U219" s="161"/>
      <c r="V219" s="146" t="str">
        <f>IF(U219&lt;&gt;"", SUMIF(Bets!$D:$D, U219, Bets!AE:AE), "")</f>
        <v/>
      </c>
      <c r="W219" s="162"/>
      <c r="X219" s="148"/>
      <c r="Y219" s="161"/>
      <c r="Z219" s="146" t="str">
        <f>IF(Y219&lt;&gt;"", SUMIF(Bets!$D:$D, Y219, Bets!AF:AF), "")</f>
        <v/>
      </c>
      <c r="AA219" s="162"/>
      <c r="AB219" s="148"/>
      <c r="AC219" s="161"/>
      <c r="AD219" s="146" t="str">
        <f>IF(AC219&lt;&gt;"", SUMIF(Bets!$D:$D, AC219, Bets!AG:AG), "")</f>
        <v/>
      </c>
      <c r="AE219" s="162"/>
      <c r="AF219" s="148"/>
    </row>
    <row r="220">
      <c r="A220" s="161"/>
      <c r="B220" s="146" t="str">
        <f>IF(A220&lt;&gt;"", SUMIF(Bets!$D:$D, A220, Bets!Z:Z), "")</f>
        <v/>
      </c>
      <c r="C220" s="162"/>
      <c r="D220" s="148"/>
      <c r="E220" s="161"/>
      <c r="F220" s="146" t="str">
        <f>IF(E220&lt;&gt;"", SUMIF(Bets!$D:$D, E220, Bets!AB:AB), "")</f>
        <v/>
      </c>
      <c r="G220" s="162"/>
      <c r="H220" s="148"/>
      <c r="I220" s="161"/>
      <c r="J220" s="146" t="str">
        <f>IF(I220&lt;&gt;"", SUMIF(Bets!$D:$D, I220, Bets!AA:AA), "")</f>
        <v/>
      </c>
      <c r="K220" s="162"/>
      <c r="L220" s="148"/>
      <c r="M220" s="161"/>
      <c r="N220" s="146"/>
      <c r="O220" s="162"/>
      <c r="P220" s="148"/>
      <c r="Q220" s="161"/>
      <c r="R220" s="146" t="str">
        <f>IF(Q220&lt;&gt;"", SUMIF(Bets!$D:$D, Q220, Bets!AD:AD), "")</f>
        <v/>
      </c>
      <c r="S220" s="162"/>
      <c r="T220" s="148"/>
      <c r="U220" s="161"/>
      <c r="V220" s="146" t="str">
        <f>IF(U220&lt;&gt;"", SUMIF(Bets!$D:$D, U220, Bets!AE:AE), "")</f>
        <v/>
      </c>
      <c r="W220" s="162"/>
      <c r="X220" s="148"/>
      <c r="Y220" s="161"/>
      <c r="Z220" s="146" t="str">
        <f>IF(Y220&lt;&gt;"", SUMIF(Bets!$D:$D, Y220, Bets!AF:AF), "")</f>
        <v/>
      </c>
      <c r="AA220" s="162"/>
      <c r="AB220" s="148"/>
      <c r="AC220" s="161"/>
      <c r="AD220" s="146" t="str">
        <f>IF(AC220&lt;&gt;"", SUMIF(Bets!$D:$D, AC220, Bets!AG:AG), "")</f>
        <v/>
      </c>
      <c r="AE220" s="162"/>
      <c r="AF220" s="148"/>
    </row>
    <row r="221">
      <c r="A221" s="161"/>
      <c r="B221" s="146" t="str">
        <f>IF(A221&lt;&gt;"", SUMIF(Bets!$D:$D, A221, Bets!Z:Z), "")</f>
        <v/>
      </c>
      <c r="C221" s="162"/>
      <c r="D221" s="148"/>
      <c r="E221" s="161"/>
      <c r="F221" s="146" t="str">
        <f>IF(E221&lt;&gt;"", SUMIF(Bets!$D:$D, E221, Bets!AB:AB), "")</f>
        <v/>
      </c>
      <c r="G221" s="162"/>
      <c r="H221" s="148"/>
      <c r="I221" s="161"/>
      <c r="J221" s="146" t="str">
        <f>IF(I221&lt;&gt;"", SUMIF(Bets!$D:$D, I221, Bets!AA:AA), "")</f>
        <v/>
      </c>
      <c r="K221" s="162"/>
      <c r="L221" s="148"/>
      <c r="M221" s="161"/>
      <c r="N221" s="146"/>
      <c r="O221" s="162"/>
      <c r="P221" s="148"/>
      <c r="Q221" s="161"/>
      <c r="R221" s="146" t="str">
        <f>IF(Q221&lt;&gt;"", SUMIF(Bets!$D:$D, Q221, Bets!AD:AD), "")</f>
        <v/>
      </c>
      <c r="S221" s="162"/>
      <c r="T221" s="148"/>
      <c r="U221" s="161"/>
      <c r="V221" s="146" t="str">
        <f>IF(U221&lt;&gt;"", SUMIF(Bets!$D:$D, U221, Bets!AE:AE), "")</f>
        <v/>
      </c>
      <c r="W221" s="162"/>
      <c r="X221" s="148"/>
      <c r="Y221" s="161"/>
      <c r="Z221" s="146" t="str">
        <f>IF(Y221&lt;&gt;"", SUMIF(Bets!$D:$D, Y221, Bets!AF:AF), "")</f>
        <v/>
      </c>
      <c r="AA221" s="162"/>
      <c r="AB221" s="148"/>
      <c r="AC221" s="161"/>
      <c r="AD221" s="146" t="str">
        <f>IF(AC221&lt;&gt;"", SUMIF(Bets!$D:$D, AC221, Bets!AG:AG), "")</f>
        <v/>
      </c>
      <c r="AE221" s="162"/>
      <c r="AF221" s="148"/>
    </row>
    <row r="222">
      <c r="A222" s="161"/>
      <c r="B222" s="146" t="str">
        <f>IF(A222&lt;&gt;"", SUMIF(Bets!$D:$D, A222, Bets!Z:Z), "")</f>
        <v/>
      </c>
      <c r="C222" s="162"/>
      <c r="D222" s="148"/>
      <c r="E222" s="161"/>
      <c r="F222" s="146" t="str">
        <f>IF(E222&lt;&gt;"", SUMIF(Bets!$D:$D, E222, Bets!AB:AB), "")</f>
        <v/>
      </c>
      <c r="G222" s="162"/>
      <c r="H222" s="148"/>
      <c r="I222" s="161"/>
      <c r="J222" s="146" t="str">
        <f>IF(I222&lt;&gt;"", SUMIF(Bets!$D:$D, I222, Bets!AA:AA), "")</f>
        <v/>
      </c>
      <c r="K222" s="162"/>
      <c r="L222" s="148"/>
      <c r="M222" s="161"/>
      <c r="N222" s="146"/>
      <c r="O222" s="162"/>
      <c r="P222" s="148"/>
      <c r="Q222" s="161"/>
      <c r="R222" s="146" t="str">
        <f>IF(Q222&lt;&gt;"", SUMIF(Bets!$D:$D, Q222, Bets!AD:AD), "")</f>
        <v/>
      </c>
      <c r="S222" s="162"/>
      <c r="T222" s="148"/>
      <c r="U222" s="161"/>
      <c r="V222" s="146" t="str">
        <f>IF(U222&lt;&gt;"", SUMIF(Bets!$D:$D, U222, Bets!AE:AE), "")</f>
        <v/>
      </c>
      <c r="W222" s="162"/>
      <c r="X222" s="148"/>
      <c r="Y222" s="161"/>
      <c r="Z222" s="146" t="str">
        <f>IF(Y222&lt;&gt;"", SUMIF(Bets!$D:$D, Y222, Bets!AF:AF), "")</f>
        <v/>
      </c>
      <c r="AA222" s="162"/>
      <c r="AB222" s="148"/>
      <c r="AC222" s="161"/>
      <c r="AD222" s="146" t="str">
        <f>IF(AC222&lt;&gt;"", SUMIF(Bets!$D:$D, AC222, Bets!AG:AG), "")</f>
        <v/>
      </c>
      <c r="AE222" s="162"/>
      <c r="AF222" s="148"/>
    </row>
    <row r="223">
      <c r="A223" s="161"/>
      <c r="B223" s="146" t="str">
        <f>IF(A223&lt;&gt;"", SUMIF(Bets!$D:$D, A223, Bets!Z:Z), "")</f>
        <v/>
      </c>
      <c r="C223" s="162"/>
      <c r="D223" s="148"/>
      <c r="E223" s="161"/>
      <c r="F223" s="146" t="str">
        <f>IF(E223&lt;&gt;"", SUMIF(Bets!$D:$D, E223, Bets!AB:AB), "")</f>
        <v/>
      </c>
      <c r="G223" s="162"/>
      <c r="H223" s="148"/>
      <c r="I223" s="161"/>
      <c r="J223" s="146" t="str">
        <f>IF(I223&lt;&gt;"", SUMIF(Bets!$D:$D, I223, Bets!AA:AA), "")</f>
        <v/>
      </c>
      <c r="K223" s="162"/>
      <c r="L223" s="148"/>
      <c r="M223" s="161"/>
      <c r="N223" s="146"/>
      <c r="O223" s="162"/>
      <c r="P223" s="148"/>
      <c r="Q223" s="161"/>
      <c r="R223" s="146" t="str">
        <f>IF(Q223&lt;&gt;"", SUMIF(Bets!$D:$D, Q223, Bets!AD:AD), "")</f>
        <v/>
      </c>
      <c r="S223" s="162"/>
      <c r="T223" s="148"/>
      <c r="U223" s="161"/>
      <c r="V223" s="146" t="str">
        <f>IF(U223&lt;&gt;"", SUMIF(Bets!$D:$D, U223, Bets!AE:AE), "")</f>
        <v/>
      </c>
      <c r="W223" s="162"/>
      <c r="X223" s="148"/>
      <c r="Y223" s="161"/>
      <c r="Z223" s="146" t="str">
        <f>IF(Y223&lt;&gt;"", SUMIF(Bets!$D:$D, Y223, Bets!AF:AF), "")</f>
        <v/>
      </c>
      <c r="AA223" s="162"/>
      <c r="AB223" s="148"/>
      <c r="AC223" s="161"/>
      <c r="AD223" s="146" t="str">
        <f>IF(AC223&lt;&gt;"", SUMIF(Bets!$D:$D, AC223, Bets!AG:AG), "")</f>
        <v/>
      </c>
      <c r="AE223" s="162"/>
      <c r="AF223" s="148"/>
    </row>
    <row r="224">
      <c r="A224" s="161"/>
      <c r="B224" s="146" t="str">
        <f>IF(A224&lt;&gt;"", SUMIF(Bets!$D:$D, A224, Bets!Z:Z), "")</f>
        <v/>
      </c>
      <c r="C224" s="162"/>
      <c r="D224" s="148"/>
      <c r="E224" s="161"/>
      <c r="F224" s="146" t="str">
        <f>IF(E224&lt;&gt;"", SUMIF(Bets!$D:$D, E224, Bets!AB:AB), "")</f>
        <v/>
      </c>
      <c r="G224" s="162"/>
      <c r="H224" s="148"/>
      <c r="I224" s="161"/>
      <c r="J224" s="146" t="str">
        <f>IF(I224&lt;&gt;"", SUMIF(Bets!$D:$D, I224, Bets!AA:AA), "")</f>
        <v/>
      </c>
      <c r="K224" s="162"/>
      <c r="L224" s="148"/>
      <c r="M224" s="161"/>
      <c r="N224" s="146"/>
      <c r="O224" s="162"/>
      <c r="P224" s="148"/>
      <c r="Q224" s="161"/>
      <c r="R224" s="146" t="str">
        <f>IF(Q224&lt;&gt;"", SUMIF(Bets!$D:$D, Q224, Bets!AD:AD), "")</f>
        <v/>
      </c>
      <c r="S224" s="162"/>
      <c r="T224" s="148"/>
      <c r="U224" s="161"/>
      <c r="V224" s="146" t="str">
        <f>IF(U224&lt;&gt;"", SUMIF(Bets!$D:$D, U224, Bets!AE:AE), "")</f>
        <v/>
      </c>
      <c r="W224" s="162"/>
      <c r="X224" s="148"/>
      <c r="Y224" s="161"/>
      <c r="Z224" s="146" t="str">
        <f>IF(Y224&lt;&gt;"", SUMIF(Bets!$D:$D, Y224, Bets!AF:AF), "")</f>
        <v/>
      </c>
      <c r="AA224" s="162"/>
      <c r="AB224" s="148"/>
      <c r="AC224" s="161"/>
      <c r="AD224" s="146" t="str">
        <f>IF(AC224&lt;&gt;"", SUMIF(Bets!$D:$D, AC224, Bets!AG:AG), "")</f>
        <v/>
      </c>
      <c r="AE224" s="162"/>
      <c r="AF224" s="148"/>
    </row>
    <row r="225">
      <c r="A225" s="161"/>
      <c r="B225" s="146" t="str">
        <f>IF(A225&lt;&gt;"", SUMIF(Bets!$D:$D, A225, Bets!Z:Z), "")</f>
        <v/>
      </c>
      <c r="C225" s="162"/>
      <c r="D225" s="148"/>
      <c r="E225" s="161"/>
      <c r="F225" s="146" t="str">
        <f>IF(E225&lt;&gt;"", SUMIF(Bets!$D:$D, E225, Bets!AB:AB), "")</f>
        <v/>
      </c>
      <c r="G225" s="162"/>
      <c r="H225" s="148"/>
      <c r="I225" s="161"/>
      <c r="J225" s="146" t="str">
        <f>IF(I225&lt;&gt;"", SUMIF(Bets!$D:$D, I225, Bets!AA:AA), "")</f>
        <v/>
      </c>
      <c r="K225" s="162"/>
      <c r="L225" s="148"/>
      <c r="M225" s="161"/>
      <c r="N225" s="146"/>
      <c r="O225" s="162"/>
      <c r="P225" s="148"/>
      <c r="Q225" s="161"/>
      <c r="R225" s="146" t="str">
        <f>IF(Q225&lt;&gt;"", SUMIF(Bets!$D:$D, Q225, Bets!AD:AD), "")</f>
        <v/>
      </c>
      <c r="S225" s="162"/>
      <c r="T225" s="148"/>
      <c r="U225" s="161"/>
      <c r="V225" s="146" t="str">
        <f>IF(U225&lt;&gt;"", SUMIF(Bets!$D:$D, U225, Bets!AE:AE), "")</f>
        <v/>
      </c>
      <c r="W225" s="162"/>
      <c r="X225" s="148"/>
      <c r="Y225" s="161"/>
      <c r="Z225" s="146" t="str">
        <f>IF(Y225&lt;&gt;"", SUMIF(Bets!$D:$D, Y225, Bets!AF:AF), "")</f>
        <v/>
      </c>
      <c r="AA225" s="162"/>
      <c r="AB225" s="148"/>
      <c r="AC225" s="161"/>
      <c r="AD225" s="146" t="str">
        <f>IF(AC225&lt;&gt;"", SUMIF(Bets!$D:$D, AC225, Bets!AG:AG), "")</f>
        <v/>
      </c>
      <c r="AE225" s="162"/>
      <c r="AF225" s="148"/>
    </row>
    <row r="226">
      <c r="A226" s="161"/>
      <c r="B226" s="146" t="str">
        <f>IF(A226&lt;&gt;"", SUMIF(Bets!$D:$D, A226, Bets!Z:Z), "")</f>
        <v/>
      </c>
      <c r="C226" s="162"/>
      <c r="D226" s="148"/>
      <c r="E226" s="161"/>
      <c r="F226" s="146" t="str">
        <f>IF(E226&lt;&gt;"", SUMIF(Bets!$D:$D, E226, Bets!AB:AB), "")</f>
        <v/>
      </c>
      <c r="G226" s="162"/>
      <c r="H226" s="148"/>
      <c r="I226" s="161"/>
      <c r="J226" s="146" t="str">
        <f>IF(I226&lt;&gt;"", SUMIF(Bets!$D:$D, I226, Bets!AA:AA), "")</f>
        <v/>
      </c>
      <c r="K226" s="162"/>
      <c r="L226" s="148"/>
      <c r="M226" s="161"/>
      <c r="N226" s="146"/>
      <c r="O226" s="162"/>
      <c r="P226" s="148"/>
      <c r="Q226" s="161"/>
      <c r="R226" s="146" t="str">
        <f>IF(Q226&lt;&gt;"", SUMIF(Bets!$D:$D, Q226, Bets!AD:AD), "")</f>
        <v/>
      </c>
      <c r="S226" s="162"/>
      <c r="T226" s="148"/>
      <c r="U226" s="161"/>
      <c r="V226" s="146" t="str">
        <f>IF(U226&lt;&gt;"", SUMIF(Bets!$D:$D, U226, Bets!AE:AE), "")</f>
        <v/>
      </c>
      <c r="W226" s="162"/>
      <c r="X226" s="148"/>
      <c r="Y226" s="161"/>
      <c r="Z226" s="146" t="str">
        <f>IF(Y226&lt;&gt;"", SUMIF(Bets!$D:$D, Y226, Bets!AF:AF), "")</f>
        <v/>
      </c>
      <c r="AA226" s="162"/>
      <c r="AB226" s="148"/>
      <c r="AC226" s="161"/>
      <c r="AD226" s="146" t="str">
        <f>IF(AC226&lt;&gt;"", SUMIF(Bets!$D:$D, AC226, Bets!AG:AG), "")</f>
        <v/>
      </c>
      <c r="AE226" s="162"/>
      <c r="AF226" s="148"/>
    </row>
    <row r="227">
      <c r="A227" s="161"/>
      <c r="B227" s="146" t="str">
        <f>IF(A227&lt;&gt;"", SUMIF(Bets!$D:$D, A227, Bets!Z:Z), "")</f>
        <v/>
      </c>
      <c r="C227" s="162"/>
      <c r="D227" s="148"/>
      <c r="E227" s="161"/>
      <c r="F227" s="146" t="str">
        <f>IF(E227&lt;&gt;"", SUMIF(Bets!$D:$D, E227, Bets!AB:AB), "")</f>
        <v/>
      </c>
      <c r="G227" s="162"/>
      <c r="H227" s="148"/>
      <c r="I227" s="161"/>
      <c r="J227" s="146" t="str">
        <f>IF(I227&lt;&gt;"", SUMIF(Bets!$D:$D, I227, Bets!AA:AA), "")</f>
        <v/>
      </c>
      <c r="K227" s="162"/>
      <c r="L227" s="148"/>
      <c r="M227" s="161"/>
      <c r="N227" s="146"/>
      <c r="O227" s="162"/>
      <c r="P227" s="148"/>
      <c r="Q227" s="161"/>
      <c r="R227" s="146" t="str">
        <f>IF(Q227&lt;&gt;"", SUMIF(Bets!$D:$D, Q227, Bets!AD:AD), "")</f>
        <v/>
      </c>
      <c r="S227" s="162"/>
      <c r="T227" s="148"/>
      <c r="U227" s="161"/>
      <c r="V227" s="146" t="str">
        <f>IF(U227&lt;&gt;"", SUMIF(Bets!$D:$D, U227, Bets!AE:AE), "")</f>
        <v/>
      </c>
      <c r="W227" s="162"/>
      <c r="X227" s="148"/>
      <c r="Y227" s="161"/>
      <c r="Z227" s="146" t="str">
        <f>IF(Y227&lt;&gt;"", SUMIF(Bets!$D:$D, Y227, Bets!AF:AF), "")</f>
        <v/>
      </c>
      <c r="AA227" s="162"/>
      <c r="AB227" s="148"/>
      <c r="AC227" s="161"/>
      <c r="AD227" s="146" t="str">
        <f>IF(AC227&lt;&gt;"", SUMIF(Bets!$D:$D, AC227, Bets!AG:AG), "")</f>
        <v/>
      </c>
      <c r="AE227" s="162"/>
      <c r="AF227" s="148"/>
    </row>
    <row r="228">
      <c r="A228" s="161"/>
      <c r="B228" s="146" t="str">
        <f>IF(A228&lt;&gt;"", SUMIF(Bets!$D:$D, A228, Bets!Z:Z), "")</f>
        <v/>
      </c>
      <c r="C228" s="162"/>
      <c r="D228" s="148"/>
      <c r="E228" s="161"/>
      <c r="F228" s="146" t="str">
        <f>IF(E228&lt;&gt;"", SUMIF(Bets!$D:$D, E228, Bets!AB:AB), "")</f>
        <v/>
      </c>
      <c r="G228" s="162"/>
      <c r="H228" s="148"/>
      <c r="I228" s="161"/>
      <c r="J228" s="146" t="str">
        <f>IF(I228&lt;&gt;"", SUMIF(Bets!$D:$D, I228, Bets!AA:AA), "")</f>
        <v/>
      </c>
      <c r="K228" s="162"/>
      <c r="L228" s="148"/>
      <c r="M228" s="161"/>
      <c r="N228" s="146"/>
      <c r="O228" s="162"/>
      <c r="P228" s="148"/>
      <c r="Q228" s="161"/>
      <c r="R228" s="146" t="str">
        <f>IF(Q228&lt;&gt;"", SUMIF(Bets!$D:$D, Q228, Bets!AD:AD), "")</f>
        <v/>
      </c>
      <c r="S228" s="162"/>
      <c r="T228" s="148"/>
      <c r="U228" s="161"/>
      <c r="V228" s="146" t="str">
        <f>IF(U228&lt;&gt;"", SUMIF(Bets!$D:$D, U228, Bets!AE:AE), "")</f>
        <v/>
      </c>
      <c r="W228" s="162"/>
      <c r="X228" s="148"/>
      <c r="Y228" s="161"/>
      <c r="Z228" s="146" t="str">
        <f>IF(Y228&lt;&gt;"", SUMIF(Bets!$D:$D, Y228, Bets!AF:AF), "")</f>
        <v/>
      </c>
      <c r="AA228" s="162"/>
      <c r="AB228" s="148"/>
      <c r="AC228" s="161"/>
      <c r="AD228" s="146" t="str">
        <f>IF(AC228&lt;&gt;"", SUMIF(Bets!$D:$D, AC228, Bets!AG:AG), "")</f>
        <v/>
      </c>
      <c r="AE228" s="162"/>
      <c r="AF228" s="148"/>
    </row>
    <row r="229">
      <c r="A229" s="161"/>
      <c r="B229" s="146" t="str">
        <f>IF(A229&lt;&gt;"", SUMIF(Bets!$D:$D, A229, Bets!Z:Z), "")</f>
        <v/>
      </c>
      <c r="C229" s="162"/>
      <c r="D229" s="148"/>
      <c r="E229" s="161"/>
      <c r="F229" s="146" t="str">
        <f>IF(E229&lt;&gt;"", SUMIF(Bets!$D:$D, E229, Bets!AB:AB), "")</f>
        <v/>
      </c>
      <c r="G229" s="162"/>
      <c r="H229" s="148"/>
      <c r="I229" s="161"/>
      <c r="J229" s="146" t="str">
        <f>IF(I229&lt;&gt;"", SUMIF(Bets!$D:$D, I229, Bets!AA:AA), "")</f>
        <v/>
      </c>
      <c r="K229" s="162"/>
      <c r="L229" s="148"/>
      <c r="M229" s="161"/>
      <c r="N229" s="146"/>
      <c r="O229" s="162"/>
      <c r="P229" s="148"/>
      <c r="Q229" s="161"/>
      <c r="R229" s="146" t="str">
        <f>IF(Q229&lt;&gt;"", SUMIF(Bets!$D:$D, Q229, Bets!AD:AD), "")</f>
        <v/>
      </c>
      <c r="S229" s="162"/>
      <c r="T229" s="148"/>
      <c r="U229" s="161"/>
      <c r="V229" s="146" t="str">
        <f>IF(U229&lt;&gt;"", SUMIF(Bets!$D:$D, U229, Bets!AE:AE), "")</f>
        <v/>
      </c>
      <c r="W229" s="162"/>
      <c r="X229" s="148"/>
      <c r="Y229" s="161"/>
      <c r="Z229" s="146" t="str">
        <f>IF(Y229&lt;&gt;"", SUMIF(Bets!$D:$D, Y229, Bets!AF:AF), "")</f>
        <v/>
      </c>
      <c r="AA229" s="162"/>
      <c r="AB229" s="148"/>
      <c r="AC229" s="161"/>
      <c r="AD229" s="146" t="str">
        <f>IF(AC229&lt;&gt;"", SUMIF(Bets!$D:$D, AC229, Bets!AG:AG), "")</f>
        <v/>
      </c>
      <c r="AE229" s="162"/>
      <c r="AF229" s="148"/>
    </row>
    <row r="230">
      <c r="A230" s="161"/>
      <c r="B230" s="146" t="str">
        <f>IF(A230&lt;&gt;"", SUMIF(Bets!$D:$D, A230, Bets!Z:Z), "")</f>
        <v/>
      </c>
      <c r="C230" s="162"/>
      <c r="D230" s="148"/>
      <c r="E230" s="161"/>
      <c r="F230" s="146" t="str">
        <f>IF(E230&lt;&gt;"", SUMIF(Bets!$D:$D, E230, Bets!AB:AB), "")</f>
        <v/>
      </c>
      <c r="G230" s="162"/>
      <c r="H230" s="148"/>
      <c r="I230" s="161"/>
      <c r="J230" s="146" t="str">
        <f>IF(I230&lt;&gt;"", SUMIF(Bets!$D:$D, I230, Bets!AA:AA), "")</f>
        <v/>
      </c>
      <c r="K230" s="162"/>
      <c r="L230" s="148"/>
      <c r="M230" s="161"/>
      <c r="N230" s="146"/>
      <c r="O230" s="162"/>
      <c r="P230" s="148"/>
      <c r="Q230" s="161"/>
      <c r="R230" s="146" t="str">
        <f>IF(Q230&lt;&gt;"", SUMIF(Bets!$D:$D, Q230, Bets!AD:AD), "")</f>
        <v/>
      </c>
      <c r="S230" s="162"/>
      <c r="T230" s="148"/>
      <c r="U230" s="161"/>
      <c r="V230" s="146" t="str">
        <f>IF(U230&lt;&gt;"", SUMIF(Bets!$D:$D, U230, Bets!AE:AE), "")</f>
        <v/>
      </c>
      <c r="W230" s="162"/>
      <c r="X230" s="148"/>
      <c r="Y230" s="161"/>
      <c r="Z230" s="146" t="str">
        <f>IF(Y230&lt;&gt;"", SUMIF(Bets!$D:$D, Y230, Bets!AF:AF), "")</f>
        <v/>
      </c>
      <c r="AA230" s="162"/>
      <c r="AB230" s="148"/>
      <c r="AC230" s="161"/>
      <c r="AD230" s="146" t="str">
        <f>IF(AC230&lt;&gt;"", SUMIF(Bets!$D:$D, AC230, Bets!AG:AG), "")</f>
        <v/>
      </c>
      <c r="AE230" s="162"/>
      <c r="AF230" s="148"/>
    </row>
    <row r="231">
      <c r="A231" s="161"/>
      <c r="B231" s="146" t="str">
        <f>IF(A231&lt;&gt;"", SUMIF(Bets!$D:$D, A231, Bets!Z:Z), "")</f>
        <v/>
      </c>
      <c r="C231" s="162"/>
      <c r="D231" s="148"/>
      <c r="E231" s="161"/>
      <c r="F231" s="146" t="str">
        <f>IF(E231&lt;&gt;"", SUMIF(Bets!$D:$D, E231, Bets!AB:AB), "")</f>
        <v/>
      </c>
      <c r="G231" s="162"/>
      <c r="H231" s="148"/>
      <c r="I231" s="161"/>
      <c r="J231" s="146" t="str">
        <f>IF(I231&lt;&gt;"", SUMIF(Bets!$D:$D, I231, Bets!AA:AA), "")</f>
        <v/>
      </c>
      <c r="K231" s="162"/>
      <c r="L231" s="148"/>
      <c r="M231" s="161"/>
      <c r="N231" s="146"/>
      <c r="O231" s="162"/>
      <c r="P231" s="148"/>
      <c r="Q231" s="161"/>
      <c r="R231" s="146" t="str">
        <f>IF(Q231&lt;&gt;"", SUMIF(Bets!$D:$D, Q231, Bets!AD:AD), "")</f>
        <v/>
      </c>
      <c r="S231" s="162"/>
      <c r="T231" s="148"/>
      <c r="U231" s="161"/>
      <c r="V231" s="146" t="str">
        <f>IF(U231&lt;&gt;"", SUMIF(Bets!$D:$D, U231, Bets!AE:AE), "")</f>
        <v/>
      </c>
      <c r="W231" s="162"/>
      <c r="X231" s="148"/>
      <c r="Y231" s="161"/>
      <c r="Z231" s="146" t="str">
        <f>IF(Y231&lt;&gt;"", SUMIF(Bets!$D:$D, Y231, Bets!AF:AF), "")</f>
        <v/>
      </c>
      <c r="AA231" s="162"/>
      <c r="AB231" s="148"/>
      <c r="AC231" s="161"/>
      <c r="AD231" s="146" t="str">
        <f>IF(AC231&lt;&gt;"", SUMIF(Bets!$D:$D, AC231, Bets!AG:AG), "")</f>
        <v/>
      </c>
      <c r="AE231" s="162"/>
      <c r="AF231" s="148"/>
    </row>
    <row r="232">
      <c r="A232" s="161"/>
      <c r="B232" s="146" t="str">
        <f>IF(A232&lt;&gt;"", SUMIF(Bets!$D:$D, A232, Bets!Z:Z), "")</f>
        <v/>
      </c>
      <c r="C232" s="162"/>
      <c r="D232" s="148"/>
      <c r="E232" s="161"/>
      <c r="F232" s="146" t="str">
        <f>IF(E232&lt;&gt;"", SUMIF(Bets!$D:$D, E232, Bets!AB:AB), "")</f>
        <v/>
      </c>
      <c r="G232" s="162"/>
      <c r="H232" s="148"/>
      <c r="I232" s="161"/>
      <c r="J232" s="146" t="str">
        <f>IF(I232&lt;&gt;"", SUMIF(Bets!$D:$D, I232, Bets!AA:AA), "")</f>
        <v/>
      </c>
      <c r="K232" s="162"/>
      <c r="L232" s="148"/>
      <c r="M232" s="161"/>
      <c r="N232" s="146"/>
      <c r="O232" s="162"/>
      <c r="P232" s="148"/>
      <c r="Q232" s="161"/>
      <c r="R232" s="146" t="str">
        <f>IF(Q232&lt;&gt;"", SUMIF(Bets!$D:$D, Q232, Bets!AD:AD), "")</f>
        <v/>
      </c>
      <c r="S232" s="162"/>
      <c r="T232" s="148"/>
      <c r="U232" s="161"/>
      <c r="V232" s="146" t="str">
        <f>IF(U232&lt;&gt;"", SUMIF(Bets!$D:$D, U232, Bets!AE:AE), "")</f>
        <v/>
      </c>
      <c r="W232" s="162"/>
      <c r="X232" s="148"/>
      <c r="Y232" s="161"/>
      <c r="Z232" s="146" t="str">
        <f>IF(Y232&lt;&gt;"", SUMIF(Bets!$D:$D, Y232, Bets!AF:AF), "")</f>
        <v/>
      </c>
      <c r="AA232" s="162"/>
      <c r="AB232" s="148"/>
      <c r="AC232" s="161"/>
      <c r="AD232" s="146" t="str">
        <f>IF(AC232&lt;&gt;"", SUMIF(Bets!$D:$D, AC232, Bets!AG:AG), "")</f>
        <v/>
      </c>
      <c r="AE232" s="162"/>
      <c r="AF232" s="148"/>
    </row>
    <row r="233">
      <c r="A233" s="161"/>
      <c r="B233" s="146" t="str">
        <f>IF(A233&lt;&gt;"", SUMIF(Bets!$D:$D, A233, Bets!Z:Z), "")</f>
        <v/>
      </c>
      <c r="C233" s="162"/>
      <c r="D233" s="148"/>
      <c r="E233" s="161"/>
      <c r="F233" s="146" t="str">
        <f>IF(E233&lt;&gt;"", SUMIF(Bets!$D:$D, E233, Bets!AB:AB), "")</f>
        <v/>
      </c>
      <c r="G233" s="162"/>
      <c r="H233" s="148"/>
      <c r="I233" s="161"/>
      <c r="J233" s="146" t="str">
        <f>IF(I233&lt;&gt;"", SUMIF(Bets!$D:$D, I233, Bets!AA:AA), "")</f>
        <v/>
      </c>
      <c r="K233" s="162"/>
      <c r="L233" s="148"/>
      <c r="M233" s="161"/>
      <c r="N233" s="146"/>
      <c r="O233" s="162"/>
      <c r="P233" s="148"/>
      <c r="Q233" s="161"/>
      <c r="R233" s="146" t="str">
        <f>IF(Q233&lt;&gt;"", SUMIF(Bets!$D:$D, Q233, Bets!AD:AD), "")</f>
        <v/>
      </c>
      <c r="S233" s="162"/>
      <c r="T233" s="148"/>
      <c r="U233" s="161"/>
      <c r="V233" s="146" t="str">
        <f>IF(U233&lt;&gt;"", SUMIF(Bets!$D:$D, U233, Bets!AE:AE), "")</f>
        <v/>
      </c>
      <c r="W233" s="162"/>
      <c r="X233" s="148"/>
      <c r="Y233" s="161"/>
      <c r="Z233" s="146" t="str">
        <f>IF(Y233&lt;&gt;"", SUMIF(Bets!$D:$D, Y233, Bets!AF:AF), "")</f>
        <v/>
      </c>
      <c r="AA233" s="162"/>
      <c r="AB233" s="148"/>
      <c r="AC233" s="161"/>
      <c r="AD233" s="146" t="str">
        <f>IF(AC233&lt;&gt;"", SUMIF(Bets!$D:$D, AC233, Bets!AG:AG), "")</f>
        <v/>
      </c>
      <c r="AE233" s="162"/>
      <c r="AF233" s="148"/>
    </row>
    <row r="234">
      <c r="A234" s="161"/>
      <c r="B234" s="146" t="str">
        <f>IF(A234&lt;&gt;"", SUMIF(Bets!$D:$D, A234, Bets!Z:Z), "")</f>
        <v/>
      </c>
      <c r="C234" s="162"/>
      <c r="D234" s="148"/>
      <c r="E234" s="161"/>
      <c r="F234" s="146" t="str">
        <f>IF(E234&lt;&gt;"", SUMIF(Bets!$D:$D, E234, Bets!AB:AB), "")</f>
        <v/>
      </c>
      <c r="G234" s="162"/>
      <c r="H234" s="148"/>
      <c r="I234" s="161"/>
      <c r="J234" s="146" t="str">
        <f>IF(I234&lt;&gt;"", SUMIF(Bets!$D:$D, I234, Bets!AA:AA), "")</f>
        <v/>
      </c>
      <c r="K234" s="162"/>
      <c r="L234" s="148"/>
      <c r="M234" s="161"/>
      <c r="N234" s="146"/>
      <c r="O234" s="162"/>
      <c r="P234" s="148"/>
      <c r="Q234" s="161"/>
      <c r="R234" s="146" t="str">
        <f>IF(Q234&lt;&gt;"", SUMIF(Bets!$D:$D, Q234, Bets!AD:AD), "")</f>
        <v/>
      </c>
      <c r="S234" s="162"/>
      <c r="T234" s="148"/>
      <c r="U234" s="161"/>
      <c r="V234" s="146" t="str">
        <f>IF(U234&lt;&gt;"", SUMIF(Bets!$D:$D, U234, Bets!AE:AE), "")</f>
        <v/>
      </c>
      <c r="W234" s="162"/>
      <c r="X234" s="148"/>
      <c r="Y234" s="161"/>
      <c r="Z234" s="146" t="str">
        <f>IF(Y234&lt;&gt;"", SUMIF(Bets!$D:$D, Y234, Bets!AF:AF), "")</f>
        <v/>
      </c>
      <c r="AA234" s="162"/>
      <c r="AB234" s="148"/>
      <c r="AC234" s="161"/>
      <c r="AD234" s="146" t="str">
        <f>IF(AC234&lt;&gt;"", SUMIF(Bets!$D:$D, AC234, Bets!AG:AG), "")</f>
        <v/>
      </c>
      <c r="AE234" s="162"/>
      <c r="AF234" s="148"/>
    </row>
    <row r="235">
      <c r="A235" s="161"/>
      <c r="B235" s="146" t="str">
        <f>IF(A235&lt;&gt;"", SUMIF(Bets!$D:$D, A235, Bets!Z:Z), "")</f>
        <v/>
      </c>
      <c r="C235" s="162"/>
      <c r="D235" s="148"/>
      <c r="E235" s="161"/>
      <c r="F235" s="146" t="str">
        <f>IF(E235&lt;&gt;"", SUMIF(Bets!$D:$D, E235, Bets!AB:AB), "")</f>
        <v/>
      </c>
      <c r="G235" s="162"/>
      <c r="H235" s="148"/>
      <c r="I235" s="161"/>
      <c r="J235" s="146" t="str">
        <f>IF(I235&lt;&gt;"", SUMIF(Bets!$D:$D, I235, Bets!AA:AA), "")</f>
        <v/>
      </c>
      <c r="K235" s="162"/>
      <c r="L235" s="148"/>
      <c r="M235" s="161"/>
      <c r="N235" s="146"/>
      <c r="O235" s="162"/>
      <c r="P235" s="148"/>
      <c r="Q235" s="161"/>
      <c r="R235" s="146" t="str">
        <f>IF(Q235&lt;&gt;"", SUMIF(Bets!$D:$D, Q235, Bets!AD:AD), "")</f>
        <v/>
      </c>
      <c r="S235" s="162"/>
      <c r="T235" s="148"/>
      <c r="U235" s="161"/>
      <c r="V235" s="146" t="str">
        <f>IF(U235&lt;&gt;"", SUMIF(Bets!$D:$D, U235, Bets!AE:AE), "")</f>
        <v/>
      </c>
      <c r="W235" s="162"/>
      <c r="X235" s="148"/>
      <c r="Y235" s="161"/>
      <c r="Z235" s="146" t="str">
        <f>IF(Y235&lt;&gt;"", SUMIF(Bets!$D:$D, Y235, Bets!AF:AF), "")</f>
        <v/>
      </c>
      <c r="AA235" s="162"/>
      <c r="AB235" s="148"/>
      <c r="AC235" s="161"/>
      <c r="AD235" s="146" t="str">
        <f>IF(AC235&lt;&gt;"", SUMIF(Bets!$D:$D, AC235, Bets!AG:AG), "")</f>
        <v/>
      </c>
      <c r="AE235" s="162"/>
      <c r="AF235" s="148"/>
    </row>
    <row r="236">
      <c r="A236" s="161"/>
      <c r="B236" s="146" t="str">
        <f>IF(A236&lt;&gt;"", SUMIF(Bets!$D:$D, A236, Bets!Z:Z), "")</f>
        <v/>
      </c>
      <c r="C236" s="162"/>
      <c r="D236" s="148"/>
      <c r="E236" s="161"/>
      <c r="F236" s="146" t="str">
        <f>IF(E236&lt;&gt;"", SUMIF(Bets!$D:$D, E236, Bets!AB:AB), "")</f>
        <v/>
      </c>
      <c r="G236" s="162"/>
      <c r="H236" s="148"/>
      <c r="I236" s="161"/>
      <c r="J236" s="146" t="str">
        <f>IF(I236&lt;&gt;"", SUMIF(Bets!$D:$D, I236, Bets!AA:AA), "")</f>
        <v/>
      </c>
      <c r="K236" s="162"/>
      <c r="L236" s="148"/>
      <c r="M236" s="161"/>
      <c r="N236" s="146"/>
      <c r="O236" s="162"/>
      <c r="P236" s="148"/>
      <c r="Q236" s="161"/>
      <c r="R236" s="146" t="str">
        <f>IF(Q236&lt;&gt;"", SUMIF(Bets!$D:$D, Q236, Bets!AD:AD), "")</f>
        <v/>
      </c>
      <c r="S236" s="162"/>
      <c r="T236" s="148"/>
      <c r="U236" s="161"/>
      <c r="V236" s="146" t="str">
        <f>IF(U236&lt;&gt;"", SUMIF(Bets!$D:$D, U236, Bets!AE:AE), "")</f>
        <v/>
      </c>
      <c r="W236" s="162"/>
      <c r="X236" s="148"/>
      <c r="Y236" s="161"/>
      <c r="Z236" s="146" t="str">
        <f>IF(Y236&lt;&gt;"", SUMIF(Bets!$D:$D, Y236, Bets!AF:AF), "")</f>
        <v/>
      </c>
      <c r="AA236" s="162"/>
      <c r="AB236" s="148"/>
      <c r="AC236" s="161"/>
      <c r="AD236" s="146" t="str">
        <f>IF(AC236&lt;&gt;"", SUMIF(Bets!$D:$D, AC236, Bets!AG:AG), "")</f>
        <v/>
      </c>
      <c r="AE236" s="162"/>
      <c r="AF236" s="148"/>
    </row>
    <row r="237">
      <c r="A237" s="161"/>
      <c r="B237" s="146" t="str">
        <f>IF(A237&lt;&gt;"", SUMIF(Bets!$D:$D, A237, Bets!Z:Z), "")</f>
        <v/>
      </c>
      <c r="C237" s="162"/>
      <c r="D237" s="148"/>
      <c r="E237" s="161"/>
      <c r="F237" s="146" t="str">
        <f>IF(E237&lt;&gt;"", SUMIF(Bets!$D:$D, E237, Bets!AB:AB), "")</f>
        <v/>
      </c>
      <c r="G237" s="162"/>
      <c r="H237" s="148"/>
      <c r="I237" s="161"/>
      <c r="J237" s="146" t="str">
        <f>IF(I237&lt;&gt;"", SUMIF(Bets!$D:$D, I237, Bets!AA:AA), "")</f>
        <v/>
      </c>
      <c r="K237" s="162"/>
      <c r="L237" s="148"/>
      <c r="M237" s="161"/>
      <c r="N237" s="146"/>
      <c r="O237" s="162"/>
      <c r="P237" s="148"/>
      <c r="Q237" s="161"/>
      <c r="R237" s="146" t="str">
        <f>IF(Q237&lt;&gt;"", SUMIF(Bets!$D:$D, Q237, Bets!AD:AD), "")</f>
        <v/>
      </c>
      <c r="S237" s="162"/>
      <c r="T237" s="148"/>
      <c r="U237" s="161"/>
      <c r="V237" s="146" t="str">
        <f>IF(U237&lt;&gt;"", SUMIF(Bets!$D:$D, U237, Bets!AE:AE), "")</f>
        <v/>
      </c>
      <c r="W237" s="162"/>
      <c r="X237" s="148"/>
      <c r="Y237" s="161"/>
      <c r="Z237" s="146" t="str">
        <f>IF(Y237&lt;&gt;"", SUMIF(Bets!$D:$D, Y237, Bets!AF:AF), "")</f>
        <v/>
      </c>
      <c r="AA237" s="162"/>
      <c r="AB237" s="148"/>
      <c r="AC237" s="161"/>
      <c r="AD237" s="146" t="str">
        <f>IF(AC237&lt;&gt;"", SUMIF(Bets!$D:$D, AC237, Bets!AG:AG), "")</f>
        <v/>
      </c>
      <c r="AE237" s="162"/>
      <c r="AF237" s="148"/>
    </row>
    <row r="238">
      <c r="A238" s="161"/>
      <c r="B238" s="146" t="str">
        <f>IF(A238&lt;&gt;"", SUMIF(Bets!$D:$D, A238, Bets!Z:Z), "")</f>
        <v/>
      </c>
      <c r="C238" s="162"/>
      <c r="D238" s="148"/>
      <c r="E238" s="161"/>
      <c r="F238" s="146" t="str">
        <f>IF(E238&lt;&gt;"", SUMIF(Bets!$D:$D, E238, Bets!AB:AB), "")</f>
        <v/>
      </c>
      <c r="G238" s="162"/>
      <c r="H238" s="148"/>
      <c r="I238" s="161"/>
      <c r="J238" s="146" t="str">
        <f>IF(I238&lt;&gt;"", SUMIF(Bets!$D:$D, I238, Bets!AA:AA), "")</f>
        <v/>
      </c>
      <c r="K238" s="162"/>
      <c r="L238" s="148"/>
      <c r="M238" s="161"/>
      <c r="N238" s="146"/>
      <c r="O238" s="162"/>
      <c r="P238" s="148"/>
      <c r="Q238" s="161"/>
      <c r="R238" s="146" t="str">
        <f>IF(Q238&lt;&gt;"", SUMIF(Bets!$D:$D, Q238, Bets!AD:AD), "")</f>
        <v/>
      </c>
      <c r="S238" s="162"/>
      <c r="T238" s="148"/>
      <c r="U238" s="161"/>
      <c r="V238" s="146" t="str">
        <f>IF(U238&lt;&gt;"", SUMIF(Bets!$D:$D, U238, Bets!AE:AE), "")</f>
        <v/>
      </c>
      <c r="W238" s="162"/>
      <c r="X238" s="148"/>
      <c r="Y238" s="161"/>
      <c r="Z238" s="146" t="str">
        <f>IF(Y238&lt;&gt;"", SUMIF(Bets!$D:$D, Y238, Bets!AF:AF), "")</f>
        <v/>
      </c>
      <c r="AA238" s="162"/>
      <c r="AB238" s="148"/>
      <c r="AC238" s="161"/>
      <c r="AD238" s="146" t="str">
        <f>IF(AC238&lt;&gt;"", SUMIF(Bets!$D:$D, AC238, Bets!AG:AG), "")</f>
        <v/>
      </c>
      <c r="AE238" s="162"/>
      <c r="AF238" s="148"/>
    </row>
    <row r="239">
      <c r="A239" s="161"/>
      <c r="B239" s="146" t="str">
        <f>IF(A239&lt;&gt;"", SUMIF(Bets!$D:$D, A239, Bets!Z:Z), "")</f>
        <v/>
      </c>
      <c r="C239" s="162"/>
      <c r="D239" s="148"/>
      <c r="E239" s="161"/>
      <c r="F239" s="146" t="str">
        <f>IF(E239&lt;&gt;"", SUMIF(Bets!$D:$D, E239, Bets!AB:AB), "")</f>
        <v/>
      </c>
      <c r="G239" s="162"/>
      <c r="H239" s="148"/>
      <c r="I239" s="161"/>
      <c r="J239" s="146" t="str">
        <f>IF(I239&lt;&gt;"", SUMIF(Bets!$D:$D, I239, Bets!AA:AA), "")</f>
        <v/>
      </c>
      <c r="K239" s="162"/>
      <c r="L239" s="148"/>
      <c r="M239" s="161"/>
      <c r="N239" s="146"/>
      <c r="O239" s="162"/>
      <c r="P239" s="148"/>
      <c r="Q239" s="161"/>
      <c r="R239" s="146" t="str">
        <f>IF(Q239&lt;&gt;"", SUMIF(Bets!$D:$D, Q239, Bets!AD:AD), "")</f>
        <v/>
      </c>
      <c r="S239" s="162"/>
      <c r="T239" s="148"/>
      <c r="U239" s="161"/>
      <c r="V239" s="146" t="str">
        <f>IF(U239&lt;&gt;"", SUMIF(Bets!$D:$D, U239, Bets!AE:AE), "")</f>
        <v/>
      </c>
      <c r="W239" s="162"/>
      <c r="X239" s="148"/>
      <c r="Y239" s="161"/>
      <c r="Z239" s="146" t="str">
        <f>IF(Y239&lt;&gt;"", SUMIF(Bets!$D:$D, Y239, Bets!AF:AF), "")</f>
        <v/>
      </c>
      <c r="AA239" s="162"/>
      <c r="AB239" s="148"/>
      <c r="AC239" s="161"/>
      <c r="AD239" s="146" t="str">
        <f>IF(AC239&lt;&gt;"", SUMIF(Bets!$D:$D, AC239, Bets!AG:AG), "")</f>
        <v/>
      </c>
      <c r="AE239" s="162"/>
      <c r="AF239" s="148"/>
    </row>
    <row r="240">
      <c r="A240" s="161"/>
      <c r="B240" s="146" t="str">
        <f>IF(A240&lt;&gt;"", SUMIF(Bets!$D:$D, A240, Bets!Z:Z), "")</f>
        <v/>
      </c>
      <c r="C240" s="162"/>
      <c r="D240" s="148"/>
      <c r="E240" s="161"/>
      <c r="F240" s="146" t="str">
        <f>IF(E240&lt;&gt;"", SUMIF(Bets!$D:$D, E240, Bets!AB:AB), "")</f>
        <v/>
      </c>
      <c r="G240" s="162"/>
      <c r="H240" s="148"/>
      <c r="I240" s="161"/>
      <c r="J240" s="146" t="str">
        <f>IF(I240&lt;&gt;"", SUMIF(Bets!$D:$D, I240, Bets!AA:AA), "")</f>
        <v/>
      </c>
      <c r="K240" s="162"/>
      <c r="L240" s="148"/>
      <c r="M240" s="161"/>
      <c r="N240" s="146"/>
      <c r="O240" s="162"/>
      <c r="P240" s="148"/>
      <c r="Q240" s="161"/>
      <c r="R240" s="146" t="str">
        <f>IF(Q240&lt;&gt;"", SUMIF(Bets!$D:$D, Q240, Bets!AD:AD), "")</f>
        <v/>
      </c>
      <c r="S240" s="162"/>
      <c r="T240" s="148"/>
      <c r="U240" s="161"/>
      <c r="V240" s="146" t="str">
        <f>IF(U240&lt;&gt;"", SUMIF(Bets!$D:$D, U240, Bets!AE:AE), "")</f>
        <v/>
      </c>
      <c r="W240" s="162"/>
      <c r="X240" s="148"/>
      <c r="Y240" s="161"/>
      <c r="Z240" s="146" t="str">
        <f>IF(Y240&lt;&gt;"", SUMIF(Bets!$D:$D, Y240, Bets!AF:AF), "")</f>
        <v/>
      </c>
      <c r="AA240" s="162"/>
      <c r="AB240" s="148"/>
      <c r="AC240" s="161"/>
      <c r="AD240" s="146" t="str">
        <f>IF(AC240&lt;&gt;"", SUMIF(Bets!$D:$D, AC240, Bets!AG:AG), "")</f>
        <v/>
      </c>
      <c r="AE240" s="162"/>
      <c r="AF240" s="148"/>
    </row>
    <row r="241">
      <c r="A241" s="161"/>
      <c r="B241" s="146" t="str">
        <f>IF(A241&lt;&gt;"", SUMIF(Bets!$D:$D, A241, Bets!Z:Z), "")</f>
        <v/>
      </c>
      <c r="C241" s="162"/>
      <c r="D241" s="148"/>
      <c r="E241" s="161"/>
      <c r="F241" s="146" t="str">
        <f>IF(E241&lt;&gt;"", SUMIF(Bets!$D:$D, E241, Bets!AB:AB), "")</f>
        <v/>
      </c>
      <c r="G241" s="162"/>
      <c r="H241" s="148"/>
      <c r="I241" s="161"/>
      <c r="J241" s="146" t="str">
        <f>IF(I241&lt;&gt;"", SUMIF(Bets!$D:$D, I241, Bets!AA:AA), "")</f>
        <v/>
      </c>
      <c r="K241" s="162"/>
      <c r="L241" s="148"/>
      <c r="M241" s="161"/>
      <c r="N241" s="146"/>
      <c r="O241" s="162"/>
      <c r="P241" s="148"/>
      <c r="Q241" s="161"/>
      <c r="R241" s="146" t="str">
        <f>IF(Q241&lt;&gt;"", SUMIF(Bets!$D:$D, Q241, Bets!AD:AD), "")</f>
        <v/>
      </c>
      <c r="S241" s="162"/>
      <c r="T241" s="148"/>
      <c r="U241" s="161"/>
      <c r="V241" s="146" t="str">
        <f>IF(U241&lt;&gt;"", SUMIF(Bets!$D:$D, U241, Bets!AE:AE), "")</f>
        <v/>
      </c>
      <c r="W241" s="162"/>
      <c r="X241" s="148"/>
      <c r="Y241" s="161"/>
      <c r="Z241" s="146" t="str">
        <f>IF(Y241&lt;&gt;"", SUMIF(Bets!$D:$D, Y241, Bets!AF:AF), "")</f>
        <v/>
      </c>
      <c r="AA241" s="162"/>
      <c r="AB241" s="148"/>
      <c r="AC241" s="161"/>
      <c r="AD241" s="146" t="str">
        <f>IF(AC241&lt;&gt;"", SUMIF(Bets!$D:$D, AC241, Bets!AG:AG), "")</f>
        <v/>
      </c>
      <c r="AE241" s="162"/>
      <c r="AF241" s="148"/>
    </row>
    <row r="242">
      <c r="A242" s="161"/>
      <c r="B242" s="146" t="str">
        <f>IF(A242&lt;&gt;"", SUMIF(Bets!$D:$D, A242, Bets!Z:Z), "")</f>
        <v/>
      </c>
      <c r="C242" s="162"/>
      <c r="D242" s="148"/>
      <c r="E242" s="161"/>
      <c r="F242" s="146" t="str">
        <f>IF(E242&lt;&gt;"", SUMIF(Bets!$D:$D, E242, Bets!AB:AB), "")</f>
        <v/>
      </c>
      <c r="G242" s="162"/>
      <c r="H242" s="148"/>
      <c r="I242" s="161"/>
      <c r="J242" s="146" t="str">
        <f>IF(I242&lt;&gt;"", SUMIF(Bets!$D:$D, I242, Bets!AA:AA), "")</f>
        <v/>
      </c>
      <c r="K242" s="162"/>
      <c r="L242" s="148"/>
      <c r="M242" s="161"/>
      <c r="N242" s="146"/>
      <c r="O242" s="162"/>
      <c r="P242" s="148"/>
      <c r="Q242" s="161"/>
      <c r="R242" s="146" t="str">
        <f>IF(Q242&lt;&gt;"", SUMIF(Bets!$D:$D, Q242, Bets!AD:AD), "")</f>
        <v/>
      </c>
      <c r="S242" s="162"/>
      <c r="T242" s="148"/>
      <c r="U242" s="161"/>
      <c r="V242" s="146" t="str">
        <f>IF(U242&lt;&gt;"", SUMIF(Bets!$D:$D, U242, Bets!AE:AE), "")</f>
        <v/>
      </c>
      <c r="W242" s="162"/>
      <c r="X242" s="148"/>
      <c r="Y242" s="161"/>
      <c r="Z242" s="146" t="str">
        <f>IF(Y242&lt;&gt;"", SUMIF(Bets!$D:$D, Y242, Bets!AF:AF), "")</f>
        <v/>
      </c>
      <c r="AA242" s="162"/>
      <c r="AB242" s="148"/>
      <c r="AC242" s="161"/>
      <c r="AD242" s="146" t="str">
        <f>IF(AC242&lt;&gt;"", SUMIF(Bets!$D:$D, AC242, Bets!AG:AG), "")</f>
        <v/>
      </c>
      <c r="AE242" s="162"/>
      <c r="AF242" s="148"/>
    </row>
    <row r="243">
      <c r="A243" s="161"/>
      <c r="B243" s="146" t="str">
        <f>IF(A243&lt;&gt;"", SUMIF(Bets!$D:$D, A243, Bets!Z:Z), "")</f>
        <v/>
      </c>
      <c r="C243" s="162"/>
      <c r="D243" s="148"/>
      <c r="E243" s="161"/>
      <c r="F243" s="146" t="str">
        <f>IF(E243&lt;&gt;"", SUMIF(Bets!$D:$D, E243, Bets!AB:AB), "")</f>
        <v/>
      </c>
      <c r="G243" s="162"/>
      <c r="H243" s="148"/>
      <c r="I243" s="161"/>
      <c r="J243" s="146" t="str">
        <f>IF(I243&lt;&gt;"", SUMIF(Bets!$D:$D, I243, Bets!AA:AA), "")</f>
        <v/>
      </c>
      <c r="K243" s="162"/>
      <c r="L243" s="148"/>
      <c r="M243" s="161"/>
      <c r="N243" s="146"/>
      <c r="O243" s="162"/>
      <c r="P243" s="148"/>
      <c r="Q243" s="161"/>
      <c r="R243" s="146" t="str">
        <f>IF(Q243&lt;&gt;"", SUMIF(Bets!$D:$D, Q243, Bets!AD:AD), "")</f>
        <v/>
      </c>
      <c r="S243" s="162"/>
      <c r="T243" s="148"/>
      <c r="U243" s="161"/>
      <c r="V243" s="146" t="str">
        <f>IF(U243&lt;&gt;"", SUMIF(Bets!$D:$D, U243, Bets!AE:AE), "")</f>
        <v/>
      </c>
      <c r="W243" s="162"/>
      <c r="X243" s="148"/>
      <c r="Y243" s="161"/>
      <c r="Z243" s="146" t="str">
        <f>IF(Y243&lt;&gt;"", SUMIF(Bets!$D:$D, Y243, Bets!AF:AF), "")</f>
        <v/>
      </c>
      <c r="AA243" s="162"/>
      <c r="AB243" s="148"/>
      <c r="AC243" s="161"/>
      <c r="AD243" s="146" t="str">
        <f>IF(AC243&lt;&gt;"", SUMIF(Bets!$D:$D, AC243, Bets!AG:AG), "")</f>
        <v/>
      </c>
      <c r="AE243" s="162"/>
      <c r="AF243" s="148"/>
    </row>
    <row r="244">
      <c r="A244" s="161"/>
      <c r="B244" s="146" t="str">
        <f>IF(A244&lt;&gt;"", SUMIF(Bets!$D:$D, A244, Bets!Z:Z), "")</f>
        <v/>
      </c>
      <c r="C244" s="162"/>
      <c r="D244" s="148"/>
      <c r="E244" s="161"/>
      <c r="F244" s="146" t="str">
        <f>IF(E244&lt;&gt;"", SUMIF(Bets!$D:$D, E244, Bets!AB:AB), "")</f>
        <v/>
      </c>
      <c r="G244" s="162"/>
      <c r="H244" s="148"/>
      <c r="I244" s="161"/>
      <c r="J244" s="146" t="str">
        <f>IF(I244&lt;&gt;"", SUMIF(Bets!$D:$D, I244, Bets!AA:AA), "")</f>
        <v/>
      </c>
      <c r="K244" s="162"/>
      <c r="L244" s="148"/>
      <c r="M244" s="161"/>
      <c r="N244" s="146"/>
      <c r="O244" s="162"/>
      <c r="P244" s="148"/>
      <c r="Q244" s="161"/>
      <c r="R244" s="146" t="str">
        <f>IF(Q244&lt;&gt;"", SUMIF(Bets!$D:$D, Q244, Bets!AD:AD), "")</f>
        <v/>
      </c>
      <c r="S244" s="162"/>
      <c r="T244" s="148"/>
      <c r="U244" s="161"/>
      <c r="V244" s="146" t="str">
        <f>IF(U244&lt;&gt;"", SUMIF(Bets!$D:$D, U244, Bets!AE:AE), "")</f>
        <v/>
      </c>
      <c r="W244" s="162"/>
      <c r="X244" s="148"/>
      <c r="Y244" s="161"/>
      <c r="Z244" s="146" t="str">
        <f>IF(Y244&lt;&gt;"", SUMIF(Bets!$D:$D, Y244, Bets!AF:AF), "")</f>
        <v/>
      </c>
      <c r="AA244" s="162"/>
      <c r="AB244" s="148"/>
      <c r="AC244" s="161"/>
      <c r="AD244" s="146" t="str">
        <f>IF(AC244&lt;&gt;"", SUMIF(Bets!$D:$D, AC244, Bets!AG:AG), "")</f>
        <v/>
      </c>
      <c r="AE244" s="162"/>
      <c r="AF244" s="148"/>
    </row>
    <row r="245">
      <c r="A245" s="161"/>
      <c r="B245" s="146" t="str">
        <f>IF(A245&lt;&gt;"", SUMIF(Bets!$D:$D, A245, Bets!Z:Z), "")</f>
        <v/>
      </c>
      <c r="C245" s="162"/>
      <c r="D245" s="148"/>
      <c r="E245" s="161"/>
      <c r="F245" s="146" t="str">
        <f>IF(E245&lt;&gt;"", SUMIF(Bets!$D:$D, E245, Bets!AB:AB), "")</f>
        <v/>
      </c>
      <c r="G245" s="162"/>
      <c r="H245" s="148"/>
      <c r="I245" s="161"/>
      <c r="J245" s="146" t="str">
        <f>IF(I245&lt;&gt;"", SUMIF(Bets!$D:$D, I245, Bets!AA:AA), "")</f>
        <v/>
      </c>
      <c r="K245" s="162"/>
      <c r="L245" s="148"/>
      <c r="M245" s="161"/>
      <c r="N245" s="146"/>
      <c r="O245" s="162"/>
      <c r="P245" s="148"/>
      <c r="Q245" s="161"/>
      <c r="R245" s="146" t="str">
        <f>IF(Q245&lt;&gt;"", SUMIF(Bets!$D:$D, Q245, Bets!AD:AD), "")</f>
        <v/>
      </c>
      <c r="S245" s="162"/>
      <c r="T245" s="148"/>
      <c r="U245" s="161"/>
      <c r="V245" s="146" t="str">
        <f>IF(U245&lt;&gt;"", SUMIF(Bets!$D:$D, U245, Bets!AE:AE), "")</f>
        <v/>
      </c>
      <c r="W245" s="162"/>
      <c r="X245" s="148"/>
      <c r="Y245" s="161"/>
      <c r="Z245" s="146" t="str">
        <f>IF(Y245&lt;&gt;"", SUMIF(Bets!$D:$D, Y245, Bets!AF:AF), "")</f>
        <v/>
      </c>
      <c r="AA245" s="162"/>
      <c r="AB245" s="148"/>
      <c r="AC245" s="161"/>
      <c r="AD245" s="146" t="str">
        <f>IF(AC245&lt;&gt;"", SUMIF(Bets!$D:$D, AC245, Bets!AG:AG), "")</f>
        <v/>
      </c>
      <c r="AE245" s="162"/>
      <c r="AF245" s="148"/>
    </row>
    <row r="246">
      <c r="A246" s="161"/>
      <c r="B246" s="146" t="str">
        <f>IF(A246&lt;&gt;"", SUMIF(Bets!$D:$D, A246, Bets!Z:Z), "")</f>
        <v/>
      </c>
      <c r="C246" s="162"/>
      <c r="D246" s="148"/>
      <c r="E246" s="161"/>
      <c r="F246" s="146" t="str">
        <f>IF(E246&lt;&gt;"", SUMIF(Bets!$D:$D, E246, Bets!AB:AB), "")</f>
        <v/>
      </c>
      <c r="G246" s="162"/>
      <c r="H246" s="148"/>
      <c r="I246" s="161"/>
      <c r="J246" s="146" t="str">
        <f>IF(I246&lt;&gt;"", SUMIF(Bets!$D:$D, I246, Bets!AA:AA), "")</f>
        <v/>
      </c>
      <c r="K246" s="162"/>
      <c r="L246" s="148"/>
      <c r="M246" s="161"/>
      <c r="N246" s="146"/>
      <c r="O246" s="162"/>
      <c r="P246" s="148"/>
      <c r="Q246" s="161"/>
      <c r="R246" s="146" t="str">
        <f>IF(Q246&lt;&gt;"", SUMIF(Bets!$D:$D, Q246, Bets!AD:AD), "")</f>
        <v/>
      </c>
      <c r="S246" s="162"/>
      <c r="T246" s="148"/>
      <c r="U246" s="161"/>
      <c r="V246" s="146" t="str">
        <f>IF(U246&lt;&gt;"", SUMIF(Bets!$D:$D, U246, Bets!AE:AE), "")</f>
        <v/>
      </c>
      <c r="W246" s="162"/>
      <c r="X246" s="148"/>
      <c r="Y246" s="161"/>
      <c r="Z246" s="146" t="str">
        <f>IF(Y246&lt;&gt;"", SUMIF(Bets!$D:$D, Y246, Bets!AF:AF), "")</f>
        <v/>
      </c>
      <c r="AA246" s="162"/>
      <c r="AB246" s="148"/>
      <c r="AC246" s="161"/>
      <c r="AD246" s="146" t="str">
        <f>IF(AC246&lt;&gt;"", SUMIF(Bets!$D:$D, AC246, Bets!AG:AG), "")</f>
        <v/>
      </c>
      <c r="AE246" s="162"/>
      <c r="AF246" s="148"/>
    </row>
    <row r="247">
      <c r="A247" s="161"/>
      <c r="B247" s="146" t="str">
        <f>IF(A247&lt;&gt;"", SUMIF(Bets!$D:$D, A247, Bets!Z:Z), "")</f>
        <v/>
      </c>
      <c r="C247" s="162"/>
      <c r="D247" s="148"/>
      <c r="E247" s="161"/>
      <c r="F247" s="146" t="str">
        <f>IF(E247&lt;&gt;"", SUMIF(Bets!$D:$D, E247, Bets!AB:AB), "")</f>
        <v/>
      </c>
      <c r="G247" s="162"/>
      <c r="H247" s="148"/>
      <c r="I247" s="161"/>
      <c r="J247" s="146" t="str">
        <f>IF(I247&lt;&gt;"", SUMIF(Bets!$D:$D, I247, Bets!AA:AA), "")</f>
        <v/>
      </c>
      <c r="K247" s="162"/>
      <c r="L247" s="148"/>
      <c r="M247" s="161"/>
      <c r="N247" s="146"/>
      <c r="O247" s="162"/>
      <c r="P247" s="148"/>
      <c r="Q247" s="161"/>
      <c r="R247" s="146" t="str">
        <f>IF(Q247&lt;&gt;"", SUMIF(Bets!$D:$D, Q247, Bets!AD:AD), "")</f>
        <v/>
      </c>
      <c r="S247" s="162"/>
      <c r="T247" s="148"/>
      <c r="U247" s="161"/>
      <c r="V247" s="146" t="str">
        <f>IF(U247&lt;&gt;"", SUMIF(Bets!$D:$D, U247, Bets!AE:AE), "")</f>
        <v/>
      </c>
      <c r="W247" s="162"/>
      <c r="X247" s="148"/>
      <c r="Y247" s="161"/>
      <c r="Z247" s="146" t="str">
        <f>IF(Y247&lt;&gt;"", SUMIF(Bets!$D:$D, Y247, Bets!AF:AF), "")</f>
        <v/>
      </c>
      <c r="AA247" s="162"/>
      <c r="AB247" s="148"/>
      <c r="AC247" s="161"/>
      <c r="AD247" s="146" t="str">
        <f>IF(AC247&lt;&gt;"", SUMIF(Bets!$D:$D, AC247, Bets!AG:AG), "")</f>
        <v/>
      </c>
      <c r="AE247" s="162"/>
      <c r="AF247" s="148"/>
    </row>
    <row r="248">
      <c r="A248" s="161"/>
      <c r="B248" s="146" t="str">
        <f>IF(A248&lt;&gt;"", SUMIF(Bets!$D:$D, A248, Bets!Z:Z), "")</f>
        <v/>
      </c>
      <c r="C248" s="162"/>
      <c r="D248" s="148"/>
      <c r="E248" s="161"/>
      <c r="F248" s="146" t="str">
        <f>IF(E248&lt;&gt;"", SUMIF(Bets!$D:$D, E248, Bets!AB:AB), "")</f>
        <v/>
      </c>
      <c r="G248" s="162"/>
      <c r="H248" s="148"/>
      <c r="I248" s="161"/>
      <c r="J248" s="146" t="str">
        <f>IF(I248&lt;&gt;"", SUMIF(Bets!$D:$D, I248, Bets!AA:AA), "")</f>
        <v/>
      </c>
      <c r="K248" s="162"/>
      <c r="L248" s="148"/>
      <c r="M248" s="161"/>
      <c r="N248" s="146"/>
      <c r="O248" s="162"/>
      <c r="P248" s="148"/>
      <c r="Q248" s="161"/>
      <c r="R248" s="146" t="str">
        <f>IF(Q248&lt;&gt;"", SUMIF(Bets!$D:$D, Q248, Bets!AD:AD), "")</f>
        <v/>
      </c>
      <c r="S248" s="162"/>
      <c r="T248" s="148"/>
      <c r="U248" s="161"/>
      <c r="V248" s="146" t="str">
        <f>IF(U248&lt;&gt;"", SUMIF(Bets!$D:$D, U248, Bets!AE:AE), "")</f>
        <v/>
      </c>
      <c r="W248" s="162"/>
      <c r="X248" s="148"/>
      <c r="Y248" s="161"/>
      <c r="Z248" s="146" t="str">
        <f>IF(Y248&lt;&gt;"", SUMIF(Bets!$D:$D, Y248, Bets!AF:AF), "")</f>
        <v/>
      </c>
      <c r="AA248" s="162"/>
      <c r="AB248" s="148"/>
      <c r="AC248" s="161"/>
      <c r="AD248" s="146" t="str">
        <f>IF(AC248&lt;&gt;"", SUMIF(Bets!$D:$D, AC248, Bets!AG:AG), "")</f>
        <v/>
      </c>
      <c r="AE248" s="162"/>
      <c r="AF248" s="148"/>
    </row>
    <row r="249">
      <c r="A249" s="161"/>
      <c r="B249" s="146" t="str">
        <f>IF(A249&lt;&gt;"", SUMIF(Bets!$D:$D, A249, Bets!Z:Z), "")</f>
        <v/>
      </c>
      <c r="C249" s="162"/>
      <c r="D249" s="148"/>
      <c r="E249" s="161"/>
      <c r="F249" s="146" t="str">
        <f>IF(E249&lt;&gt;"", SUMIF(Bets!$D:$D, E249, Bets!AB:AB), "")</f>
        <v/>
      </c>
      <c r="G249" s="162"/>
      <c r="H249" s="148"/>
      <c r="I249" s="161"/>
      <c r="J249" s="146" t="str">
        <f>IF(I249&lt;&gt;"", SUMIF(Bets!$D:$D, I249, Bets!AA:AA), "")</f>
        <v/>
      </c>
      <c r="K249" s="162"/>
      <c r="L249" s="148"/>
      <c r="M249" s="161"/>
      <c r="N249" s="146"/>
      <c r="O249" s="162"/>
      <c r="P249" s="148"/>
      <c r="Q249" s="161"/>
      <c r="R249" s="146" t="str">
        <f>IF(Q249&lt;&gt;"", SUMIF(Bets!$D:$D, Q249, Bets!AD:AD), "")</f>
        <v/>
      </c>
      <c r="S249" s="162"/>
      <c r="T249" s="148"/>
      <c r="U249" s="161"/>
      <c r="V249" s="146" t="str">
        <f>IF(U249&lt;&gt;"", SUMIF(Bets!$D:$D, U249, Bets!AE:AE), "")</f>
        <v/>
      </c>
      <c r="W249" s="162"/>
      <c r="X249" s="148"/>
      <c r="Y249" s="161"/>
      <c r="Z249" s="146" t="str">
        <f>IF(Y249&lt;&gt;"", SUMIF(Bets!$D:$D, Y249, Bets!AF:AF), "")</f>
        <v/>
      </c>
      <c r="AA249" s="162"/>
      <c r="AB249" s="148"/>
      <c r="AC249" s="161"/>
      <c r="AD249" s="146" t="str">
        <f>IF(AC249&lt;&gt;"", SUMIF(Bets!$D:$D, AC249, Bets!AG:AG), "")</f>
        <v/>
      </c>
      <c r="AE249" s="162"/>
      <c r="AF249" s="148"/>
    </row>
    <row r="250">
      <c r="A250" s="161"/>
      <c r="B250" s="146" t="str">
        <f>IF(A250&lt;&gt;"", SUMIF(Bets!$D:$D, A250, Bets!Z:Z), "")</f>
        <v/>
      </c>
      <c r="C250" s="162"/>
      <c r="D250" s="148"/>
      <c r="E250" s="161"/>
      <c r="F250" s="146" t="str">
        <f>IF(E250&lt;&gt;"", SUMIF(Bets!$D:$D, E250, Bets!AB:AB), "")</f>
        <v/>
      </c>
      <c r="G250" s="162"/>
      <c r="H250" s="148"/>
      <c r="I250" s="161"/>
      <c r="J250" s="146" t="str">
        <f>IF(I250&lt;&gt;"", SUMIF(Bets!$D:$D, I250, Bets!AA:AA), "")</f>
        <v/>
      </c>
      <c r="K250" s="162"/>
      <c r="L250" s="148"/>
      <c r="M250" s="161"/>
      <c r="N250" s="146"/>
      <c r="O250" s="162"/>
      <c r="P250" s="148"/>
      <c r="Q250" s="161"/>
      <c r="R250" s="146" t="str">
        <f>IF(Q250&lt;&gt;"", SUMIF(Bets!$D:$D, Q250, Bets!AD:AD), "")</f>
        <v/>
      </c>
      <c r="S250" s="162"/>
      <c r="T250" s="148"/>
      <c r="U250" s="161"/>
      <c r="V250" s="146" t="str">
        <f>IF(U250&lt;&gt;"", SUMIF(Bets!$D:$D, U250, Bets!AE:AE), "")</f>
        <v/>
      </c>
      <c r="W250" s="162"/>
      <c r="X250" s="148"/>
      <c r="Y250" s="161"/>
      <c r="Z250" s="146" t="str">
        <f>IF(Y250&lt;&gt;"", SUMIF(Bets!$D:$D, Y250, Bets!AF:AF), "")</f>
        <v/>
      </c>
      <c r="AA250" s="162"/>
      <c r="AB250" s="148"/>
      <c r="AC250" s="161"/>
      <c r="AD250" s="146" t="str">
        <f>IF(AC250&lt;&gt;"", SUMIF(Bets!$D:$D, AC250, Bets!AG:AG), "")</f>
        <v/>
      </c>
      <c r="AE250" s="162"/>
      <c r="AF250" s="148"/>
    </row>
    <row r="251">
      <c r="A251" s="161"/>
      <c r="B251" s="146" t="str">
        <f>IF(A251&lt;&gt;"", SUMIF(Bets!$D:$D, A251, Bets!Z:Z), "")</f>
        <v/>
      </c>
      <c r="C251" s="162"/>
      <c r="D251" s="148"/>
      <c r="E251" s="161"/>
      <c r="F251" s="146" t="str">
        <f>IF(E251&lt;&gt;"", SUMIF(Bets!$D:$D, E251, Bets!AB:AB), "")</f>
        <v/>
      </c>
      <c r="G251" s="162"/>
      <c r="H251" s="148"/>
      <c r="I251" s="161"/>
      <c r="J251" s="146" t="str">
        <f>IF(I251&lt;&gt;"", SUMIF(Bets!$D:$D, I251, Bets!AA:AA), "")</f>
        <v/>
      </c>
      <c r="K251" s="162"/>
      <c r="L251" s="148"/>
      <c r="M251" s="161"/>
      <c r="N251" s="146"/>
      <c r="O251" s="162"/>
      <c r="P251" s="148"/>
      <c r="Q251" s="161"/>
      <c r="R251" s="146" t="str">
        <f>IF(Q251&lt;&gt;"", SUMIF(Bets!$D:$D, Q251, Bets!AD:AD), "")</f>
        <v/>
      </c>
      <c r="S251" s="162"/>
      <c r="T251" s="148"/>
      <c r="U251" s="161"/>
      <c r="V251" s="146" t="str">
        <f>IF(U251&lt;&gt;"", SUMIF(Bets!$D:$D, U251, Bets!AE:AE), "")</f>
        <v/>
      </c>
      <c r="W251" s="162"/>
      <c r="X251" s="148"/>
      <c r="Y251" s="161"/>
      <c r="Z251" s="146" t="str">
        <f>IF(Y251&lt;&gt;"", SUMIF(Bets!$D:$D, Y251, Bets!AF:AF), "")</f>
        <v/>
      </c>
      <c r="AA251" s="162"/>
      <c r="AB251" s="148"/>
      <c r="AC251" s="161"/>
      <c r="AD251" s="146" t="str">
        <f>IF(AC251&lt;&gt;"", SUMIF(Bets!$D:$D, AC251, Bets!AG:AG), "")</f>
        <v/>
      </c>
      <c r="AE251" s="162"/>
      <c r="AF251" s="148"/>
    </row>
    <row r="252">
      <c r="A252" s="161"/>
      <c r="B252" s="146" t="str">
        <f>IF(A252&lt;&gt;"", SUMIF(Bets!$D:$D, A252, Bets!Z:Z), "")</f>
        <v/>
      </c>
      <c r="C252" s="162"/>
      <c r="D252" s="148"/>
      <c r="E252" s="161"/>
      <c r="F252" s="146" t="str">
        <f>IF(E252&lt;&gt;"", SUMIF(Bets!$D:$D, E252, Bets!AB:AB), "")</f>
        <v/>
      </c>
      <c r="G252" s="162"/>
      <c r="H252" s="148"/>
      <c r="I252" s="161"/>
      <c r="J252" s="146" t="str">
        <f>IF(I252&lt;&gt;"", SUMIF(Bets!$D:$D, I252, Bets!AA:AA), "")</f>
        <v/>
      </c>
      <c r="K252" s="162"/>
      <c r="L252" s="148"/>
      <c r="M252" s="161"/>
      <c r="N252" s="146"/>
      <c r="O252" s="162"/>
      <c r="P252" s="148"/>
      <c r="Q252" s="161"/>
      <c r="R252" s="146" t="str">
        <f>IF(Q252&lt;&gt;"", SUMIF(Bets!$D:$D, Q252, Bets!AD:AD), "")</f>
        <v/>
      </c>
      <c r="S252" s="162"/>
      <c r="T252" s="148"/>
      <c r="U252" s="161"/>
      <c r="V252" s="146" t="str">
        <f>IF(U252&lt;&gt;"", SUMIF(Bets!$D:$D, U252, Bets!AE:AE), "")</f>
        <v/>
      </c>
      <c r="W252" s="162"/>
      <c r="X252" s="148"/>
      <c r="Y252" s="161"/>
      <c r="Z252" s="146" t="str">
        <f>IF(Y252&lt;&gt;"", SUMIF(Bets!$D:$D, Y252, Bets!AF:AF), "")</f>
        <v/>
      </c>
      <c r="AA252" s="162"/>
      <c r="AB252" s="148"/>
      <c r="AC252" s="161"/>
      <c r="AD252" s="146" t="str">
        <f>IF(AC252&lt;&gt;"", SUMIF(Bets!$D:$D, AC252, Bets!AG:AG), "")</f>
        <v/>
      </c>
      <c r="AE252" s="162"/>
      <c r="AF252" s="148"/>
    </row>
    <row r="253">
      <c r="A253" s="161"/>
      <c r="B253" s="146" t="str">
        <f>IF(A253&lt;&gt;"", SUMIF(Bets!$D:$D, A253, Bets!Z:Z), "")</f>
        <v/>
      </c>
      <c r="C253" s="162"/>
      <c r="D253" s="148"/>
      <c r="E253" s="161"/>
      <c r="F253" s="146" t="str">
        <f>IF(E253&lt;&gt;"", SUMIF(Bets!$D:$D, E253, Bets!AB:AB), "")</f>
        <v/>
      </c>
      <c r="G253" s="162"/>
      <c r="H253" s="148"/>
      <c r="I253" s="161"/>
      <c r="J253" s="146" t="str">
        <f>IF(I253&lt;&gt;"", SUMIF(Bets!$D:$D, I253, Bets!AA:AA), "")</f>
        <v/>
      </c>
      <c r="K253" s="162"/>
      <c r="L253" s="148"/>
      <c r="M253" s="161"/>
      <c r="N253" s="146"/>
      <c r="O253" s="162"/>
      <c r="P253" s="148"/>
      <c r="Q253" s="161"/>
      <c r="R253" s="146" t="str">
        <f>IF(Q253&lt;&gt;"", SUMIF(Bets!$D:$D, Q253, Bets!AD:AD), "")</f>
        <v/>
      </c>
      <c r="S253" s="162"/>
      <c r="T253" s="148"/>
      <c r="U253" s="161"/>
      <c r="V253" s="146" t="str">
        <f>IF(U253&lt;&gt;"", SUMIF(Bets!$D:$D, U253, Bets!AE:AE), "")</f>
        <v/>
      </c>
      <c r="W253" s="162"/>
      <c r="X253" s="148"/>
      <c r="Y253" s="161"/>
      <c r="Z253" s="146" t="str">
        <f>IF(Y253&lt;&gt;"", SUMIF(Bets!$D:$D, Y253, Bets!AF:AF), "")</f>
        <v/>
      </c>
      <c r="AA253" s="162"/>
      <c r="AB253" s="148"/>
      <c r="AC253" s="161"/>
      <c r="AD253" s="146" t="str">
        <f>IF(AC253&lt;&gt;"", SUMIF(Bets!$D:$D, AC253, Bets!AG:AG), "")</f>
        <v/>
      </c>
      <c r="AE253" s="162"/>
      <c r="AF253" s="148"/>
    </row>
    <row r="254">
      <c r="A254" s="161"/>
      <c r="B254" s="146" t="str">
        <f>IF(A254&lt;&gt;"", SUMIF(Bets!$D:$D, A254, Bets!Z:Z), "")</f>
        <v/>
      </c>
      <c r="C254" s="162"/>
      <c r="D254" s="148"/>
      <c r="E254" s="161"/>
      <c r="F254" s="146" t="str">
        <f>IF(E254&lt;&gt;"", SUMIF(Bets!$D:$D, E254, Bets!AB:AB), "")</f>
        <v/>
      </c>
      <c r="G254" s="162"/>
      <c r="H254" s="148"/>
      <c r="I254" s="161"/>
      <c r="J254" s="146" t="str">
        <f>IF(I254&lt;&gt;"", SUMIF(Bets!$D:$D, I254, Bets!AA:AA), "")</f>
        <v/>
      </c>
      <c r="K254" s="162"/>
      <c r="L254" s="148"/>
      <c r="M254" s="161"/>
      <c r="N254" s="146"/>
      <c r="O254" s="162"/>
      <c r="P254" s="148"/>
      <c r="Q254" s="161"/>
      <c r="R254" s="146" t="str">
        <f>IF(Q254&lt;&gt;"", SUMIF(Bets!$D:$D, Q254, Bets!AD:AD), "")</f>
        <v/>
      </c>
      <c r="S254" s="162"/>
      <c r="T254" s="148"/>
      <c r="U254" s="161"/>
      <c r="V254" s="146" t="str">
        <f>IF(U254&lt;&gt;"", SUMIF(Bets!$D:$D, U254, Bets!AE:AE), "")</f>
        <v/>
      </c>
      <c r="W254" s="162"/>
      <c r="X254" s="148"/>
      <c r="Y254" s="161"/>
      <c r="Z254" s="146" t="str">
        <f>IF(Y254&lt;&gt;"", SUMIF(Bets!$D:$D, Y254, Bets!AF:AF), "")</f>
        <v/>
      </c>
      <c r="AA254" s="162"/>
      <c r="AB254" s="148"/>
      <c r="AC254" s="161"/>
      <c r="AD254" s="146" t="str">
        <f>IF(AC254&lt;&gt;"", SUMIF(Bets!$D:$D, AC254, Bets!AG:AG), "")</f>
        <v/>
      </c>
      <c r="AE254" s="162"/>
      <c r="AF254" s="148"/>
    </row>
    <row r="255">
      <c r="A255" s="161"/>
      <c r="B255" s="146" t="str">
        <f>IF(A255&lt;&gt;"", SUMIF(Bets!$D:$D, A255, Bets!Z:Z), "")</f>
        <v/>
      </c>
      <c r="C255" s="162"/>
      <c r="D255" s="148"/>
      <c r="E255" s="161"/>
      <c r="F255" s="146" t="str">
        <f>IF(E255&lt;&gt;"", SUMIF(Bets!$D:$D, E255, Bets!AB:AB), "")</f>
        <v/>
      </c>
      <c r="G255" s="162"/>
      <c r="H255" s="148"/>
      <c r="I255" s="161"/>
      <c r="J255" s="146" t="str">
        <f>IF(I255&lt;&gt;"", SUMIF(Bets!$D:$D, I255, Bets!AA:AA), "")</f>
        <v/>
      </c>
      <c r="K255" s="162"/>
      <c r="L255" s="148"/>
      <c r="M255" s="161"/>
      <c r="N255" s="146"/>
      <c r="O255" s="162"/>
      <c r="P255" s="148"/>
      <c r="Q255" s="161"/>
      <c r="R255" s="146" t="str">
        <f>IF(Q255&lt;&gt;"", SUMIF(Bets!$D:$D, Q255, Bets!AD:AD), "")</f>
        <v/>
      </c>
      <c r="S255" s="162"/>
      <c r="T255" s="148"/>
      <c r="U255" s="161"/>
      <c r="V255" s="146" t="str">
        <f>IF(U255&lt;&gt;"", SUMIF(Bets!$D:$D, U255, Bets!AE:AE), "")</f>
        <v/>
      </c>
      <c r="W255" s="162"/>
      <c r="X255" s="148"/>
      <c r="Y255" s="161"/>
      <c r="Z255" s="146" t="str">
        <f>IF(Y255&lt;&gt;"", SUMIF(Bets!$D:$D, Y255, Bets!AF:AF), "")</f>
        <v/>
      </c>
      <c r="AA255" s="162"/>
      <c r="AB255" s="148"/>
      <c r="AC255" s="161"/>
      <c r="AD255" s="146" t="str">
        <f>IF(AC255&lt;&gt;"", SUMIF(Bets!$D:$D, AC255, Bets!AG:AG), "")</f>
        <v/>
      </c>
      <c r="AE255" s="162"/>
      <c r="AF255" s="148"/>
    </row>
    <row r="256">
      <c r="A256" s="161"/>
      <c r="B256" s="146" t="str">
        <f>IF(A256&lt;&gt;"", SUMIF(Bets!$D:$D, A256, Bets!Z:Z), "")</f>
        <v/>
      </c>
      <c r="C256" s="162"/>
      <c r="D256" s="148"/>
      <c r="E256" s="161"/>
      <c r="F256" s="146" t="str">
        <f>IF(E256&lt;&gt;"", SUMIF(Bets!$D:$D, E256, Bets!AB:AB), "")</f>
        <v/>
      </c>
      <c r="G256" s="162"/>
      <c r="H256" s="148"/>
      <c r="I256" s="161"/>
      <c r="J256" s="146" t="str">
        <f>IF(I256&lt;&gt;"", SUMIF(Bets!$D:$D, I256, Bets!AA:AA), "")</f>
        <v/>
      </c>
      <c r="K256" s="162"/>
      <c r="L256" s="148"/>
      <c r="M256" s="161"/>
      <c r="N256" s="146"/>
      <c r="O256" s="162"/>
      <c r="P256" s="148"/>
      <c r="Q256" s="161"/>
      <c r="R256" s="146" t="str">
        <f>IF(Q256&lt;&gt;"", SUMIF(Bets!$D:$D, Q256, Bets!AD:AD), "")</f>
        <v/>
      </c>
      <c r="S256" s="162"/>
      <c r="T256" s="148"/>
      <c r="U256" s="161"/>
      <c r="V256" s="146" t="str">
        <f>IF(U256&lt;&gt;"", SUMIF(Bets!$D:$D, U256, Bets!AE:AE), "")</f>
        <v/>
      </c>
      <c r="W256" s="162"/>
      <c r="X256" s="148"/>
      <c r="Y256" s="161"/>
      <c r="Z256" s="146" t="str">
        <f>IF(Y256&lt;&gt;"", SUMIF(Bets!$D:$D, Y256, Bets!AF:AF), "")</f>
        <v/>
      </c>
      <c r="AA256" s="162"/>
      <c r="AB256" s="148"/>
      <c r="AC256" s="161"/>
      <c r="AD256" s="146" t="str">
        <f>IF(AC256&lt;&gt;"", SUMIF(Bets!$D:$D, AC256, Bets!AG:AG), "")</f>
        <v/>
      </c>
      <c r="AE256" s="162"/>
      <c r="AF256" s="148"/>
    </row>
    <row r="257">
      <c r="A257" s="161"/>
      <c r="B257" s="146" t="str">
        <f>IF(A257&lt;&gt;"", SUMIF(Bets!$D:$D, A257, Bets!Z:Z), "")</f>
        <v/>
      </c>
      <c r="C257" s="162"/>
      <c r="D257" s="148"/>
      <c r="E257" s="161"/>
      <c r="F257" s="146" t="str">
        <f>IF(E257&lt;&gt;"", SUMIF(Bets!$D:$D, E257, Bets!AB:AB), "")</f>
        <v/>
      </c>
      <c r="G257" s="162"/>
      <c r="H257" s="148"/>
      <c r="I257" s="161"/>
      <c r="J257" s="146" t="str">
        <f>IF(I257&lt;&gt;"", SUMIF(Bets!$D:$D, I257, Bets!AA:AA), "")</f>
        <v/>
      </c>
      <c r="K257" s="162"/>
      <c r="L257" s="148"/>
      <c r="M257" s="161"/>
      <c r="N257" s="146"/>
      <c r="O257" s="162"/>
      <c r="P257" s="148"/>
      <c r="Q257" s="161"/>
      <c r="R257" s="146" t="str">
        <f>IF(Q257&lt;&gt;"", SUMIF(Bets!$D:$D, Q257, Bets!AD:AD), "")</f>
        <v/>
      </c>
      <c r="S257" s="162"/>
      <c r="T257" s="148"/>
      <c r="U257" s="161"/>
      <c r="V257" s="146" t="str">
        <f>IF(U257&lt;&gt;"", SUMIF(Bets!$D:$D, U257, Bets!AE:AE), "")</f>
        <v/>
      </c>
      <c r="W257" s="162"/>
      <c r="X257" s="148"/>
      <c r="Y257" s="161"/>
      <c r="Z257" s="146" t="str">
        <f>IF(Y257&lt;&gt;"", SUMIF(Bets!$D:$D, Y257, Bets!AF:AF), "")</f>
        <v/>
      </c>
      <c r="AA257" s="162"/>
      <c r="AB257" s="148"/>
      <c r="AC257" s="161"/>
      <c r="AD257" s="146" t="str">
        <f>IF(AC257&lt;&gt;"", SUMIF(Bets!$D:$D, AC257, Bets!AG:AG), "")</f>
        <v/>
      </c>
      <c r="AE257" s="162"/>
      <c r="AF257" s="148"/>
    </row>
    <row r="258">
      <c r="A258" s="161"/>
      <c r="B258" s="146" t="str">
        <f>IF(A258&lt;&gt;"", SUMIF(Bets!$D:$D, A258, Bets!Z:Z), "")</f>
        <v/>
      </c>
      <c r="C258" s="162"/>
      <c r="D258" s="148"/>
      <c r="E258" s="161"/>
      <c r="F258" s="146" t="str">
        <f>IF(E258&lt;&gt;"", SUMIF(Bets!$D:$D, E258, Bets!AB:AB), "")</f>
        <v/>
      </c>
      <c r="G258" s="162"/>
      <c r="H258" s="148"/>
      <c r="I258" s="161"/>
      <c r="J258" s="146" t="str">
        <f>IF(I258&lt;&gt;"", SUMIF(Bets!$D:$D, I258, Bets!AA:AA), "")</f>
        <v/>
      </c>
      <c r="K258" s="162"/>
      <c r="L258" s="148"/>
      <c r="M258" s="161"/>
      <c r="N258" s="146"/>
      <c r="O258" s="162"/>
      <c r="P258" s="148"/>
      <c r="Q258" s="161"/>
      <c r="R258" s="146" t="str">
        <f>IF(Q258&lt;&gt;"", SUMIF(Bets!$D:$D, Q258, Bets!AD:AD), "")</f>
        <v/>
      </c>
      <c r="S258" s="162"/>
      <c r="T258" s="148"/>
      <c r="U258" s="161"/>
      <c r="V258" s="146" t="str">
        <f>IF(U258&lt;&gt;"", SUMIF(Bets!$D:$D, U258, Bets!AE:AE), "")</f>
        <v/>
      </c>
      <c r="W258" s="162"/>
      <c r="X258" s="148"/>
      <c r="Y258" s="161"/>
      <c r="Z258" s="146" t="str">
        <f>IF(Y258&lt;&gt;"", SUMIF(Bets!$D:$D, Y258, Bets!AF:AF), "")</f>
        <v/>
      </c>
      <c r="AA258" s="162"/>
      <c r="AB258" s="148"/>
      <c r="AC258" s="161"/>
      <c r="AD258" s="146" t="str">
        <f>IF(AC258&lt;&gt;"", SUMIF(Bets!$D:$D, AC258, Bets!AG:AG), "")</f>
        <v/>
      </c>
      <c r="AE258" s="162"/>
      <c r="AF258" s="148"/>
    </row>
    <row r="259">
      <c r="A259" s="161"/>
      <c r="B259" s="146" t="str">
        <f>IF(A259&lt;&gt;"", SUMIF(Bets!$D:$D, A259, Bets!Z:Z), "")</f>
        <v/>
      </c>
      <c r="C259" s="162"/>
      <c r="D259" s="148"/>
      <c r="E259" s="161"/>
      <c r="F259" s="146" t="str">
        <f>IF(E259&lt;&gt;"", SUMIF(Bets!$D:$D, E259, Bets!AB:AB), "")</f>
        <v/>
      </c>
      <c r="G259" s="162"/>
      <c r="H259" s="148"/>
      <c r="I259" s="161"/>
      <c r="J259" s="146" t="str">
        <f>IF(I259&lt;&gt;"", SUMIF(Bets!$D:$D, I259, Bets!AA:AA), "")</f>
        <v/>
      </c>
      <c r="K259" s="162"/>
      <c r="L259" s="148"/>
      <c r="M259" s="161"/>
      <c r="N259" s="146"/>
      <c r="O259" s="162"/>
      <c r="P259" s="148"/>
      <c r="Q259" s="161"/>
      <c r="R259" s="146" t="str">
        <f>IF(Q259&lt;&gt;"", SUMIF(Bets!$D:$D, Q259, Bets!AD:AD), "")</f>
        <v/>
      </c>
      <c r="S259" s="162"/>
      <c r="T259" s="148"/>
      <c r="U259" s="161"/>
      <c r="V259" s="146" t="str">
        <f>IF(U259&lt;&gt;"", SUMIF(Bets!$D:$D, U259, Bets!AE:AE), "")</f>
        <v/>
      </c>
      <c r="W259" s="162"/>
      <c r="X259" s="148"/>
      <c r="Y259" s="161"/>
      <c r="Z259" s="146" t="str">
        <f>IF(Y259&lt;&gt;"", SUMIF(Bets!$D:$D, Y259, Bets!AF:AF), "")</f>
        <v/>
      </c>
      <c r="AA259" s="162"/>
      <c r="AB259" s="148"/>
      <c r="AC259" s="161"/>
      <c r="AD259" s="146" t="str">
        <f>IF(AC259&lt;&gt;"", SUMIF(Bets!$D:$D, AC259, Bets!AG:AG), "")</f>
        <v/>
      </c>
      <c r="AE259" s="162"/>
      <c r="AF259" s="148"/>
    </row>
    <row r="260">
      <c r="A260" s="161"/>
      <c r="B260" s="146" t="str">
        <f>IF(A260&lt;&gt;"", SUMIF(Bets!$D:$D, A260, Bets!Z:Z), "")</f>
        <v/>
      </c>
      <c r="C260" s="162"/>
      <c r="D260" s="148"/>
      <c r="E260" s="161"/>
      <c r="F260" s="146" t="str">
        <f>IF(E260&lt;&gt;"", SUMIF(Bets!$D:$D, E260, Bets!AB:AB), "")</f>
        <v/>
      </c>
      <c r="G260" s="162"/>
      <c r="H260" s="148"/>
      <c r="I260" s="161"/>
      <c r="J260" s="146" t="str">
        <f>IF(I260&lt;&gt;"", SUMIF(Bets!$D:$D, I260, Bets!AA:AA), "")</f>
        <v/>
      </c>
      <c r="K260" s="162"/>
      <c r="L260" s="148"/>
      <c r="M260" s="161"/>
      <c r="N260" s="146"/>
      <c r="O260" s="162"/>
      <c r="P260" s="148"/>
      <c r="Q260" s="161"/>
      <c r="R260" s="146" t="str">
        <f>IF(Q260&lt;&gt;"", SUMIF(Bets!$D:$D, Q260, Bets!AD:AD), "")</f>
        <v/>
      </c>
      <c r="S260" s="162"/>
      <c r="T260" s="148"/>
      <c r="U260" s="161"/>
      <c r="V260" s="146" t="str">
        <f>IF(U260&lt;&gt;"", SUMIF(Bets!$D:$D, U260, Bets!AE:AE), "")</f>
        <v/>
      </c>
      <c r="W260" s="162"/>
      <c r="X260" s="148"/>
      <c r="Y260" s="161"/>
      <c r="Z260" s="146" t="str">
        <f>IF(Y260&lt;&gt;"", SUMIF(Bets!$D:$D, Y260, Bets!AF:AF), "")</f>
        <v/>
      </c>
      <c r="AA260" s="162"/>
      <c r="AB260" s="148"/>
      <c r="AC260" s="161"/>
      <c r="AD260" s="146" t="str">
        <f>IF(AC260&lt;&gt;"", SUMIF(Bets!$D:$D, AC260, Bets!AG:AG), "")</f>
        <v/>
      </c>
      <c r="AE260" s="162"/>
      <c r="AF260" s="148"/>
    </row>
    <row r="261">
      <c r="A261" s="161"/>
      <c r="B261" s="146" t="str">
        <f>IF(A261&lt;&gt;"", SUMIF(Bets!$D:$D, A261, Bets!Z:Z), "")</f>
        <v/>
      </c>
      <c r="C261" s="162"/>
      <c r="D261" s="148"/>
      <c r="E261" s="161"/>
      <c r="F261" s="146" t="str">
        <f>IF(E261&lt;&gt;"", SUMIF(Bets!$D:$D, E261, Bets!AB:AB), "")</f>
        <v/>
      </c>
      <c r="G261" s="162"/>
      <c r="H261" s="148"/>
      <c r="I261" s="161"/>
      <c r="J261" s="146" t="str">
        <f>IF(I261&lt;&gt;"", SUMIF(Bets!$D:$D, I261, Bets!AA:AA), "")</f>
        <v/>
      </c>
      <c r="K261" s="162"/>
      <c r="L261" s="148"/>
      <c r="M261" s="161"/>
      <c r="N261" s="146"/>
      <c r="O261" s="162"/>
      <c r="P261" s="148"/>
      <c r="Q261" s="161"/>
      <c r="R261" s="146" t="str">
        <f>IF(Q261&lt;&gt;"", SUMIF(Bets!$D:$D, Q261, Bets!AD:AD), "")</f>
        <v/>
      </c>
      <c r="S261" s="162"/>
      <c r="T261" s="148"/>
      <c r="U261" s="161"/>
      <c r="V261" s="146" t="str">
        <f>IF(U261&lt;&gt;"", SUMIF(Bets!$D:$D, U261, Bets!AE:AE), "")</f>
        <v/>
      </c>
      <c r="W261" s="162"/>
      <c r="X261" s="148"/>
      <c r="Y261" s="161"/>
      <c r="Z261" s="146" t="str">
        <f>IF(Y261&lt;&gt;"", SUMIF(Bets!$D:$D, Y261, Bets!AF:AF), "")</f>
        <v/>
      </c>
      <c r="AA261" s="162"/>
      <c r="AB261" s="148"/>
      <c r="AC261" s="161"/>
      <c r="AD261" s="146" t="str">
        <f>IF(AC261&lt;&gt;"", SUMIF(Bets!$D:$D, AC261, Bets!AG:AG), "")</f>
        <v/>
      </c>
      <c r="AE261" s="162"/>
      <c r="AF261" s="148"/>
    </row>
    <row r="262">
      <c r="A262" s="161"/>
      <c r="B262" s="146" t="str">
        <f>IF(A262&lt;&gt;"", SUMIF(Bets!$D:$D, A262, Bets!Z:Z), "")</f>
        <v/>
      </c>
      <c r="C262" s="162"/>
      <c r="D262" s="148"/>
      <c r="E262" s="161"/>
      <c r="F262" s="146" t="str">
        <f>IF(E262&lt;&gt;"", SUMIF(Bets!$D:$D, E262, Bets!AB:AB), "")</f>
        <v/>
      </c>
      <c r="G262" s="162"/>
      <c r="H262" s="148"/>
      <c r="I262" s="161"/>
      <c r="J262" s="146" t="str">
        <f>IF(I262&lt;&gt;"", SUMIF(Bets!$D:$D, I262, Bets!AA:AA), "")</f>
        <v/>
      </c>
      <c r="K262" s="162"/>
      <c r="L262" s="148"/>
      <c r="M262" s="161"/>
      <c r="N262" s="146"/>
      <c r="O262" s="162"/>
      <c r="P262" s="148"/>
      <c r="Q262" s="161"/>
      <c r="R262" s="146" t="str">
        <f>IF(Q262&lt;&gt;"", SUMIF(Bets!$D:$D, Q262, Bets!AD:AD), "")</f>
        <v/>
      </c>
      <c r="S262" s="162"/>
      <c r="T262" s="148"/>
      <c r="U262" s="161"/>
      <c r="V262" s="146" t="str">
        <f>IF(U262&lt;&gt;"", SUMIF(Bets!$D:$D, U262, Bets!AE:AE), "")</f>
        <v/>
      </c>
      <c r="W262" s="162"/>
      <c r="X262" s="148"/>
      <c r="Y262" s="161"/>
      <c r="Z262" s="146" t="str">
        <f>IF(Y262&lt;&gt;"", SUMIF(Bets!$D:$D, Y262, Bets!AF:AF), "")</f>
        <v/>
      </c>
      <c r="AA262" s="162"/>
      <c r="AB262" s="148"/>
      <c r="AC262" s="161"/>
      <c r="AD262" s="146" t="str">
        <f>IF(AC262&lt;&gt;"", SUMIF(Bets!$D:$D, AC262, Bets!AG:AG), "")</f>
        <v/>
      </c>
      <c r="AE262" s="162"/>
      <c r="AF262" s="148"/>
    </row>
    <row r="263">
      <c r="A263" s="161"/>
      <c r="B263" s="146" t="str">
        <f>IF(A263&lt;&gt;"", SUMIF(Bets!$D:$D, A263, Bets!Z:Z), "")</f>
        <v/>
      </c>
      <c r="C263" s="162"/>
      <c r="D263" s="148"/>
      <c r="E263" s="161"/>
      <c r="F263" s="146" t="str">
        <f>IF(E263&lt;&gt;"", SUMIF(Bets!$D:$D, E263, Bets!AB:AB), "")</f>
        <v/>
      </c>
      <c r="G263" s="162"/>
      <c r="H263" s="148"/>
      <c r="I263" s="161"/>
      <c r="J263" s="146" t="str">
        <f>IF(I263&lt;&gt;"", SUMIF(Bets!$D:$D, I263, Bets!AA:AA), "")</f>
        <v/>
      </c>
      <c r="K263" s="162"/>
      <c r="L263" s="148"/>
      <c r="M263" s="161"/>
      <c r="N263" s="146"/>
      <c r="O263" s="162"/>
      <c r="P263" s="148"/>
      <c r="Q263" s="161"/>
      <c r="R263" s="146" t="str">
        <f>IF(Q263&lt;&gt;"", SUMIF(Bets!$D:$D, Q263, Bets!AD:AD), "")</f>
        <v/>
      </c>
      <c r="S263" s="162"/>
      <c r="T263" s="148"/>
      <c r="U263" s="161"/>
      <c r="V263" s="146" t="str">
        <f>IF(U263&lt;&gt;"", SUMIF(Bets!$D:$D, U263, Bets!AE:AE), "")</f>
        <v/>
      </c>
      <c r="W263" s="162"/>
      <c r="X263" s="148"/>
      <c r="Y263" s="161"/>
      <c r="Z263" s="146" t="str">
        <f>IF(Y263&lt;&gt;"", SUMIF(Bets!$D:$D, Y263, Bets!AF:AF), "")</f>
        <v/>
      </c>
      <c r="AA263" s="162"/>
      <c r="AB263" s="148"/>
      <c r="AC263" s="161"/>
      <c r="AD263" s="146" t="str">
        <f>IF(AC263&lt;&gt;"", SUMIF(Bets!$D:$D, AC263, Bets!AG:AG), "")</f>
        <v/>
      </c>
      <c r="AE263" s="162"/>
      <c r="AF263" s="148"/>
    </row>
    <row r="264">
      <c r="A264" s="161"/>
      <c r="B264" s="146" t="str">
        <f>IF(A264&lt;&gt;"", SUMIF(Bets!$D:$D, A264, Bets!Z:Z), "")</f>
        <v/>
      </c>
      <c r="C264" s="162"/>
      <c r="D264" s="148"/>
      <c r="E264" s="161"/>
      <c r="F264" s="146" t="str">
        <f>IF(E264&lt;&gt;"", SUMIF(Bets!$D:$D, E264, Bets!AB:AB), "")</f>
        <v/>
      </c>
      <c r="G264" s="162"/>
      <c r="H264" s="148"/>
      <c r="I264" s="161"/>
      <c r="J264" s="146" t="str">
        <f>IF(I264&lt;&gt;"", SUMIF(Bets!$D:$D, I264, Bets!AA:AA), "")</f>
        <v/>
      </c>
      <c r="K264" s="162"/>
      <c r="L264" s="148"/>
      <c r="M264" s="161"/>
      <c r="N264" s="146"/>
      <c r="O264" s="162"/>
      <c r="P264" s="148"/>
      <c r="Q264" s="161"/>
      <c r="R264" s="146" t="str">
        <f>IF(Q264&lt;&gt;"", SUMIF(Bets!$D:$D, Q264, Bets!AD:AD), "")</f>
        <v/>
      </c>
      <c r="S264" s="162"/>
      <c r="T264" s="148"/>
      <c r="U264" s="161"/>
      <c r="V264" s="146" t="str">
        <f>IF(U264&lt;&gt;"", SUMIF(Bets!$D:$D, U264, Bets!AE:AE), "")</f>
        <v/>
      </c>
      <c r="W264" s="162"/>
      <c r="X264" s="148"/>
      <c r="Y264" s="161"/>
      <c r="Z264" s="146" t="str">
        <f>IF(Y264&lt;&gt;"", SUMIF(Bets!$D:$D, Y264, Bets!AF:AF), "")</f>
        <v/>
      </c>
      <c r="AA264" s="162"/>
      <c r="AB264" s="148"/>
      <c r="AC264" s="161"/>
      <c r="AD264" s="146" t="str">
        <f>IF(AC264&lt;&gt;"", SUMIF(Bets!$D:$D, AC264, Bets!AG:AG), "")</f>
        <v/>
      </c>
      <c r="AE264" s="162"/>
      <c r="AF264" s="148"/>
    </row>
    <row r="265">
      <c r="A265" s="161"/>
      <c r="B265" s="146" t="str">
        <f>IF(A265&lt;&gt;"", SUMIF(Bets!$D:$D, A265, Bets!Z:Z), "")</f>
        <v/>
      </c>
      <c r="C265" s="162"/>
      <c r="D265" s="148"/>
      <c r="E265" s="161"/>
      <c r="F265" s="146" t="str">
        <f>IF(E265&lt;&gt;"", SUMIF(Bets!$D:$D, E265, Bets!AB:AB), "")</f>
        <v/>
      </c>
      <c r="G265" s="162"/>
      <c r="H265" s="148"/>
      <c r="I265" s="161"/>
      <c r="J265" s="146" t="str">
        <f>IF(I265&lt;&gt;"", SUMIF(Bets!$D:$D, I265, Bets!AA:AA), "")</f>
        <v/>
      </c>
      <c r="K265" s="162"/>
      <c r="L265" s="148"/>
      <c r="M265" s="161"/>
      <c r="N265" s="146"/>
      <c r="O265" s="162"/>
      <c r="P265" s="148"/>
      <c r="Q265" s="161"/>
      <c r="R265" s="146" t="str">
        <f>IF(Q265&lt;&gt;"", SUMIF(Bets!$D:$D, Q265, Bets!AD:AD), "")</f>
        <v/>
      </c>
      <c r="S265" s="162"/>
      <c r="T265" s="148"/>
      <c r="U265" s="161"/>
      <c r="V265" s="146" t="str">
        <f>IF(U265&lt;&gt;"", SUMIF(Bets!$D:$D, U265, Bets!AE:AE), "")</f>
        <v/>
      </c>
      <c r="W265" s="162"/>
      <c r="X265" s="148"/>
      <c r="Y265" s="161"/>
      <c r="Z265" s="146" t="str">
        <f>IF(Y265&lt;&gt;"", SUMIF(Bets!$D:$D, Y265, Bets!AF:AF), "")</f>
        <v/>
      </c>
      <c r="AA265" s="162"/>
      <c r="AB265" s="148"/>
      <c r="AC265" s="161"/>
      <c r="AD265" s="146" t="str">
        <f>IF(AC265&lt;&gt;"", SUMIF(Bets!$D:$D, AC265, Bets!AG:AG), "")</f>
        <v/>
      </c>
      <c r="AE265" s="162"/>
      <c r="AF265" s="148"/>
    </row>
    <row r="266">
      <c r="A266" s="161"/>
      <c r="B266" s="146" t="str">
        <f>IF(A266&lt;&gt;"", SUMIF(Bets!$D:$D, A266, Bets!Z:Z), "")</f>
        <v/>
      </c>
      <c r="C266" s="162"/>
      <c r="D266" s="148"/>
      <c r="E266" s="161"/>
      <c r="F266" s="146" t="str">
        <f>IF(E266&lt;&gt;"", SUMIF(Bets!$D:$D, E266, Bets!AB:AB), "")</f>
        <v/>
      </c>
      <c r="G266" s="162"/>
      <c r="H266" s="148"/>
      <c r="I266" s="161"/>
      <c r="J266" s="146" t="str">
        <f>IF(I266&lt;&gt;"", SUMIF(Bets!$D:$D, I266, Bets!AA:AA), "")</f>
        <v/>
      </c>
      <c r="K266" s="162"/>
      <c r="L266" s="148"/>
      <c r="M266" s="161"/>
      <c r="N266" s="146"/>
      <c r="O266" s="162"/>
      <c r="P266" s="148"/>
      <c r="Q266" s="161"/>
      <c r="R266" s="146" t="str">
        <f>IF(Q266&lt;&gt;"", SUMIF(Bets!$D:$D, Q266, Bets!AD:AD), "")</f>
        <v/>
      </c>
      <c r="S266" s="162"/>
      <c r="T266" s="148"/>
      <c r="U266" s="161"/>
      <c r="V266" s="146" t="str">
        <f>IF(U266&lt;&gt;"", SUMIF(Bets!$D:$D, U266, Bets!AE:AE), "")</f>
        <v/>
      </c>
      <c r="W266" s="162"/>
      <c r="X266" s="148"/>
      <c r="Y266" s="161"/>
      <c r="Z266" s="146" t="str">
        <f>IF(Y266&lt;&gt;"", SUMIF(Bets!$D:$D, Y266, Bets!AF:AF), "")</f>
        <v/>
      </c>
      <c r="AA266" s="162"/>
      <c r="AB266" s="148"/>
      <c r="AC266" s="161"/>
      <c r="AD266" s="146" t="str">
        <f>IF(AC266&lt;&gt;"", SUMIF(Bets!$D:$D, AC266, Bets!AG:AG), "")</f>
        <v/>
      </c>
      <c r="AE266" s="162"/>
      <c r="AF266" s="148"/>
    </row>
    <row r="267">
      <c r="A267" s="161"/>
      <c r="B267" s="146" t="str">
        <f>IF(A267&lt;&gt;"", SUMIF(Bets!$D:$D, A267, Bets!Z:Z), "")</f>
        <v/>
      </c>
      <c r="C267" s="162"/>
      <c r="D267" s="148"/>
      <c r="E267" s="161"/>
      <c r="F267" s="146" t="str">
        <f>IF(E267&lt;&gt;"", SUMIF(Bets!$D:$D, E267, Bets!AB:AB), "")</f>
        <v/>
      </c>
      <c r="G267" s="162"/>
      <c r="H267" s="148"/>
      <c r="I267" s="161"/>
      <c r="J267" s="146" t="str">
        <f>IF(I267&lt;&gt;"", SUMIF(Bets!$D:$D, I267, Bets!AA:AA), "")</f>
        <v/>
      </c>
      <c r="K267" s="162"/>
      <c r="L267" s="148"/>
      <c r="M267" s="161"/>
      <c r="N267" s="146"/>
      <c r="O267" s="162"/>
      <c r="P267" s="148"/>
      <c r="Q267" s="161"/>
      <c r="R267" s="146" t="str">
        <f>IF(Q267&lt;&gt;"", SUMIF(Bets!$D:$D, Q267, Bets!AD:AD), "")</f>
        <v/>
      </c>
      <c r="S267" s="162"/>
      <c r="T267" s="148"/>
      <c r="U267" s="161"/>
      <c r="V267" s="146" t="str">
        <f>IF(U267&lt;&gt;"", SUMIF(Bets!$D:$D, U267, Bets!AE:AE), "")</f>
        <v/>
      </c>
      <c r="W267" s="162"/>
      <c r="X267" s="148"/>
      <c r="Y267" s="161"/>
      <c r="Z267" s="146" t="str">
        <f>IF(Y267&lt;&gt;"", SUMIF(Bets!$D:$D, Y267, Bets!AF:AF), "")</f>
        <v/>
      </c>
      <c r="AA267" s="162"/>
      <c r="AB267" s="148"/>
      <c r="AC267" s="161"/>
      <c r="AD267" s="146" t="str">
        <f>IF(AC267&lt;&gt;"", SUMIF(Bets!$D:$D, AC267, Bets!AG:AG), "")</f>
        <v/>
      </c>
      <c r="AE267" s="162"/>
      <c r="AF267" s="148"/>
    </row>
    <row r="268">
      <c r="A268" s="161"/>
      <c r="B268" s="146" t="str">
        <f>IF(A268&lt;&gt;"", SUMIF(Bets!$D:$D, A268, Bets!Z:Z), "")</f>
        <v/>
      </c>
      <c r="C268" s="162"/>
      <c r="D268" s="148"/>
      <c r="E268" s="161"/>
      <c r="F268" s="146" t="str">
        <f>IF(E268&lt;&gt;"", SUMIF(Bets!$D:$D, E268, Bets!AB:AB), "")</f>
        <v/>
      </c>
      <c r="G268" s="162"/>
      <c r="H268" s="148"/>
      <c r="I268" s="161"/>
      <c r="J268" s="146" t="str">
        <f>IF(I268&lt;&gt;"", SUMIF(Bets!$D:$D, I268, Bets!AA:AA), "")</f>
        <v/>
      </c>
      <c r="K268" s="162"/>
      <c r="L268" s="148"/>
      <c r="M268" s="161"/>
      <c r="N268" s="146"/>
      <c r="O268" s="162"/>
      <c r="P268" s="148"/>
      <c r="Q268" s="161"/>
      <c r="R268" s="146" t="str">
        <f>IF(Q268&lt;&gt;"", SUMIF(Bets!$D:$D, Q268, Bets!AD:AD), "")</f>
        <v/>
      </c>
      <c r="S268" s="162"/>
      <c r="T268" s="148"/>
      <c r="U268" s="161"/>
      <c r="V268" s="146" t="str">
        <f>IF(U268&lt;&gt;"", SUMIF(Bets!$D:$D, U268, Bets!AE:AE), "")</f>
        <v/>
      </c>
      <c r="W268" s="162"/>
      <c r="X268" s="148"/>
      <c r="Y268" s="161"/>
      <c r="Z268" s="146" t="str">
        <f>IF(Y268&lt;&gt;"", SUMIF(Bets!$D:$D, Y268, Bets!AF:AF), "")</f>
        <v/>
      </c>
      <c r="AA268" s="162"/>
      <c r="AB268" s="148"/>
      <c r="AC268" s="161"/>
      <c r="AD268" s="146" t="str">
        <f>IF(AC268&lt;&gt;"", SUMIF(Bets!$D:$D, AC268, Bets!AG:AG), "")</f>
        <v/>
      </c>
      <c r="AE268" s="162"/>
      <c r="AF268" s="148"/>
    </row>
    <row r="269">
      <c r="A269" s="161"/>
      <c r="B269" s="146" t="str">
        <f>IF(A269&lt;&gt;"", SUMIF(Bets!$D:$D, A269, Bets!Z:Z), "")</f>
        <v/>
      </c>
      <c r="C269" s="162"/>
      <c r="D269" s="148"/>
      <c r="E269" s="161"/>
      <c r="F269" s="146" t="str">
        <f>IF(E269&lt;&gt;"", SUMIF(Bets!$D:$D, E269, Bets!AB:AB), "")</f>
        <v/>
      </c>
      <c r="G269" s="162"/>
      <c r="H269" s="148"/>
      <c r="I269" s="161"/>
      <c r="J269" s="146" t="str">
        <f>IF(I269&lt;&gt;"", SUMIF(Bets!$D:$D, I269, Bets!AA:AA), "")</f>
        <v/>
      </c>
      <c r="K269" s="162"/>
      <c r="L269" s="148"/>
      <c r="M269" s="161"/>
      <c r="N269" s="146"/>
      <c r="O269" s="162"/>
      <c r="P269" s="148"/>
      <c r="Q269" s="161"/>
      <c r="R269" s="146" t="str">
        <f>IF(Q269&lt;&gt;"", SUMIF(Bets!$D:$D, Q269, Bets!AD:AD), "")</f>
        <v/>
      </c>
      <c r="S269" s="162"/>
      <c r="T269" s="148"/>
      <c r="U269" s="161"/>
      <c r="V269" s="146" t="str">
        <f>IF(U269&lt;&gt;"", SUMIF(Bets!$D:$D, U269, Bets!AE:AE), "")</f>
        <v/>
      </c>
      <c r="W269" s="162"/>
      <c r="X269" s="148"/>
      <c r="Y269" s="161"/>
      <c r="Z269" s="146" t="str">
        <f>IF(Y269&lt;&gt;"", SUMIF(Bets!$D:$D, Y269, Bets!AF:AF), "")</f>
        <v/>
      </c>
      <c r="AA269" s="162"/>
      <c r="AB269" s="148"/>
      <c r="AC269" s="161"/>
      <c r="AD269" s="146" t="str">
        <f>IF(AC269&lt;&gt;"", SUMIF(Bets!$D:$D, AC269, Bets!AG:AG), "")</f>
        <v/>
      </c>
      <c r="AE269" s="162"/>
      <c r="AF269" s="148"/>
    </row>
    <row r="270">
      <c r="A270" s="161"/>
      <c r="B270" s="146" t="str">
        <f>IF(A270&lt;&gt;"", SUMIF(Bets!$D:$D, A270, Bets!Z:Z), "")</f>
        <v/>
      </c>
      <c r="C270" s="162"/>
      <c r="D270" s="148"/>
      <c r="E270" s="161"/>
      <c r="F270" s="146" t="str">
        <f>IF(E270&lt;&gt;"", SUMIF(Bets!$D:$D, E270, Bets!AB:AB), "")</f>
        <v/>
      </c>
      <c r="G270" s="162"/>
      <c r="H270" s="148"/>
      <c r="I270" s="161"/>
      <c r="J270" s="146" t="str">
        <f>IF(I270&lt;&gt;"", SUMIF(Bets!$D:$D, I270, Bets!AA:AA), "")</f>
        <v/>
      </c>
      <c r="K270" s="162"/>
      <c r="L270" s="148"/>
      <c r="M270" s="161"/>
      <c r="N270" s="146"/>
      <c r="O270" s="162"/>
      <c r="P270" s="148"/>
      <c r="Q270" s="161"/>
      <c r="R270" s="146" t="str">
        <f>IF(Q270&lt;&gt;"", SUMIF(Bets!$D:$D, Q270, Bets!AD:AD), "")</f>
        <v/>
      </c>
      <c r="S270" s="162"/>
      <c r="T270" s="148"/>
      <c r="U270" s="161"/>
      <c r="V270" s="146" t="str">
        <f>IF(U270&lt;&gt;"", SUMIF(Bets!$D:$D, U270, Bets!AE:AE), "")</f>
        <v/>
      </c>
      <c r="W270" s="162"/>
      <c r="X270" s="148"/>
      <c r="Y270" s="161"/>
      <c r="Z270" s="146" t="str">
        <f>IF(Y270&lt;&gt;"", SUMIF(Bets!$D:$D, Y270, Bets!AF:AF), "")</f>
        <v/>
      </c>
      <c r="AA270" s="162"/>
      <c r="AB270" s="148"/>
      <c r="AC270" s="161"/>
      <c r="AD270" s="146" t="str">
        <f>IF(AC270&lt;&gt;"", SUMIF(Bets!$D:$D, AC270, Bets!AG:AG), "")</f>
        <v/>
      </c>
      <c r="AE270" s="162"/>
      <c r="AF270" s="148"/>
    </row>
    <row r="271">
      <c r="A271" s="161"/>
      <c r="B271" s="146" t="str">
        <f>IF(A271&lt;&gt;"", SUMIF(Bets!$D:$D, A271, Bets!Z:Z), "")</f>
        <v/>
      </c>
      <c r="C271" s="162"/>
      <c r="D271" s="148"/>
      <c r="E271" s="161"/>
      <c r="F271" s="146" t="str">
        <f>IF(E271&lt;&gt;"", SUMIF(Bets!$D:$D, E271, Bets!AB:AB), "")</f>
        <v/>
      </c>
      <c r="G271" s="162"/>
      <c r="H271" s="148"/>
      <c r="I271" s="161"/>
      <c r="J271" s="146" t="str">
        <f>IF(I271&lt;&gt;"", SUMIF(Bets!$D:$D, I271, Bets!AA:AA), "")</f>
        <v/>
      </c>
      <c r="K271" s="162"/>
      <c r="L271" s="148"/>
      <c r="M271" s="161"/>
      <c r="N271" s="146"/>
      <c r="O271" s="162"/>
      <c r="P271" s="148"/>
      <c r="Q271" s="161"/>
      <c r="R271" s="146" t="str">
        <f>IF(Q271&lt;&gt;"", SUMIF(Bets!$D:$D, Q271, Bets!AD:AD), "")</f>
        <v/>
      </c>
      <c r="S271" s="162"/>
      <c r="T271" s="148"/>
      <c r="U271" s="161"/>
      <c r="V271" s="146" t="str">
        <f>IF(U271&lt;&gt;"", SUMIF(Bets!$D:$D, U271, Bets!AE:AE), "")</f>
        <v/>
      </c>
      <c r="W271" s="162"/>
      <c r="X271" s="148"/>
      <c r="Y271" s="161"/>
      <c r="Z271" s="146" t="str">
        <f>IF(Y271&lt;&gt;"", SUMIF(Bets!$D:$D, Y271, Bets!AF:AF), "")</f>
        <v/>
      </c>
      <c r="AA271" s="162"/>
      <c r="AB271" s="148"/>
      <c r="AC271" s="161"/>
      <c r="AD271" s="146" t="str">
        <f>IF(AC271&lt;&gt;"", SUMIF(Bets!$D:$D, AC271, Bets!AG:AG), "")</f>
        <v/>
      </c>
      <c r="AE271" s="162"/>
      <c r="AF271" s="148"/>
    </row>
    <row r="272">
      <c r="A272" s="161"/>
      <c r="B272" s="146" t="str">
        <f>IF(A272&lt;&gt;"", SUMIF(Bets!$D:$D, A272, Bets!Z:Z), "")</f>
        <v/>
      </c>
      <c r="C272" s="162"/>
      <c r="D272" s="148"/>
      <c r="E272" s="161"/>
      <c r="F272" s="146" t="str">
        <f>IF(E272&lt;&gt;"", SUMIF(Bets!$D:$D, E272, Bets!AB:AB), "")</f>
        <v/>
      </c>
      <c r="G272" s="162"/>
      <c r="H272" s="148"/>
      <c r="I272" s="161"/>
      <c r="J272" s="146" t="str">
        <f>IF(I272&lt;&gt;"", SUMIF(Bets!$D:$D, I272, Bets!AA:AA), "")</f>
        <v/>
      </c>
      <c r="K272" s="162"/>
      <c r="L272" s="148"/>
      <c r="M272" s="161"/>
      <c r="N272" s="146"/>
      <c r="O272" s="162"/>
      <c r="P272" s="148"/>
      <c r="Q272" s="161"/>
      <c r="R272" s="146" t="str">
        <f>IF(Q272&lt;&gt;"", SUMIF(Bets!$D:$D, Q272, Bets!AD:AD), "")</f>
        <v/>
      </c>
      <c r="S272" s="162"/>
      <c r="T272" s="148"/>
      <c r="U272" s="161"/>
      <c r="V272" s="146" t="str">
        <f>IF(U272&lt;&gt;"", SUMIF(Bets!$D:$D, U272, Bets!AE:AE), "")</f>
        <v/>
      </c>
      <c r="W272" s="162"/>
      <c r="X272" s="148"/>
      <c r="Y272" s="161"/>
      <c r="Z272" s="146" t="str">
        <f>IF(Y272&lt;&gt;"", SUMIF(Bets!$D:$D, Y272, Bets!AF:AF), "")</f>
        <v/>
      </c>
      <c r="AA272" s="162"/>
      <c r="AB272" s="148"/>
      <c r="AC272" s="161"/>
      <c r="AD272" s="146" t="str">
        <f>IF(AC272&lt;&gt;"", SUMIF(Bets!$D:$D, AC272, Bets!AG:AG), "")</f>
        <v/>
      </c>
      <c r="AE272" s="162"/>
      <c r="AF272" s="148"/>
    </row>
    <row r="273">
      <c r="A273" s="161"/>
      <c r="B273" s="146" t="str">
        <f>IF(A273&lt;&gt;"", SUMIF(Bets!$D:$D, A273, Bets!Z:Z), "")</f>
        <v/>
      </c>
      <c r="C273" s="162"/>
      <c r="D273" s="148"/>
      <c r="E273" s="161"/>
      <c r="F273" s="146" t="str">
        <f>IF(E273&lt;&gt;"", SUMIF(Bets!$D:$D, E273, Bets!AB:AB), "")</f>
        <v/>
      </c>
      <c r="G273" s="162"/>
      <c r="H273" s="148"/>
      <c r="I273" s="161"/>
      <c r="J273" s="146" t="str">
        <f>IF(I273&lt;&gt;"", SUMIF(Bets!$D:$D, I273, Bets!AA:AA), "")</f>
        <v/>
      </c>
      <c r="K273" s="162"/>
      <c r="L273" s="148"/>
      <c r="M273" s="161"/>
      <c r="N273" s="146"/>
      <c r="O273" s="162"/>
      <c r="P273" s="148"/>
      <c r="Q273" s="161"/>
      <c r="R273" s="146" t="str">
        <f>IF(Q273&lt;&gt;"", SUMIF(Bets!$D:$D, Q273, Bets!AD:AD), "")</f>
        <v/>
      </c>
      <c r="S273" s="162"/>
      <c r="T273" s="148"/>
      <c r="U273" s="161"/>
      <c r="V273" s="146" t="str">
        <f>IF(U273&lt;&gt;"", SUMIF(Bets!$D:$D, U273, Bets!AE:AE), "")</f>
        <v/>
      </c>
      <c r="W273" s="162"/>
      <c r="X273" s="148"/>
      <c r="Y273" s="161"/>
      <c r="Z273" s="146" t="str">
        <f>IF(Y273&lt;&gt;"", SUMIF(Bets!$D:$D, Y273, Bets!AF:AF), "")</f>
        <v/>
      </c>
      <c r="AA273" s="162"/>
      <c r="AB273" s="148"/>
      <c r="AC273" s="161"/>
      <c r="AD273" s="146" t="str">
        <f>IF(AC273&lt;&gt;"", SUMIF(Bets!$D:$D, AC273, Bets!AG:AG), "")</f>
        <v/>
      </c>
      <c r="AE273" s="162"/>
      <c r="AF273" s="148"/>
    </row>
    <row r="274">
      <c r="A274" s="161"/>
      <c r="B274" s="146" t="str">
        <f>IF(A274&lt;&gt;"", SUMIF(Bets!$D:$D, A274, Bets!Z:Z), "")</f>
        <v/>
      </c>
      <c r="C274" s="162"/>
      <c r="D274" s="148"/>
      <c r="E274" s="161"/>
      <c r="F274" s="146" t="str">
        <f>IF(E274&lt;&gt;"", SUMIF(Bets!$D:$D, E274, Bets!AB:AB), "")</f>
        <v/>
      </c>
      <c r="G274" s="162"/>
      <c r="H274" s="148"/>
      <c r="I274" s="161"/>
      <c r="J274" s="146" t="str">
        <f>IF(I274&lt;&gt;"", SUMIF(Bets!$D:$D, I274, Bets!AA:AA), "")</f>
        <v/>
      </c>
      <c r="K274" s="162"/>
      <c r="L274" s="148"/>
      <c r="M274" s="161"/>
      <c r="N274" s="146"/>
      <c r="O274" s="162"/>
      <c r="P274" s="148"/>
      <c r="Q274" s="161"/>
      <c r="R274" s="146" t="str">
        <f>IF(Q274&lt;&gt;"", SUMIF(Bets!$D:$D, Q274, Bets!AD:AD), "")</f>
        <v/>
      </c>
      <c r="S274" s="162"/>
      <c r="T274" s="148"/>
      <c r="U274" s="161"/>
      <c r="V274" s="146" t="str">
        <f>IF(U274&lt;&gt;"", SUMIF(Bets!$D:$D, U274, Bets!AE:AE), "")</f>
        <v/>
      </c>
      <c r="W274" s="162"/>
      <c r="X274" s="148"/>
      <c r="Y274" s="161"/>
      <c r="Z274" s="146" t="str">
        <f>IF(Y274&lt;&gt;"", SUMIF(Bets!$D:$D, Y274, Bets!AF:AF), "")</f>
        <v/>
      </c>
      <c r="AA274" s="162"/>
      <c r="AB274" s="148"/>
      <c r="AC274" s="161"/>
      <c r="AD274" s="146" t="str">
        <f>IF(AC274&lt;&gt;"", SUMIF(Bets!$D:$D, AC274, Bets!AG:AG), "")</f>
        <v/>
      </c>
      <c r="AE274" s="162"/>
      <c r="AF274" s="148"/>
    </row>
    <row r="275">
      <c r="A275" s="161"/>
      <c r="B275" s="146" t="str">
        <f>IF(A275&lt;&gt;"", SUMIF(Bets!$D:$D, A275, Bets!Z:Z), "")</f>
        <v/>
      </c>
      <c r="C275" s="162"/>
      <c r="D275" s="148"/>
      <c r="E275" s="161"/>
      <c r="F275" s="146" t="str">
        <f>IF(E275&lt;&gt;"", SUMIF(Bets!$D:$D, E275, Bets!AB:AB), "")</f>
        <v/>
      </c>
      <c r="G275" s="162"/>
      <c r="H275" s="148"/>
      <c r="I275" s="161"/>
      <c r="J275" s="146" t="str">
        <f>IF(I275&lt;&gt;"", SUMIF(Bets!$D:$D, I275, Bets!AA:AA), "")</f>
        <v/>
      </c>
      <c r="K275" s="162"/>
      <c r="L275" s="148"/>
      <c r="M275" s="161"/>
      <c r="N275" s="146"/>
      <c r="O275" s="162"/>
      <c r="P275" s="148"/>
      <c r="Q275" s="161"/>
      <c r="R275" s="146" t="str">
        <f>IF(Q275&lt;&gt;"", SUMIF(Bets!$D:$D, Q275, Bets!AD:AD), "")</f>
        <v/>
      </c>
      <c r="S275" s="162"/>
      <c r="T275" s="148"/>
      <c r="U275" s="161"/>
      <c r="V275" s="146" t="str">
        <f>IF(U275&lt;&gt;"", SUMIF(Bets!$D:$D, U275, Bets!AE:AE), "")</f>
        <v/>
      </c>
      <c r="W275" s="162"/>
      <c r="X275" s="148"/>
      <c r="Y275" s="161"/>
      <c r="Z275" s="146" t="str">
        <f>IF(Y275&lt;&gt;"", SUMIF(Bets!$D:$D, Y275, Bets!AF:AF), "")</f>
        <v/>
      </c>
      <c r="AA275" s="162"/>
      <c r="AB275" s="148"/>
      <c r="AC275" s="161"/>
      <c r="AD275" s="146" t="str">
        <f>IF(AC275&lt;&gt;"", SUMIF(Bets!$D:$D, AC275, Bets!AG:AG), "")</f>
        <v/>
      </c>
      <c r="AE275" s="162"/>
      <c r="AF275" s="148"/>
    </row>
    <row r="276">
      <c r="A276" s="161"/>
      <c r="B276" s="146" t="str">
        <f>IF(A276&lt;&gt;"", SUMIF(Bets!$D:$D, A276, Bets!Z:Z), "")</f>
        <v/>
      </c>
      <c r="C276" s="162"/>
      <c r="D276" s="148"/>
      <c r="E276" s="161"/>
      <c r="F276" s="146" t="str">
        <f>IF(E276&lt;&gt;"", SUMIF(Bets!$D:$D, E276, Bets!AB:AB), "")</f>
        <v/>
      </c>
      <c r="G276" s="162"/>
      <c r="H276" s="148"/>
      <c r="I276" s="161"/>
      <c r="J276" s="146" t="str">
        <f>IF(I276&lt;&gt;"", SUMIF(Bets!$D:$D, I276, Bets!AA:AA), "")</f>
        <v/>
      </c>
      <c r="K276" s="162"/>
      <c r="L276" s="148"/>
      <c r="M276" s="161"/>
      <c r="N276" s="146"/>
      <c r="O276" s="162"/>
      <c r="P276" s="148"/>
      <c r="Q276" s="161"/>
      <c r="R276" s="146" t="str">
        <f>IF(Q276&lt;&gt;"", SUMIF(Bets!$D:$D, Q276, Bets!AD:AD), "")</f>
        <v/>
      </c>
      <c r="S276" s="162"/>
      <c r="T276" s="148"/>
      <c r="U276" s="161"/>
      <c r="V276" s="146" t="str">
        <f>IF(U276&lt;&gt;"", SUMIF(Bets!$D:$D, U276, Bets!AE:AE), "")</f>
        <v/>
      </c>
      <c r="W276" s="162"/>
      <c r="X276" s="148"/>
      <c r="Y276" s="161"/>
      <c r="Z276" s="146" t="str">
        <f>IF(Y276&lt;&gt;"", SUMIF(Bets!$D:$D, Y276, Bets!AF:AF), "")</f>
        <v/>
      </c>
      <c r="AA276" s="162"/>
      <c r="AB276" s="148"/>
      <c r="AC276" s="161"/>
      <c r="AD276" s="146" t="str">
        <f>IF(AC276&lt;&gt;"", SUMIF(Bets!$D:$D, AC276, Bets!AG:AG), "")</f>
        <v/>
      </c>
      <c r="AE276" s="162"/>
      <c r="AF276" s="148"/>
    </row>
    <row r="277">
      <c r="A277" s="161"/>
      <c r="B277" s="146" t="str">
        <f>IF(A277&lt;&gt;"", SUMIF(Bets!$D:$D, A277, Bets!Z:Z), "")</f>
        <v/>
      </c>
      <c r="C277" s="162"/>
      <c r="D277" s="148"/>
      <c r="E277" s="161"/>
      <c r="F277" s="146" t="str">
        <f>IF(E277&lt;&gt;"", SUMIF(Bets!$D:$D, E277, Bets!AB:AB), "")</f>
        <v/>
      </c>
      <c r="G277" s="162"/>
      <c r="H277" s="148"/>
      <c r="I277" s="161"/>
      <c r="J277" s="146" t="str">
        <f>IF(I277&lt;&gt;"", SUMIF(Bets!$D:$D, I277, Bets!AA:AA), "")</f>
        <v/>
      </c>
      <c r="K277" s="162"/>
      <c r="L277" s="148"/>
      <c r="M277" s="161"/>
      <c r="N277" s="146"/>
      <c r="O277" s="162"/>
      <c r="P277" s="148"/>
      <c r="Q277" s="161"/>
      <c r="R277" s="146" t="str">
        <f>IF(Q277&lt;&gt;"", SUMIF(Bets!$D:$D, Q277, Bets!AD:AD), "")</f>
        <v/>
      </c>
      <c r="S277" s="162"/>
      <c r="T277" s="148"/>
      <c r="U277" s="161"/>
      <c r="V277" s="146" t="str">
        <f>IF(U277&lt;&gt;"", SUMIF(Bets!$D:$D, U277, Bets!AE:AE), "")</f>
        <v/>
      </c>
      <c r="W277" s="162"/>
      <c r="X277" s="148"/>
      <c r="Y277" s="161"/>
      <c r="Z277" s="146" t="str">
        <f>IF(Y277&lt;&gt;"", SUMIF(Bets!$D:$D, Y277, Bets!AF:AF), "")</f>
        <v/>
      </c>
      <c r="AA277" s="162"/>
      <c r="AB277" s="148"/>
      <c r="AC277" s="161"/>
      <c r="AD277" s="146" t="str">
        <f>IF(AC277&lt;&gt;"", SUMIF(Bets!$D:$D, AC277, Bets!AG:AG), "")</f>
        <v/>
      </c>
      <c r="AE277" s="162"/>
      <c r="AF277" s="148"/>
    </row>
    <row r="278">
      <c r="A278" s="161"/>
      <c r="B278" s="146" t="str">
        <f>IF(A278&lt;&gt;"", SUMIF(Bets!$D:$D, A278, Bets!Z:Z), "")</f>
        <v/>
      </c>
      <c r="C278" s="162"/>
      <c r="D278" s="148"/>
      <c r="E278" s="161"/>
      <c r="F278" s="146" t="str">
        <f>IF(E278&lt;&gt;"", SUMIF(Bets!$D:$D, E278, Bets!AB:AB), "")</f>
        <v/>
      </c>
      <c r="G278" s="162"/>
      <c r="H278" s="148"/>
      <c r="I278" s="161"/>
      <c r="J278" s="146" t="str">
        <f>IF(I278&lt;&gt;"", SUMIF(Bets!$D:$D, I278, Bets!AA:AA), "")</f>
        <v/>
      </c>
      <c r="K278" s="162"/>
      <c r="L278" s="148"/>
      <c r="M278" s="161"/>
      <c r="N278" s="146"/>
      <c r="O278" s="162"/>
      <c r="P278" s="148"/>
      <c r="Q278" s="161"/>
      <c r="R278" s="146" t="str">
        <f>IF(Q278&lt;&gt;"", SUMIF(Bets!$D:$D, Q278, Bets!AD:AD), "")</f>
        <v/>
      </c>
      <c r="S278" s="162"/>
      <c r="T278" s="148"/>
      <c r="U278" s="161"/>
      <c r="V278" s="146" t="str">
        <f>IF(U278&lt;&gt;"", SUMIF(Bets!$D:$D, U278, Bets!AE:AE), "")</f>
        <v/>
      </c>
      <c r="W278" s="162"/>
      <c r="X278" s="148"/>
      <c r="Y278" s="161"/>
      <c r="Z278" s="146" t="str">
        <f>IF(Y278&lt;&gt;"", SUMIF(Bets!$D:$D, Y278, Bets!AF:AF), "")</f>
        <v/>
      </c>
      <c r="AA278" s="162"/>
      <c r="AB278" s="148"/>
      <c r="AC278" s="161"/>
      <c r="AD278" s="146" t="str">
        <f>IF(AC278&lt;&gt;"", SUMIF(Bets!$D:$D, AC278, Bets!AG:AG), "")</f>
        <v/>
      </c>
      <c r="AE278" s="162"/>
      <c r="AF278" s="148"/>
    </row>
    <row r="279">
      <c r="A279" s="161"/>
      <c r="B279" s="146" t="str">
        <f>IF(A279&lt;&gt;"", SUMIF(Bets!$D:$D, A279, Bets!Z:Z), "")</f>
        <v/>
      </c>
      <c r="C279" s="162"/>
      <c r="D279" s="148"/>
      <c r="E279" s="161"/>
      <c r="F279" s="146" t="str">
        <f>IF(E279&lt;&gt;"", SUMIF(Bets!$D:$D, E279, Bets!AB:AB), "")</f>
        <v/>
      </c>
      <c r="G279" s="162"/>
      <c r="H279" s="148"/>
      <c r="I279" s="161"/>
      <c r="J279" s="146" t="str">
        <f>IF(I279&lt;&gt;"", SUMIF(Bets!$D:$D, I279, Bets!AA:AA), "")</f>
        <v/>
      </c>
      <c r="K279" s="162"/>
      <c r="L279" s="148"/>
      <c r="M279" s="161"/>
      <c r="N279" s="146"/>
      <c r="O279" s="162"/>
      <c r="P279" s="148"/>
      <c r="Q279" s="161"/>
      <c r="R279" s="146" t="str">
        <f>IF(Q279&lt;&gt;"", SUMIF(Bets!$D:$D, Q279, Bets!AD:AD), "")</f>
        <v/>
      </c>
      <c r="S279" s="162"/>
      <c r="T279" s="148"/>
      <c r="U279" s="161"/>
      <c r="V279" s="146" t="str">
        <f>IF(U279&lt;&gt;"", SUMIF(Bets!$D:$D, U279, Bets!AE:AE), "")</f>
        <v/>
      </c>
      <c r="W279" s="162"/>
      <c r="X279" s="148"/>
      <c r="Y279" s="161"/>
      <c r="Z279" s="146" t="str">
        <f>IF(Y279&lt;&gt;"", SUMIF(Bets!$D:$D, Y279, Bets!AF:AF), "")</f>
        <v/>
      </c>
      <c r="AA279" s="162"/>
      <c r="AB279" s="148"/>
      <c r="AC279" s="161"/>
      <c r="AD279" s="146" t="str">
        <f>IF(AC279&lt;&gt;"", SUMIF(Bets!$D:$D, AC279, Bets!AG:AG), "")</f>
        <v/>
      </c>
      <c r="AE279" s="162"/>
      <c r="AF279" s="148"/>
    </row>
    <row r="280">
      <c r="A280" s="161"/>
      <c r="B280" s="146" t="str">
        <f>IF(A280&lt;&gt;"", SUMIF(Bets!$D:$D, A280, Bets!Z:Z), "")</f>
        <v/>
      </c>
      <c r="C280" s="162"/>
      <c r="D280" s="148"/>
      <c r="E280" s="161"/>
      <c r="F280" s="146" t="str">
        <f>IF(E280&lt;&gt;"", SUMIF(Bets!$D:$D, E280, Bets!AB:AB), "")</f>
        <v/>
      </c>
      <c r="G280" s="162"/>
      <c r="H280" s="148"/>
      <c r="I280" s="161"/>
      <c r="J280" s="146" t="str">
        <f>IF(I280&lt;&gt;"", SUMIF(Bets!$D:$D, I280, Bets!AA:AA), "")</f>
        <v/>
      </c>
      <c r="K280" s="162"/>
      <c r="L280" s="148"/>
      <c r="M280" s="161"/>
      <c r="N280" s="146"/>
      <c r="O280" s="162"/>
      <c r="P280" s="148"/>
      <c r="Q280" s="161"/>
      <c r="R280" s="146" t="str">
        <f>IF(Q280&lt;&gt;"", SUMIF(Bets!$D:$D, Q280, Bets!AD:AD), "")</f>
        <v/>
      </c>
      <c r="S280" s="162"/>
      <c r="T280" s="148"/>
      <c r="U280" s="161"/>
      <c r="V280" s="146" t="str">
        <f>IF(U280&lt;&gt;"", SUMIF(Bets!$D:$D, U280, Bets!AE:AE), "")</f>
        <v/>
      </c>
      <c r="W280" s="162"/>
      <c r="X280" s="148"/>
      <c r="Y280" s="161"/>
      <c r="Z280" s="146" t="str">
        <f>IF(Y280&lt;&gt;"", SUMIF(Bets!$D:$D, Y280, Bets!AF:AF), "")</f>
        <v/>
      </c>
      <c r="AA280" s="162"/>
      <c r="AB280" s="148"/>
      <c r="AC280" s="161"/>
      <c r="AD280" s="146" t="str">
        <f>IF(AC280&lt;&gt;"", SUMIF(Bets!$D:$D, AC280, Bets!AG:AG), "")</f>
        <v/>
      </c>
      <c r="AE280" s="162"/>
      <c r="AF280" s="148"/>
    </row>
    <row r="281">
      <c r="A281" s="161"/>
      <c r="B281" s="146" t="str">
        <f>IF(A281&lt;&gt;"", SUMIF(Bets!$D:$D, A281, Bets!Z:Z), "")</f>
        <v/>
      </c>
      <c r="C281" s="162"/>
      <c r="D281" s="148"/>
      <c r="E281" s="161"/>
      <c r="F281" s="146" t="str">
        <f>IF(E281&lt;&gt;"", SUMIF(Bets!$D:$D, E281, Bets!AB:AB), "")</f>
        <v/>
      </c>
      <c r="G281" s="162"/>
      <c r="H281" s="148"/>
      <c r="I281" s="161"/>
      <c r="J281" s="146" t="str">
        <f>IF(I281&lt;&gt;"", SUMIF(Bets!$D:$D, I281, Bets!AA:AA), "")</f>
        <v/>
      </c>
      <c r="K281" s="162"/>
      <c r="L281" s="148"/>
      <c r="M281" s="161"/>
      <c r="N281" s="146"/>
      <c r="O281" s="162"/>
      <c r="P281" s="148"/>
      <c r="Q281" s="161"/>
      <c r="R281" s="146" t="str">
        <f>IF(Q281&lt;&gt;"", SUMIF(Bets!$D:$D, Q281, Bets!AD:AD), "")</f>
        <v/>
      </c>
      <c r="S281" s="162"/>
      <c r="T281" s="148"/>
      <c r="U281" s="161"/>
      <c r="V281" s="146" t="str">
        <f>IF(U281&lt;&gt;"", SUMIF(Bets!$D:$D, U281, Bets!AE:AE), "")</f>
        <v/>
      </c>
      <c r="W281" s="162"/>
      <c r="X281" s="148"/>
      <c r="Y281" s="161"/>
      <c r="Z281" s="146" t="str">
        <f>IF(Y281&lt;&gt;"", SUMIF(Bets!$D:$D, Y281, Bets!AF:AF), "")</f>
        <v/>
      </c>
      <c r="AA281" s="162"/>
      <c r="AB281" s="148"/>
      <c r="AC281" s="161"/>
      <c r="AD281" s="146" t="str">
        <f>IF(AC281&lt;&gt;"", SUMIF(Bets!$D:$D, AC281, Bets!AG:AG), "")</f>
        <v/>
      </c>
      <c r="AE281" s="162"/>
      <c r="AF281" s="148"/>
    </row>
    <row r="282">
      <c r="A282" s="161"/>
      <c r="B282" s="146" t="str">
        <f>IF(A282&lt;&gt;"", SUMIF(Bets!$D:$D, A282, Bets!Z:Z), "")</f>
        <v/>
      </c>
      <c r="C282" s="162"/>
      <c r="D282" s="148"/>
      <c r="E282" s="161"/>
      <c r="F282" s="146" t="str">
        <f>IF(E282&lt;&gt;"", SUMIF(Bets!$D:$D, E282, Bets!AB:AB), "")</f>
        <v/>
      </c>
      <c r="G282" s="162"/>
      <c r="H282" s="148"/>
      <c r="I282" s="161"/>
      <c r="J282" s="146" t="str">
        <f>IF(I282&lt;&gt;"", SUMIF(Bets!$D:$D, I282, Bets!AA:AA), "")</f>
        <v/>
      </c>
      <c r="K282" s="162"/>
      <c r="L282" s="148"/>
      <c r="M282" s="161"/>
      <c r="N282" s="146"/>
      <c r="O282" s="162"/>
      <c r="P282" s="148"/>
      <c r="Q282" s="161"/>
      <c r="R282" s="146" t="str">
        <f>IF(Q282&lt;&gt;"", SUMIF(Bets!$D:$D, Q282, Bets!AD:AD), "")</f>
        <v/>
      </c>
      <c r="S282" s="162"/>
      <c r="T282" s="148"/>
      <c r="U282" s="161"/>
      <c r="V282" s="146" t="str">
        <f>IF(U282&lt;&gt;"", SUMIF(Bets!$D:$D, U282, Bets!AE:AE), "")</f>
        <v/>
      </c>
      <c r="W282" s="162"/>
      <c r="X282" s="148"/>
      <c r="Y282" s="161"/>
      <c r="Z282" s="146" t="str">
        <f>IF(Y282&lt;&gt;"", SUMIF(Bets!$D:$D, Y282, Bets!AF:AF), "")</f>
        <v/>
      </c>
      <c r="AA282" s="162"/>
      <c r="AB282" s="148"/>
      <c r="AC282" s="161"/>
      <c r="AD282" s="146" t="str">
        <f>IF(AC282&lt;&gt;"", SUMIF(Bets!$D:$D, AC282, Bets!AG:AG), "")</f>
        <v/>
      </c>
      <c r="AE282" s="162"/>
      <c r="AF282" s="148"/>
    </row>
    <row r="283">
      <c r="A283" s="161"/>
      <c r="B283" s="146" t="str">
        <f>IF(A283&lt;&gt;"", SUMIF(Bets!$D:$D, A283, Bets!Z:Z), "")</f>
        <v/>
      </c>
      <c r="C283" s="162"/>
      <c r="D283" s="148"/>
      <c r="E283" s="161"/>
      <c r="F283" s="146" t="str">
        <f>IF(E283&lt;&gt;"", SUMIF(Bets!$D:$D, E283, Bets!AB:AB), "")</f>
        <v/>
      </c>
      <c r="G283" s="162"/>
      <c r="H283" s="148"/>
      <c r="I283" s="161"/>
      <c r="J283" s="146" t="str">
        <f>IF(I283&lt;&gt;"", SUMIF(Bets!$D:$D, I283, Bets!AA:AA), "")</f>
        <v/>
      </c>
      <c r="K283" s="162"/>
      <c r="L283" s="148"/>
      <c r="M283" s="161"/>
      <c r="N283" s="146"/>
      <c r="O283" s="162"/>
      <c r="P283" s="148"/>
      <c r="Q283" s="161"/>
      <c r="R283" s="146" t="str">
        <f>IF(Q283&lt;&gt;"", SUMIF(Bets!$D:$D, Q283, Bets!AD:AD), "")</f>
        <v/>
      </c>
      <c r="S283" s="162"/>
      <c r="T283" s="148"/>
      <c r="U283" s="161"/>
      <c r="V283" s="146" t="str">
        <f>IF(U283&lt;&gt;"", SUMIF(Bets!$D:$D, U283, Bets!AE:AE), "")</f>
        <v/>
      </c>
      <c r="W283" s="162"/>
      <c r="X283" s="148"/>
      <c r="Y283" s="161"/>
      <c r="Z283" s="146" t="str">
        <f>IF(Y283&lt;&gt;"", SUMIF(Bets!$D:$D, Y283, Bets!AF:AF), "")</f>
        <v/>
      </c>
      <c r="AA283" s="162"/>
      <c r="AB283" s="148"/>
      <c r="AC283" s="161"/>
      <c r="AD283" s="146" t="str">
        <f>IF(AC283&lt;&gt;"", SUMIF(Bets!$D:$D, AC283, Bets!AG:AG), "")</f>
        <v/>
      </c>
      <c r="AE283" s="162"/>
      <c r="AF283" s="148"/>
    </row>
    <row r="284">
      <c r="A284" s="161"/>
      <c r="B284" s="146" t="str">
        <f>IF(A284&lt;&gt;"", SUMIF(Bets!$D:$D, A284, Bets!Z:Z), "")</f>
        <v/>
      </c>
      <c r="C284" s="162"/>
      <c r="D284" s="148"/>
      <c r="E284" s="161"/>
      <c r="F284" s="146" t="str">
        <f>IF(E284&lt;&gt;"", SUMIF(Bets!$D:$D, E284, Bets!AB:AB), "")</f>
        <v/>
      </c>
      <c r="G284" s="162"/>
      <c r="H284" s="148"/>
      <c r="I284" s="161"/>
      <c r="J284" s="146" t="str">
        <f>IF(I284&lt;&gt;"", SUMIF(Bets!$D:$D, I284, Bets!AA:AA), "")</f>
        <v/>
      </c>
      <c r="K284" s="162"/>
      <c r="L284" s="148"/>
      <c r="M284" s="161"/>
      <c r="N284" s="146"/>
      <c r="O284" s="162"/>
      <c r="P284" s="148"/>
      <c r="Q284" s="161"/>
      <c r="R284" s="146" t="str">
        <f>IF(Q284&lt;&gt;"", SUMIF(Bets!$D:$D, Q284, Bets!AD:AD), "")</f>
        <v/>
      </c>
      <c r="S284" s="162"/>
      <c r="T284" s="148"/>
      <c r="U284" s="161"/>
      <c r="V284" s="146" t="str">
        <f>IF(U284&lt;&gt;"", SUMIF(Bets!$D:$D, U284, Bets!AE:AE), "")</f>
        <v/>
      </c>
      <c r="W284" s="162"/>
      <c r="X284" s="148"/>
      <c r="Y284" s="161"/>
      <c r="Z284" s="146" t="str">
        <f>IF(Y284&lt;&gt;"", SUMIF(Bets!$D:$D, Y284, Bets!AF:AF), "")</f>
        <v/>
      </c>
      <c r="AA284" s="162"/>
      <c r="AB284" s="148"/>
      <c r="AC284" s="161"/>
      <c r="AD284" s="146" t="str">
        <f>IF(AC284&lt;&gt;"", SUMIF(Bets!$D:$D, AC284, Bets!AG:AG), "")</f>
        <v/>
      </c>
      <c r="AE284" s="162"/>
      <c r="AF284" s="148"/>
    </row>
    <row r="285">
      <c r="A285" s="161"/>
      <c r="B285" s="146" t="str">
        <f>IF(A285&lt;&gt;"", SUMIF(Bets!$D:$D, A285, Bets!Z:Z), "")</f>
        <v/>
      </c>
      <c r="C285" s="162"/>
      <c r="D285" s="148"/>
      <c r="E285" s="161"/>
      <c r="F285" s="146" t="str">
        <f>IF(E285&lt;&gt;"", SUMIF(Bets!$D:$D, E285, Bets!AB:AB), "")</f>
        <v/>
      </c>
      <c r="G285" s="162"/>
      <c r="H285" s="148"/>
      <c r="I285" s="161"/>
      <c r="J285" s="146" t="str">
        <f>IF(I285&lt;&gt;"", SUMIF(Bets!$D:$D, I285, Bets!AA:AA), "")</f>
        <v/>
      </c>
      <c r="K285" s="162"/>
      <c r="L285" s="148"/>
      <c r="M285" s="161"/>
      <c r="N285" s="146"/>
      <c r="O285" s="162"/>
      <c r="P285" s="148"/>
      <c r="Q285" s="161"/>
      <c r="R285" s="146" t="str">
        <f>IF(Q285&lt;&gt;"", SUMIF(Bets!$D:$D, Q285, Bets!AD:AD), "")</f>
        <v/>
      </c>
      <c r="S285" s="162"/>
      <c r="T285" s="148"/>
      <c r="U285" s="161"/>
      <c r="V285" s="146" t="str">
        <f>IF(U285&lt;&gt;"", SUMIF(Bets!$D:$D, U285, Bets!AE:AE), "")</f>
        <v/>
      </c>
      <c r="W285" s="162"/>
      <c r="X285" s="148"/>
      <c r="Y285" s="161"/>
      <c r="Z285" s="146" t="str">
        <f>IF(Y285&lt;&gt;"", SUMIF(Bets!$D:$D, Y285, Bets!AF:AF), "")</f>
        <v/>
      </c>
      <c r="AA285" s="162"/>
      <c r="AB285" s="148"/>
      <c r="AC285" s="161"/>
      <c r="AD285" s="146" t="str">
        <f>IF(AC285&lt;&gt;"", SUMIF(Bets!$D:$D, AC285, Bets!AG:AG), "")</f>
        <v/>
      </c>
      <c r="AE285" s="162"/>
      <c r="AF285" s="148"/>
    </row>
    <row r="286">
      <c r="A286" s="161"/>
      <c r="B286" s="146" t="str">
        <f>IF(A286&lt;&gt;"", SUMIF(Bets!$D:$D, A286, Bets!Z:Z), "")</f>
        <v/>
      </c>
      <c r="C286" s="162"/>
      <c r="D286" s="148"/>
      <c r="E286" s="161"/>
      <c r="F286" s="146" t="str">
        <f>IF(E286&lt;&gt;"", SUMIF(Bets!$D:$D, E286, Bets!AB:AB), "")</f>
        <v/>
      </c>
      <c r="G286" s="162"/>
      <c r="H286" s="148"/>
      <c r="I286" s="161"/>
      <c r="J286" s="146" t="str">
        <f>IF(I286&lt;&gt;"", SUMIF(Bets!$D:$D, I286, Bets!AA:AA), "")</f>
        <v/>
      </c>
      <c r="K286" s="162"/>
      <c r="L286" s="148"/>
      <c r="M286" s="161"/>
      <c r="N286" s="146"/>
      <c r="O286" s="162"/>
      <c r="P286" s="148"/>
      <c r="Q286" s="161"/>
      <c r="R286" s="146" t="str">
        <f>IF(Q286&lt;&gt;"", SUMIF(Bets!$D:$D, Q286, Bets!AD:AD), "")</f>
        <v/>
      </c>
      <c r="S286" s="162"/>
      <c r="T286" s="148"/>
      <c r="U286" s="161"/>
      <c r="V286" s="146" t="str">
        <f>IF(U286&lt;&gt;"", SUMIF(Bets!$D:$D, U286, Bets!AE:AE), "")</f>
        <v/>
      </c>
      <c r="W286" s="162"/>
      <c r="X286" s="148"/>
      <c r="Y286" s="161"/>
      <c r="Z286" s="146" t="str">
        <f>IF(Y286&lt;&gt;"", SUMIF(Bets!$D:$D, Y286, Bets!AF:AF), "")</f>
        <v/>
      </c>
      <c r="AA286" s="162"/>
      <c r="AB286" s="148"/>
      <c r="AC286" s="161"/>
      <c r="AD286" s="146" t="str">
        <f>IF(AC286&lt;&gt;"", SUMIF(Bets!$D:$D, AC286, Bets!AG:AG), "")</f>
        <v/>
      </c>
      <c r="AE286" s="162"/>
      <c r="AF286" s="148"/>
    </row>
    <row r="287">
      <c r="A287" s="161"/>
      <c r="B287" s="146" t="str">
        <f>IF(A287&lt;&gt;"", SUMIF(Bets!$D:$D, A287, Bets!Z:Z), "")</f>
        <v/>
      </c>
      <c r="C287" s="162"/>
      <c r="D287" s="148"/>
      <c r="E287" s="161"/>
      <c r="F287" s="146" t="str">
        <f>IF(E287&lt;&gt;"", SUMIF(Bets!$D:$D, E287, Bets!AB:AB), "")</f>
        <v/>
      </c>
      <c r="G287" s="162"/>
      <c r="H287" s="148"/>
      <c r="I287" s="161"/>
      <c r="J287" s="146" t="str">
        <f>IF(I287&lt;&gt;"", SUMIF(Bets!$D:$D, I287, Bets!AA:AA), "")</f>
        <v/>
      </c>
      <c r="K287" s="162"/>
      <c r="L287" s="148"/>
      <c r="M287" s="161"/>
      <c r="N287" s="146"/>
      <c r="O287" s="162"/>
      <c r="P287" s="148"/>
      <c r="Q287" s="161"/>
      <c r="R287" s="146" t="str">
        <f>IF(Q287&lt;&gt;"", SUMIF(Bets!$D:$D, Q287, Bets!AD:AD), "")</f>
        <v/>
      </c>
      <c r="S287" s="162"/>
      <c r="T287" s="148"/>
      <c r="U287" s="161"/>
      <c r="V287" s="146" t="str">
        <f>IF(U287&lt;&gt;"", SUMIF(Bets!$D:$D, U287, Bets!AE:AE), "")</f>
        <v/>
      </c>
      <c r="W287" s="162"/>
      <c r="X287" s="148"/>
      <c r="Y287" s="161"/>
      <c r="Z287" s="146" t="str">
        <f>IF(Y287&lt;&gt;"", SUMIF(Bets!$D:$D, Y287, Bets!AF:AF), "")</f>
        <v/>
      </c>
      <c r="AA287" s="162"/>
      <c r="AB287" s="148"/>
      <c r="AC287" s="161"/>
      <c r="AD287" s="146" t="str">
        <f>IF(AC287&lt;&gt;"", SUMIF(Bets!$D:$D, AC287, Bets!AG:AG), "")</f>
        <v/>
      </c>
      <c r="AE287" s="162"/>
      <c r="AF287" s="148"/>
    </row>
    <row r="288">
      <c r="A288" s="161"/>
      <c r="B288" s="146" t="str">
        <f>IF(A288&lt;&gt;"", SUMIF(Bets!$D:$D, A288, Bets!Z:Z), "")</f>
        <v/>
      </c>
      <c r="C288" s="162"/>
      <c r="D288" s="148"/>
      <c r="E288" s="161"/>
      <c r="F288" s="146" t="str">
        <f>IF(E288&lt;&gt;"", SUMIF(Bets!$D:$D, E288, Bets!AB:AB), "")</f>
        <v/>
      </c>
      <c r="G288" s="162"/>
      <c r="H288" s="148"/>
      <c r="I288" s="161"/>
      <c r="J288" s="146" t="str">
        <f>IF(I288&lt;&gt;"", SUMIF(Bets!$D:$D, I288, Bets!AA:AA), "")</f>
        <v/>
      </c>
      <c r="K288" s="162"/>
      <c r="L288" s="148"/>
      <c r="M288" s="161"/>
      <c r="N288" s="146"/>
      <c r="O288" s="162"/>
      <c r="P288" s="148"/>
      <c r="Q288" s="161"/>
      <c r="R288" s="146" t="str">
        <f>IF(Q288&lt;&gt;"", SUMIF(Bets!$D:$D, Q288, Bets!AD:AD), "")</f>
        <v/>
      </c>
      <c r="S288" s="162"/>
      <c r="T288" s="148"/>
      <c r="U288" s="161"/>
      <c r="V288" s="146" t="str">
        <f>IF(U288&lt;&gt;"", SUMIF(Bets!$D:$D, U288, Bets!AE:AE), "")</f>
        <v/>
      </c>
      <c r="W288" s="162"/>
      <c r="X288" s="148"/>
      <c r="Y288" s="161"/>
      <c r="Z288" s="146" t="str">
        <f>IF(Y288&lt;&gt;"", SUMIF(Bets!$D:$D, Y288, Bets!AF:AF), "")</f>
        <v/>
      </c>
      <c r="AA288" s="162"/>
      <c r="AB288" s="148"/>
      <c r="AC288" s="161"/>
      <c r="AD288" s="146" t="str">
        <f>IF(AC288&lt;&gt;"", SUMIF(Bets!$D:$D, AC288, Bets!AG:AG), "")</f>
        <v/>
      </c>
      <c r="AE288" s="162"/>
      <c r="AF288" s="148"/>
    </row>
    <row r="289">
      <c r="A289" s="161"/>
      <c r="B289" s="146" t="str">
        <f>IF(A289&lt;&gt;"", SUMIF(Bets!$D:$D, A289, Bets!Z:Z), "")</f>
        <v/>
      </c>
      <c r="C289" s="162"/>
      <c r="D289" s="148"/>
      <c r="E289" s="161"/>
      <c r="F289" s="146" t="str">
        <f>IF(E289&lt;&gt;"", SUMIF(Bets!$D:$D, E289, Bets!AB:AB), "")</f>
        <v/>
      </c>
      <c r="G289" s="162"/>
      <c r="H289" s="148"/>
      <c r="I289" s="161"/>
      <c r="J289" s="146" t="str">
        <f>IF(I289&lt;&gt;"", SUMIF(Bets!$D:$D, I289, Bets!AA:AA), "")</f>
        <v/>
      </c>
      <c r="K289" s="162"/>
      <c r="L289" s="148"/>
      <c r="M289" s="161"/>
      <c r="N289" s="146"/>
      <c r="O289" s="162"/>
      <c r="P289" s="148"/>
      <c r="Q289" s="161"/>
      <c r="R289" s="146" t="str">
        <f>IF(Q289&lt;&gt;"", SUMIF(Bets!$D:$D, Q289, Bets!AD:AD), "")</f>
        <v/>
      </c>
      <c r="S289" s="162"/>
      <c r="T289" s="148"/>
      <c r="U289" s="161"/>
      <c r="V289" s="146" t="str">
        <f>IF(U289&lt;&gt;"", SUMIF(Bets!$D:$D, U289, Bets!AE:AE), "")</f>
        <v/>
      </c>
      <c r="W289" s="162"/>
      <c r="X289" s="148"/>
      <c r="Y289" s="161"/>
      <c r="Z289" s="146" t="str">
        <f>IF(Y289&lt;&gt;"", SUMIF(Bets!$D:$D, Y289, Bets!AF:AF), "")</f>
        <v/>
      </c>
      <c r="AA289" s="162"/>
      <c r="AB289" s="148"/>
      <c r="AC289" s="161"/>
      <c r="AD289" s="146" t="str">
        <f>IF(AC289&lt;&gt;"", SUMIF(Bets!$D:$D, AC289, Bets!AG:AG), "")</f>
        <v/>
      </c>
      <c r="AE289" s="162"/>
      <c r="AF289" s="148"/>
    </row>
    <row r="290">
      <c r="A290" s="161"/>
      <c r="B290" s="146" t="str">
        <f>IF(A290&lt;&gt;"", SUMIF(Bets!$D:$D, A290, Bets!Z:Z), "")</f>
        <v/>
      </c>
      <c r="C290" s="162"/>
      <c r="D290" s="148"/>
      <c r="E290" s="161"/>
      <c r="F290" s="146" t="str">
        <f>IF(E290&lt;&gt;"", SUMIF(Bets!$D:$D, E290, Bets!AB:AB), "")</f>
        <v/>
      </c>
      <c r="G290" s="162"/>
      <c r="H290" s="148"/>
      <c r="I290" s="161"/>
      <c r="J290" s="146" t="str">
        <f>IF(I290&lt;&gt;"", SUMIF(Bets!$D:$D, I290, Bets!AA:AA), "")</f>
        <v/>
      </c>
      <c r="K290" s="162"/>
      <c r="L290" s="148"/>
      <c r="M290" s="161"/>
      <c r="N290" s="146"/>
      <c r="O290" s="162"/>
      <c r="P290" s="148"/>
      <c r="Q290" s="161"/>
      <c r="R290" s="146" t="str">
        <f>IF(Q290&lt;&gt;"", SUMIF(Bets!$D:$D, Q290, Bets!AD:AD), "")</f>
        <v/>
      </c>
      <c r="S290" s="162"/>
      <c r="T290" s="148"/>
      <c r="U290" s="161"/>
      <c r="V290" s="146" t="str">
        <f>IF(U290&lt;&gt;"", SUMIF(Bets!$D:$D, U290, Bets!AE:AE), "")</f>
        <v/>
      </c>
      <c r="W290" s="162"/>
      <c r="X290" s="148"/>
      <c r="Y290" s="161"/>
      <c r="Z290" s="146" t="str">
        <f>IF(Y290&lt;&gt;"", SUMIF(Bets!$D:$D, Y290, Bets!AF:AF), "")</f>
        <v/>
      </c>
      <c r="AA290" s="162"/>
      <c r="AB290" s="148"/>
      <c r="AC290" s="161"/>
      <c r="AD290" s="146" t="str">
        <f>IF(AC290&lt;&gt;"", SUMIF(Bets!$D:$D, AC290, Bets!AG:AG), "")</f>
        <v/>
      </c>
      <c r="AE290" s="162"/>
      <c r="AF290" s="148"/>
    </row>
    <row r="291">
      <c r="A291" s="161"/>
      <c r="B291" s="146" t="str">
        <f>IF(A291&lt;&gt;"", SUMIF(Bets!$D:$D, A291, Bets!Z:Z), "")</f>
        <v/>
      </c>
      <c r="C291" s="162"/>
      <c r="D291" s="148"/>
      <c r="E291" s="161"/>
      <c r="F291" s="146" t="str">
        <f>IF(E291&lt;&gt;"", SUMIF(Bets!$D:$D, E291, Bets!AB:AB), "")</f>
        <v/>
      </c>
      <c r="G291" s="162"/>
      <c r="H291" s="148"/>
      <c r="I291" s="161"/>
      <c r="J291" s="146" t="str">
        <f>IF(I291&lt;&gt;"", SUMIF(Bets!$D:$D, I291, Bets!AA:AA), "")</f>
        <v/>
      </c>
      <c r="K291" s="162"/>
      <c r="L291" s="148"/>
      <c r="M291" s="161"/>
      <c r="N291" s="146"/>
      <c r="O291" s="162"/>
      <c r="P291" s="148"/>
      <c r="Q291" s="161"/>
      <c r="R291" s="146" t="str">
        <f>IF(Q291&lt;&gt;"", SUMIF(Bets!$D:$D, Q291, Bets!AD:AD), "")</f>
        <v/>
      </c>
      <c r="S291" s="162"/>
      <c r="T291" s="148"/>
      <c r="U291" s="161"/>
      <c r="V291" s="146" t="str">
        <f>IF(U291&lt;&gt;"", SUMIF(Bets!$D:$D, U291, Bets!AE:AE), "")</f>
        <v/>
      </c>
      <c r="W291" s="162"/>
      <c r="X291" s="148"/>
      <c r="Y291" s="161"/>
      <c r="Z291" s="146" t="str">
        <f>IF(Y291&lt;&gt;"", SUMIF(Bets!$D:$D, Y291, Bets!AF:AF), "")</f>
        <v/>
      </c>
      <c r="AA291" s="162"/>
      <c r="AB291" s="148"/>
      <c r="AC291" s="161"/>
      <c r="AD291" s="146" t="str">
        <f>IF(AC291&lt;&gt;"", SUMIF(Bets!$D:$D, AC291, Bets!AG:AG), "")</f>
        <v/>
      </c>
      <c r="AE291" s="162"/>
      <c r="AF291" s="148"/>
    </row>
    <row r="292">
      <c r="A292" s="161"/>
      <c r="B292" s="146" t="str">
        <f>IF(A292&lt;&gt;"", SUMIF(Bets!$D:$D, A292, Bets!Z:Z), "")</f>
        <v/>
      </c>
      <c r="C292" s="162"/>
      <c r="D292" s="148"/>
      <c r="E292" s="161"/>
      <c r="F292" s="146" t="str">
        <f>IF(E292&lt;&gt;"", SUMIF(Bets!$D:$D, E292, Bets!AB:AB), "")</f>
        <v/>
      </c>
      <c r="G292" s="162"/>
      <c r="H292" s="148"/>
      <c r="I292" s="161"/>
      <c r="J292" s="146" t="str">
        <f>IF(I292&lt;&gt;"", SUMIF(Bets!$D:$D, I292, Bets!AA:AA), "")</f>
        <v/>
      </c>
      <c r="K292" s="162"/>
      <c r="L292" s="148"/>
      <c r="M292" s="161"/>
      <c r="N292" s="146"/>
      <c r="O292" s="162"/>
      <c r="P292" s="148"/>
      <c r="Q292" s="161"/>
      <c r="R292" s="146" t="str">
        <f>IF(Q292&lt;&gt;"", SUMIF(Bets!$D:$D, Q292, Bets!AD:AD), "")</f>
        <v/>
      </c>
      <c r="S292" s="162"/>
      <c r="T292" s="148"/>
      <c r="U292" s="161"/>
      <c r="V292" s="146" t="str">
        <f>IF(U292&lt;&gt;"", SUMIF(Bets!$D:$D, U292, Bets!AE:AE), "")</f>
        <v/>
      </c>
      <c r="W292" s="162"/>
      <c r="X292" s="148"/>
      <c r="Y292" s="161"/>
      <c r="Z292" s="146" t="str">
        <f>IF(Y292&lt;&gt;"", SUMIF(Bets!$D:$D, Y292, Bets!AF:AF), "")</f>
        <v/>
      </c>
      <c r="AA292" s="162"/>
      <c r="AB292" s="148"/>
      <c r="AC292" s="161"/>
      <c r="AD292" s="146" t="str">
        <f>IF(AC292&lt;&gt;"", SUMIF(Bets!$D:$D, AC292, Bets!AG:AG), "")</f>
        <v/>
      </c>
      <c r="AE292" s="162"/>
      <c r="AF292" s="148"/>
    </row>
    <row r="293">
      <c r="A293" s="161"/>
      <c r="B293" s="146" t="str">
        <f>IF(A293&lt;&gt;"", SUMIF(Bets!$D:$D, A293, Bets!Z:Z), "")</f>
        <v/>
      </c>
      <c r="C293" s="162"/>
      <c r="D293" s="148"/>
      <c r="E293" s="161"/>
      <c r="F293" s="146" t="str">
        <f>IF(E293&lt;&gt;"", SUMIF(Bets!$D:$D, E293, Bets!AB:AB), "")</f>
        <v/>
      </c>
      <c r="G293" s="162"/>
      <c r="H293" s="148"/>
      <c r="I293" s="161"/>
      <c r="J293" s="146" t="str">
        <f>IF(I293&lt;&gt;"", SUMIF(Bets!$D:$D, I293, Bets!AA:AA), "")</f>
        <v/>
      </c>
      <c r="K293" s="162"/>
      <c r="L293" s="148"/>
      <c r="M293" s="161"/>
      <c r="N293" s="146"/>
      <c r="O293" s="162"/>
      <c r="P293" s="148"/>
      <c r="Q293" s="161"/>
      <c r="R293" s="146" t="str">
        <f>IF(Q293&lt;&gt;"", SUMIF(Bets!$D:$D, Q293, Bets!AD:AD), "")</f>
        <v/>
      </c>
      <c r="S293" s="162"/>
      <c r="T293" s="148"/>
      <c r="U293" s="161"/>
      <c r="V293" s="146" t="str">
        <f>IF(U293&lt;&gt;"", SUMIF(Bets!$D:$D, U293, Bets!AE:AE), "")</f>
        <v/>
      </c>
      <c r="W293" s="162"/>
      <c r="X293" s="148"/>
      <c r="Y293" s="161"/>
      <c r="Z293" s="146" t="str">
        <f>IF(Y293&lt;&gt;"", SUMIF(Bets!$D:$D, Y293, Bets!AF:AF), "")</f>
        <v/>
      </c>
      <c r="AA293" s="162"/>
      <c r="AB293" s="148"/>
      <c r="AC293" s="161"/>
      <c r="AD293" s="146" t="str">
        <f>IF(AC293&lt;&gt;"", SUMIF(Bets!$D:$D, AC293, Bets!AG:AG), "")</f>
        <v/>
      </c>
      <c r="AE293" s="162"/>
      <c r="AF293" s="148"/>
    </row>
    <row r="294">
      <c r="A294" s="161"/>
      <c r="B294" s="146" t="str">
        <f>IF(A294&lt;&gt;"", SUMIF(Bets!$D:$D, A294, Bets!Z:Z), "")</f>
        <v/>
      </c>
      <c r="C294" s="162"/>
      <c r="D294" s="148"/>
      <c r="E294" s="161"/>
      <c r="F294" s="146" t="str">
        <f>IF(E294&lt;&gt;"", SUMIF(Bets!$D:$D, E294, Bets!AB:AB), "")</f>
        <v/>
      </c>
      <c r="G294" s="162"/>
      <c r="H294" s="148"/>
      <c r="I294" s="161"/>
      <c r="J294" s="146" t="str">
        <f>IF(I294&lt;&gt;"", SUMIF(Bets!$D:$D, I294, Bets!AA:AA), "")</f>
        <v/>
      </c>
      <c r="K294" s="162"/>
      <c r="L294" s="148"/>
      <c r="M294" s="161"/>
      <c r="N294" s="146"/>
      <c r="O294" s="162"/>
      <c r="P294" s="148"/>
      <c r="Q294" s="161"/>
      <c r="R294" s="146" t="str">
        <f>IF(Q294&lt;&gt;"", SUMIF(Bets!$D:$D, Q294, Bets!AD:AD), "")</f>
        <v/>
      </c>
      <c r="S294" s="162"/>
      <c r="T294" s="148"/>
      <c r="U294" s="161"/>
      <c r="V294" s="146" t="str">
        <f>IF(U294&lt;&gt;"", SUMIF(Bets!$D:$D, U294, Bets!AE:AE), "")</f>
        <v/>
      </c>
      <c r="W294" s="162"/>
      <c r="X294" s="148"/>
      <c r="Y294" s="161"/>
      <c r="Z294" s="146" t="str">
        <f>IF(Y294&lt;&gt;"", SUMIF(Bets!$D:$D, Y294, Bets!AF:AF), "")</f>
        <v/>
      </c>
      <c r="AA294" s="162"/>
      <c r="AB294" s="148"/>
      <c r="AC294" s="161"/>
      <c r="AD294" s="146" t="str">
        <f>IF(AC294&lt;&gt;"", SUMIF(Bets!$D:$D, AC294, Bets!AG:AG), "")</f>
        <v/>
      </c>
      <c r="AE294" s="162"/>
      <c r="AF294" s="148"/>
    </row>
    <row r="295">
      <c r="A295" s="161"/>
      <c r="B295" s="146" t="str">
        <f>IF(A295&lt;&gt;"", SUMIF(Bets!$D:$D, A295, Bets!Z:Z), "")</f>
        <v/>
      </c>
      <c r="C295" s="162"/>
      <c r="D295" s="148"/>
      <c r="E295" s="161"/>
      <c r="F295" s="146" t="str">
        <f>IF(E295&lt;&gt;"", SUMIF(Bets!$D:$D, E295, Bets!AB:AB), "")</f>
        <v/>
      </c>
      <c r="G295" s="162"/>
      <c r="H295" s="148"/>
      <c r="I295" s="161"/>
      <c r="J295" s="146" t="str">
        <f>IF(I295&lt;&gt;"", SUMIF(Bets!$D:$D, I295, Bets!AA:AA), "")</f>
        <v/>
      </c>
      <c r="K295" s="162"/>
      <c r="L295" s="148"/>
      <c r="M295" s="161"/>
      <c r="N295" s="146"/>
      <c r="O295" s="162"/>
      <c r="P295" s="148"/>
      <c r="Q295" s="161"/>
      <c r="R295" s="146" t="str">
        <f>IF(Q295&lt;&gt;"", SUMIF(Bets!$D:$D, Q295, Bets!AD:AD), "")</f>
        <v/>
      </c>
      <c r="S295" s="162"/>
      <c r="T295" s="148"/>
      <c r="U295" s="161"/>
      <c r="V295" s="146" t="str">
        <f>IF(U295&lt;&gt;"", SUMIF(Bets!$D:$D, U295, Bets!AE:AE), "")</f>
        <v/>
      </c>
      <c r="W295" s="162"/>
      <c r="X295" s="148"/>
      <c r="Y295" s="161"/>
      <c r="Z295" s="146" t="str">
        <f>IF(Y295&lt;&gt;"", SUMIF(Bets!$D:$D, Y295, Bets!AF:AF), "")</f>
        <v/>
      </c>
      <c r="AA295" s="162"/>
      <c r="AB295" s="148"/>
      <c r="AC295" s="161"/>
      <c r="AD295" s="146" t="str">
        <f>IF(AC295&lt;&gt;"", SUMIF(Bets!$D:$D, AC295, Bets!AG:AG), "")</f>
        <v/>
      </c>
      <c r="AE295" s="162"/>
      <c r="AF295" s="148"/>
    </row>
    <row r="296">
      <c r="A296" s="161"/>
      <c r="B296" s="146" t="str">
        <f>IF(A296&lt;&gt;"", SUMIF(Bets!$D:$D, A296, Bets!Z:Z), "")</f>
        <v/>
      </c>
      <c r="C296" s="162"/>
      <c r="D296" s="148"/>
      <c r="E296" s="161"/>
      <c r="F296" s="146" t="str">
        <f>IF(E296&lt;&gt;"", SUMIF(Bets!$D:$D, E296, Bets!AB:AB), "")</f>
        <v/>
      </c>
      <c r="G296" s="162"/>
      <c r="H296" s="148"/>
      <c r="I296" s="161"/>
      <c r="J296" s="146" t="str">
        <f>IF(I296&lt;&gt;"", SUMIF(Bets!$D:$D, I296, Bets!AA:AA), "")</f>
        <v/>
      </c>
      <c r="K296" s="162"/>
      <c r="L296" s="148"/>
      <c r="M296" s="161"/>
      <c r="N296" s="146"/>
      <c r="O296" s="162"/>
      <c r="P296" s="148"/>
      <c r="Q296" s="161"/>
      <c r="R296" s="146" t="str">
        <f>IF(Q296&lt;&gt;"", SUMIF(Bets!$D:$D, Q296, Bets!AD:AD), "")</f>
        <v/>
      </c>
      <c r="S296" s="162"/>
      <c r="T296" s="148"/>
      <c r="U296" s="161"/>
      <c r="V296" s="146" t="str">
        <f>IF(U296&lt;&gt;"", SUMIF(Bets!$D:$D, U296, Bets!AE:AE), "")</f>
        <v/>
      </c>
      <c r="W296" s="162"/>
      <c r="X296" s="148"/>
      <c r="Y296" s="161"/>
      <c r="Z296" s="146" t="str">
        <f>IF(Y296&lt;&gt;"", SUMIF(Bets!$D:$D, Y296, Bets!AF:AF), "")</f>
        <v/>
      </c>
      <c r="AA296" s="162"/>
      <c r="AB296" s="148"/>
      <c r="AC296" s="161"/>
      <c r="AD296" s="146" t="str">
        <f>IF(AC296&lt;&gt;"", SUMIF(Bets!$D:$D, AC296, Bets!AG:AG), "")</f>
        <v/>
      </c>
      <c r="AE296" s="162"/>
      <c r="AF296" s="148"/>
    </row>
    <row r="297">
      <c r="A297" s="161"/>
      <c r="B297" s="146" t="str">
        <f>IF(A297&lt;&gt;"", SUMIF(Bets!$D:$D, A297, Bets!Z:Z), "")</f>
        <v/>
      </c>
      <c r="C297" s="162"/>
      <c r="D297" s="148"/>
      <c r="E297" s="161"/>
      <c r="F297" s="146" t="str">
        <f>IF(E297&lt;&gt;"", SUMIF(Bets!$D:$D, E297, Bets!AB:AB), "")</f>
        <v/>
      </c>
      <c r="G297" s="162"/>
      <c r="H297" s="148"/>
      <c r="I297" s="161"/>
      <c r="J297" s="146" t="str">
        <f>IF(I297&lt;&gt;"", SUMIF(Bets!$D:$D, I297, Bets!AA:AA), "")</f>
        <v/>
      </c>
      <c r="K297" s="162"/>
      <c r="L297" s="148"/>
      <c r="M297" s="161"/>
      <c r="N297" s="146"/>
      <c r="O297" s="162"/>
      <c r="P297" s="148"/>
      <c r="Q297" s="161"/>
      <c r="R297" s="146" t="str">
        <f>IF(Q297&lt;&gt;"", SUMIF(Bets!$D:$D, Q297, Bets!AD:AD), "")</f>
        <v/>
      </c>
      <c r="S297" s="162"/>
      <c r="T297" s="148"/>
      <c r="U297" s="161"/>
      <c r="V297" s="146" t="str">
        <f>IF(U297&lt;&gt;"", SUMIF(Bets!$D:$D, U297, Bets!AE:AE), "")</f>
        <v/>
      </c>
      <c r="W297" s="162"/>
      <c r="X297" s="148"/>
      <c r="Y297" s="161"/>
      <c r="Z297" s="146" t="str">
        <f>IF(Y297&lt;&gt;"", SUMIF(Bets!$D:$D, Y297, Bets!AF:AF), "")</f>
        <v/>
      </c>
      <c r="AA297" s="162"/>
      <c r="AB297" s="148"/>
      <c r="AC297" s="161"/>
      <c r="AD297" s="146" t="str">
        <f>IF(AC297&lt;&gt;"", SUMIF(Bets!$D:$D, AC297, Bets!AG:AG), "")</f>
        <v/>
      </c>
      <c r="AE297" s="162"/>
      <c r="AF297" s="148"/>
    </row>
    <row r="298">
      <c r="A298" s="161"/>
      <c r="B298" s="146" t="str">
        <f>IF(A298&lt;&gt;"", SUMIF(Bets!$D:$D, A298, Bets!Z:Z), "")</f>
        <v/>
      </c>
      <c r="C298" s="162"/>
      <c r="D298" s="148"/>
      <c r="E298" s="161"/>
      <c r="F298" s="146" t="str">
        <f>IF(E298&lt;&gt;"", SUMIF(Bets!$D:$D, E298, Bets!AB:AB), "")</f>
        <v/>
      </c>
      <c r="G298" s="162"/>
      <c r="H298" s="148"/>
      <c r="I298" s="161"/>
      <c r="J298" s="146" t="str">
        <f>IF(I298&lt;&gt;"", SUMIF(Bets!$D:$D, I298, Bets!AA:AA), "")</f>
        <v/>
      </c>
      <c r="K298" s="162"/>
      <c r="L298" s="148"/>
      <c r="M298" s="161"/>
      <c r="N298" s="146"/>
      <c r="O298" s="162"/>
      <c r="P298" s="148"/>
      <c r="Q298" s="161"/>
      <c r="R298" s="146" t="str">
        <f>IF(Q298&lt;&gt;"", SUMIF(Bets!$D:$D, Q298, Bets!AD:AD), "")</f>
        <v/>
      </c>
      <c r="S298" s="162"/>
      <c r="T298" s="148"/>
      <c r="U298" s="161"/>
      <c r="V298" s="146" t="str">
        <f>IF(U298&lt;&gt;"", SUMIF(Bets!$D:$D, U298, Bets!AE:AE), "")</f>
        <v/>
      </c>
      <c r="W298" s="162"/>
      <c r="X298" s="148"/>
      <c r="Y298" s="161"/>
      <c r="Z298" s="146" t="str">
        <f>IF(Y298&lt;&gt;"", SUMIF(Bets!$D:$D, Y298, Bets!AF:AF), "")</f>
        <v/>
      </c>
      <c r="AA298" s="162"/>
      <c r="AB298" s="148"/>
      <c r="AC298" s="161"/>
      <c r="AD298" s="146" t="str">
        <f>IF(AC298&lt;&gt;"", SUMIF(Bets!$D:$D, AC298, Bets!AG:AG), "")</f>
        <v/>
      </c>
      <c r="AE298" s="162"/>
      <c r="AF298" s="148"/>
    </row>
    <row r="299">
      <c r="A299" s="161"/>
      <c r="B299" s="146" t="str">
        <f>IF(A299&lt;&gt;"", SUMIF(Bets!$D:$D, A299, Bets!Z:Z), "")</f>
        <v/>
      </c>
      <c r="C299" s="162"/>
      <c r="D299" s="148"/>
      <c r="E299" s="161"/>
      <c r="F299" s="146" t="str">
        <f>IF(E299&lt;&gt;"", SUMIF(Bets!$D:$D, E299, Bets!AB:AB), "")</f>
        <v/>
      </c>
      <c r="G299" s="162"/>
      <c r="H299" s="148"/>
      <c r="I299" s="161"/>
      <c r="J299" s="146" t="str">
        <f>IF(I299&lt;&gt;"", SUMIF(Bets!$D:$D, I299, Bets!AA:AA), "")</f>
        <v/>
      </c>
      <c r="K299" s="162"/>
      <c r="L299" s="148"/>
      <c r="M299" s="161"/>
      <c r="N299" s="146"/>
      <c r="O299" s="162"/>
      <c r="P299" s="148"/>
      <c r="Q299" s="161"/>
      <c r="R299" s="146" t="str">
        <f>IF(Q299&lt;&gt;"", SUMIF(Bets!$D:$D, Q299, Bets!AD:AD), "")</f>
        <v/>
      </c>
      <c r="S299" s="162"/>
      <c r="T299" s="148"/>
      <c r="U299" s="161"/>
      <c r="V299" s="146" t="str">
        <f>IF(U299&lt;&gt;"", SUMIF(Bets!$D:$D, U299, Bets!AE:AE), "")</f>
        <v/>
      </c>
      <c r="W299" s="162"/>
      <c r="X299" s="148"/>
      <c r="Y299" s="161"/>
      <c r="Z299" s="146" t="str">
        <f>IF(Y299&lt;&gt;"", SUMIF(Bets!$D:$D, Y299, Bets!AF:AF), "")</f>
        <v/>
      </c>
      <c r="AA299" s="162"/>
      <c r="AB299" s="148"/>
      <c r="AC299" s="161"/>
      <c r="AD299" s="146" t="str">
        <f>IF(AC299&lt;&gt;"", SUMIF(Bets!$D:$D, AC299, Bets!AG:AG), "")</f>
        <v/>
      </c>
      <c r="AE299" s="162"/>
      <c r="AF299" s="148"/>
    </row>
    <row r="300">
      <c r="A300" s="161"/>
      <c r="B300" s="146" t="str">
        <f>IF(A300&lt;&gt;"", SUMIF(Bets!$D:$D, A300, Bets!Z:Z), "")</f>
        <v/>
      </c>
      <c r="C300" s="162"/>
      <c r="D300" s="148"/>
      <c r="E300" s="161"/>
      <c r="F300" s="146" t="str">
        <f>IF(E300&lt;&gt;"", SUMIF(Bets!$D:$D, E300, Bets!AB:AB), "")</f>
        <v/>
      </c>
      <c r="G300" s="162"/>
      <c r="H300" s="148"/>
      <c r="I300" s="161"/>
      <c r="J300" s="146" t="str">
        <f>IF(I300&lt;&gt;"", SUMIF(Bets!$D:$D, I300, Bets!AA:AA), "")</f>
        <v/>
      </c>
      <c r="K300" s="162"/>
      <c r="L300" s="148"/>
      <c r="M300" s="161"/>
      <c r="N300" s="146"/>
      <c r="O300" s="162"/>
      <c r="P300" s="148"/>
      <c r="Q300" s="161"/>
      <c r="R300" s="146" t="str">
        <f>IF(Q300&lt;&gt;"", SUMIF(Bets!$D:$D, Q300, Bets!AD:AD), "")</f>
        <v/>
      </c>
      <c r="S300" s="162"/>
      <c r="T300" s="148"/>
      <c r="U300" s="161"/>
      <c r="V300" s="146" t="str">
        <f>IF(U300&lt;&gt;"", SUMIF(Bets!$D:$D, U300, Bets!AE:AE), "")</f>
        <v/>
      </c>
      <c r="W300" s="162"/>
      <c r="X300" s="148"/>
      <c r="Y300" s="161"/>
      <c r="Z300" s="146" t="str">
        <f>IF(Y300&lt;&gt;"", SUMIF(Bets!$D:$D, Y300, Bets!AF:AF), "")</f>
        <v/>
      </c>
      <c r="AA300" s="162"/>
      <c r="AB300" s="148"/>
      <c r="AC300" s="161"/>
      <c r="AD300" s="146" t="str">
        <f>IF(AC300&lt;&gt;"", SUMIF(Bets!$D:$D, AC300, Bets!AG:AG), "")</f>
        <v/>
      </c>
      <c r="AE300" s="162"/>
      <c r="AF300" s="148"/>
    </row>
    <row r="301">
      <c r="A301" s="161"/>
      <c r="B301" s="146" t="str">
        <f>IF(A301&lt;&gt;"", SUMIF(Bets!$D:$D, A301, Bets!Z:Z), "")</f>
        <v/>
      </c>
      <c r="C301" s="162"/>
      <c r="D301" s="148"/>
      <c r="E301" s="161"/>
      <c r="F301" s="146" t="str">
        <f>IF(E301&lt;&gt;"", SUMIF(Bets!$D:$D, E301, Bets!AB:AB), "")</f>
        <v/>
      </c>
      <c r="G301" s="162"/>
      <c r="H301" s="148"/>
      <c r="I301" s="161"/>
      <c r="J301" s="146" t="str">
        <f>IF(I301&lt;&gt;"", SUMIF(Bets!$D:$D, I301, Bets!AA:AA), "")</f>
        <v/>
      </c>
      <c r="K301" s="162"/>
      <c r="L301" s="148"/>
      <c r="M301" s="161"/>
      <c r="N301" s="146"/>
      <c r="O301" s="162"/>
      <c r="P301" s="148"/>
      <c r="Q301" s="161"/>
      <c r="R301" s="146" t="str">
        <f>IF(Q301&lt;&gt;"", SUMIF(Bets!$D:$D, Q301, Bets!AD:AD), "")</f>
        <v/>
      </c>
      <c r="S301" s="162"/>
      <c r="T301" s="148"/>
      <c r="U301" s="161"/>
      <c r="V301" s="146" t="str">
        <f>IF(U301&lt;&gt;"", SUMIF(Bets!$D:$D, U301, Bets!AE:AE), "")</f>
        <v/>
      </c>
      <c r="W301" s="162"/>
      <c r="X301" s="148"/>
      <c r="Y301" s="161"/>
      <c r="Z301" s="146" t="str">
        <f>IF(Y301&lt;&gt;"", SUMIF(Bets!$D:$D, Y301, Bets!AF:AF), "")</f>
        <v/>
      </c>
      <c r="AA301" s="162"/>
      <c r="AB301" s="148"/>
      <c r="AC301" s="161"/>
      <c r="AD301" s="146" t="str">
        <f>IF(AC301&lt;&gt;"", SUMIF(Bets!$D:$D, AC301, Bets!AG:AG), "")</f>
        <v/>
      </c>
      <c r="AE301" s="162"/>
      <c r="AF301" s="148"/>
    </row>
    <row r="302">
      <c r="A302" s="161"/>
      <c r="B302" s="146" t="str">
        <f>IF(A302&lt;&gt;"", SUMIF(Bets!$D:$D, A302, Bets!Z:Z), "")</f>
        <v/>
      </c>
      <c r="C302" s="162"/>
      <c r="D302" s="148"/>
      <c r="E302" s="161"/>
      <c r="F302" s="146" t="str">
        <f>IF(E302&lt;&gt;"", SUMIF(Bets!$D:$D, E302, Bets!AB:AB), "")</f>
        <v/>
      </c>
      <c r="G302" s="162"/>
      <c r="H302" s="148"/>
      <c r="I302" s="161"/>
      <c r="J302" s="146" t="str">
        <f>IF(I302&lt;&gt;"", SUMIF(Bets!$D:$D, I302, Bets!AA:AA), "")</f>
        <v/>
      </c>
      <c r="K302" s="162"/>
      <c r="L302" s="148"/>
      <c r="M302" s="161"/>
      <c r="N302" s="146"/>
      <c r="O302" s="162"/>
      <c r="P302" s="148"/>
      <c r="Q302" s="161"/>
      <c r="R302" s="146" t="str">
        <f>IF(Q302&lt;&gt;"", SUMIF(Bets!$D:$D, Q302, Bets!AD:AD), "")</f>
        <v/>
      </c>
      <c r="S302" s="162"/>
      <c r="T302" s="148"/>
      <c r="U302" s="161"/>
      <c r="V302" s="146" t="str">
        <f>IF(U302&lt;&gt;"", SUMIF(Bets!$D:$D, U302, Bets!AE:AE), "")</f>
        <v/>
      </c>
      <c r="W302" s="162"/>
      <c r="X302" s="148"/>
      <c r="Y302" s="161"/>
      <c r="Z302" s="146" t="str">
        <f>IF(Y302&lt;&gt;"", SUMIF(Bets!$D:$D, Y302, Bets!AF:AF), "")</f>
        <v/>
      </c>
      <c r="AA302" s="162"/>
      <c r="AB302" s="148"/>
      <c r="AC302" s="161"/>
      <c r="AD302" s="146" t="str">
        <f>IF(AC302&lt;&gt;"", SUMIF(Bets!$D:$D, AC302, Bets!AG:AG), "")</f>
        <v/>
      </c>
      <c r="AE302" s="162"/>
      <c r="AF302" s="148"/>
    </row>
    <row r="303">
      <c r="A303" s="161"/>
      <c r="B303" s="146" t="str">
        <f>IF(A303&lt;&gt;"", SUMIF(Bets!$D:$D, A303, Bets!Z:Z), "")</f>
        <v/>
      </c>
      <c r="C303" s="162"/>
      <c r="D303" s="148"/>
      <c r="E303" s="161"/>
      <c r="F303" s="146" t="str">
        <f>IF(E303&lt;&gt;"", SUMIF(Bets!$D:$D, E303, Bets!AB:AB), "")</f>
        <v/>
      </c>
      <c r="G303" s="162"/>
      <c r="H303" s="148"/>
      <c r="I303" s="161"/>
      <c r="J303" s="146" t="str">
        <f>IF(I303&lt;&gt;"", SUMIF(Bets!$D:$D, I303, Bets!AA:AA), "")</f>
        <v/>
      </c>
      <c r="K303" s="162"/>
      <c r="L303" s="148"/>
      <c r="M303" s="161"/>
      <c r="N303" s="146"/>
      <c r="O303" s="162"/>
      <c r="P303" s="148"/>
      <c r="Q303" s="161"/>
      <c r="R303" s="146" t="str">
        <f>IF(Q303&lt;&gt;"", SUMIF(Bets!$D:$D, Q303, Bets!AD:AD), "")</f>
        <v/>
      </c>
      <c r="S303" s="162"/>
      <c r="T303" s="148"/>
      <c r="U303" s="161"/>
      <c r="V303" s="146" t="str">
        <f>IF(U303&lt;&gt;"", SUMIF(Bets!$D:$D, U303, Bets!AE:AE), "")</f>
        <v/>
      </c>
      <c r="W303" s="162"/>
      <c r="X303" s="148"/>
      <c r="Y303" s="161"/>
      <c r="Z303" s="146" t="str">
        <f>IF(Y303&lt;&gt;"", SUMIF(Bets!$D:$D, Y303, Bets!AF:AF), "")</f>
        <v/>
      </c>
      <c r="AA303" s="162"/>
      <c r="AB303" s="148"/>
      <c r="AC303" s="161"/>
      <c r="AD303" s="146" t="str">
        <f>IF(AC303&lt;&gt;"", SUMIF(Bets!$D:$D, AC303, Bets!AG:AG), "")</f>
        <v/>
      </c>
      <c r="AE303" s="162"/>
      <c r="AF303" s="148"/>
    </row>
    <row r="304">
      <c r="A304" s="161"/>
      <c r="B304" s="146" t="str">
        <f>IF(A304&lt;&gt;"", SUMIF(Bets!$D:$D, A304, Bets!Z:Z), "")</f>
        <v/>
      </c>
      <c r="C304" s="162"/>
      <c r="D304" s="148"/>
      <c r="E304" s="161"/>
      <c r="F304" s="146" t="str">
        <f>IF(E304&lt;&gt;"", SUMIF(Bets!$D:$D, E304, Bets!AB:AB), "")</f>
        <v/>
      </c>
      <c r="G304" s="162"/>
      <c r="H304" s="148"/>
      <c r="I304" s="161"/>
      <c r="J304" s="146" t="str">
        <f>IF(I304&lt;&gt;"", SUMIF(Bets!$D:$D, I304, Bets!AA:AA), "")</f>
        <v/>
      </c>
      <c r="K304" s="162"/>
      <c r="L304" s="148"/>
      <c r="M304" s="161"/>
      <c r="N304" s="146"/>
      <c r="O304" s="162"/>
      <c r="P304" s="148"/>
      <c r="Q304" s="161"/>
      <c r="R304" s="146" t="str">
        <f>IF(Q304&lt;&gt;"", SUMIF(Bets!$D:$D, Q304, Bets!AD:AD), "")</f>
        <v/>
      </c>
      <c r="S304" s="162"/>
      <c r="T304" s="148"/>
      <c r="U304" s="161"/>
      <c r="V304" s="146" t="str">
        <f>IF(U304&lt;&gt;"", SUMIF(Bets!$D:$D, U304, Bets!AE:AE), "")</f>
        <v/>
      </c>
      <c r="W304" s="162"/>
      <c r="X304" s="148"/>
      <c r="Y304" s="161"/>
      <c r="Z304" s="146" t="str">
        <f>IF(Y304&lt;&gt;"", SUMIF(Bets!$D:$D, Y304, Bets!AF:AF), "")</f>
        <v/>
      </c>
      <c r="AA304" s="162"/>
      <c r="AB304" s="148"/>
      <c r="AC304" s="161"/>
      <c r="AD304" s="146" t="str">
        <f>IF(AC304&lt;&gt;"", SUMIF(Bets!$D:$D, AC304, Bets!AG:AG), "")</f>
        <v/>
      </c>
      <c r="AE304" s="162"/>
      <c r="AF304" s="148"/>
    </row>
    <row r="305">
      <c r="A305" s="161"/>
      <c r="B305" s="146" t="str">
        <f>IF(A305&lt;&gt;"", SUMIF(Bets!$D:$D, A305, Bets!Z:Z), "")</f>
        <v/>
      </c>
      <c r="C305" s="162"/>
      <c r="D305" s="148"/>
      <c r="E305" s="161"/>
      <c r="F305" s="146" t="str">
        <f>IF(E305&lt;&gt;"", SUMIF(Bets!$D:$D, E305, Bets!AB:AB), "")</f>
        <v/>
      </c>
      <c r="G305" s="162"/>
      <c r="H305" s="148"/>
      <c r="I305" s="161"/>
      <c r="J305" s="146" t="str">
        <f>IF(I305&lt;&gt;"", SUMIF(Bets!$D:$D, I305, Bets!AA:AA), "")</f>
        <v/>
      </c>
      <c r="K305" s="162"/>
      <c r="L305" s="148"/>
      <c r="M305" s="161"/>
      <c r="N305" s="146"/>
      <c r="O305" s="162"/>
      <c r="P305" s="148"/>
      <c r="Q305" s="161"/>
      <c r="R305" s="146" t="str">
        <f>IF(Q305&lt;&gt;"", SUMIF(Bets!$D:$D, Q305, Bets!AD:AD), "")</f>
        <v/>
      </c>
      <c r="S305" s="162"/>
      <c r="T305" s="148"/>
      <c r="U305" s="161"/>
      <c r="V305" s="146" t="str">
        <f>IF(U305&lt;&gt;"", SUMIF(Bets!$D:$D, U305, Bets!AE:AE), "")</f>
        <v/>
      </c>
      <c r="W305" s="162"/>
      <c r="X305" s="148"/>
      <c r="Y305" s="161"/>
      <c r="Z305" s="146" t="str">
        <f>IF(Y305&lt;&gt;"", SUMIF(Bets!$D:$D, Y305, Bets!AF:AF), "")</f>
        <v/>
      </c>
      <c r="AA305" s="162"/>
      <c r="AB305" s="148"/>
      <c r="AC305" s="161"/>
      <c r="AD305" s="146" t="str">
        <f>IF(AC305&lt;&gt;"", SUMIF(Bets!$D:$D, AC305, Bets!AG:AG), "")</f>
        <v/>
      </c>
      <c r="AE305" s="162"/>
      <c r="AF305" s="148"/>
    </row>
    <row r="306">
      <c r="A306" s="161"/>
      <c r="B306" s="146" t="str">
        <f>IF(A306&lt;&gt;"", SUMIF(Bets!$D:$D, A306, Bets!Z:Z), "")</f>
        <v/>
      </c>
      <c r="C306" s="162"/>
      <c r="D306" s="148"/>
      <c r="E306" s="161"/>
      <c r="F306" s="146" t="str">
        <f>IF(E306&lt;&gt;"", SUMIF(Bets!$D:$D, E306, Bets!AB:AB), "")</f>
        <v/>
      </c>
      <c r="G306" s="162"/>
      <c r="H306" s="148"/>
      <c r="I306" s="161"/>
      <c r="J306" s="146" t="str">
        <f>IF(I306&lt;&gt;"", SUMIF(Bets!$D:$D, I306, Bets!AA:AA), "")</f>
        <v/>
      </c>
      <c r="K306" s="162"/>
      <c r="L306" s="148"/>
      <c r="M306" s="161"/>
      <c r="N306" s="146"/>
      <c r="O306" s="162"/>
      <c r="P306" s="148"/>
      <c r="Q306" s="161"/>
      <c r="R306" s="146" t="str">
        <f>IF(Q306&lt;&gt;"", SUMIF(Bets!$D:$D, Q306, Bets!AD:AD), "")</f>
        <v/>
      </c>
      <c r="S306" s="162"/>
      <c r="T306" s="148"/>
      <c r="U306" s="161"/>
      <c r="V306" s="146" t="str">
        <f>IF(U306&lt;&gt;"", SUMIF(Bets!$D:$D, U306, Bets!AE:AE), "")</f>
        <v/>
      </c>
      <c r="W306" s="162"/>
      <c r="X306" s="148"/>
      <c r="Y306" s="161"/>
      <c r="Z306" s="146" t="str">
        <f>IF(Y306&lt;&gt;"", SUMIF(Bets!$D:$D, Y306, Bets!AF:AF), "")</f>
        <v/>
      </c>
      <c r="AA306" s="162"/>
      <c r="AB306" s="148"/>
      <c r="AC306" s="161"/>
      <c r="AD306" s="146" t="str">
        <f>IF(AC306&lt;&gt;"", SUMIF(Bets!$D:$D, AC306, Bets!AG:AG), "")</f>
        <v/>
      </c>
      <c r="AE306" s="162"/>
      <c r="AF306" s="148"/>
    </row>
    <row r="307">
      <c r="A307" s="161"/>
      <c r="B307" s="146" t="str">
        <f>IF(A307&lt;&gt;"", SUMIF(Bets!$D:$D, A307, Bets!Z:Z), "")</f>
        <v/>
      </c>
      <c r="C307" s="162"/>
      <c r="D307" s="148"/>
      <c r="E307" s="161"/>
      <c r="F307" s="146" t="str">
        <f>IF(E307&lt;&gt;"", SUMIF(Bets!$D:$D, E307, Bets!AB:AB), "")</f>
        <v/>
      </c>
      <c r="G307" s="162"/>
      <c r="H307" s="148"/>
      <c r="I307" s="161"/>
      <c r="J307" s="146" t="str">
        <f>IF(I307&lt;&gt;"", SUMIF(Bets!$D:$D, I307, Bets!AA:AA), "")</f>
        <v/>
      </c>
      <c r="K307" s="162"/>
      <c r="L307" s="148"/>
      <c r="M307" s="161"/>
      <c r="N307" s="146"/>
      <c r="O307" s="162"/>
      <c r="P307" s="148"/>
      <c r="Q307" s="161"/>
      <c r="R307" s="146" t="str">
        <f>IF(Q307&lt;&gt;"", SUMIF(Bets!$D:$D, Q307, Bets!AD:AD), "")</f>
        <v/>
      </c>
      <c r="S307" s="162"/>
      <c r="T307" s="148"/>
      <c r="U307" s="161"/>
      <c r="V307" s="146" t="str">
        <f>IF(U307&lt;&gt;"", SUMIF(Bets!$D:$D, U307, Bets!AE:AE), "")</f>
        <v/>
      </c>
      <c r="W307" s="162"/>
      <c r="X307" s="148"/>
      <c r="Y307" s="161"/>
      <c r="Z307" s="146" t="str">
        <f>IF(Y307&lt;&gt;"", SUMIF(Bets!$D:$D, Y307, Bets!AF:AF), "")</f>
        <v/>
      </c>
      <c r="AA307" s="162"/>
      <c r="AB307" s="148"/>
      <c r="AC307" s="161"/>
      <c r="AD307" s="146" t="str">
        <f>IF(AC307&lt;&gt;"", SUMIF(Bets!$D:$D, AC307, Bets!AG:AG), "")</f>
        <v/>
      </c>
      <c r="AE307" s="162"/>
      <c r="AF307" s="148"/>
    </row>
    <row r="308">
      <c r="A308" s="161"/>
      <c r="B308" s="146" t="str">
        <f>IF(A308&lt;&gt;"", SUMIF(Bets!$D:$D, A308, Bets!Z:Z), "")</f>
        <v/>
      </c>
      <c r="C308" s="162"/>
      <c r="D308" s="148"/>
      <c r="E308" s="161"/>
      <c r="F308" s="146" t="str">
        <f>IF(E308&lt;&gt;"", SUMIF(Bets!$D:$D, E308, Bets!AB:AB), "")</f>
        <v/>
      </c>
      <c r="G308" s="162"/>
      <c r="H308" s="148"/>
      <c r="I308" s="161"/>
      <c r="J308" s="146" t="str">
        <f>IF(I308&lt;&gt;"", SUMIF(Bets!$D:$D, I308, Bets!AA:AA), "")</f>
        <v/>
      </c>
      <c r="K308" s="162"/>
      <c r="L308" s="148"/>
      <c r="M308" s="161"/>
      <c r="N308" s="146"/>
      <c r="O308" s="162"/>
      <c r="P308" s="148"/>
      <c r="Q308" s="161"/>
      <c r="R308" s="146" t="str">
        <f>IF(Q308&lt;&gt;"", SUMIF(Bets!$D:$D, Q308, Bets!AD:AD), "")</f>
        <v/>
      </c>
      <c r="S308" s="162"/>
      <c r="T308" s="148"/>
      <c r="U308" s="161"/>
      <c r="V308" s="146" t="str">
        <f>IF(U308&lt;&gt;"", SUMIF(Bets!$D:$D, U308, Bets!AE:AE), "")</f>
        <v/>
      </c>
      <c r="W308" s="162"/>
      <c r="X308" s="148"/>
      <c r="Y308" s="161"/>
      <c r="Z308" s="146" t="str">
        <f>IF(Y308&lt;&gt;"", SUMIF(Bets!$D:$D, Y308, Bets!AF:AF), "")</f>
        <v/>
      </c>
      <c r="AA308" s="162"/>
      <c r="AB308" s="148"/>
      <c r="AC308" s="161"/>
      <c r="AD308" s="146" t="str">
        <f>IF(AC308&lt;&gt;"", SUMIF(Bets!$D:$D, AC308, Bets!AG:AG), "")</f>
        <v/>
      </c>
      <c r="AE308" s="162"/>
      <c r="AF308" s="148"/>
    </row>
    <row r="309">
      <c r="A309" s="161"/>
      <c r="B309" s="146" t="str">
        <f>IF(A309&lt;&gt;"", SUMIF(Bets!$D:$D, A309, Bets!Z:Z), "")</f>
        <v/>
      </c>
      <c r="C309" s="162"/>
      <c r="D309" s="148"/>
      <c r="E309" s="161"/>
      <c r="F309" s="146" t="str">
        <f>IF(E309&lt;&gt;"", SUMIF(Bets!$D:$D, E309, Bets!AB:AB), "")</f>
        <v/>
      </c>
      <c r="G309" s="162"/>
      <c r="H309" s="148"/>
      <c r="I309" s="161"/>
      <c r="J309" s="146" t="str">
        <f>IF(I309&lt;&gt;"", SUMIF(Bets!$D:$D, I309, Bets!AA:AA), "")</f>
        <v/>
      </c>
      <c r="K309" s="162"/>
      <c r="L309" s="148"/>
      <c r="M309" s="161"/>
      <c r="N309" s="146"/>
      <c r="O309" s="162"/>
      <c r="P309" s="148"/>
      <c r="Q309" s="161"/>
      <c r="R309" s="146" t="str">
        <f>IF(Q309&lt;&gt;"", SUMIF(Bets!$D:$D, Q309, Bets!AD:AD), "")</f>
        <v/>
      </c>
      <c r="S309" s="162"/>
      <c r="T309" s="148"/>
      <c r="U309" s="161"/>
      <c r="V309" s="146" t="str">
        <f>IF(U309&lt;&gt;"", SUMIF(Bets!$D:$D, U309, Bets!AE:AE), "")</f>
        <v/>
      </c>
      <c r="W309" s="162"/>
      <c r="X309" s="148"/>
      <c r="Y309" s="161"/>
      <c r="Z309" s="146" t="str">
        <f>IF(Y309&lt;&gt;"", SUMIF(Bets!$D:$D, Y309, Bets!AF:AF), "")</f>
        <v/>
      </c>
      <c r="AA309" s="162"/>
      <c r="AB309" s="148"/>
      <c r="AC309" s="161"/>
      <c r="AD309" s="146" t="str">
        <f>IF(AC309&lt;&gt;"", SUMIF(Bets!$D:$D, AC309, Bets!AG:AG), "")</f>
        <v/>
      </c>
      <c r="AE309" s="162"/>
      <c r="AF309" s="148"/>
    </row>
    <row r="310">
      <c r="A310" s="161"/>
      <c r="B310" s="146" t="str">
        <f>IF(A310&lt;&gt;"", SUMIF(Bets!$D:$D, A310, Bets!Z:Z), "")</f>
        <v/>
      </c>
      <c r="C310" s="162"/>
      <c r="D310" s="148"/>
      <c r="E310" s="161"/>
      <c r="F310" s="146" t="str">
        <f>IF(E310&lt;&gt;"", SUMIF(Bets!$D:$D, E310, Bets!AB:AB), "")</f>
        <v/>
      </c>
      <c r="G310" s="162"/>
      <c r="H310" s="148"/>
      <c r="I310" s="161"/>
      <c r="J310" s="146" t="str">
        <f>IF(I310&lt;&gt;"", SUMIF(Bets!$D:$D, I310, Bets!AA:AA), "")</f>
        <v/>
      </c>
      <c r="K310" s="162"/>
      <c r="L310" s="148"/>
      <c r="M310" s="161"/>
      <c r="N310" s="146"/>
      <c r="O310" s="162"/>
      <c r="P310" s="148"/>
      <c r="Q310" s="161"/>
      <c r="R310" s="146" t="str">
        <f>IF(Q310&lt;&gt;"", SUMIF(Bets!$D:$D, Q310, Bets!AD:AD), "")</f>
        <v/>
      </c>
      <c r="S310" s="162"/>
      <c r="T310" s="148"/>
      <c r="U310" s="161"/>
      <c r="V310" s="146" t="str">
        <f>IF(U310&lt;&gt;"", SUMIF(Bets!$D:$D, U310, Bets!AE:AE), "")</f>
        <v/>
      </c>
      <c r="W310" s="162"/>
      <c r="X310" s="148"/>
      <c r="Y310" s="161"/>
      <c r="Z310" s="146" t="str">
        <f>IF(Y310&lt;&gt;"", SUMIF(Bets!$D:$D, Y310, Bets!AF:AF), "")</f>
        <v/>
      </c>
      <c r="AA310" s="162"/>
      <c r="AB310" s="148"/>
      <c r="AC310" s="161"/>
      <c r="AD310" s="146" t="str">
        <f>IF(AC310&lt;&gt;"", SUMIF(Bets!$D:$D, AC310, Bets!AG:AG), "")</f>
        <v/>
      </c>
      <c r="AE310" s="162"/>
      <c r="AF310" s="148"/>
    </row>
    <row r="311">
      <c r="A311" s="161"/>
      <c r="B311" s="146" t="str">
        <f>IF(A311&lt;&gt;"", SUMIF(Bets!$D:$D, A311, Bets!Z:Z), "")</f>
        <v/>
      </c>
      <c r="C311" s="162"/>
      <c r="D311" s="148"/>
      <c r="E311" s="161"/>
      <c r="F311" s="146" t="str">
        <f>IF(E311&lt;&gt;"", SUMIF(Bets!$D:$D, E311, Bets!AB:AB), "")</f>
        <v/>
      </c>
      <c r="G311" s="162"/>
      <c r="H311" s="148"/>
      <c r="I311" s="161"/>
      <c r="J311" s="146" t="str">
        <f>IF(I311&lt;&gt;"", SUMIF(Bets!$D:$D, I311, Bets!AA:AA), "")</f>
        <v/>
      </c>
      <c r="K311" s="162"/>
      <c r="L311" s="148"/>
      <c r="M311" s="161"/>
      <c r="N311" s="146"/>
      <c r="O311" s="162"/>
      <c r="P311" s="148"/>
      <c r="Q311" s="161"/>
      <c r="R311" s="146" t="str">
        <f>IF(Q311&lt;&gt;"", SUMIF(Bets!$D:$D, Q311, Bets!AD:AD), "")</f>
        <v/>
      </c>
      <c r="S311" s="162"/>
      <c r="T311" s="148"/>
      <c r="U311" s="161"/>
      <c r="V311" s="146" t="str">
        <f>IF(U311&lt;&gt;"", SUMIF(Bets!$D:$D, U311, Bets!AE:AE), "")</f>
        <v/>
      </c>
      <c r="W311" s="162"/>
      <c r="X311" s="148"/>
      <c r="Y311" s="161"/>
      <c r="Z311" s="146" t="str">
        <f>IF(Y311&lt;&gt;"", SUMIF(Bets!$D:$D, Y311, Bets!AF:AF), "")</f>
        <v/>
      </c>
      <c r="AA311" s="162"/>
      <c r="AB311" s="148"/>
      <c r="AC311" s="161"/>
      <c r="AD311" s="146" t="str">
        <f>IF(AC311&lt;&gt;"", SUMIF(Bets!$D:$D, AC311, Bets!AG:AG), "")</f>
        <v/>
      </c>
      <c r="AE311" s="162"/>
      <c r="AF311" s="148"/>
    </row>
    <row r="312">
      <c r="A312" s="161"/>
      <c r="B312" s="146" t="str">
        <f>IF(A312&lt;&gt;"", SUMIF(Bets!$D:$D, A312, Bets!Z:Z), "")</f>
        <v/>
      </c>
      <c r="C312" s="162"/>
      <c r="D312" s="148"/>
      <c r="E312" s="161"/>
      <c r="F312" s="146" t="str">
        <f>IF(E312&lt;&gt;"", SUMIF(Bets!$D:$D, E312, Bets!AB:AB), "")</f>
        <v/>
      </c>
      <c r="G312" s="162"/>
      <c r="H312" s="148"/>
      <c r="I312" s="161"/>
      <c r="J312" s="146" t="str">
        <f>IF(I312&lt;&gt;"", SUMIF(Bets!$D:$D, I312, Bets!AA:AA), "")</f>
        <v/>
      </c>
      <c r="K312" s="162"/>
      <c r="L312" s="148"/>
      <c r="M312" s="161"/>
      <c r="N312" s="146"/>
      <c r="O312" s="162"/>
      <c r="P312" s="148"/>
      <c r="Q312" s="161"/>
      <c r="R312" s="146" t="str">
        <f>IF(Q312&lt;&gt;"", SUMIF(Bets!$D:$D, Q312, Bets!AD:AD), "")</f>
        <v/>
      </c>
      <c r="S312" s="162"/>
      <c r="T312" s="148"/>
      <c r="U312" s="161"/>
      <c r="V312" s="146" t="str">
        <f>IF(U312&lt;&gt;"", SUMIF(Bets!$D:$D, U312, Bets!AE:AE), "")</f>
        <v/>
      </c>
      <c r="W312" s="162"/>
      <c r="X312" s="148"/>
      <c r="Y312" s="161"/>
      <c r="Z312" s="146" t="str">
        <f>IF(Y312&lt;&gt;"", SUMIF(Bets!$D:$D, Y312, Bets!AF:AF), "")</f>
        <v/>
      </c>
      <c r="AA312" s="162"/>
      <c r="AB312" s="148"/>
      <c r="AC312" s="161"/>
      <c r="AD312" s="146" t="str">
        <f>IF(AC312&lt;&gt;"", SUMIF(Bets!$D:$D, AC312, Bets!AG:AG), "")</f>
        <v/>
      </c>
      <c r="AE312" s="162"/>
      <c r="AF312" s="148"/>
    </row>
    <row r="313">
      <c r="A313" s="161"/>
      <c r="B313" s="146" t="str">
        <f>IF(A313&lt;&gt;"", SUMIF(Bets!$D:$D, A313, Bets!Z:Z), "")</f>
        <v/>
      </c>
      <c r="C313" s="162"/>
      <c r="D313" s="148"/>
      <c r="E313" s="161"/>
      <c r="F313" s="146" t="str">
        <f>IF(E313&lt;&gt;"", SUMIF(Bets!$D:$D, E313, Bets!AB:AB), "")</f>
        <v/>
      </c>
      <c r="G313" s="162"/>
      <c r="H313" s="148"/>
      <c r="I313" s="161"/>
      <c r="J313" s="146" t="str">
        <f>IF(I313&lt;&gt;"", SUMIF(Bets!$D:$D, I313, Bets!AA:AA), "")</f>
        <v/>
      </c>
      <c r="K313" s="162"/>
      <c r="L313" s="148"/>
      <c r="M313" s="161"/>
      <c r="N313" s="146"/>
      <c r="O313" s="162"/>
      <c r="P313" s="148"/>
      <c r="Q313" s="161"/>
      <c r="R313" s="146" t="str">
        <f>IF(Q313&lt;&gt;"", SUMIF(Bets!$D:$D, Q313, Bets!AD:AD), "")</f>
        <v/>
      </c>
      <c r="S313" s="162"/>
      <c r="T313" s="148"/>
      <c r="U313" s="161"/>
      <c r="V313" s="146" t="str">
        <f>IF(U313&lt;&gt;"", SUMIF(Bets!$D:$D, U313, Bets!AE:AE), "")</f>
        <v/>
      </c>
      <c r="W313" s="162"/>
      <c r="X313" s="148"/>
      <c r="Y313" s="161"/>
      <c r="Z313" s="146" t="str">
        <f>IF(Y313&lt;&gt;"", SUMIF(Bets!$D:$D, Y313, Bets!AF:AF), "")</f>
        <v/>
      </c>
      <c r="AA313" s="162"/>
      <c r="AB313" s="148"/>
      <c r="AC313" s="161"/>
      <c r="AD313" s="146" t="str">
        <f>IF(AC313&lt;&gt;"", SUMIF(Bets!$D:$D, AC313, Bets!AG:AG), "")</f>
        <v/>
      </c>
      <c r="AE313" s="162"/>
      <c r="AF313" s="148"/>
    </row>
    <row r="314">
      <c r="A314" s="161"/>
      <c r="B314" s="146" t="str">
        <f>IF(A314&lt;&gt;"", SUMIF(Bets!$D:$D, A314, Bets!Z:Z), "")</f>
        <v/>
      </c>
      <c r="C314" s="162"/>
      <c r="D314" s="148"/>
      <c r="E314" s="161"/>
      <c r="F314" s="146" t="str">
        <f>IF(E314&lt;&gt;"", SUMIF(Bets!$D:$D, E314, Bets!AB:AB), "")</f>
        <v/>
      </c>
      <c r="G314" s="162"/>
      <c r="H314" s="148"/>
      <c r="I314" s="161"/>
      <c r="J314" s="146" t="str">
        <f>IF(I314&lt;&gt;"", SUMIF(Bets!$D:$D, I314, Bets!AA:AA), "")</f>
        <v/>
      </c>
      <c r="K314" s="162"/>
      <c r="L314" s="148"/>
      <c r="M314" s="161"/>
      <c r="N314" s="146"/>
      <c r="O314" s="162"/>
      <c r="P314" s="148"/>
      <c r="Q314" s="161"/>
      <c r="R314" s="146" t="str">
        <f>IF(Q314&lt;&gt;"", SUMIF(Bets!$D:$D, Q314, Bets!AD:AD), "")</f>
        <v/>
      </c>
      <c r="S314" s="162"/>
      <c r="T314" s="148"/>
      <c r="U314" s="161"/>
      <c r="V314" s="146" t="str">
        <f>IF(U314&lt;&gt;"", SUMIF(Bets!$D:$D, U314, Bets!AE:AE), "")</f>
        <v/>
      </c>
      <c r="W314" s="162"/>
      <c r="X314" s="148"/>
      <c r="Y314" s="161"/>
      <c r="Z314" s="146" t="str">
        <f>IF(Y314&lt;&gt;"", SUMIF(Bets!$D:$D, Y314, Bets!AF:AF), "")</f>
        <v/>
      </c>
      <c r="AA314" s="162"/>
      <c r="AB314" s="148"/>
      <c r="AC314" s="161"/>
      <c r="AD314" s="146" t="str">
        <f>IF(AC314&lt;&gt;"", SUMIF(Bets!$D:$D, AC314, Bets!AG:AG), "")</f>
        <v/>
      </c>
      <c r="AE314" s="162"/>
      <c r="AF314" s="148"/>
    </row>
    <row r="315">
      <c r="A315" s="161"/>
      <c r="B315" s="146" t="str">
        <f>IF(A315&lt;&gt;"", SUMIF(Bets!$D:$D, A315, Bets!Z:Z), "")</f>
        <v/>
      </c>
      <c r="C315" s="162"/>
      <c r="D315" s="148"/>
      <c r="E315" s="161"/>
      <c r="F315" s="146" t="str">
        <f>IF(E315&lt;&gt;"", SUMIF(Bets!$D:$D, E315, Bets!AB:AB), "")</f>
        <v/>
      </c>
      <c r="G315" s="162"/>
      <c r="H315" s="148"/>
      <c r="I315" s="161"/>
      <c r="J315" s="146" t="str">
        <f>IF(I315&lt;&gt;"", SUMIF(Bets!$D:$D, I315, Bets!AA:AA), "")</f>
        <v/>
      </c>
      <c r="K315" s="162"/>
      <c r="L315" s="148"/>
      <c r="M315" s="161"/>
      <c r="N315" s="146"/>
      <c r="O315" s="162"/>
      <c r="P315" s="148"/>
      <c r="Q315" s="161"/>
      <c r="R315" s="146" t="str">
        <f>IF(Q315&lt;&gt;"", SUMIF(Bets!$D:$D, Q315, Bets!AD:AD), "")</f>
        <v/>
      </c>
      <c r="S315" s="162"/>
      <c r="T315" s="148"/>
      <c r="U315" s="161"/>
      <c r="V315" s="146" t="str">
        <f>IF(U315&lt;&gt;"", SUMIF(Bets!$D:$D, U315, Bets!AE:AE), "")</f>
        <v/>
      </c>
      <c r="W315" s="162"/>
      <c r="X315" s="148"/>
      <c r="Y315" s="161"/>
      <c r="Z315" s="146" t="str">
        <f>IF(Y315&lt;&gt;"", SUMIF(Bets!$D:$D, Y315, Bets!AF:AF), "")</f>
        <v/>
      </c>
      <c r="AA315" s="162"/>
      <c r="AB315" s="148"/>
      <c r="AC315" s="161"/>
      <c r="AD315" s="146" t="str">
        <f>IF(AC315&lt;&gt;"", SUMIF(Bets!$D:$D, AC315, Bets!AG:AG), "")</f>
        <v/>
      </c>
      <c r="AE315" s="162"/>
      <c r="AF315" s="148"/>
    </row>
    <row r="316">
      <c r="A316" s="161"/>
      <c r="B316" s="146" t="str">
        <f>IF(A316&lt;&gt;"", SUMIF(Bets!$D:$D, A316, Bets!Z:Z), "")</f>
        <v/>
      </c>
      <c r="C316" s="162"/>
      <c r="D316" s="148"/>
      <c r="E316" s="161"/>
      <c r="F316" s="146" t="str">
        <f>IF(E316&lt;&gt;"", SUMIF(Bets!$D:$D, E316, Bets!AB:AB), "")</f>
        <v/>
      </c>
      <c r="G316" s="162"/>
      <c r="H316" s="148"/>
      <c r="I316" s="161"/>
      <c r="J316" s="146" t="str">
        <f>IF(I316&lt;&gt;"", SUMIF(Bets!$D:$D, I316, Bets!AA:AA), "")</f>
        <v/>
      </c>
      <c r="K316" s="162"/>
      <c r="L316" s="148"/>
      <c r="M316" s="161"/>
      <c r="N316" s="146"/>
      <c r="O316" s="162"/>
      <c r="P316" s="148"/>
      <c r="Q316" s="161"/>
      <c r="R316" s="146" t="str">
        <f>IF(Q316&lt;&gt;"", SUMIF(Bets!$D:$D, Q316, Bets!AD:AD), "")</f>
        <v/>
      </c>
      <c r="S316" s="162"/>
      <c r="T316" s="148"/>
      <c r="U316" s="161"/>
      <c r="V316" s="146" t="str">
        <f>IF(U316&lt;&gt;"", SUMIF(Bets!$D:$D, U316, Bets!AE:AE), "")</f>
        <v/>
      </c>
      <c r="W316" s="162"/>
      <c r="X316" s="148"/>
      <c r="Y316" s="161"/>
      <c r="Z316" s="146" t="str">
        <f>IF(Y316&lt;&gt;"", SUMIF(Bets!$D:$D, Y316, Bets!AF:AF), "")</f>
        <v/>
      </c>
      <c r="AA316" s="162"/>
      <c r="AB316" s="148"/>
      <c r="AC316" s="161"/>
      <c r="AD316" s="146" t="str">
        <f>IF(AC316&lt;&gt;"", SUMIF(Bets!$D:$D, AC316, Bets!AG:AG), "")</f>
        <v/>
      </c>
      <c r="AE316" s="162"/>
      <c r="AF316" s="148"/>
    </row>
    <row r="317">
      <c r="A317" s="161"/>
      <c r="B317" s="146" t="str">
        <f>IF(A317&lt;&gt;"", SUMIF(Bets!$D:$D, A317, Bets!Z:Z), "")</f>
        <v/>
      </c>
      <c r="C317" s="162"/>
      <c r="D317" s="148"/>
      <c r="E317" s="161"/>
      <c r="F317" s="146" t="str">
        <f>IF(E317&lt;&gt;"", SUMIF(Bets!$D:$D, E317, Bets!AB:AB), "")</f>
        <v/>
      </c>
      <c r="G317" s="162"/>
      <c r="H317" s="148"/>
      <c r="I317" s="161"/>
      <c r="J317" s="146" t="str">
        <f>IF(I317&lt;&gt;"", SUMIF(Bets!$D:$D, I317, Bets!AA:AA), "")</f>
        <v/>
      </c>
      <c r="K317" s="162"/>
      <c r="L317" s="148"/>
      <c r="M317" s="161"/>
      <c r="N317" s="146"/>
      <c r="O317" s="162"/>
      <c r="P317" s="148"/>
      <c r="Q317" s="161"/>
      <c r="R317" s="146" t="str">
        <f>IF(Q317&lt;&gt;"", SUMIF(Bets!$D:$D, Q317, Bets!AD:AD), "")</f>
        <v/>
      </c>
      <c r="S317" s="162"/>
      <c r="T317" s="148"/>
      <c r="U317" s="161"/>
      <c r="V317" s="146" t="str">
        <f>IF(U317&lt;&gt;"", SUMIF(Bets!$D:$D, U317, Bets!AE:AE), "")</f>
        <v/>
      </c>
      <c r="W317" s="162"/>
      <c r="X317" s="148"/>
      <c r="Y317" s="161"/>
      <c r="Z317" s="146" t="str">
        <f>IF(Y317&lt;&gt;"", SUMIF(Bets!$D:$D, Y317, Bets!AF:AF), "")</f>
        <v/>
      </c>
      <c r="AA317" s="162"/>
      <c r="AB317" s="148"/>
      <c r="AC317" s="161"/>
      <c r="AD317" s="146" t="str">
        <f>IF(AC317&lt;&gt;"", SUMIF(Bets!$D:$D, AC317, Bets!AG:AG), "")</f>
        <v/>
      </c>
      <c r="AE317" s="162"/>
      <c r="AF317" s="148"/>
    </row>
    <row r="318">
      <c r="A318" s="161"/>
      <c r="B318" s="146" t="str">
        <f>IF(A318&lt;&gt;"", SUMIF(Bets!$D:$D, A318, Bets!Z:Z), "")</f>
        <v/>
      </c>
      <c r="C318" s="162"/>
      <c r="D318" s="148"/>
      <c r="E318" s="161"/>
      <c r="F318" s="146" t="str">
        <f>IF(E318&lt;&gt;"", SUMIF(Bets!$D:$D, E318, Bets!AB:AB), "")</f>
        <v/>
      </c>
      <c r="G318" s="162"/>
      <c r="H318" s="148"/>
      <c r="I318" s="161"/>
      <c r="J318" s="146" t="str">
        <f>IF(I318&lt;&gt;"", SUMIF(Bets!$D:$D, I318, Bets!AA:AA), "")</f>
        <v/>
      </c>
      <c r="K318" s="162"/>
      <c r="L318" s="148"/>
      <c r="M318" s="161"/>
      <c r="N318" s="146"/>
      <c r="O318" s="162"/>
      <c r="P318" s="148"/>
      <c r="Q318" s="161"/>
      <c r="R318" s="146" t="str">
        <f>IF(Q318&lt;&gt;"", SUMIF(Bets!$D:$D, Q318, Bets!AD:AD), "")</f>
        <v/>
      </c>
      <c r="S318" s="162"/>
      <c r="T318" s="148"/>
      <c r="U318" s="161"/>
      <c r="V318" s="146" t="str">
        <f>IF(U318&lt;&gt;"", SUMIF(Bets!$D:$D, U318, Bets!AE:AE), "")</f>
        <v/>
      </c>
      <c r="W318" s="162"/>
      <c r="X318" s="148"/>
      <c r="Y318" s="161"/>
      <c r="Z318" s="146" t="str">
        <f>IF(Y318&lt;&gt;"", SUMIF(Bets!$D:$D, Y318, Bets!AF:AF), "")</f>
        <v/>
      </c>
      <c r="AA318" s="162"/>
      <c r="AB318" s="148"/>
      <c r="AC318" s="161"/>
      <c r="AD318" s="146" t="str">
        <f>IF(AC318&lt;&gt;"", SUMIF(Bets!$D:$D, AC318, Bets!AG:AG), "")</f>
        <v/>
      </c>
      <c r="AE318" s="162"/>
      <c r="AF318" s="148"/>
    </row>
    <row r="319">
      <c r="A319" s="161"/>
      <c r="B319" s="146" t="str">
        <f>IF(A319&lt;&gt;"", SUMIF(Bets!$D:$D, A319, Bets!Z:Z), "")</f>
        <v/>
      </c>
      <c r="C319" s="162"/>
      <c r="D319" s="148"/>
      <c r="E319" s="161"/>
      <c r="F319" s="146" t="str">
        <f>IF(E319&lt;&gt;"", SUMIF(Bets!$D:$D, E319, Bets!AB:AB), "")</f>
        <v/>
      </c>
      <c r="G319" s="162"/>
      <c r="H319" s="148"/>
      <c r="I319" s="161"/>
      <c r="J319" s="146" t="str">
        <f>IF(I319&lt;&gt;"", SUMIF(Bets!$D:$D, I319, Bets!AA:AA), "")</f>
        <v/>
      </c>
      <c r="K319" s="162"/>
      <c r="L319" s="148"/>
      <c r="M319" s="161"/>
      <c r="N319" s="146"/>
      <c r="O319" s="162"/>
      <c r="P319" s="148"/>
      <c r="Q319" s="161"/>
      <c r="R319" s="146" t="str">
        <f>IF(Q319&lt;&gt;"", SUMIF(Bets!$D:$D, Q319, Bets!AD:AD), "")</f>
        <v/>
      </c>
      <c r="S319" s="162"/>
      <c r="T319" s="148"/>
      <c r="U319" s="161"/>
      <c r="V319" s="146" t="str">
        <f>IF(U319&lt;&gt;"", SUMIF(Bets!$D:$D, U319, Bets!AE:AE), "")</f>
        <v/>
      </c>
      <c r="W319" s="162"/>
      <c r="X319" s="148"/>
      <c r="Y319" s="161"/>
      <c r="Z319" s="146" t="str">
        <f>IF(Y319&lt;&gt;"", SUMIF(Bets!$D:$D, Y319, Bets!AF:AF), "")</f>
        <v/>
      </c>
      <c r="AA319" s="162"/>
      <c r="AB319" s="148"/>
      <c r="AC319" s="161"/>
      <c r="AD319" s="146" t="str">
        <f>IF(AC319&lt;&gt;"", SUMIF(Bets!$D:$D, AC319, Bets!AG:AG), "")</f>
        <v/>
      </c>
      <c r="AE319" s="162"/>
      <c r="AF319" s="148"/>
    </row>
    <row r="320">
      <c r="A320" s="161"/>
      <c r="B320" s="146" t="str">
        <f>IF(A320&lt;&gt;"", SUMIF(Bets!$D:$D, A320, Bets!Z:Z), "")</f>
        <v/>
      </c>
      <c r="C320" s="162"/>
      <c r="D320" s="148"/>
      <c r="E320" s="161"/>
      <c r="F320" s="146" t="str">
        <f>IF(E320&lt;&gt;"", SUMIF(Bets!$D:$D, E320, Bets!AB:AB), "")</f>
        <v/>
      </c>
      <c r="G320" s="162"/>
      <c r="H320" s="148"/>
      <c r="I320" s="161"/>
      <c r="J320" s="146" t="str">
        <f>IF(I320&lt;&gt;"", SUMIF(Bets!$D:$D, I320, Bets!AA:AA), "")</f>
        <v/>
      </c>
      <c r="K320" s="162"/>
      <c r="L320" s="148"/>
      <c r="M320" s="161"/>
      <c r="N320" s="146"/>
      <c r="O320" s="162"/>
      <c r="P320" s="148"/>
      <c r="Q320" s="161"/>
      <c r="R320" s="146" t="str">
        <f>IF(Q320&lt;&gt;"", SUMIF(Bets!$D:$D, Q320, Bets!AD:AD), "")</f>
        <v/>
      </c>
      <c r="S320" s="162"/>
      <c r="T320" s="148"/>
      <c r="U320" s="161"/>
      <c r="V320" s="146" t="str">
        <f>IF(U320&lt;&gt;"", SUMIF(Bets!$D:$D, U320, Bets!AE:AE), "")</f>
        <v/>
      </c>
      <c r="W320" s="162"/>
      <c r="X320" s="148"/>
      <c r="Y320" s="161"/>
      <c r="Z320" s="146" t="str">
        <f>IF(Y320&lt;&gt;"", SUMIF(Bets!$D:$D, Y320, Bets!AF:AF), "")</f>
        <v/>
      </c>
      <c r="AA320" s="162"/>
      <c r="AB320" s="148"/>
      <c r="AC320" s="161"/>
      <c r="AD320" s="146" t="str">
        <f>IF(AC320&lt;&gt;"", SUMIF(Bets!$D:$D, AC320, Bets!AG:AG), "")</f>
        <v/>
      </c>
      <c r="AE320" s="162"/>
      <c r="AF320" s="148"/>
    </row>
    <row r="321">
      <c r="A321" s="161"/>
      <c r="B321" s="146" t="str">
        <f>IF(A321&lt;&gt;"", SUMIF(Bets!$D:$D, A321, Bets!Z:Z), "")</f>
        <v/>
      </c>
      <c r="C321" s="162"/>
      <c r="D321" s="148"/>
      <c r="E321" s="161"/>
      <c r="F321" s="146" t="str">
        <f>IF(E321&lt;&gt;"", SUMIF(Bets!$D:$D, E321, Bets!AB:AB), "")</f>
        <v/>
      </c>
      <c r="G321" s="162"/>
      <c r="H321" s="148"/>
      <c r="I321" s="161"/>
      <c r="J321" s="146" t="str">
        <f>IF(I321&lt;&gt;"", SUMIF(Bets!$D:$D, I321, Bets!AA:AA), "")</f>
        <v/>
      </c>
      <c r="K321" s="162"/>
      <c r="L321" s="148"/>
      <c r="M321" s="161"/>
      <c r="N321" s="146"/>
      <c r="O321" s="162"/>
      <c r="P321" s="148"/>
      <c r="Q321" s="161"/>
      <c r="R321" s="146" t="str">
        <f>IF(Q321&lt;&gt;"", SUMIF(Bets!$D:$D, Q321, Bets!AD:AD), "")</f>
        <v/>
      </c>
      <c r="S321" s="162"/>
      <c r="T321" s="148"/>
      <c r="U321" s="161"/>
      <c r="V321" s="146" t="str">
        <f>IF(U321&lt;&gt;"", SUMIF(Bets!$D:$D, U321, Bets!AE:AE), "")</f>
        <v/>
      </c>
      <c r="W321" s="162"/>
      <c r="X321" s="148"/>
      <c r="Y321" s="161"/>
      <c r="Z321" s="146" t="str">
        <f>IF(Y321&lt;&gt;"", SUMIF(Bets!$D:$D, Y321, Bets!AF:AF), "")</f>
        <v/>
      </c>
      <c r="AA321" s="162"/>
      <c r="AB321" s="148"/>
      <c r="AC321" s="161"/>
      <c r="AD321" s="146" t="str">
        <f>IF(AC321&lt;&gt;"", SUMIF(Bets!$D:$D, AC321, Bets!AG:AG), "")</f>
        <v/>
      </c>
      <c r="AE321" s="162"/>
      <c r="AF321" s="148"/>
    </row>
    <row r="322">
      <c r="A322" s="161"/>
      <c r="B322" s="146" t="str">
        <f>IF(A322&lt;&gt;"", SUMIF(Bets!$D:$D, A322, Bets!Z:Z), "")</f>
        <v/>
      </c>
      <c r="C322" s="162"/>
      <c r="D322" s="148"/>
      <c r="E322" s="161"/>
      <c r="F322" s="146" t="str">
        <f>IF(E322&lt;&gt;"", SUMIF(Bets!$D:$D, E322, Bets!AB:AB), "")</f>
        <v/>
      </c>
      <c r="G322" s="162"/>
      <c r="H322" s="148"/>
      <c r="I322" s="161"/>
      <c r="J322" s="146" t="str">
        <f>IF(I322&lt;&gt;"", SUMIF(Bets!$D:$D, I322, Bets!AA:AA), "")</f>
        <v/>
      </c>
      <c r="K322" s="162"/>
      <c r="L322" s="148"/>
      <c r="M322" s="161"/>
      <c r="N322" s="146"/>
      <c r="O322" s="162"/>
      <c r="P322" s="148"/>
      <c r="Q322" s="161"/>
      <c r="R322" s="146" t="str">
        <f>IF(Q322&lt;&gt;"", SUMIF(Bets!$D:$D, Q322, Bets!AD:AD), "")</f>
        <v/>
      </c>
      <c r="S322" s="162"/>
      <c r="T322" s="148"/>
      <c r="U322" s="161"/>
      <c r="V322" s="146" t="str">
        <f>IF(U322&lt;&gt;"", SUMIF(Bets!$D:$D, U322, Bets!AE:AE), "")</f>
        <v/>
      </c>
      <c r="W322" s="162"/>
      <c r="X322" s="148"/>
      <c r="Y322" s="161"/>
      <c r="Z322" s="146" t="str">
        <f>IF(Y322&lt;&gt;"", SUMIF(Bets!$D:$D, Y322, Bets!AF:AF), "")</f>
        <v/>
      </c>
      <c r="AA322" s="162"/>
      <c r="AB322" s="148"/>
      <c r="AC322" s="161"/>
      <c r="AD322" s="146" t="str">
        <f>IF(AC322&lt;&gt;"", SUMIF(Bets!$D:$D, AC322, Bets!AG:AG), "")</f>
        <v/>
      </c>
      <c r="AE322" s="162"/>
      <c r="AF322" s="148"/>
    </row>
    <row r="323">
      <c r="A323" s="161"/>
      <c r="B323" s="146" t="str">
        <f>IF(A323&lt;&gt;"", SUMIF(Bets!$D:$D, A323, Bets!Z:Z), "")</f>
        <v/>
      </c>
      <c r="C323" s="162"/>
      <c r="D323" s="148"/>
      <c r="E323" s="161"/>
      <c r="F323" s="146" t="str">
        <f>IF(E323&lt;&gt;"", SUMIF(Bets!$D:$D, E323, Bets!AB:AB), "")</f>
        <v/>
      </c>
      <c r="G323" s="162"/>
      <c r="H323" s="148"/>
      <c r="I323" s="161"/>
      <c r="J323" s="146" t="str">
        <f>IF(I323&lt;&gt;"", SUMIF(Bets!$D:$D, I323, Bets!AA:AA), "")</f>
        <v/>
      </c>
      <c r="K323" s="162"/>
      <c r="L323" s="148"/>
      <c r="M323" s="161"/>
      <c r="N323" s="146"/>
      <c r="O323" s="162"/>
      <c r="P323" s="148"/>
      <c r="Q323" s="161"/>
      <c r="R323" s="146" t="str">
        <f>IF(Q323&lt;&gt;"", SUMIF(Bets!$D:$D, Q323, Bets!AD:AD), "")</f>
        <v/>
      </c>
      <c r="S323" s="162"/>
      <c r="T323" s="148"/>
      <c r="U323" s="161"/>
      <c r="V323" s="146" t="str">
        <f>IF(U323&lt;&gt;"", SUMIF(Bets!$D:$D, U323, Bets!AE:AE), "")</f>
        <v/>
      </c>
      <c r="W323" s="162"/>
      <c r="X323" s="148"/>
      <c r="Y323" s="161"/>
      <c r="Z323" s="146" t="str">
        <f>IF(Y323&lt;&gt;"", SUMIF(Bets!$D:$D, Y323, Bets!AF:AF), "")</f>
        <v/>
      </c>
      <c r="AA323" s="162"/>
      <c r="AB323" s="148"/>
      <c r="AC323" s="161"/>
      <c r="AD323" s="146" t="str">
        <f>IF(AC323&lt;&gt;"", SUMIF(Bets!$D:$D, AC323, Bets!AG:AG), "")</f>
        <v/>
      </c>
      <c r="AE323" s="162"/>
      <c r="AF323" s="148"/>
    </row>
    <row r="324">
      <c r="A324" s="161"/>
      <c r="B324" s="146" t="str">
        <f>IF(A324&lt;&gt;"", SUMIF(Bets!$D:$D, A324, Bets!Z:Z), "")</f>
        <v/>
      </c>
      <c r="C324" s="162"/>
      <c r="D324" s="148"/>
      <c r="E324" s="161"/>
      <c r="F324" s="146" t="str">
        <f>IF(E324&lt;&gt;"", SUMIF(Bets!$D:$D, E324, Bets!AB:AB), "")</f>
        <v/>
      </c>
      <c r="G324" s="162"/>
      <c r="H324" s="148"/>
      <c r="I324" s="161"/>
      <c r="J324" s="146" t="str">
        <f>IF(I324&lt;&gt;"", SUMIF(Bets!$D:$D, I324, Bets!AA:AA), "")</f>
        <v/>
      </c>
      <c r="K324" s="162"/>
      <c r="L324" s="148"/>
      <c r="M324" s="161"/>
      <c r="N324" s="146"/>
      <c r="O324" s="162"/>
      <c r="P324" s="148"/>
      <c r="Q324" s="161"/>
      <c r="R324" s="146" t="str">
        <f>IF(Q324&lt;&gt;"", SUMIF(Bets!$D:$D, Q324, Bets!AD:AD), "")</f>
        <v/>
      </c>
      <c r="S324" s="162"/>
      <c r="T324" s="148"/>
      <c r="U324" s="161"/>
      <c r="V324" s="146" t="str">
        <f>IF(U324&lt;&gt;"", SUMIF(Bets!$D:$D, U324, Bets!AE:AE), "")</f>
        <v/>
      </c>
      <c r="W324" s="162"/>
      <c r="X324" s="148"/>
      <c r="Y324" s="161"/>
      <c r="Z324" s="146" t="str">
        <f>IF(Y324&lt;&gt;"", SUMIF(Bets!$D:$D, Y324, Bets!AF:AF), "")</f>
        <v/>
      </c>
      <c r="AA324" s="162"/>
      <c r="AB324" s="148"/>
      <c r="AC324" s="161"/>
      <c r="AD324" s="146" t="str">
        <f>IF(AC324&lt;&gt;"", SUMIF(Bets!$D:$D, AC324, Bets!AG:AG), "")</f>
        <v/>
      </c>
      <c r="AE324" s="162"/>
      <c r="AF324" s="148"/>
    </row>
    <row r="325">
      <c r="A325" s="161"/>
      <c r="B325" s="146" t="str">
        <f>IF(A325&lt;&gt;"", SUMIF(Bets!$D:$D, A325, Bets!Z:Z), "")</f>
        <v/>
      </c>
      <c r="C325" s="162"/>
      <c r="D325" s="148"/>
      <c r="E325" s="161"/>
      <c r="F325" s="146" t="str">
        <f>IF(E325&lt;&gt;"", SUMIF(Bets!$D:$D, E325, Bets!AB:AB), "")</f>
        <v/>
      </c>
      <c r="G325" s="162"/>
      <c r="H325" s="148"/>
      <c r="I325" s="161"/>
      <c r="J325" s="146" t="str">
        <f>IF(I325&lt;&gt;"", SUMIF(Bets!$D:$D, I325, Bets!AA:AA), "")</f>
        <v/>
      </c>
      <c r="K325" s="162"/>
      <c r="L325" s="148"/>
      <c r="M325" s="161"/>
      <c r="N325" s="146"/>
      <c r="O325" s="162"/>
      <c r="P325" s="148"/>
      <c r="Q325" s="161"/>
      <c r="R325" s="146" t="str">
        <f>IF(Q325&lt;&gt;"", SUMIF(Bets!$D:$D, Q325, Bets!AD:AD), "")</f>
        <v/>
      </c>
      <c r="S325" s="162"/>
      <c r="T325" s="148"/>
      <c r="U325" s="161"/>
      <c r="V325" s="146" t="str">
        <f>IF(U325&lt;&gt;"", SUMIF(Bets!$D:$D, U325, Bets!AE:AE), "")</f>
        <v/>
      </c>
      <c r="W325" s="162"/>
      <c r="X325" s="148"/>
      <c r="Y325" s="161"/>
      <c r="Z325" s="146" t="str">
        <f>IF(Y325&lt;&gt;"", SUMIF(Bets!$D:$D, Y325, Bets!AF:AF), "")</f>
        <v/>
      </c>
      <c r="AA325" s="162"/>
      <c r="AB325" s="148"/>
      <c r="AC325" s="161"/>
      <c r="AD325" s="146" t="str">
        <f>IF(AC325&lt;&gt;"", SUMIF(Bets!$D:$D, AC325, Bets!AG:AG), "")</f>
        <v/>
      </c>
      <c r="AE325" s="162"/>
      <c r="AF325" s="148"/>
    </row>
    <row r="326">
      <c r="A326" s="161"/>
      <c r="B326" s="146" t="str">
        <f>IF(A326&lt;&gt;"", SUMIF(Bets!$D:$D, A326, Bets!Z:Z), "")</f>
        <v/>
      </c>
      <c r="C326" s="162"/>
      <c r="D326" s="148"/>
      <c r="E326" s="161"/>
      <c r="F326" s="146" t="str">
        <f>IF(E326&lt;&gt;"", SUMIF(Bets!$D:$D, E326, Bets!AB:AB), "")</f>
        <v/>
      </c>
      <c r="G326" s="162"/>
      <c r="H326" s="148"/>
      <c r="I326" s="161"/>
      <c r="J326" s="146" t="str">
        <f>IF(I326&lt;&gt;"", SUMIF(Bets!$D:$D, I326, Bets!AA:AA), "")</f>
        <v/>
      </c>
      <c r="K326" s="162"/>
      <c r="L326" s="148"/>
      <c r="M326" s="161"/>
      <c r="N326" s="146"/>
      <c r="O326" s="162"/>
      <c r="P326" s="148"/>
      <c r="Q326" s="161"/>
      <c r="R326" s="146" t="str">
        <f>IF(Q326&lt;&gt;"", SUMIF(Bets!$D:$D, Q326, Bets!AD:AD), "")</f>
        <v/>
      </c>
      <c r="S326" s="162"/>
      <c r="T326" s="148"/>
      <c r="U326" s="161"/>
      <c r="V326" s="146" t="str">
        <f>IF(U326&lt;&gt;"", SUMIF(Bets!$D:$D, U326, Bets!AE:AE), "")</f>
        <v/>
      </c>
      <c r="W326" s="162"/>
      <c r="X326" s="148"/>
      <c r="Y326" s="161"/>
      <c r="Z326" s="146" t="str">
        <f>IF(Y326&lt;&gt;"", SUMIF(Bets!$D:$D, Y326, Bets!AF:AF), "")</f>
        <v/>
      </c>
      <c r="AA326" s="162"/>
      <c r="AB326" s="148"/>
      <c r="AC326" s="161"/>
      <c r="AD326" s="146" t="str">
        <f>IF(AC326&lt;&gt;"", SUMIF(Bets!$D:$D, AC326, Bets!AG:AG), "")</f>
        <v/>
      </c>
      <c r="AE326" s="162"/>
      <c r="AF326" s="148"/>
    </row>
    <row r="327">
      <c r="A327" s="161"/>
      <c r="B327" s="146" t="str">
        <f>IF(A327&lt;&gt;"", SUMIF(Bets!$D:$D, A327, Bets!Z:Z), "")</f>
        <v/>
      </c>
      <c r="C327" s="162"/>
      <c r="D327" s="148"/>
      <c r="E327" s="161"/>
      <c r="F327" s="146" t="str">
        <f>IF(E327&lt;&gt;"", SUMIF(Bets!$D:$D, E327, Bets!AB:AB), "")</f>
        <v/>
      </c>
      <c r="G327" s="162"/>
      <c r="H327" s="148"/>
      <c r="I327" s="161"/>
      <c r="J327" s="146" t="str">
        <f>IF(I327&lt;&gt;"", SUMIF(Bets!$D:$D, I327, Bets!AA:AA), "")</f>
        <v/>
      </c>
      <c r="K327" s="162"/>
      <c r="L327" s="148"/>
      <c r="M327" s="161"/>
      <c r="N327" s="146"/>
      <c r="O327" s="162"/>
      <c r="P327" s="148"/>
      <c r="Q327" s="161"/>
      <c r="R327" s="146" t="str">
        <f>IF(Q327&lt;&gt;"", SUMIF(Bets!$D:$D, Q327, Bets!AD:AD), "")</f>
        <v/>
      </c>
      <c r="S327" s="162"/>
      <c r="T327" s="148"/>
      <c r="U327" s="161"/>
      <c r="V327" s="146" t="str">
        <f>IF(U327&lt;&gt;"", SUMIF(Bets!$D:$D, U327, Bets!AE:AE), "")</f>
        <v/>
      </c>
      <c r="W327" s="162"/>
      <c r="X327" s="148"/>
      <c r="Y327" s="161"/>
      <c r="Z327" s="146" t="str">
        <f>IF(Y327&lt;&gt;"", SUMIF(Bets!$D:$D, Y327, Bets!AF:AF), "")</f>
        <v/>
      </c>
      <c r="AA327" s="162"/>
      <c r="AB327" s="148"/>
      <c r="AC327" s="161"/>
      <c r="AD327" s="146" t="str">
        <f>IF(AC327&lt;&gt;"", SUMIF(Bets!$D:$D, AC327, Bets!AG:AG), "")</f>
        <v/>
      </c>
      <c r="AE327" s="162"/>
      <c r="AF327" s="148"/>
    </row>
    <row r="328">
      <c r="A328" s="161"/>
      <c r="B328" s="146" t="str">
        <f>IF(A328&lt;&gt;"", SUMIF(Bets!$D:$D, A328, Bets!Z:Z), "")</f>
        <v/>
      </c>
      <c r="C328" s="162"/>
      <c r="D328" s="148"/>
      <c r="E328" s="161"/>
      <c r="F328" s="146" t="str">
        <f>IF(E328&lt;&gt;"", SUMIF(Bets!$D:$D, E328, Bets!AB:AB), "")</f>
        <v/>
      </c>
      <c r="G328" s="162"/>
      <c r="H328" s="148"/>
      <c r="I328" s="161"/>
      <c r="J328" s="146" t="str">
        <f>IF(I328&lt;&gt;"", SUMIF(Bets!$D:$D, I328, Bets!AA:AA), "")</f>
        <v/>
      </c>
      <c r="K328" s="162"/>
      <c r="L328" s="148"/>
      <c r="M328" s="161"/>
      <c r="N328" s="146"/>
      <c r="O328" s="162"/>
      <c r="P328" s="148"/>
      <c r="Q328" s="161"/>
      <c r="R328" s="146" t="str">
        <f>IF(Q328&lt;&gt;"", SUMIF(Bets!$D:$D, Q328, Bets!AD:AD), "")</f>
        <v/>
      </c>
      <c r="S328" s="162"/>
      <c r="T328" s="148"/>
      <c r="U328" s="161"/>
      <c r="V328" s="146" t="str">
        <f>IF(U328&lt;&gt;"", SUMIF(Bets!$D:$D, U328, Bets!AE:AE), "")</f>
        <v/>
      </c>
      <c r="W328" s="162"/>
      <c r="X328" s="148"/>
      <c r="Y328" s="161"/>
      <c r="Z328" s="146" t="str">
        <f>IF(Y328&lt;&gt;"", SUMIF(Bets!$D:$D, Y328, Bets!AF:AF), "")</f>
        <v/>
      </c>
      <c r="AA328" s="162"/>
      <c r="AB328" s="148"/>
      <c r="AC328" s="161"/>
      <c r="AD328" s="146" t="str">
        <f>IF(AC328&lt;&gt;"", SUMIF(Bets!$D:$D, AC328, Bets!AG:AG), "")</f>
        <v/>
      </c>
      <c r="AE328" s="162"/>
      <c r="AF328" s="148"/>
    </row>
    <row r="329">
      <c r="A329" s="161"/>
      <c r="B329" s="146" t="str">
        <f>IF(A329&lt;&gt;"", SUMIF(Bets!$D:$D, A329, Bets!Z:Z), "")</f>
        <v/>
      </c>
      <c r="C329" s="162"/>
      <c r="D329" s="148"/>
      <c r="E329" s="161"/>
      <c r="F329" s="146" t="str">
        <f>IF(E329&lt;&gt;"", SUMIF(Bets!$D:$D, E329, Bets!AB:AB), "")</f>
        <v/>
      </c>
      <c r="G329" s="162"/>
      <c r="H329" s="148"/>
      <c r="I329" s="161"/>
      <c r="J329" s="146" t="str">
        <f>IF(I329&lt;&gt;"", SUMIF(Bets!$D:$D, I329, Bets!AA:AA), "")</f>
        <v/>
      </c>
      <c r="K329" s="162"/>
      <c r="L329" s="148"/>
      <c r="M329" s="161"/>
      <c r="N329" s="146"/>
      <c r="O329" s="162"/>
      <c r="P329" s="148"/>
      <c r="Q329" s="161"/>
      <c r="R329" s="146" t="str">
        <f>IF(Q329&lt;&gt;"", SUMIF(Bets!$D:$D, Q329, Bets!AD:AD), "")</f>
        <v/>
      </c>
      <c r="S329" s="162"/>
      <c r="T329" s="148"/>
      <c r="U329" s="161"/>
      <c r="V329" s="146" t="str">
        <f>IF(U329&lt;&gt;"", SUMIF(Bets!$D:$D, U329, Bets!AE:AE), "")</f>
        <v/>
      </c>
      <c r="W329" s="162"/>
      <c r="X329" s="148"/>
      <c r="Y329" s="161"/>
      <c r="Z329" s="146" t="str">
        <f>IF(Y329&lt;&gt;"", SUMIF(Bets!$D:$D, Y329, Bets!AF:AF), "")</f>
        <v/>
      </c>
      <c r="AA329" s="162"/>
      <c r="AB329" s="148"/>
      <c r="AC329" s="161"/>
      <c r="AD329" s="146" t="str">
        <f>IF(AC329&lt;&gt;"", SUMIF(Bets!$D:$D, AC329, Bets!AG:AG), "")</f>
        <v/>
      </c>
      <c r="AE329" s="162"/>
      <c r="AF329" s="148"/>
    </row>
    <row r="330">
      <c r="A330" s="161"/>
      <c r="B330" s="146" t="str">
        <f>IF(A330&lt;&gt;"", SUMIF(Bets!$D:$D, A330, Bets!Z:Z), "")</f>
        <v/>
      </c>
      <c r="C330" s="162"/>
      <c r="D330" s="148"/>
      <c r="E330" s="161"/>
      <c r="F330" s="146" t="str">
        <f>IF(E330&lt;&gt;"", SUMIF(Bets!$D:$D, E330, Bets!AB:AB), "")</f>
        <v/>
      </c>
      <c r="G330" s="162"/>
      <c r="H330" s="148"/>
      <c r="I330" s="161"/>
      <c r="J330" s="146" t="str">
        <f>IF(I330&lt;&gt;"", SUMIF(Bets!$D:$D, I330, Bets!AA:AA), "")</f>
        <v/>
      </c>
      <c r="K330" s="162"/>
      <c r="L330" s="148"/>
      <c r="M330" s="161"/>
      <c r="N330" s="146"/>
      <c r="O330" s="162"/>
      <c r="P330" s="148"/>
      <c r="Q330" s="161"/>
      <c r="R330" s="146" t="str">
        <f>IF(Q330&lt;&gt;"", SUMIF(Bets!$D:$D, Q330, Bets!AD:AD), "")</f>
        <v/>
      </c>
      <c r="S330" s="162"/>
      <c r="T330" s="148"/>
      <c r="U330" s="161"/>
      <c r="V330" s="146" t="str">
        <f>IF(U330&lt;&gt;"", SUMIF(Bets!$D:$D, U330, Bets!AE:AE), "")</f>
        <v/>
      </c>
      <c r="W330" s="162"/>
      <c r="X330" s="148"/>
      <c r="Y330" s="161"/>
      <c r="Z330" s="146" t="str">
        <f>IF(Y330&lt;&gt;"", SUMIF(Bets!$D:$D, Y330, Bets!AF:AF), "")</f>
        <v/>
      </c>
      <c r="AA330" s="162"/>
      <c r="AB330" s="148"/>
      <c r="AC330" s="161"/>
      <c r="AD330" s="146" t="str">
        <f>IF(AC330&lt;&gt;"", SUMIF(Bets!$D:$D, AC330, Bets!AG:AG), "")</f>
        <v/>
      </c>
      <c r="AE330" s="162"/>
      <c r="AF330" s="148"/>
    </row>
    <row r="331">
      <c r="A331" s="161"/>
      <c r="B331" s="146" t="str">
        <f>IF(A331&lt;&gt;"", SUMIF(Bets!$D:$D, A331, Bets!Z:Z), "")</f>
        <v/>
      </c>
      <c r="C331" s="162"/>
      <c r="D331" s="148"/>
      <c r="E331" s="161"/>
      <c r="F331" s="146" t="str">
        <f>IF(E331&lt;&gt;"", SUMIF(Bets!$D:$D, E331, Bets!AB:AB), "")</f>
        <v/>
      </c>
      <c r="G331" s="162"/>
      <c r="H331" s="148"/>
      <c r="I331" s="161"/>
      <c r="J331" s="146" t="str">
        <f>IF(I331&lt;&gt;"", SUMIF(Bets!$D:$D, I331, Bets!AA:AA), "")</f>
        <v/>
      </c>
      <c r="K331" s="162"/>
      <c r="L331" s="148"/>
      <c r="M331" s="161"/>
      <c r="N331" s="146"/>
      <c r="O331" s="162"/>
      <c r="P331" s="148"/>
      <c r="Q331" s="161"/>
      <c r="R331" s="146" t="str">
        <f>IF(Q331&lt;&gt;"", SUMIF(Bets!$D:$D, Q331, Bets!AD:AD), "")</f>
        <v/>
      </c>
      <c r="S331" s="162"/>
      <c r="T331" s="148"/>
      <c r="U331" s="161"/>
      <c r="V331" s="146" t="str">
        <f>IF(U331&lt;&gt;"", SUMIF(Bets!$D:$D, U331, Bets!AE:AE), "")</f>
        <v/>
      </c>
      <c r="W331" s="162"/>
      <c r="X331" s="148"/>
      <c r="Y331" s="161"/>
      <c r="Z331" s="146" t="str">
        <f>IF(Y331&lt;&gt;"", SUMIF(Bets!$D:$D, Y331, Bets!AF:AF), "")</f>
        <v/>
      </c>
      <c r="AA331" s="162"/>
      <c r="AB331" s="148"/>
      <c r="AC331" s="161"/>
      <c r="AD331" s="146" t="str">
        <f>IF(AC331&lt;&gt;"", SUMIF(Bets!$D:$D, AC331, Bets!AG:AG), "")</f>
        <v/>
      </c>
      <c r="AE331" s="162"/>
      <c r="AF331" s="148"/>
    </row>
    <row r="332">
      <c r="A332" s="161"/>
      <c r="B332" s="146" t="str">
        <f>IF(A332&lt;&gt;"", SUMIF(Bets!$D:$D, A332, Bets!Z:Z), "")</f>
        <v/>
      </c>
      <c r="C332" s="162"/>
      <c r="D332" s="148"/>
      <c r="E332" s="161"/>
      <c r="F332" s="146" t="str">
        <f>IF(E332&lt;&gt;"", SUMIF(Bets!$D:$D, E332, Bets!AB:AB), "")</f>
        <v/>
      </c>
      <c r="G332" s="162"/>
      <c r="H332" s="148"/>
      <c r="I332" s="161"/>
      <c r="J332" s="146" t="str">
        <f>IF(I332&lt;&gt;"", SUMIF(Bets!$D:$D, I332, Bets!AA:AA), "")</f>
        <v/>
      </c>
      <c r="K332" s="162"/>
      <c r="L332" s="148"/>
      <c r="M332" s="161"/>
      <c r="N332" s="146"/>
      <c r="O332" s="162"/>
      <c r="P332" s="148"/>
      <c r="Q332" s="161"/>
      <c r="R332" s="146" t="str">
        <f>IF(Q332&lt;&gt;"", SUMIF(Bets!$D:$D, Q332, Bets!AD:AD), "")</f>
        <v/>
      </c>
      <c r="S332" s="162"/>
      <c r="T332" s="148"/>
      <c r="U332" s="161"/>
      <c r="V332" s="146" t="str">
        <f>IF(U332&lt;&gt;"", SUMIF(Bets!$D:$D, U332, Bets!AE:AE), "")</f>
        <v/>
      </c>
      <c r="W332" s="162"/>
      <c r="X332" s="148"/>
      <c r="Y332" s="161"/>
      <c r="Z332" s="146" t="str">
        <f>IF(Y332&lt;&gt;"", SUMIF(Bets!$D:$D, Y332, Bets!AF:AF), "")</f>
        <v/>
      </c>
      <c r="AA332" s="162"/>
      <c r="AB332" s="148"/>
      <c r="AC332" s="161"/>
      <c r="AD332" s="146" t="str">
        <f>IF(AC332&lt;&gt;"", SUMIF(Bets!$D:$D, AC332, Bets!AG:AG), "")</f>
        <v/>
      </c>
      <c r="AE332" s="162"/>
      <c r="AF332" s="148"/>
    </row>
    <row r="333">
      <c r="A333" s="161"/>
      <c r="B333" s="146" t="str">
        <f>IF(A333&lt;&gt;"", SUMIF(Bets!$D:$D, A333, Bets!Z:Z), "")</f>
        <v/>
      </c>
      <c r="C333" s="162"/>
      <c r="D333" s="148"/>
      <c r="E333" s="161"/>
      <c r="F333" s="146" t="str">
        <f>IF(E333&lt;&gt;"", SUMIF(Bets!$D:$D, E333, Bets!AB:AB), "")</f>
        <v/>
      </c>
      <c r="G333" s="162"/>
      <c r="H333" s="148"/>
      <c r="I333" s="161"/>
      <c r="J333" s="146" t="str">
        <f>IF(I333&lt;&gt;"", SUMIF(Bets!$D:$D, I333, Bets!AA:AA), "")</f>
        <v/>
      </c>
      <c r="K333" s="162"/>
      <c r="L333" s="148"/>
      <c r="M333" s="161"/>
      <c r="N333" s="146"/>
      <c r="O333" s="162"/>
      <c r="P333" s="148"/>
      <c r="Q333" s="161"/>
      <c r="R333" s="146" t="str">
        <f>IF(Q333&lt;&gt;"", SUMIF(Bets!$D:$D, Q333, Bets!AD:AD), "")</f>
        <v/>
      </c>
      <c r="S333" s="162"/>
      <c r="T333" s="148"/>
      <c r="U333" s="161"/>
      <c r="V333" s="146" t="str">
        <f>IF(U333&lt;&gt;"", SUMIF(Bets!$D:$D, U333, Bets!AE:AE), "")</f>
        <v/>
      </c>
      <c r="W333" s="162"/>
      <c r="X333" s="148"/>
      <c r="Y333" s="161"/>
      <c r="Z333" s="146" t="str">
        <f>IF(Y333&lt;&gt;"", SUMIF(Bets!$D:$D, Y333, Bets!AF:AF), "")</f>
        <v/>
      </c>
      <c r="AA333" s="162"/>
      <c r="AB333" s="148"/>
      <c r="AC333" s="161"/>
      <c r="AD333" s="146" t="str">
        <f>IF(AC333&lt;&gt;"", SUMIF(Bets!$D:$D, AC333, Bets!AG:AG), "")</f>
        <v/>
      </c>
      <c r="AE333" s="162"/>
      <c r="AF333" s="148"/>
    </row>
    <row r="334">
      <c r="A334" s="161"/>
      <c r="B334" s="146" t="str">
        <f>IF(A334&lt;&gt;"", SUMIF(Bets!$D:$D, A334, Bets!Z:Z), "")</f>
        <v/>
      </c>
      <c r="C334" s="162"/>
      <c r="D334" s="148"/>
      <c r="E334" s="161"/>
      <c r="F334" s="146" t="str">
        <f>IF(E334&lt;&gt;"", SUMIF(Bets!$D:$D, E334, Bets!AB:AB), "")</f>
        <v/>
      </c>
      <c r="G334" s="162"/>
      <c r="H334" s="148"/>
      <c r="I334" s="161"/>
      <c r="J334" s="146" t="str">
        <f>IF(I334&lt;&gt;"", SUMIF(Bets!$D:$D, I334, Bets!AA:AA), "")</f>
        <v/>
      </c>
      <c r="K334" s="162"/>
      <c r="L334" s="148"/>
      <c r="M334" s="161"/>
      <c r="N334" s="146"/>
      <c r="O334" s="162"/>
      <c r="P334" s="148"/>
      <c r="Q334" s="161"/>
      <c r="R334" s="146" t="str">
        <f>IF(Q334&lt;&gt;"", SUMIF(Bets!$D:$D, Q334, Bets!AD:AD), "")</f>
        <v/>
      </c>
      <c r="S334" s="162"/>
      <c r="T334" s="148"/>
      <c r="U334" s="161"/>
      <c r="V334" s="146" t="str">
        <f>IF(U334&lt;&gt;"", SUMIF(Bets!$D:$D, U334, Bets!AE:AE), "")</f>
        <v/>
      </c>
      <c r="W334" s="162"/>
      <c r="X334" s="148"/>
      <c r="Y334" s="161"/>
      <c r="Z334" s="146" t="str">
        <f>IF(Y334&lt;&gt;"", SUMIF(Bets!$D:$D, Y334, Bets!AF:AF), "")</f>
        <v/>
      </c>
      <c r="AA334" s="162"/>
      <c r="AB334" s="148"/>
      <c r="AC334" s="161"/>
      <c r="AD334" s="146" t="str">
        <f>IF(AC334&lt;&gt;"", SUMIF(Bets!$D:$D, AC334, Bets!AG:AG), "")</f>
        <v/>
      </c>
      <c r="AE334" s="162"/>
      <c r="AF334" s="148"/>
    </row>
    <row r="335">
      <c r="A335" s="161"/>
      <c r="B335" s="146" t="str">
        <f>IF(A335&lt;&gt;"", SUMIF(Bets!$D:$D, A335, Bets!Z:Z), "")</f>
        <v/>
      </c>
      <c r="C335" s="162"/>
      <c r="D335" s="148"/>
      <c r="E335" s="161"/>
      <c r="F335" s="146" t="str">
        <f>IF(E335&lt;&gt;"", SUMIF(Bets!$D:$D, E335, Bets!AB:AB), "")</f>
        <v/>
      </c>
      <c r="G335" s="162"/>
      <c r="H335" s="148"/>
      <c r="I335" s="161"/>
      <c r="J335" s="146" t="str">
        <f>IF(I335&lt;&gt;"", SUMIF(Bets!$D:$D, I335, Bets!AA:AA), "")</f>
        <v/>
      </c>
      <c r="K335" s="162"/>
      <c r="L335" s="148"/>
      <c r="M335" s="161"/>
      <c r="N335" s="146"/>
      <c r="O335" s="162"/>
      <c r="P335" s="148"/>
      <c r="Q335" s="161"/>
      <c r="R335" s="146" t="str">
        <f>IF(Q335&lt;&gt;"", SUMIF(Bets!$D:$D, Q335, Bets!AD:AD), "")</f>
        <v/>
      </c>
      <c r="S335" s="162"/>
      <c r="T335" s="148"/>
      <c r="U335" s="161"/>
      <c r="V335" s="146" t="str">
        <f>IF(U335&lt;&gt;"", SUMIF(Bets!$D:$D, U335, Bets!AE:AE), "")</f>
        <v/>
      </c>
      <c r="W335" s="162"/>
      <c r="X335" s="148"/>
      <c r="Y335" s="161"/>
      <c r="Z335" s="146" t="str">
        <f>IF(Y335&lt;&gt;"", SUMIF(Bets!$D:$D, Y335, Bets!AF:AF), "")</f>
        <v/>
      </c>
      <c r="AA335" s="162"/>
      <c r="AB335" s="148"/>
      <c r="AC335" s="161"/>
      <c r="AD335" s="146" t="str">
        <f>IF(AC335&lt;&gt;"", SUMIF(Bets!$D:$D, AC335, Bets!AG:AG), "")</f>
        <v/>
      </c>
      <c r="AE335" s="162"/>
      <c r="AF335" s="148"/>
    </row>
    <row r="336">
      <c r="A336" s="161"/>
      <c r="B336" s="146" t="str">
        <f>IF(A336&lt;&gt;"", SUMIF(Bets!$D:$D, A336, Bets!Z:Z), "")</f>
        <v/>
      </c>
      <c r="C336" s="162"/>
      <c r="D336" s="148"/>
      <c r="E336" s="161"/>
      <c r="F336" s="146" t="str">
        <f>IF(E336&lt;&gt;"", SUMIF(Bets!$D:$D, E336, Bets!AB:AB), "")</f>
        <v/>
      </c>
      <c r="G336" s="162"/>
      <c r="H336" s="148"/>
      <c r="I336" s="161"/>
      <c r="J336" s="146" t="str">
        <f>IF(I336&lt;&gt;"", SUMIF(Bets!$D:$D, I336, Bets!AA:AA), "")</f>
        <v/>
      </c>
      <c r="K336" s="162"/>
      <c r="L336" s="148"/>
      <c r="M336" s="161"/>
      <c r="N336" s="146"/>
      <c r="O336" s="162"/>
      <c r="P336" s="148"/>
      <c r="Q336" s="161"/>
      <c r="R336" s="146" t="str">
        <f>IF(Q336&lt;&gt;"", SUMIF(Bets!$D:$D, Q336, Bets!AD:AD), "")</f>
        <v/>
      </c>
      <c r="S336" s="162"/>
      <c r="T336" s="148"/>
      <c r="U336" s="161"/>
      <c r="V336" s="146" t="str">
        <f>IF(U336&lt;&gt;"", SUMIF(Bets!$D:$D, U336, Bets!AE:AE), "")</f>
        <v/>
      </c>
      <c r="W336" s="162"/>
      <c r="X336" s="148"/>
      <c r="Y336" s="161"/>
      <c r="Z336" s="146" t="str">
        <f>IF(Y336&lt;&gt;"", SUMIF(Bets!$D:$D, Y336, Bets!AF:AF), "")</f>
        <v/>
      </c>
      <c r="AA336" s="162"/>
      <c r="AB336" s="148"/>
      <c r="AC336" s="161"/>
      <c r="AD336" s="146" t="str">
        <f>IF(AC336&lt;&gt;"", SUMIF(Bets!$D:$D, AC336, Bets!AG:AG), "")</f>
        <v/>
      </c>
      <c r="AE336" s="162"/>
      <c r="AF336" s="148"/>
    </row>
    <row r="337">
      <c r="A337" s="161"/>
      <c r="B337" s="146" t="str">
        <f>IF(A337&lt;&gt;"", SUMIF(Bets!$D:$D, A337, Bets!Z:Z), "")</f>
        <v/>
      </c>
      <c r="C337" s="162"/>
      <c r="D337" s="148"/>
      <c r="E337" s="161"/>
      <c r="F337" s="146" t="str">
        <f>IF(E337&lt;&gt;"", SUMIF(Bets!$D:$D, E337, Bets!AB:AB), "")</f>
        <v/>
      </c>
      <c r="G337" s="162"/>
      <c r="H337" s="148"/>
      <c r="I337" s="161"/>
      <c r="J337" s="146" t="str">
        <f>IF(I337&lt;&gt;"", SUMIF(Bets!$D:$D, I337, Bets!AA:AA), "")</f>
        <v/>
      </c>
      <c r="K337" s="162"/>
      <c r="L337" s="148"/>
      <c r="M337" s="161"/>
      <c r="N337" s="146"/>
      <c r="O337" s="162"/>
      <c r="P337" s="148"/>
      <c r="Q337" s="161"/>
      <c r="R337" s="146" t="str">
        <f>IF(Q337&lt;&gt;"", SUMIF(Bets!$D:$D, Q337, Bets!AD:AD), "")</f>
        <v/>
      </c>
      <c r="S337" s="162"/>
      <c r="T337" s="148"/>
      <c r="U337" s="161"/>
      <c r="V337" s="146" t="str">
        <f>IF(U337&lt;&gt;"", SUMIF(Bets!$D:$D, U337, Bets!AE:AE), "")</f>
        <v/>
      </c>
      <c r="W337" s="162"/>
      <c r="X337" s="148"/>
      <c r="Y337" s="161"/>
      <c r="Z337" s="146" t="str">
        <f>IF(Y337&lt;&gt;"", SUMIF(Bets!$D:$D, Y337, Bets!AF:AF), "")</f>
        <v/>
      </c>
      <c r="AA337" s="162"/>
      <c r="AB337" s="148"/>
      <c r="AC337" s="161"/>
      <c r="AD337" s="146" t="str">
        <f>IF(AC337&lt;&gt;"", SUMIF(Bets!$D:$D, AC337, Bets!AG:AG), "")</f>
        <v/>
      </c>
      <c r="AE337" s="162"/>
      <c r="AF337" s="148"/>
    </row>
    <row r="338">
      <c r="A338" s="161"/>
      <c r="B338" s="146" t="str">
        <f>IF(A338&lt;&gt;"", SUMIF(Bets!$D:$D, A338, Bets!Z:Z), "")</f>
        <v/>
      </c>
      <c r="C338" s="162"/>
      <c r="D338" s="148"/>
      <c r="E338" s="161"/>
      <c r="F338" s="146" t="str">
        <f>IF(E338&lt;&gt;"", SUMIF(Bets!$D:$D, E338, Bets!AB:AB), "")</f>
        <v/>
      </c>
      <c r="G338" s="162"/>
      <c r="H338" s="148"/>
      <c r="I338" s="161"/>
      <c r="J338" s="146" t="str">
        <f>IF(I338&lt;&gt;"", SUMIF(Bets!$D:$D, I338, Bets!AA:AA), "")</f>
        <v/>
      </c>
      <c r="K338" s="162"/>
      <c r="L338" s="148"/>
      <c r="M338" s="161"/>
      <c r="N338" s="146"/>
      <c r="O338" s="162"/>
      <c r="P338" s="148"/>
      <c r="Q338" s="161"/>
      <c r="R338" s="146" t="str">
        <f>IF(Q338&lt;&gt;"", SUMIF(Bets!$D:$D, Q338, Bets!AD:AD), "")</f>
        <v/>
      </c>
      <c r="S338" s="162"/>
      <c r="T338" s="148"/>
      <c r="U338" s="161"/>
      <c r="V338" s="146" t="str">
        <f>IF(U338&lt;&gt;"", SUMIF(Bets!$D:$D, U338, Bets!AE:AE), "")</f>
        <v/>
      </c>
      <c r="W338" s="162"/>
      <c r="X338" s="148"/>
      <c r="Y338" s="161"/>
      <c r="Z338" s="146" t="str">
        <f>IF(Y338&lt;&gt;"", SUMIF(Bets!$D:$D, Y338, Bets!AF:AF), "")</f>
        <v/>
      </c>
      <c r="AA338" s="162"/>
      <c r="AB338" s="148"/>
      <c r="AC338" s="161"/>
      <c r="AD338" s="146" t="str">
        <f>IF(AC338&lt;&gt;"", SUMIF(Bets!$D:$D, AC338, Bets!AG:AG), "")</f>
        <v/>
      </c>
      <c r="AE338" s="162"/>
      <c r="AF338" s="148"/>
    </row>
    <row r="339">
      <c r="A339" s="161"/>
      <c r="B339" s="146" t="str">
        <f>IF(A339&lt;&gt;"", SUMIF(Bets!$D:$D, A339, Bets!Z:Z), "")</f>
        <v/>
      </c>
      <c r="C339" s="162"/>
      <c r="D339" s="148"/>
      <c r="E339" s="161"/>
      <c r="F339" s="146" t="str">
        <f>IF(E339&lt;&gt;"", SUMIF(Bets!$D:$D, E339, Bets!AB:AB), "")</f>
        <v/>
      </c>
      <c r="G339" s="162"/>
      <c r="H339" s="148"/>
      <c r="I339" s="161"/>
      <c r="J339" s="146" t="str">
        <f>IF(I339&lt;&gt;"", SUMIF(Bets!$D:$D, I339, Bets!AA:AA), "")</f>
        <v/>
      </c>
      <c r="K339" s="162"/>
      <c r="L339" s="148"/>
      <c r="M339" s="161"/>
      <c r="N339" s="146"/>
      <c r="O339" s="162"/>
      <c r="P339" s="148"/>
      <c r="Q339" s="161"/>
      <c r="R339" s="146" t="str">
        <f>IF(Q339&lt;&gt;"", SUMIF(Bets!$D:$D, Q339, Bets!AD:AD), "")</f>
        <v/>
      </c>
      <c r="S339" s="162"/>
      <c r="T339" s="148"/>
      <c r="U339" s="161"/>
      <c r="V339" s="146" t="str">
        <f>IF(U339&lt;&gt;"", SUMIF(Bets!$D:$D, U339, Bets!AE:AE), "")</f>
        <v/>
      </c>
      <c r="W339" s="162"/>
      <c r="X339" s="148"/>
      <c r="Y339" s="161"/>
      <c r="Z339" s="146" t="str">
        <f>IF(Y339&lt;&gt;"", SUMIF(Bets!$D:$D, Y339, Bets!AF:AF), "")</f>
        <v/>
      </c>
      <c r="AA339" s="162"/>
      <c r="AB339" s="148"/>
      <c r="AC339" s="161"/>
      <c r="AD339" s="146" t="str">
        <f>IF(AC339&lt;&gt;"", SUMIF(Bets!$D:$D, AC339, Bets!AG:AG), "")</f>
        <v/>
      </c>
      <c r="AE339" s="162"/>
      <c r="AF339" s="148"/>
    </row>
    <row r="340">
      <c r="A340" s="161"/>
      <c r="B340" s="146" t="str">
        <f>IF(A340&lt;&gt;"", SUMIF(Bets!$D:$D, A340, Bets!Z:Z), "")</f>
        <v/>
      </c>
      <c r="C340" s="162"/>
      <c r="D340" s="148"/>
      <c r="E340" s="161"/>
      <c r="F340" s="146" t="str">
        <f>IF(E340&lt;&gt;"", SUMIF(Bets!$D:$D, E340, Bets!AB:AB), "")</f>
        <v/>
      </c>
      <c r="G340" s="162"/>
      <c r="H340" s="148"/>
      <c r="I340" s="161"/>
      <c r="J340" s="146" t="str">
        <f>IF(I340&lt;&gt;"", SUMIF(Bets!$D:$D, I340, Bets!AA:AA), "")</f>
        <v/>
      </c>
      <c r="K340" s="162"/>
      <c r="L340" s="148"/>
      <c r="M340" s="161"/>
      <c r="N340" s="146"/>
      <c r="O340" s="162"/>
      <c r="P340" s="148"/>
      <c r="Q340" s="161"/>
      <c r="R340" s="146" t="str">
        <f>IF(Q340&lt;&gt;"", SUMIF(Bets!$D:$D, Q340, Bets!AD:AD), "")</f>
        <v/>
      </c>
      <c r="S340" s="162"/>
      <c r="T340" s="148"/>
      <c r="U340" s="161"/>
      <c r="V340" s="146" t="str">
        <f>IF(U340&lt;&gt;"", SUMIF(Bets!$D:$D, U340, Bets!AE:AE), "")</f>
        <v/>
      </c>
      <c r="W340" s="162"/>
      <c r="X340" s="148"/>
      <c r="Y340" s="161"/>
      <c r="Z340" s="146" t="str">
        <f>IF(Y340&lt;&gt;"", SUMIF(Bets!$D:$D, Y340, Bets!AF:AF), "")</f>
        <v/>
      </c>
      <c r="AA340" s="162"/>
      <c r="AB340" s="148"/>
      <c r="AC340" s="161"/>
      <c r="AD340" s="146" t="str">
        <f>IF(AC340&lt;&gt;"", SUMIF(Bets!$D:$D, AC340, Bets!AG:AG), "")</f>
        <v/>
      </c>
      <c r="AE340" s="162"/>
      <c r="AF340" s="148"/>
    </row>
    <row r="341">
      <c r="A341" s="161"/>
      <c r="B341" s="146" t="str">
        <f>IF(A341&lt;&gt;"", SUMIF(Bets!$D:$D, A341, Bets!Z:Z), "")</f>
        <v/>
      </c>
      <c r="C341" s="162"/>
      <c r="D341" s="148"/>
      <c r="E341" s="161"/>
      <c r="F341" s="146" t="str">
        <f>IF(E341&lt;&gt;"", SUMIF(Bets!$D:$D, E341, Bets!AB:AB), "")</f>
        <v/>
      </c>
      <c r="G341" s="162"/>
      <c r="H341" s="148"/>
      <c r="I341" s="161"/>
      <c r="J341" s="146" t="str">
        <f>IF(I341&lt;&gt;"", SUMIF(Bets!$D:$D, I341, Bets!AA:AA), "")</f>
        <v/>
      </c>
      <c r="K341" s="162"/>
      <c r="L341" s="148"/>
      <c r="M341" s="161"/>
      <c r="N341" s="146"/>
      <c r="O341" s="162"/>
      <c r="P341" s="148"/>
      <c r="Q341" s="161"/>
      <c r="R341" s="146" t="str">
        <f>IF(Q341&lt;&gt;"", SUMIF(Bets!$D:$D, Q341, Bets!AD:AD), "")</f>
        <v/>
      </c>
      <c r="S341" s="162"/>
      <c r="T341" s="148"/>
      <c r="U341" s="161"/>
      <c r="V341" s="146" t="str">
        <f>IF(U341&lt;&gt;"", SUMIF(Bets!$D:$D, U341, Bets!AE:AE), "")</f>
        <v/>
      </c>
      <c r="W341" s="162"/>
      <c r="X341" s="148"/>
      <c r="Y341" s="161"/>
      <c r="Z341" s="146" t="str">
        <f>IF(Y341&lt;&gt;"", SUMIF(Bets!$D:$D, Y341, Bets!AF:AF), "")</f>
        <v/>
      </c>
      <c r="AA341" s="162"/>
      <c r="AB341" s="148"/>
      <c r="AC341" s="161"/>
      <c r="AD341" s="146" t="str">
        <f>IF(AC341&lt;&gt;"", SUMIF(Bets!$D:$D, AC341, Bets!AG:AG), "")</f>
        <v/>
      </c>
      <c r="AE341" s="162"/>
      <c r="AF341" s="148"/>
    </row>
    <row r="342">
      <c r="A342" s="161"/>
      <c r="B342" s="146" t="str">
        <f>IF(A342&lt;&gt;"", SUMIF(Bets!$D:$D, A342, Bets!Z:Z), "")</f>
        <v/>
      </c>
      <c r="C342" s="162"/>
      <c r="D342" s="148"/>
      <c r="E342" s="161"/>
      <c r="F342" s="146" t="str">
        <f>IF(E342&lt;&gt;"", SUMIF(Bets!$D:$D, E342, Bets!AB:AB), "")</f>
        <v/>
      </c>
      <c r="G342" s="162"/>
      <c r="H342" s="148"/>
      <c r="I342" s="161"/>
      <c r="J342" s="146" t="str">
        <f>IF(I342&lt;&gt;"", SUMIF(Bets!$D:$D, I342, Bets!AA:AA), "")</f>
        <v/>
      </c>
      <c r="K342" s="162"/>
      <c r="L342" s="148"/>
      <c r="M342" s="161"/>
      <c r="N342" s="146"/>
      <c r="O342" s="162"/>
      <c r="P342" s="148"/>
      <c r="Q342" s="161"/>
      <c r="R342" s="146" t="str">
        <f>IF(Q342&lt;&gt;"", SUMIF(Bets!$D:$D, Q342, Bets!AD:AD), "")</f>
        <v/>
      </c>
      <c r="S342" s="162"/>
      <c r="T342" s="148"/>
      <c r="U342" s="161"/>
      <c r="V342" s="146" t="str">
        <f>IF(U342&lt;&gt;"", SUMIF(Bets!$D:$D, U342, Bets!AE:AE), "")</f>
        <v/>
      </c>
      <c r="W342" s="162"/>
      <c r="X342" s="148"/>
      <c r="Y342" s="161"/>
      <c r="Z342" s="146" t="str">
        <f>IF(Y342&lt;&gt;"", SUMIF(Bets!$D:$D, Y342, Bets!AF:AF), "")</f>
        <v/>
      </c>
      <c r="AA342" s="162"/>
      <c r="AB342" s="148"/>
      <c r="AC342" s="161"/>
      <c r="AD342" s="146" t="str">
        <f>IF(AC342&lt;&gt;"", SUMIF(Bets!$D:$D, AC342, Bets!AG:AG), "")</f>
        <v/>
      </c>
      <c r="AE342" s="162"/>
      <c r="AF342" s="148"/>
    </row>
    <row r="343">
      <c r="A343" s="161"/>
      <c r="B343" s="146" t="str">
        <f>IF(A343&lt;&gt;"", SUMIF(Bets!$D:$D, A343, Bets!Z:Z), "")</f>
        <v/>
      </c>
      <c r="C343" s="162"/>
      <c r="D343" s="148"/>
      <c r="E343" s="161"/>
      <c r="F343" s="146" t="str">
        <f>IF(E343&lt;&gt;"", SUMIF(Bets!$D:$D, E343, Bets!AB:AB), "")</f>
        <v/>
      </c>
      <c r="G343" s="162"/>
      <c r="H343" s="148"/>
      <c r="I343" s="161"/>
      <c r="J343" s="146" t="str">
        <f>IF(I343&lt;&gt;"", SUMIF(Bets!$D:$D, I343, Bets!AA:AA), "")</f>
        <v/>
      </c>
      <c r="K343" s="162"/>
      <c r="L343" s="148"/>
      <c r="M343" s="161"/>
      <c r="N343" s="146"/>
      <c r="O343" s="162"/>
      <c r="P343" s="148"/>
      <c r="Q343" s="161"/>
      <c r="R343" s="146" t="str">
        <f>IF(Q343&lt;&gt;"", SUMIF(Bets!$D:$D, Q343, Bets!AD:AD), "")</f>
        <v/>
      </c>
      <c r="S343" s="162"/>
      <c r="T343" s="148"/>
      <c r="U343" s="161"/>
      <c r="V343" s="146" t="str">
        <f>IF(U343&lt;&gt;"", SUMIF(Bets!$D:$D, U343, Bets!AE:AE), "")</f>
        <v/>
      </c>
      <c r="W343" s="162"/>
      <c r="X343" s="148"/>
      <c r="Y343" s="161"/>
      <c r="Z343" s="146" t="str">
        <f>IF(Y343&lt;&gt;"", SUMIF(Bets!$D:$D, Y343, Bets!AF:AF), "")</f>
        <v/>
      </c>
      <c r="AA343" s="162"/>
      <c r="AB343" s="148"/>
      <c r="AC343" s="161"/>
      <c r="AD343" s="146" t="str">
        <f>IF(AC343&lt;&gt;"", SUMIF(Bets!$D:$D, AC343, Bets!AG:AG), "")</f>
        <v/>
      </c>
      <c r="AE343" s="162"/>
      <c r="AF343" s="148"/>
    </row>
    <row r="344">
      <c r="A344" s="161"/>
      <c r="B344" s="146" t="str">
        <f>IF(A344&lt;&gt;"", SUMIF(Bets!$D:$D, A344, Bets!Z:Z), "")</f>
        <v/>
      </c>
      <c r="C344" s="162"/>
      <c r="D344" s="148"/>
      <c r="E344" s="161"/>
      <c r="F344" s="146" t="str">
        <f>IF(E344&lt;&gt;"", SUMIF(Bets!$D:$D, E344, Bets!AB:AB), "")</f>
        <v/>
      </c>
      <c r="G344" s="162"/>
      <c r="H344" s="148"/>
      <c r="I344" s="161"/>
      <c r="J344" s="146" t="str">
        <f>IF(I344&lt;&gt;"", SUMIF(Bets!$D:$D, I344, Bets!AA:AA), "")</f>
        <v/>
      </c>
      <c r="K344" s="162"/>
      <c r="L344" s="148"/>
      <c r="M344" s="161"/>
      <c r="N344" s="146"/>
      <c r="O344" s="162"/>
      <c r="P344" s="148"/>
      <c r="Q344" s="161"/>
      <c r="R344" s="146" t="str">
        <f>IF(Q344&lt;&gt;"", SUMIF(Bets!$D:$D, Q344, Bets!AD:AD), "")</f>
        <v/>
      </c>
      <c r="S344" s="162"/>
      <c r="T344" s="148"/>
      <c r="U344" s="161"/>
      <c r="V344" s="146" t="str">
        <f>IF(U344&lt;&gt;"", SUMIF(Bets!$D:$D, U344, Bets!AE:AE), "")</f>
        <v/>
      </c>
      <c r="W344" s="162"/>
      <c r="X344" s="148"/>
      <c r="Y344" s="161"/>
      <c r="Z344" s="146" t="str">
        <f>IF(Y344&lt;&gt;"", SUMIF(Bets!$D:$D, Y344, Bets!AF:AF), "")</f>
        <v/>
      </c>
      <c r="AA344" s="162"/>
      <c r="AB344" s="148"/>
      <c r="AC344" s="161"/>
      <c r="AD344" s="146" t="str">
        <f>IF(AC344&lt;&gt;"", SUMIF(Bets!$D:$D, AC344, Bets!AG:AG), "")</f>
        <v/>
      </c>
      <c r="AE344" s="162"/>
      <c r="AF344" s="148"/>
    </row>
    <row r="345">
      <c r="A345" s="161"/>
      <c r="B345" s="146" t="str">
        <f>IF(A345&lt;&gt;"", SUMIF(Bets!$D:$D, A345, Bets!Z:Z), "")</f>
        <v/>
      </c>
      <c r="C345" s="162"/>
      <c r="D345" s="148"/>
      <c r="E345" s="161"/>
      <c r="F345" s="146" t="str">
        <f>IF(E345&lt;&gt;"", SUMIF(Bets!$D:$D, E345, Bets!AB:AB), "")</f>
        <v/>
      </c>
      <c r="G345" s="162"/>
      <c r="H345" s="148"/>
      <c r="I345" s="161"/>
      <c r="J345" s="146" t="str">
        <f>IF(I345&lt;&gt;"", SUMIF(Bets!$D:$D, I345, Bets!AA:AA), "")</f>
        <v/>
      </c>
      <c r="K345" s="162"/>
      <c r="L345" s="148"/>
      <c r="M345" s="161"/>
      <c r="N345" s="146"/>
      <c r="O345" s="162"/>
      <c r="P345" s="148"/>
      <c r="Q345" s="161"/>
      <c r="R345" s="146" t="str">
        <f>IF(Q345&lt;&gt;"", SUMIF(Bets!$D:$D, Q345, Bets!AD:AD), "")</f>
        <v/>
      </c>
      <c r="S345" s="162"/>
      <c r="T345" s="148"/>
      <c r="U345" s="161"/>
      <c r="V345" s="146" t="str">
        <f>IF(U345&lt;&gt;"", SUMIF(Bets!$D:$D, U345, Bets!AE:AE), "")</f>
        <v/>
      </c>
      <c r="W345" s="162"/>
      <c r="X345" s="148"/>
      <c r="Y345" s="161"/>
      <c r="Z345" s="146" t="str">
        <f>IF(Y345&lt;&gt;"", SUMIF(Bets!$D:$D, Y345, Bets!AF:AF), "")</f>
        <v/>
      </c>
      <c r="AA345" s="162"/>
      <c r="AB345" s="148"/>
      <c r="AC345" s="161"/>
      <c r="AD345" s="146" t="str">
        <f>IF(AC345&lt;&gt;"", SUMIF(Bets!$D:$D, AC345, Bets!AG:AG), "")</f>
        <v/>
      </c>
      <c r="AE345" s="162"/>
      <c r="AF345" s="148"/>
    </row>
    <row r="346">
      <c r="A346" s="161"/>
      <c r="B346" s="146" t="str">
        <f>IF(A346&lt;&gt;"", SUMIF(Bets!$D:$D, A346, Bets!Z:Z), "")</f>
        <v/>
      </c>
      <c r="C346" s="162"/>
      <c r="D346" s="148"/>
      <c r="E346" s="161"/>
      <c r="F346" s="146" t="str">
        <f>IF(E346&lt;&gt;"", SUMIF(Bets!$D:$D, E346, Bets!AB:AB), "")</f>
        <v/>
      </c>
      <c r="G346" s="162"/>
      <c r="H346" s="148"/>
      <c r="I346" s="161"/>
      <c r="J346" s="146" t="str">
        <f>IF(I346&lt;&gt;"", SUMIF(Bets!$D:$D, I346, Bets!AA:AA), "")</f>
        <v/>
      </c>
      <c r="K346" s="162"/>
      <c r="L346" s="148"/>
      <c r="M346" s="161"/>
      <c r="N346" s="146"/>
      <c r="O346" s="162"/>
      <c r="P346" s="148"/>
      <c r="Q346" s="161"/>
      <c r="R346" s="146" t="str">
        <f>IF(Q346&lt;&gt;"", SUMIF(Bets!$D:$D, Q346, Bets!AD:AD), "")</f>
        <v/>
      </c>
      <c r="S346" s="162"/>
      <c r="T346" s="148"/>
      <c r="U346" s="161"/>
      <c r="V346" s="146" t="str">
        <f>IF(U346&lt;&gt;"", SUMIF(Bets!$D:$D, U346, Bets!AE:AE), "")</f>
        <v/>
      </c>
      <c r="W346" s="162"/>
      <c r="X346" s="148"/>
      <c r="Y346" s="161"/>
      <c r="Z346" s="146" t="str">
        <f>IF(Y346&lt;&gt;"", SUMIF(Bets!$D:$D, Y346, Bets!AF:AF), "")</f>
        <v/>
      </c>
      <c r="AA346" s="162"/>
      <c r="AB346" s="148"/>
      <c r="AC346" s="161"/>
      <c r="AD346" s="146" t="str">
        <f>IF(AC346&lt;&gt;"", SUMIF(Bets!$D:$D, AC346, Bets!AG:AG), "")</f>
        <v/>
      </c>
      <c r="AE346" s="162"/>
      <c r="AF346" s="148"/>
    </row>
    <row r="347">
      <c r="A347" s="161"/>
      <c r="B347" s="146" t="str">
        <f>IF(A347&lt;&gt;"", SUMIF(Bets!$D:$D, A347, Bets!Z:Z), "")</f>
        <v/>
      </c>
      <c r="C347" s="162"/>
      <c r="D347" s="148"/>
      <c r="E347" s="161"/>
      <c r="F347" s="146" t="str">
        <f>IF(E347&lt;&gt;"", SUMIF(Bets!$D:$D, E347, Bets!AB:AB), "")</f>
        <v/>
      </c>
      <c r="G347" s="162"/>
      <c r="H347" s="148"/>
      <c r="I347" s="161"/>
      <c r="J347" s="146" t="str">
        <f>IF(I347&lt;&gt;"", SUMIF(Bets!$D:$D, I347, Bets!AA:AA), "")</f>
        <v/>
      </c>
      <c r="K347" s="162"/>
      <c r="L347" s="148"/>
      <c r="M347" s="161"/>
      <c r="N347" s="146"/>
      <c r="O347" s="162"/>
      <c r="P347" s="148"/>
      <c r="Q347" s="161"/>
      <c r="R347" s="146" t="str">
        <f>IF(Q347&lt;&gt;"", SUMIF(Bets!$D:$D, Q347, Bets!AD:AD), "")</f>
        <v/>
      </c>
      <c r="S347" s="162"/>
      <c r="T347" s="148"/>
      <c r="U347" s="161"/>
      <c r="V347" s="146" t="str">
        <f>IF(U347&lt;&gt;"", SUMIF(Bets!$D:$D, U347, Bets!AE:AE), "")</f>
        <v/>
      </c>
      <c r="W347" s="162"/>
      <c r="X347" s="148"/>
      <c r="Y347" s="161"/>
      <c r="Z347" s="146" t="str">
        <f>IF(Y347&lt;&gt;"", SUMIF(Bets!$D:$D, Y347, Bets!AF:AF), "")</f>
        <v/>
      </c>
      <c r="AA347" s="162"/>
      <c r="AB347" s="148"/>
      <c r="AC347" s="161"/>
      <c r="AD347" s="146" t="str">
        <f>IF(AC347&lt;&gt;"", SUMIF(Bets!$D:$D, AC347, Bets!AG:AG), "")</f>
        <v/>
      </c>
      <c r="AE347" s="162"/>
      <c r="AF347" s="148"/>
    </row>
    <row r="348">
      <c r="A348" s="161"/>
      <c r="B348" s="146" t="str">
        <f>IF(A348&lt;&gt;"", SUMIF(Bets!$D:$D, A348, Bets!Z:Z), "")</f>
        <v/>
      </c>
      <c r="C348" s="162"/>
      <c r="D348" s="148"/>
      <c r="E348" s="161"/>
      <c r="F348" s="146" t="str">
        <f>IF(E348&lt;&gt;"", SUMIF(Bets!$D:$D, E348, Bets!AB:AB), "")</f>
        <v/>
      </c>
      <c r="G348" s="162"/>
      <c r="H348" s="148"/>
      <c r="I348" s="161"/>
      <c r="J348" s="146" t="str">
        <f>IF(I348&lt;&gt;"", SUMIF(Bets!$D:$D, I348, Bets!AA:AA), "")</f>
        <v/>
      </c>
      <c r="K348" s="162"/>
      <c r="L348" s="148"/>
      <c r="M348" s="161"/>
      <c r="N348" s="146"/>
      <c r="O348" s="162"/>
      <c r="P348" s="148"/>
      <c r="Q348" s="161"/>
      <c r="R348" s="146" t="str">
        <f>IF(Q348&lt;&gt;"", SUMIF(Bets!$D:$D, Q348, Bets!AD:AD), "")</f>
        <v/>
      </c>
      <c r="S348" s="162"/>
      <c r="T348" s="148"/>
      <c r="U348" s="161"/>
      <c r="V348" s="146" t="str">
        <f>IF(U348&lt;&gt;"", SUMIF(Bets!$D:$D, U348, Bets!AE:AE), "")</f>
        <v/>
      </c>
      <c r="W348" s="162"/>
      <c r="X348" s="148"/>
      <c r="Y348" s="161"/>
      <c r="Z348" s="146" t="str">
        <f>IF(Y348&lt;&gt;"", SUMIF(Bets!$D:$D, Y348, Bets!AF:AF), "")</f>
        <v/>
      </c>
      <c r="AA348" s="162"/>
      <c r="AB348" s="148"/>
      <c r="AC348" s="161"/>
      <c r="AD348" s="146" t="str">
        <f>IF(AC348&lt;&gt;"", SUMIF(Bets!$D:$D, AC348, Bets!AG:AG), "")</f>
        <v/>
      </c>
      <c r="AE348" s="162"/>
      <c r="AF348" s="148"/>
    </row>
    <row r="349">
      <c r="A349" s="161"/>
      <c r="B349" s="146" t="str">
        <f>IF(A349&lt;&gt;"", SUMIF(Bets!$D:$D, A349, Bets!Z:Z), "")</f>
        <v/>
      </c>
      <c r="C349" s="162"/>
      <c r="D349" s="148"/>
      <c r="E349" s="161"/>
      <c r="F349" s="146" t="str">
        <f>IF(E349&lt;&gt;"", SUMIF(Bets!$D:$D, E349, Bets!AB:AB), "")</f>
        <v/>
      </c>
      <c r="G349" s="162"/>
      <c r="H349" s="148"/>
      <c r="I349" s="161"/>
      <c r="J349" s="146" t="str">
        <f>IF(I349&lt;&gt;"", SUMIF(Bets!$D:$D, I349, Bets!AA:AA), "")</f>
        <v/>
      </c>
      <c r="K349" s="162"/>
      <c r="L349" s="148"/>
      <c r="M349" s="161"/>
      <c r="N349" s="146"/>
      <c r="O349" s="162"/>
      <c r="P349" s="148"/>
      <c r="Q349" s="161"/>
      <c r="R349" s="146" t="str">
        <f>IF(Q349&lt;&gt;"", SUMIF(Bets!$D:$D, Q349, Bets!AD:AD), "")</f>
        <v/>
      </c>
      <c r="S349" s="162"/>
      <c r="T349" s="148"/>
      <c r="U349" s="161"/>
      <c r="V349" s="146" t="str">
        <f>IF(U349&lt;&gt;"", SUMIF(Bets!$D:$D, U349, Bets!AE:AE), "")</f>
        <v/>
      </c>
      <c r="W349" s="162"/>
      <c r="X349" s="148"/>
      <c r="Y349" s="161"/>
      <c r="Z349" s="146" t="str">
        <f>IF(Y349&lt;&gt;"", SUMIF(Bets!$D:$D, Y349, Bets!AF:AF), "")</f>
        <v/>
      </c>
      <c r="AA349" s="162"/>
      <c r="AB349" s="148"/>
      <c r="AC349" s="161"/>
      <c r="AD349" s="146" t="str">
        <f>IF(AC349&lt;&gt;"", SUMIF(Bets!$D:$D, AC349, Bets!AG:AG), "")</f>
        <v/>
      </c>
      <c r="AE349" s="162"/>
      <c r="AF349" s="148"/>
    </row>
    <row r="350">
      <c r="A350" s="161"/>
      <c r="B350" s="146" t="str">
        <f>IF(A350&lt;&gt;"", SUMIF(Bets!$D:$D, A350, Bets!Z:Z), "")</f>
        <v/>
      </c>
      <c r="C350" s="162"/>
      <c r="D350" s="148"/>
      <c r="E350" s="161"/>
      <c r="F350" s="146" t="str">
        <f>IF(E350&lt;&gt;"", SUMIF(Bets!$D:$D, E350, Bets!AB:AB), "")</f>
        <v/>
      </c>
      <c r="G350" s="162"/>
      <c r="H350" s="148"/>
      <c r="I350" s="161"/>
      <c r="J350" s="146" t="str">
        <f>IF(I350&lt;&gt;"", SUMIF(Bets!$D:$D, I350, Bets!AA:AA), "")</f>
        <v/>
      </c>
      <c r="K350" s="162"/>
      <c r="L350" s="148"/>
      <c r="M350" s="161"/>
      <c r="N350" s="146"/>
      <c r="O350" s="162"/>
      <c r="P350" s="148"/>
      <c r="Q350" s="161"/>
      <c r="R350" s="146" t="str">
        <f>IF(Q350&lt;&gt;"", SUMIF(Bets!$D:$D, Q350, Bets!AD:AD), "")</f>
        <v/>
      </c>
      <c r="S350" s="162"/>
      <c r="T350" s="148"/>
      <c r="U350" s="161"/>
      <c r="V350" s="146" t="str">
        <f>IF(U350&lt;&gt;"", SUMIF(Bets!$D:$D, U350, Bets!AE:AE), "")</f>
        <v/>
      </c>
      <c r="W350" s="162"/>
      <c r="X350" s="148"/>
      <c r="Y350" s="161"/>
      <c r="Z350" s="146" t="str">
        <f>IF(Y350&lt;&gt;"", SUMIF(Bets!$D:$D, Y350, Bets!AF:AF), "")</f>
        <v/>
      </c>
      <c r="AA350" s="162"/>
      <c r="AB350" s="148"/>
      <c r="AC350" s="161"/>
      <c r="AD350" s="146" t="str">
        <f>IF(AC350&lt;&gt;"", SUMIF(Bets!$D:$D, AC350, Bets!AG:AG), "")</f>
        <v/>
      </c>
      <c r="AE350" s="162"/>
      <c r="AF350" s="148"/>
    </row>
    <row r="351">
      <c r="A351" s="161"/>
      <c r="B351" s="146" t="str">
        <f>IF(A351&lt;&gt;"", SUMIF(Bets!$D:$D, A351, Bets!Z:Z), "")</f>
        <v/>
      </c>
      <c r="C351" s="162"/>
      <c r="D351" s="148"/>
      <c r="E351" s="161"/>
      <c r="F351" s="146" t="str">
        <f>IF(E351&lt;&gt;"", SUMIF(Bets!$D:$D, E351, Bets!AB:AB), "")</f>
        <v/>
      </c>
      <c r="G351" s="162"/>
      <c r="H351" s="148"/>
      <c r="I351" s="161"/>
      <c r="J351" s="146" t="str">
        <f>IF(I351&lt;&gt;"", SUMIF(Bets!$D:$D, I351, Bets!AA:AA), "")</f>
        <v/>
      </c>
      <c r="K351" s="162"/>
      <c r="L351" s="148"/>
      <c r="M351" s="161"/>
      <c r="N351" s="146"/>
      <c r="O351" s="162"/>
      <c r="P351" s="148"/>
      <c r="Q351" s="161"/>
      <c r="R351" s="146" t="str">
        <f>IF(Q351&lt;&gt;"", SUMIF(Bets!$D:$D, Q351, Bets!AD:AD), "")</f>
        <v/>
      </c>
      <c r="S351" s="162"/>
      <c r="T351" s="148"/>
      <c r="U351" s="161"/>
      <c r="V351" s="146" t="str">
        <f>IF(U351&lt;&gt;"", SUMIF(Bets!$D:$D, U351, Bets!AE:AE), "")</f>
        <v/>
      </c>
      <c r="W351" s="162"/>
      <c r="X351" s="148"/>
      <c r="Y351" s="161"/>
      <c r="Z351" s="146" t="str">
        <f>IF(Y351&lt;&gt;"", SUMIF(Bets!$D:$D, Y351, Bets!AF:AF), "")</f>
        <v/>
      </c>
      <c r="AA351" s="162"/>
      <c r="AB351" s="148"/>
      <c r="AC351" s="161"/>
      <c r="AD351" s="146" t="str">
        <f>IF(AC351&lt;&gt;"", SUMIF(Bets!$D:$D, AC351, Bets!AG:AG), "")</f>
        <v/>
      </c>
      <c r="AE351" s="162"/>
      <c r="AF351" s="148"/>
    </row>
    <row r="352">
      <c r="A352" s="161"/>
      <c r="B352" s="146" t="str">
        <f>IF(A352&lt;&gt;"", SUMIF(Bets!$D:$D, A352, Bets!Z:Z), "")</f>
        <v/>
      </c>
      <c r="C352" s="162"/>
      <c r="D352" s="148"/>
      <c r="E352" s="161"/>
      <c r="F352" s="146" t="str">
        <f>IF(E352&lt;&gt;"", SUMIF(Bets!$D:$D, E352, Bets!AB:AB), "")</f>
        <v/>
      </c>
      <c r="G352" s="162"/>
      <c r="H352" s="148"/>
      <c r="I352" s="161"/>
      <c r="J352" s="146" t="str">
        <f>IF(I352&lt;&gt;"", SUMIF(Bets!$D:$D, I352, Bets!AA:AA), "")</f>
        <v/>
      </c>
      <c r="K352" s="162"/>
      <c r="L352" s="148"/>
      <c r="M352" s="161"/>
      <c r="N352" s="146"/>
      <c r="O352" s="162"/>
      <c r="P352" s="148"/>
      <c r="Q352" s="161"/>
      <c r="R352" s="146" t="str">
        <f>IF(Q352&lt;&gt;"", SUMIF(Bets!$D:$D, Q352, Bets!AD:AD), "")</f>
        <v/>
      </c>
      <c r="S352" s="162"/>
      <c r="T352" s="148"/>
      <c r="U352" s="161"/>
      <c r="V352" s="146" t="str">
        <f>IF(U352&lt;&gt;"", SUMIF(Bets!$D:$D, U352, Bets!AE:AE), "")</f>
        <v/>
      </c>
      <c r="W352" s="162"/>
      <c r="X352" s="148"/>
      <c r="Y352" s="161"/>
      <c r="Z352" s="146" t="str">
        <f>IF(Y352&lt;&gt;"", SUMIF(Bets!$D:$D, Y352, Bets!AF:AF), "")</f>
        <v/>
      </c>
      <c r="AA352" s="162"/>
      <c r="AB352" s="148"/>
      <c r="AC352" s="161"/>
      <c r="AD352" s="146" t="str">
        <f>IF(AC352&lt;&gt;"", SUMIF(Bets!$D:$D, AC352, Bets!AG:AG), "")</f>
        <v/>
      </c>
      <c r="AE352" s="162"/>
      <c r="AF352" s="148"/>
    </row>
    <row r="353">
      <c r="A353" s="161"/>
      <c r="B353" s="146" t="str">
        <f>IF(A353&lt;&gt;"", SUMIF(Bets!$D:$D, A353, Bets!Z:Z), "")</f>
        <v/>
      </c>
      <c r="C353" s="162"/>
      <c r="D353" s="148"/>
      <c r="E353" s="161"/>
      <c r="F353" s="146" t="str">
        <f>IF(E353&lt;&gt;"", SUMIF(Bets!$D:$D, E353, Bets!AB:AB), "")</f>
        <v/>
      </c>
      <c r="G353" s="162"/>
      <c r="H353" s="148"/>
      <c r="I353" s="161"/>
      <c r="J353" s="146" t="str">
        <f>IF(I353&lt;&gt;"", SUMIF(Bets!$D:$D, I353, Bets!AA:AA), "")</f>
        <v/>
      </c>
      <c r="K353" s="162"/>
      <c r="L353" s="148"/>
      <c r="M353" s="161"/>
      <c r="N353" s="146"/>
      <c r="O353" s="162"/>
      <c r="P353" s="148"/>
      <c r="Q353" s="161"/>
      <c r="R353" s="146" t="str">
        <f>IF(Q353&lt;&gt;"", SUMIF(Bets!$D:$D, Q353, Bets!AD:AD), "")</f>
        <v/>
      </c>
      <c r="S353" s="162"/>
      <c r="T353" s="148"/>
      <c r="U353" s="161"/>
      <c r="V353" s="146" t="str">
        <f>IF(U353&lt;&gt;"", SUMIF(Bets!$D:$D, U353, Bets!AE:AE), "")</f>
        <v/>
      </c>
      <c r="W353" s="162"/>
      <c r="X353" s="148"/>
      <c r="Y353" s="161"/>
      <c r="Z353" s="146" t="str">
        <f>IF(Y353&lt;&gt;"", SUMIF(Bets!$D:$D, Y353, Bets!AF:AF), "")</f>
        <v/>
      </c>
      <c r="AA353" s="162"/>
      <c r="AB353" s="148"/>
      <c r="AC353" s="161"/>
      <c r="AD353" s="146" t="str">
        <f>IF(AC353&lt;&gt;"", SUMIF(Bets!$D:$D, AC353, Bets!AG:AG), "")</f>
        <v/>
      </c>
      <c r="AE353" s="162"/>
      <c r="AF353" s="148"/>
    </row>
    <row r="354">
      <c r="A354" s="161"/>
      <c r="B354" s="146" t="str">
        <f>IF(A354&lt;&gt;"", SUMIF(Bets!$D:$D, A354, Bets!Z:Z), "")</f>
        <v/>
      </c>
      <c r="C354" s="162"/>
      <c r="D354" s="148"/>
      <c r="E354" s="161"/>
      <c r="F354" s="146" t="str">
        <f>IF(E354&lt;&gt;"", SUMIF(Bets!$D:$D, E354, Bets!AB:AB), "")</f>
        <v/>
      </c>
      <c r="G354" s="162"/>
      <c r="H354" s="148"/>
      <c r="I354" s="161"/>
      <c r="J354" s="146" t="str">
        <f>IF(I354&lt;&gt;"", SUMIF(Bets!$D:$D, I354, Bets!AA:AA), "")</f>
        <v/>
      </c>
      <c r="K354" s="162"/>
      <c r="L354" s="148"/>
      <c r="M354" s="161"/>
      <c r="N354" s="146"/>
      <c r="O354" s="162"/>
      <c r="P354" s="148"/>
      <c r="Q354" s="161"/>
      <c r="R354" s="146" t="str">
        <f>IF(Q354&lt;&gt;"", SUMIF(Bets!$D:$D, Q354, Bets!AD:AD), "")</f>
        <v/>
      </c>
      <c r="S354" s="162"/>
      <c r="T354" s="148"/>
      <c r="U354" s="161"/>
      <c r="V354" s="146" t="str">
        <f>IF(U354&lt;&gt;"", SUMIF(Bets!$D:$D, U354, Bets!AE:AE), "")</f>
        <v/>
      </c>
      <c r="W354" s="162"/>
      <c r="X354" s="148"/>
      <c r="Y354" s="161"/>
      <c r="Z354" s="146" t="str">
        <f>IF(Y354&lt;&gt;"", SUMIF(Bets!$D:$D, Y354, Bets!AF:AF), "")</f>
        <v/>
      </c>
      <c r="AA354" s="162"/>
      <c r="AB354" s="148"/>
      <c r="AC354" s="161"/>
      <c r="AD354" s="146" t="str">
        <f>IF(AC354&lt;&gt;"", SUMIF(Bets!$D:$D, AC354, Bets!AG:AG), "")</f>
        <v/>
      </c>
      <c r="AE354" s="162"/>
      <c r="AF354" s="148"/>
    </row>
    <row r="355">
      <c r="A355" s="161"/>
      <c r="B355" s="146" t="str">
        <f>IF(A355&lt;&gt;"", SUMIF(Bets!$D:$D, A355, Bets!Z:Z), "")</f>
        <v/>
      </c>
      <c r="C355" s="162"/>
      <c r="D355" s="148"/>
      <c r="E355" s="161"/>
      <c r="F355" s="146" t="str">
        <f>IF(E355&lt;&gt;"", SUMIF(Bets!$D:$D, E355, Bets!AB:AB), "")</f>
        <v/>
      </c>
      <c r="G355" s="162"/>
      <c r="H355" s="148"/>
      <c r="I355" s="161"/>
      <c r="J355" s="146" t="str">
        <f>IF(I355&lt;&gt;"", SUMIF(Bets!$D:$D, I355, Bets!AA:AA), "")</f>
        <v/>
      </c>
      <c r="K355" s="162"/>
      <c r="L355" s="148"/>
      <c r="M355" s="161"/>
      <c r="N355" s="146"/>
      <c r="O355" s="162"/>
      <c r="P355" s="148"/>
      <c r="Q355" s="161"/>
      <c r="R355" s="146" t="str">
        <f>IF(Q355&lt;&gt;"", SUMIF(Bets!$D:$D, Q355, Bets!AD:AD), "")</f>
        <v/>
      </c>
      <c r="S355" s="162"/>
      <c r="T355" s="148"/>
      <c r="U355" s="161"/>
      <c r="V355" s="146" t="str">
        <f>IF(U355&lt;&gt;"", SUMIF(Bets!$D:$D, U355, Bets!AE:AE), "")</f>
        <v/>
      </c>
      <c r="W355" s="162"/>
      <c r="X355" s="148"/>
      <c r="Y355" s="161"/>
      <c r="Z355" s="146" t="str">
        <f>IF(Y355&lt;&gt;"", SUMIF(Bets!$D:$D, Y355, Bets!AF:AF), "")</f>
        <v/>
      </c>
      <c r="AA355" s="162"/>
      <c r="AB355" s="148"/>
      <c r="AC355" s="161"/>
      <c r="AD355" s="146" t="str">
        <f>IF(AC355&lt;&gt;"", SUMIF(Bets!$D:$D, AC355, Bets!AG:AG), "")</f>
        <v/>
      </c>
      <c r="AE355" s="162"/>
      <c r="AF355" s="148"/>
    </row>
    <row r="356">
      <c r="A356" s="161"/>
      <c r="B356" s="146" t="str">
        <f>IF(A356&lt;&gt;"", SUMIF(Bets!$D:$D, A356, Bets!Z:Z), "")</f>
        <v/>
      </c>
      <c r="C356" s="162"/>
      <c r="D356" s="148"/>
      <c r="E356" s="161"/>
      <c r="F356" s="146" t="str">
        <f>IF(E356&lt;&gt;"", SUMIF(Bets!$D:$D, E356, Bets!AB:AB), "")</f>
        <v/>
      </c>
      <c r="G356" s="162"/>
      <c r="H356" s="148"/>
      <c r="I356" s="161"/>
      <c r="J356" s="146" t="str">
        <f>IF(I356&lt;&gt;"", SUMIF(Bets!$D:$D, I356, Bets!AA:AA), "")</f>
        <v/>
      </c>
      <c r="K356" s="162"/>
      <c r="L356" s="148"/>
      <c r="M356" s="161"/>
      <c r="N356" s="146"/>
      <c r="O356" s="162"/>
      <c r="P356" s="148"/>
      <c r="Q356" s="161"/>
      <c r="R356" s="146" t="str">
        <f>IF(Q356&lt;&gt;"", SUMIF(Bets!$D:$D, Q356, Bets!AD:AD), "")</f>
        <v/>
      </c>
      <c r="S356" s="162"/>
      <c r="T356" s="148"/>
      <c r="U356" s="161"/>
      <c r="V356" s="146" t="str">
        <f>IF(U356&lt;&gt;"", SUMIF(Bets!$D:$D, U356, Bets!AE:AE), "")</f>
        <v/>
      </c>
      <c r="W356" s="162"/>
      <c r="X356" s="148"/>
      <c r="Y356" s="161"/>
      <c r="Z356" s="146" t="str">
        <f>IF(Y356&lt;&gt;"", SUMIF(Bets!$D:$D, Y356, Bets!AF:AF), "")</f>
        <v/>
      </c>
      <c r="AA356" s="162"/>
      <c r="AB356" s="148"/>
      <c r="AC356" s="161"/>
      <c r="AD356" s="146" t="str">
        <f>IF(AC356&lt;&gt;"", SUMIF(Bets!$D:$D, AC356, Bets!AG:AG), "")</f>
        <v/>
      </c>
      <c r="AE356" s="162"/>
      <c r="AF356" s="148"/>
    </row>
    <row r="357">
      <c r="A357" s="161"/>
      <c r="B357" s="146" t="str">
        <f>IF(A357&lt;&gt;"", SUMIF(Bets!$D:$D, A357, Bets!Z:Z), "")</f>
        <v/>
      </c>
      <c r="C357" s="162"/>
      <c r="D357" s="148"/>
      <c r="E357" s="161"/>
      <c r="F357" s="146" t="str">
        <f>IF(E357&lt;&gt;"", SUMIF(Bets!$D:$D, E357, Bets!AB:AB), "")</f>
        <v/>
      </c>
      <c r="G357" s="162"/>
      <c r="H357" s="148"/>
      <c r="I357" s="161"/>
      <c r="J357" s="146" t="str">
        <f>IF(I357&lt;&gt;"", SUMIF(Bets!$D:$D, I357, Bets!AA:AA), "")</f>
        <v/>
      </c>
      <c r="K357" s="162"/>
      <c r="L357" s="148"/>
      <c r="M357" s="161"/>
      <c r="N357" s="146"/>
      <c r="O357" s="162"/>
      <c r="P357" s="148"/>
      <c r="Q357" s="161"/>
      <c r="R357" s="146" t="str">
        <f>IF(Q357&lt;&gt;"", SUMIF(Bets!$D:$D, Q357, Bets!AD:AD), "")</f>
        <v/>
      </c>
      <c r="S357" s="162"/>
      <c r="T357" s="148"/>
      <c r="U357" s="161"/>
      <c r="V357" s="146" t="str">
        <f>IF(U357&lt;&gt;"", SUMIF(Bets!$D:$D, U357, Bets!AE:AE), "")</f>
        <v/>
      </c>
      <c r="W357" s="162"/>
      <c r="X357" s="148"/>
      <c r="Y357" s="161"/>
      <c r="Z357" s="146" t="str">
        <f>IF(Y357&lt;&gt;"", SUMIF(Bets!$D:$D, Y357, Bets!AF:AF), "")</f>
        <v/>
      </c>
      <c r="AA357" s="162"/>
      <c r="AB357" s="148"/>
      <c r="AC357" s="161"/>
      <c r="AD357" s="146" t="str">
        <f>IF(AC357&lt;&gt;"", SUMIF(Bets!$D:$D, AC357, Bets!AG:AG), "")</f>
        <v/>
      </c>
      <c r="AE357" s="162"/>
      <c r="AF357" s="148"/>
    </row>
    <row r="358">
      <c r="A358" s="161"/>
      <c r="B358" s="146" t="str">
        <f>IF(A358&lt;&gt;"", SUMIF(Bets!$D:$D, A358, Bets!Z:Z), "")</f>
        <v/>
      </c>
      <c r="C358" s="162"/>
      <c r="D358" s="148"/>
      <c r="E358" s="161"/>
      <c r="F358" s="146" t="str">
        <f>IF(E358&lt;&gt;"", SUMIF(Bets!$D:$D, E358, Bets!AB:AB), "")</f>
        <v/>
      </c>
      <c r="G358" s="162"/>
      <c r="H358" s="148"/>
      <c r="I358" s="161"/>
      <c r="J358" s="146" t="str">
        <f>IF(I358&lt;&gt;"", SUMIF(Bets!$D:$D, I358, Bets!AA:AA), "")</f>
        <v/>
      </c>
      <c r="K358" s="162"/>
      <c r="L358" s="148"/>
      <c r="M358" s="161"/>
      <c r="N358" s="146"/>
      <c r="O358" s="162"/>
      <c r="P358" s="148"/>
      <c r="Q358" s="161"/>
      <c r="R358" s="146" t="str">
        <f>IF(Q358&lt;&gt;"", SUMIF(Bets!$D:$D, Q358, Bets!AD:AD), "")</f>
        <v/>
      </c>
      <c r="S358" s="162"/>
      <c r="T358" s="148"/>
      <c r="U358" s="161"/>
      <c r="V358" s="146" t="str">
        <f>IF(U358&lt;&gt;"", SUMIF(Bets!$D:$D, U358, Bets!AE:AE), "")</f>
        <v/>
      </c>
      <c r="W358" s="162"/>
      <c r="X358" s="148"/>
      <c r="Y358" s="161"/>
      <c r="Z358" s="146" t="str">
        <f>IF(Y358&lt;&gt;"", SUMIF(Bets!$D:$D, Y358, Bets!AF:AF), "")</f>
        <v/>
      </c>
      <c r="AA358" s="162"/>
      <c r="AB358" s="148"/>
      <c r="AC358" s="161"/>
      <c r="AD358" s="146" t="str">
        <f>IF(AC358&lt;&gt;"", SUMIF(Bets!$D:$D, AC358, Bets!AG:AG), "")</f>
        <v/>
      </c>
      <c r="AE358" s="162"/>
      <c r="AF358" s="148"/>
    </row>
    <row r="359">
      <c r="A359" s="161"/>
      <c r="B359" s="146" t="str">
        <f>IF(A359&lt;&gt;"", SUMIF(Bets!$D:$D, A359, Bets!Z:Z), "")</f>
        <v/>
      </c>
      <c r="C359" s="162"/>
      <c r="D359" s="148"/>
      <c r="E359" s="161"/>
      <c r="F359" s="146" t="str">
        <f>IF(E359&lt;&gt;"", SUMIF(Bets!$D:$D, E359, Bets!AB:AB), "")</f>
        <v/>
      </c>
      <c r="G359" s="162"/>
      <c r="H359" s="148"/>
      <c r="I359" s="161"/>
      <c r="J359" s="146" t="str">
        <f>IF(I359&lt;&gt;"", SUMIF(Bets!$D:$D, I359, Bets!AA:AA), "")</f>
        <v/>
      </c>
      <c r="K359" s="162"/>
      <c r="L359" s="148"/>
      <c r="M359" s="161"/>
      <c r="N359" s="146"/>
      <c r="O359" s="162"/>
      <c r="P359" s="148"/>
      <c r="Q359" s="161"/>
      <c r="R359" s="146" t="str">
        <f>IF(Q359&lt;&gt;"", SUMIF(Bets!$D:$D, Q359, Bets!AD:AD), "")</f>
        <v/>
      </c>
      <c r="S359" s="162"/>
      <c r="T359" s="148"/>
      <c r="U359" s="161"/>
      <c r="V359" s="146" t="str">
        <f>IF(U359&lt;&gt;"", SUMIF(Bets!$D:$D, U359, Bets!AE:AE), "")</f>
        <v/>
      </c>
      <c r="W359" s="162"/>
      <c r="X359" s="148"/>
      <c r="Y359" s="161"/>
      <c r="Z359" s="146" t="str">
        <f>IF(Y359&lt;&gt;"", SUMIF(Bets!$D:$D, Y359, Bets!AF:AF), "")</f>
        <v/>
      </c>
      <c r="AA359" s="162"/>
      <c r="AB359" s="148"/>
      <c r="AC359" s="161"/>
      <c r="AD359" s="146" t="str">
        <f>IF(AC359&lt;&gt;"", SUMIF(Bets!$D:$D, AC359, Bets!AG:AG), "")</f>
        <v/>
      </c>
      <c r="AE359" s="162"/>
      <c r="AF359" s="148"/>
    </row>
    <row r="360">
      <c r="A360" s="161"/>
      <c r="B360" s="146" t="str">
        <f>IF(A360&lt;&gt;"", SUMIF(Bets!$D:$D, A360, Bets!Z:Z), "")</f>
        <v/>
      </c>
      <c r="C360" s="162"/>
      <c r="D360" s="148"/>
      <c r="E360" s="161"/>
      <c r="F360" s="146" t="str">
        <f>IF(E360&lt;&gt;"", SUMIF(Bets!$D:$D, E360, Bets!AB:AB), "")</f>
        <v/>
      </c>
      <c r="G360" s="162"/>
      <c r="H360" s="148"/>
      <c r="I360" s="161"/>
      <c r="J360" s="146" t="str">
        <f>IF(I360&lt;&gt;"", SUMIF(Bets!$D:$D, I360, Bets!AA:AA), "")</f>
        <v/>
      </c>
      <c r="K360" s="162"/>
      <c r="L360" s="148"/>
      <c r="M360" s="161"/>
      <c r="N360" s="146"/>
      <c r="O360" s="162"/>
      <c r="P360" s="148"/>
      <c r="Q360" s="161"/>
      <c r="R360" s="146" t="str">
        <f>IF(Q360&lt;&gt;"", SUMIF(Bets!$D:$D, Q360, Bets!AD:AD), "")</f>
        <v/>
      </c>
      <c r="S360" s="162"/>
      <c r="T360" s="148"/>
      <c r="U360" s="161"/>
      <c r="V360" s="146" t="str">
        <f>IF(U360&lt;&gt;"", SUMIF(Bets!$D:$D, U360, Bets!AE:AE), "")</f>
        <v/>
      </c>
      <c r="W360" s="162"/>
      <c r="X360" s="148"/>
      <c r="Y360" s="161"/>
      <c r="Z360" s="146" t="str">
        <f>IF(Y360&lt;&gt;"", SUMIF(Bets!$D:$D, Y360, Bets!AF:AF), "")</f>
        <v/>
      </c>
      <c r="AA360" s="162"/>
      <c r="AB360" s="148"/>
      <c r="AC360" s="161"/>
      <c r="AD360" s="146" t="str">
        <f>IF(AC360&lt;&gt;"", SUMIF(Bets!$D:$D, AC360, Bets!AG:AG), "")</f>
        <v/>
      </c>
      <c r="AE360" s="162"/>
      <c r="AF360" s="148"/>
    </row>
    <row r="361">
      <c r="A361" s="161"/>
      <c r="B361" s="146" t="str">
        <f>IF(A361&lt;&gt;"", SUMIF(Bets!$D:$D, A361, Bets!Z:Z), "")</f>
        <v/>
      </c>
      <c r="C361" s="162"/>
      <c r="D361" s="148"/>
      <c r="E361" s="161"/>
      <c r="F361" s="146" t="str">
        <f>IF(E361&lt;&gt;"", SUMIF(Bets!$D:$D, E361, Bets!AB:AB), "")</f>
        <v/>
      </c>
      <c r="G361" s="162"/>
      <c r="H361" s="148"/>
      <c r="I361" s="161"/>
      <c r="J361" s="146" t="str">
        <f>IF(I361&lt;&gt;"", SUMIF(Bets!$D:$D, I361, Bets!AA:AA), "")</f>
        <v/>
      </c>
      <c r="K361" s="162"/>
      <c r="L361" s="148"/>
      <c r="M361" s="161"/>
      <c r="N361" s="146"/>
      <c r="O361" s="162"/>
      <c r="P361" s="148"/>
      <c r="Q361" s="161"/>
      <c r="R361" s="146" t="str">
        <f>IF(Q361&lt;&gt;"", SUMIF(Bets!$D:$D, Q361, Bets!AD:AD), "")</f>
        <v/>
      </c>
      <c r="S361" s="162"/>
      <c r="T361" s="148"/>
      <c r="U361" s="161"/>
      <c r="V361" s="146" t="str">
        <f>IF(U361&lt;&gt;"", SUMIF(Bets!$D:$D, U361, Bets!AE:AE), "")</f>
        <v/>
      </c>
      <c r="W361" s="162"/>
      <c r="X361" s="148"/>
      <c r="Y361" s="161"/>
      <c r="Z361" s="146" t="str">
        <f>IF(Y361&lt;&gt;"", SUMIF(Bets!$D:$D, Y361, Bets!AF:AF), "")</f>
        <v/>
      </c>
      <c r="AA361" s="162"/>
      <c r="AB361" s="148"/>
      <c r="AC361" s="161"/>
      <c r="AD361" s="146" t="str">
        <f>IF(AC361&lt;&gt;"", SUMIF(Bets!$D:$D, AC361, Bets!AG:AG), "")</f>
        <v/>
      </c>
      <c r="AE361" s="162"/>
      <c r="AF361" s="148"/>
    </row>
    <row r="362">
      <c r="A362" s="161"/>
      <c r="B362" s="146" t="str">
        <f>IF(A362&lt;&gt;"", SUMIF(Bets!$D:$D, A362, Bets!Z:Z), "")</f>
        <v/>
      </c>
      <c r="C362" s="162"/>
      <c r="D362" s="148"/>
      <c r="E362" s="161"/>
      <c r="F362" s="146" t="str">
        <f>IF(E362&lt;&gt;"", SUMIF(Bets!$D:$D, E362, Bets!AB:AB), "")</f>
        <v/>
      </c>
      <c r="G362" s="162"/>
      <c r="H362" s="148"/>
      <c r="I362" s="161"/>
      <c r="J362" s="146" t="str">
        <f>IF(I362&lt;&gt;"", SUMIF(Bets!$D:$D, I362, Bets!AA:AA), "")</f>
        <v/>
      </c>
      <c r="K362" s="162"/>
      <c r="L362" s="148"/>
      <c r="M362" s="161"/>
      <c r="N362" s="146"/>
      <c r="O362" s="162"/>
      <c r="P362" s="148"/>
      <c r="Q362" s="161"/>
      <c r="R362" s="146" t="str">
        <f>IF(Q362&lt;&gt;"", SUMIF(Bets!$D:$D, Q362, Bets!AD:AD), "")</f>
        <v/>
      </c>
      <c r="S362" s="162"/>
      <c r="T362" s="148"/>
      <c r="U362" s="161"/>
      <c r="V362" s="146" t="str">
        <f>IF(U362&lt;&gt;"", SUMIF(Bets!$D:$D, U362, Bets!AE:AE), "")</f>
        <v/>
      </c>
      <c r="W362" s="162"/>
      <c r="X362" s="148"/>
      <c r="Y362" s="161"/>
      <c r="Z362" s="146" t="str">
        <f>IF(Y362&lt;&gt;"", SUMIF(Bets!$D:$D, Y362, Bets!AF:AF), "")</f>
        <v/>
      </c>
      <c r="AA362" s="162"/>
      <c r="AB362" s="148"/>
      <c r="AC362" s="161"/>
      <c r="AD362" s="146" t="str">
        <f>IF(AC362&lt;&gt;"", SUMIF(Bets!$D:$D, AC362, Bets!AG:AG), "")</f>
        <v/>
      </c>
      <c r="AE362" s="162"/>
      <c r="AF362" s="148"/>
    </row>
    <row r="363">
      <c r="A363" s="161"/>
      <c r="B363" s="146" t="str">
        <f>IF(A363&lt;&gt;"", SUMIF(Bets!$D:$D, A363, Bets!Z:Z), "")</f>
        <v/>
      </c>
      <c r="C363" s="162"/>
      <c r="D363" s="148"/>
      <c r="E363" s="161"/>
      <c r="F363" s="146" t="str">
        <f>IF(E363&lt;&gt;"", SUMIF(Bets!$D:$D, E363, Bets!AB:AB), "")</f>
        <v/>
      </c>
      <c r="G363" s="162"/>
      <c r="H363" s="148"/>
      <c r="I363" s="161"/>
      <c r="J363" s="146" t="str">
        <f>IF(I363&lt;&gt;"", SUMIF(Bets!$D:$D, I363, Bets!AA:AA), "")</f>
        <v/>
      </c>
      <c r="K363" s="162"/>
      <c r="L363" s="148"/>
      <c r="M363" s="161"/>
      <c r="N363" s="146"/>
      <c r="O363" s="162"/>
      <c r="P363" s="148"/>
      <c r="Q363" s="161"/>
      <c r="R363" s="146" t="str">
        <f>IF(Q363&lt;&gt;"", SUMIF(Bets!$D:$D, Q363, Bets!AD:AD), "")</f>
        <v/>
      </c>
      <c r="S363" s="162"/>
      <c r="T363" s="148"/>
      <c r="U363" s="161"/>
      <c r="V363" s="146" t="str">
        <f>IF(U363&lt;&gt;"", SUMIF(Bets!$D:$D, U363, Bets!AE:AE), "")</f>
        <v/>
      </c>
      <c r="W363" s="162"/>
      <c r="X363" s="148"/>
      <c r="Y363" s="161"/>
      <c r="Z363" s="146" t="str">
        <f>IF(Y363&lt;&gt;"", SUMIF(Bets!$D:$D, Y363, Bets!AF:AF), "")</f>
        <v/>
      </c>
      <c r="AA363" s="162"/>
      <c r="AB363" s="148"/>
      <c r="AC363" s="161"/>
      <c r="AD363" s="146" t="str">
        <f>IF(AC363&lt;&gt;"", SUMIF(Bets!$D:$D, AC363, Bets!AG:AG), "")</f>
        <v/>
      </c>
      <c r="AE363" s="162"/>
      <c r="AF363" s="148"/>
    </row>
    <row r="364">
      <c r="A364" s="161"/>
      <c r="B364" s="146" t="str">
        <f>IF(A364&lt;&gt;"", SUMIF(Bets!$D:$D, A364, Bets!Z:Z), "")</f>
        <v/>
      </c>
      <c r="C364" s="162"/>
      <c r="D364" s="148"/>
      <c r="E364" s="161"/>
      <c r="F364" s="146" t="str">
        <f>IF(E364&lt;&gt;"", SUMIF(Bets!$D:$D, E364, Bets!AB:AB), "")</f>
        <v/>
      </c>
      <c r="G364" s="162"/>
      <c r="H364" s="148"/>
      <c r="I364" s="161"/>
      <c r="J364" s="146" t="str">
        <f>IF(I364&lt;&gt;"", SUMIF(Bets!$D:$D, I364, Bets!AA:AA), "")</f>
        <v/>
      </c>
      <c r="K364" s="162"/>
      <c r="L364" s="148"/>
      <c r="M364" s="161"/>
      <c r="N364" s="146"/>
      <c r="O364" s="162"/>
      <c r="P364" s="148"/>
      <c r="Q364" s="161"/>
      <c r="R364" s="146" t="str">
        <f>IF(Q364&lt;&gt;"", SUMIF(Bets!$D:$D, Q364, Bets!AD:AD), "")</f>
        <v/>
      </c>
      <c r="S364" s="162"/>
      <c r="T364" s="148"/>
      <c r="U364" s="161"/>
      <c r="V364" s="146" t="str">
        <f>IF(U364&lt;&gt;"", SUMIF(Bets!$D:$D, U364, Bets!AE:AE), "")</f>
        <v/>
      </c>
      <c r="W364" s="162"/>
      <c r="X364" s="148"/>
      <c r="Y364" s="161"/>
      <c r="Z364" s="146" t="str">
        <f>IF(Y364&lt;&gt;"", SUMIF(Bets!$D:$D, Y364, Bets!AF:AF), "")</f>
        <v/>
      </c>
      <c r="AA364" s="162"/>
      <c r="AB364" s="148"/>
      <c r="AC364" s="161"/>
      <c r="AD364" s="146" t="str">
        <f>IF(AC364&lt;&gt;"", SUMIF(Bets!$D:$D, AC364, Bets!AG:AG), "")</f>
        <v/>
      </c>
      <c r="AE364" s="162"/>
      <c r="AF364" s="148"/>
    </row>
    <row r="365">
      <c r="A365" s="161"/>
      <c r="B365" s="146" t="str">
        <f>IF(A365&lt;&gt;"", SUMIF(Bets!$D:$D, A365, Bets!Z:Z), "")</f>
        <v/>
      </c>
      <c r="C365" s="162"/>
      <c r="D365" s="148"/>
      <c r="E365" s="161"/>
      <c r="F365" s="146" t="str">
        <f>IF(E365&lt;&gt;"", SUMIF(Bets!$D:$D, E365, Bets!AB:AB), "")</f>
        <v/>
      </c>
      <c r="G365" s="162"/>
      <c r="H365" s="148"/>
      <c r="I365" s="161"/>
      <c r="J365" s="146" t="str">
        <f>IF(I365&lt;&gt;"", SUMIF(Bets!$D:$D, I365, Bets!AA:AA), "")</f>
        <v/>
      </c>
      <c r="K365" s="162"/>
      <c r="L365" s="148"/>
      <c r="M365" s="161"/>
      <c r="N365" s="146"/>
      <c r="O365" s="162"/>
      <c r="P365" s="148"/>
      <c r="Q365" s="161"/>
      <c r="R365" s="146" t="str">
        <f>IF(Q365&lt;&gt;"", SUMIF(Bets!$D:$D, Q365, Bets!AD:AD), "")</f>
        <v/>
      </c>
      <c r="S365" s="162"/>
      <c r="T365" s="148"/>
      <c r="U365" s="161"/>
      <c r="V365" s="146" t="str">
        <f>IF(U365&lt;&gt;"", SUMIF(Bets!$D:$D, U365, Bets!AE:AE), "")</f>
        <v/>
      </c>
      <c r="W365" s="162"/>
      <c r="X365" s="148"/>
      <c r="Y365" s="161"/>
      <c r="Z365" s="146" t="str">
        <f>IF(Y365&lt;&gt;"", SUMIF(Bets!$D:$D, Y365, Bets!AF:AF), "")</f>
        <v/>
      </c>
      <c r="AA365" s="162"/>
      <c r="AB365" s="148"/>
      <c r="AC365" s="161"/>
      <c r="AD365" s="146" t="str">
        <f>IF(AC365&lt;&gt;"", SUMIF(Bets!$D:$D, AC365, Bets!AG:AG), "")</f>
        <v/>
      </c>
      <c r="AE365" s="162"/>
      <c r="AF365" s="148"/>
    </row>
    <row r="366">
      <c r="A366" s="161"/>
      <c r="B366" s="146" t="str">
        <f>IF(A366&lt;&gt;"", SUMIF(Bets!$D:$D, A366, Bets!Z:Z), "")</f>
        <v/>
      </c>
      <c r="C366" s="162"/>
      <c r="D366" s="148"/>
      <c r="E366" s="161"/>
      <c r="F366" s="146" t="str">
        <f>IF(E366&lt;&gt;"", SUMIF(Bets!$D:$D, E366, Bets!AB:AB), "")</f>
        <v/>
      </c>
      <c r="G366" s="162"/>
      <c r="H366" s="148"/>
      <c r="I366" s="161"/>
      <c r="J366" s="146" t="str">
        <f>IF(I366&lt;&gt;"", SUMIF(Bets!$D:$D, I366, Bets!AA:AA), "")</f>
        <v/>
      </c>
      <c r="K366" s="162"/>
      <c r="L366" s="148"/>
      <c r="M366" s="161"/>
      <c r="N366" s="146"/>
      <c r="O366" s="162"/>
      <c r="P366" s="148"/>
      <c r="Q366" s="161"/>
      <c r="R366" s="146" t="str">
        <f>IF(Q366&lt;&gt;"", SUMIF(Bets!$D:$D, Q366, Bets!AD:AD), "")</f>
        <v/>
      </c>
      <c r="S366" s="162"/>
      <c r="T366" s="148"/>
      <c r="U366" s="161"/>
      <c r="V366" s="146" t="str">
        <f>IF(U366&lt;&gt;"", SUMIF(Bets!$D:$D, U366, Bets!AE:AE), "")</f>
        <v/>
      </c>
      <c r="W366" s="162"/>
      <c r="X366" s="148"/>
      <c r="Y366" s="161"/>
      <c r="Z366" s="146" t="str">
        <f>IF(Y366&lt;&gt;"", SUMIF(Bets!$D:$D, Y366, Bets!AF:AF), "")</f>
        <v/>
      </c>
      <c r="AA366" s="162"/>
      <c r="AB366" s="148"/>
      <c r="AC366" s="161"/>
      <c r="AD366" s="146" t="str">
        <f>IF(AC366&lt;&gt;"", SUMIF(Bets!$D:$D, AC366, Bets!AG:AG), "")</f>
        <v/>
      </c>
      <c r="AE366" s="162"/>
      <c r="AF366" s="148"/>
    </row>
    <row r="367">
      <c r="A367" s="161"/>
      <c r="B367" s="146" t="str">
        <f>IF(A367&lt;&gt;"", SUMIF(Bets!$D:$D, A367, Bets!Z:Z), "")</f>
        <v/>
      </c>
      <c r="C367" s="162"/>
      <c r="D367" s="148"/>
      <c r="E367" s="161"/>
      <c r="F367" s="146" t="str">
        <f>IF(E367&lt;&gt;"", SUMIF(Bets!$D:$D, E367, Bets!AB:AB), "")</f>
        <v/>
      </c>
      <c r="G367" s="162"/>
      <c r="H367" s="148"/>
      <c r="I367" s="161"/>
      <c r="J367" s="146" t="str">
        <f>IF(I367&lt;&gt;"", SUMIF(Bets!$D:$D, I367, Bets!AA:AA), "")</f>
        <v/>
      </c>
      <c r="K367" s="162"/>
      <c r="L367" s="148"/>
      <c r="M367" s="161"/>
      <c r="N367" s="146"/>
      <c r="O367" s="162"/>
      <c r="P367" s="148"/>
      <c r="Q367" s="161"/>
      <c r="R367" s="146" t="str">
        <f>IF(Q367&lt;&gt;"", SUMIF(Bets!$D:$D, Q367, Bets!AD:AD), "")</f>
        <v/>
      </c>
      <c r="S367" s="162"/>
      <c r="T367" s="148"/>
      <c r="U367" s="161"/>
      <c r="V367" s="146" t="str">
        <f>IF(U367&lt;&gt;"", SUMIF(Bets!$D:$D, U367, Bets!AE:AE), "")</f>
        <v/>
      </c>
      <c r="W367" s="162"/>
      <c r="X367" s="148"/>
      <c r="Y367" s="161"/>
      <c r="Z367" s="146" t="str">
        <f>IF(Y367&lt;&gt;"", SUMIF(Bets!$D:$D, Y367, Bets!AF:AF), "")</f>
        <v/>
      </c>
      <c r="AA367" s="162"/>
      <c r="AB367" s="148"/>
      <c r="AC367" s="161"/>
      <c r="AD367" s="146" t="str">
        <f>IF(AC367&lt;&gt;"", SUMIF(Bets!$D:$D, AC367, Bets!AG:AG), "")</f>
        <v/>
      </c>
      <c r="AE367" s="162"/>
      <c r="AF367" s="148"/>
    </row>
    <row r="368">
      <c r="A368" s="161"/>
      <c r="B368" s="146" t="str">
        <f>IF(A368&lt;&gt;"", SUMIF(Bets!$D:$D, A368, Bets!Z:Z), "")</f>
        <v/>
      </c>
      <c r="C368" s="162"/>
      <c r="D368" s="148"/>
      <c r="E368" s="161"/>
      <c r="F368" s="146" t="str">
        <f>IF(E368&lt;&gt;"", SUMIF(Bets!$D:$D, E368, Bets!AB:AB), "")</f>
        <v/>
      </c>
      <c r="G368" s="162"/>
      <c r="H368" s="148"/>
      <c r="I368" s="161"/>
      <c r="J368" s="146" t="str">
        <f>IF(I368&lt;&gt;"", SUMIF(Bets!$D:$D, I368, Bets!AA:AA), "")</f>
        <v/>
      </c>
      <c r="K368" s="162"/>
      <c r="L368" s="148"/>
      <c r="M368" s="161"/>
      <c r="N368" s="146"/>
      <c r="O368" s="162"/>
      <c r="P368" s="148"/>
      <c r="Q368" s="161"/>
      <c r="R368" s="146" t="str">
        <f>IF(Q368&lt;&gt;"", SUMIF(Bets!$D:$D, Q368, Bets!AD:AD), "")</f>
        <v/>
      </c>
      <c r="S368" s="162"/>
      <c r="T368" s="148"/>
      <c r="U368" s="161"/>
      <c r="V368" s="146" t="str">
        <f>IF(U368&lt;&gt;"", SUMIF(Bets!$D:$D, U368, Bets!AE:AE), "")</f>
        <v/>
      </c>
      <c r="W368" s="162"/>
      <c r="X368" s="148"/>
      <c r="Y368" s="161"/>
      <c r="Z368" s="146" t="str">
        <f>IF(Y368&lt;&gt;"", SUMIF(Bets!$D:$D, Y368, Bets!AF:AF), "")</f>
        <v/>
      </c>
      <c r="AA368" s="162"/>
      <c r="AB368" s="148"/>
      <c r="AC368" s="161"/>
      <c r="AD368" s="146" t="str">
        <f>IF(AC368&lt;&gt;"", SUMIF(Bets!$D:$D, AC368, Bets!AG:AG), "")</f>
        <v/>
      </c>
      <c r="AE368" s="162"/>
      <c r="AF368" s="148"/>
    </row>
    <row r="369">
      <c r="A369" s="161"/>
      <c r="B369" s="146" t="str">
        <f>IF(A369&lt;&gt;"", SUMIF(Bets!$D:$D, A369, Bets!Z:Z), "")</f>
        <v/>
      </c>
      <c r="C369" s="162"/>
      <c r="D369" s="148"/>
      <c r="E369" s="161"/>
      <c r="F369" s="146" t="str">
        <f>IF(E369&lt;&gt;"", SUMIF(Bets!$D:$D, E369, Bets!AB:AB), "")</f>
        <v/>
      </c>
      <c r="G369" s="162"/>
      <c r="H369" s="148"/>
      <c r="I369" s="161"/>
      <c r="J369" s="146" t="str">
        <f>IF(I369&lt;&gt;"", SUMIF(Bets!$D:$D, I369, Bets!AA:AA), "")</f>
        <v/>
      </c>
      <c r="K369" s="162"/>
      <c r="L369" s="148"/>
      <c r="M369" s="161"/>
      <c r="N369" s="146"/>
      <c r="O369" s="162"/>
      <c r="P369" s="148"/>
      <c r="Q369" s="161"/>
      <c r="R369" s="146" t="str">
        <f>IF(Q369&lt;&gt;"", SUMIF(Bets!$D:$D, Q369, Bets!AD:AD), "")</f>
        <v/>
      </c>
      <c r="S369" s="162"/>
      <c r="T369" s="148"/>
      <c r="U369" s="161"/>
      <c r="V369" s="146" t="str">
        <f>IF(U369&lt;&gt;"", SUMIF(Bets!$D:$D, U369, Bets!AE:AE), "")</f>
        <v/>
      </c>
      <c r="W369" s="162"/>
      <c r="X369" s="148"/>
      <c r="Y369" s="161"/>
      <c r="Z369" s="146" t="str">
        <f>IF(Y369&lt;&gt;"", SUMIF(Bets!$D:$D, Y369, Bets!AF:AF), "")</f>
        <v/>
      </c>
      <c r="AA369" s="162"/>
      <c r="AB369" s="148"/>
      <c r="AC369" s="161"/>
      <c r="AD369" s="146" t="str">
        <f>IF(AC369&lt;&gt;"", SUMIF(Bets!$D:$D, AC369, Bets!AG:AG), "")</f>
        <v/>
      </c>
      <c r="AE369" s="162"/>
      <c r="AF369" s="148"/>
    </row>
    <row r="370">
      <c r="A370" s="161"/>
      <c r="B370" s="146" t="str">
        <f>IF(A370&lt;&gt;"", SUMIF(Bets!$D:$D, A370, Bets!Z:Z), "")</f>
        <v/>
      </c>
      <c r="C370" s="162"/>
      <c r="D370" s="148"/>
      <c r="E370" s="161"/>
      <c r="F370" s="146" t="str">
        <f>IF(E370&lt;&gt;"", SUMIF(Bets!$D:$D, E370, Bets!AB:AB), "")</f>
        <v/>
      </c>
      <c r="G370" s="162"/>
      <c r="H370" s="148"/>
      <c r="I370" s="161"/>
      <c r="J370" s="146" t="str">
        <f>IF(I370&lt;&gt;"", SUMIF(Bets!$D:$D, I370, Bets!AA:AA), "")</f>
        <v/>
      </c>
      <c r="K370" s="162"/>
      <c r="L370" s="148"/>
      <c r="M370" s="161"/>
      <c r="N370" s="146"/>
      <c r="O370" s="162"/>
      <c r="P370" s="148"/>
      <c r="Q370" s="161"/>
      <c r="R370" s="146" t="str">
        <f>IF(Q370&lt;&gt;"", SUMIF(Bets!$D:$D, Q370, Bets!AD:AD), "")</f>
        <v/>
      </c>
      <c r="S370" s="162"/>
      <c r="T370" s="148"/>
      <c r="U370" s="161"/>
      <c r="V370" s="146" t="str">
        <f>IF(U370&lt;&gt;"", SUMIF(Bets!$D:$D, U370, Bets!AE:AE), "")</f>
        <v/>
      </c>
      <c r="W370" s="162"/>
      <c r="X370" s="148"/>
      <c r="Y370" s="161"/>
      <c r="Z370" s="146" t="str">
        <f>IF(Y370&lt;&gt;"", SUMIF(Bets!$D:$D, Y370, Bets!AF:AF), "")</f>
        <v/>
      </c>
      <c r="AA370" s="162"/>
      <c r="AB370" s="148"/>
      <c r="AC370" s="161"/>
      <c r="AD370" s="146" t="str">
        <f>IF(AC370&lt;&gt;"", SUMIF(Bets!$D:$D, AC370, Bets!AG:AG), "")</f>
        <v/>
      </c>
      <c r="AE370" s="162"/>
      <c r="AF370" s="148"/>
    </row>
    <row r="371">
      <c r="A371" s="161"/>
      <c r="B371" s="146" t="str">
        <f>IF(A371&lt;&gt;"", SUMIF(Bets!$D:$D, A371, Bets!Z:Z), "")</f>
        <v/>
      </c>
      <c r="C371" s="162"/>
      <c r="D371" s="148"/>
      <c r="E371" s="161"/>
      <c r="F371" s="146" t="str">
        <f>IF(E371&lt;&gt;"", SUMIF(Bets!$D:$D, E371, Bets!AB:AB), "")</f>
        <v/>
      </c>
      <c r="G371" s="162"/>
      <c r="H371" s="148"/>
      <c r="I371" s="161"/>
      <c r="J371" s="146" t="str">
        <f>IF(I371&lt;&gt;"", SUMIF(Bets!$D:$D, I371, Bets!AA:AA), "")</f>
        <v/>
      </c>
      <c r="K371" s="162"/>
      <c r="L371" s="148"/>
      <c r="M371" s="161"/>
      <c r="N371" s="146"/>
      <c r="O371" s="162"/>
      <c r="P371" s="148"/>
      <c r="Q371" s="161"/>
      <c r="R371" s="146" t="str">
        <f>IF(Q371&lt;&gt;"", SUMIF(Bets!$D:$D, Q371, Bets!AD:AD), "")</f>
        <v/>
      </c>
      <c r="S371" s="162"/>
      <c r="T371" s="148"/>
      <c r="U371" s="161"/>
      <c r="V371" s="146" t="str">
        <f>IF(U371&lt;&gt;"", SUMIF(Bets!$D:$D, U371, Bets!AE:AE), "")</f>
        <v/>
      </c>
      <c r="W371" s="162"/>
      <c r="X371" s="148"/>
      <c r="Y371" s="161"/>
      <c r="Z371" s="146" t="str">
        <f>IF(Y371&lt;&gt;"", SUMIF(Bets!$D:$D, Y371, Bets!AF:AF), "")</f>
        <v/>
      </c>
      <c r="AA371" s="162"/>
      <c r="AB371" s="148"/>
      <c r="AC371" s="161"/>
      <c r="AD371" s="146" t="str">
        <f>IF(AC371&lt;&gt;"", SUMIF(Bets!$D:$D, AC371, Bets!AG:AG), "")</f>
        <v/>
      </c>
      <c r="AE371" s="162"/>
      <c r="AF371" s="148"/>
    </row>
    <row r="372">
      <c r="A372" s="161"/>
      <c r="B372" s="146" t="str">
        <f>IF(A372&lt;&gt;"", SUMIF(Bets!$D:$D, A372, Bets!Z:Z), "")</f>
        <v/>
      </c>
      <c r="C372" s="162"/>
      <c r="D372" s="148"/>
      <c r="E372" s="161"/>
      <c r="F372" s="146" t="str">
        <f>IF(E372&lt;&gt;"", SUMIF(Bets!$D:$D, E372, Bets!AB:AB), "")</f>
        <v/>
      </c>
      <c r="G372" s="162"/>
      <c r="H372" s="148"/>
      <c r="I372" s="161"/>
      <c r="J372" s="146" t="str">
        <f>IF(I372&lt;&gt;"", SUMIF(Bets!$D:$D, I372, Bets!AA:AA), "")</f>
        <v/>
      </c>
      <c r="K372" s="162"/>
      <c r="L372" s="148"/>
      <c r="M372" s="161"/>
      <c r="N372" s="146"/>
      <c r="O372" s="162"/>
      <c r="P372" s="148"/>
      <c r="Q372" s="161"/>
      <c r="R372" s="146" t="str">
        <f>IF(Q372&lt;&gt;"", SUMIF(Bets!$D:$D, Q372, Bets!AD:AD), "")</f>
        <v/>
      </c>
      <c r="S372" s="162"/>
      <c r="T372" s="148"/>
      <c r="U372" s="161"/>
      <c r="V372" s="146" t="str">
        <f>IF(U372&lt;&gt;"", SUMIF(Bets!$D:$D, U372, Bets!AE:AE), "")</f>
        <v/>
      </c>
      <c r="W372" s="162"/>
      <c r="X372" s="148"/>
      <c r="Y372" s="161"/>
      <c r="Z372" s="146" t="str">
        <f>IF(Y372&lt;&gt;"", SUMIF(Bets!$D:$D, Y372, Bets!AF:AF), "")</f>
        <v/>
      </c>
      <c r="AA372" s="162"/>
      <c r="AB372" s="148"/>
      <c r="AC372" s="161"/>
      <c r="AD372" s="146" t="str">
        <f>IF(AC372&lt;&gt;"", SUMIF(Bets!$D:$D, AC372, Bets!AG:AG), "")</f>
        <v/>
      </c>
      <c r="AE372" s="162"/>
      <c r="AF372" s="148"/>
    </row>
    <row r="373">
      <c r="A373" s="161"/>
      <c r="B373" s="146" t="str">
        <f>IF(A373&lt;&gt;"", SUMIF(Bets!$D:$D, A373, Bets!Z:Z), "")</f>
        <v/>
      </c>
      <c r="C373" s="162"/>
      <c r="D373" s="148"/>
      <c r="E373" s="161"/>
      <c r="F373" s="146" t="str">
        <f>IF(E373&lt;&gt;"", SUMIF(Bets!$D:$D, E373, Bets!AB:AB), "")</f>
        <v/>
      </c>
      <c r="G373" s="162"/>
      <c r="H373" s="148"/>
      <c r="I373" s="161"/>
      <c r="J373" s="146" t="str">
        <f>IF(I373&lt;&gt;"", SUMIF(Bets!$D:$D, I373, Bets!AA:AA), "")</f>
        <v/>
      </c>
      <c r="K373" s="162"/>
      <c r="L373" s="148"/>
      <c r="M373" s="161"/>
      <c r="N373" s="146"/>
      <c r="O373" s="162"/>
      <c r="P373" s="148"/>
      <c r="Q373" s="161"/>
      <c r="R373" s="146" t="str">
        <f>IF(Q373&lt;&gt;"", SUMIF(Bets!$D:$D, Q373, Bets!AD:AD), "")</f>
        <v/>
      </c>
      <c r="S373" s="162"/>
      <c r="T373" s="148"/>
      <c r="U373" s="161"/>
      <c r="V373" s="146" t="str">
        <f>IF(U373&lt;&gt;"", SUMIF(Bets!$D:$D, U373, Bets!AE:AE), "")</f>
        <v/>
      </c>
      <c r="W373" s="162"/>
      <c r="X373" s="148"/>
      <c r="Y373" s="161"/>
      <c r="Z373" s="146" t="str">
        <f>IF(Y373&lt;&gt;"", SUMIF(Bets!$D:$D, Y373, Bets!AF:AF), "")</f>
        <v/>
      </c>
      <c r="AA373" s="162"/>
      <c r="AB373" s="148"/>
      <c r="AC373" s="161"/>
      <c r="AD373" s="146" t="str">
        <f>IF(AC373&lt;&gt;"", SUMIF(Bets!$D:$D, AC373, Bets!AG:AG), "")</f>
        <v/>
      </c>
      <c r="AE373" s="162"/>
      <c r="AF373" s="148"/>
    </row>
    <row r="374">
      <c r="A374" s="161"/>
      <c r="B374" s="146" t="str">
        <f>IF(A374&lt;&gt;"", SUMIF(Bets!$D:$D, A374, Bets!Z:Z), "")</f>
        <v/>
      </c>
      <c r="C374" s="162"/>
      <c r="D374" s="148"/>
      <c r="E374" s="161"/>
      <c r="F374" s="146" t="str">
        <f>IF(E374&lt;&gt;"", SUMIF(Bets!$D:$D, E374, Bets!AB:AB), "")</f>
        <v/>
      </c>
      <c r="G374" s="162"/>
      <c r="H374" s="148"/>
      <c r="I374" s="161"/>
      <c r="J374" s="146" t="str">
        <f>IF(I374&lt;&gt;"", SUMIF(Bets!$D:$D, I374, Bets!AA:AA), "")</f>
        <v/>
      </c>
      <c r="K374" s="162"/>
      <c r="L374" s="148"/>
      <c r="M374" s="161"/>
      <c r="N374" s="146"/>
      <c r="O374" s="162"/>
      <c r="P374" s="148"/>
      <c r="Q374" s="161"/>
      <c r="R374" s="146" t="str">
        <f>IF(Q374&lt;&gt;"", SUMIF(Bets!$D:$D, Q374, Bets!AD:AD), "")</f>
        <v/>
      </c>
      <c r="S374" s="162"/>
      <c r="T374" s="148"/>
      <c r="U374" s="161"/>
      <c r="V374" s="146" t="str">
        <f>IF(U374&lt;&gt;"", SUMIF(Bets!$D:$D, U374, Bets!AE:AE), "")</f>
        <v/>
      </c>
      <c r="W374" s="162"/>
      <c r="X374" s="148"/>
      <c r="Y374" s="161"/>
      <c r="Z374" s="146" t="str">
        <f>IF(Y374&lt;&gt;"", SUMIF(Bets!$D:$D, Y374, Bets!AF:AF), "")</f>
        <v/>
      </c>
      <c r="AA374" s="162"/>
      <c r="AB374" s="148"/>
      <c r="AC374" s="161"/>
      <c r="AD374" s="146" t="str">
        <f>IF(AC374&lt;&gt;"", SUMIF(Bets!$D:$D, AC374, Bets!AG:AG), "")</f>
        <v/>
      </c>
      <c r="AE374" s="162"/>
      <c r="AF374" s="148"/>
    </row>
    <row r="375">
      <c r="A375" s="161"/>
      <c r="B375" s="146" t="str">
        <f>IF(A375&lt;&gt;"", SUMIF(Bets!$D:$D, A375, Bets!Z:Z), "")</f>
        <v/>
      </c>
      <c r="C375" s="162"/>
      <c r="D375" s="148"/>
      <c r="E375" s="161"/>
      <c r="F375" s="146" t="str">
        <f>IF(E375&lt;&gt;"", SUMIF(Bets!$D:$D, E375, Bets!AB:AB), "")</f>
        <v/>
      </c>
      <c r="G375" s="162"/>
      <c r="H375" s="148"/>
      <c r="I375" s="161"/>
      <c r="J375" s="146" t="str">
        <f>IF(I375&lt;&gt;"", SUMIF(Bets!$D:$D, I375, Bets!AA:AA), "")</f>
        <v/>
      </c>
      <c r="K375" s="162"/>
      <c r="L375" s="148"/>
      <c r="M375" s="161"/>
      <c r="N375" s="146"/>
      <c r="O375" s="162"/>
      <c r="P375" s="148"/>
      <c r="Q375" s="161"/>
      <c r="R375" s="146" t="str">
        <f>IF(Q375&lt;&gt;"", SUMIF(Bets!$D:$D, Q375, Bets!AD:AD), "")</f>
        <v/>
      </c>
      <c r="S375" s="162"/>
      <c r="T375" s="148"/>
      <c r="U375" s="161"/>
      <c r="V375" s="146" t="str">
        <f>IF(U375&lt;&gt;"", SUMIF(Bets!$D:$D, U375, Bets!AE:AE), "")</f>
        <v/>
      </c>
      <c r="W375" s="162"/>
      <c r="X375" s="148"/>
      <c r="Y375" s="161"/>
      <c r="Z375" s="146" t="str">
        <f>IF(Y375&lt;&gt;"", SUMIF(Bets!$D:$D, Y375, Bets!AF:AF), "")</f>
        <v/>
      </c>
      <c r="AA375" s="162"/>
      <c r="AB375" s="148"/>
      <c r="AC375" s="161"/>
      <c r="AD375" s="146" t="str">
        <f>IF(AC375&lt;&gt;"", SUMIF(Bets!$D:$D, AC375, Bets!AG:AG), "")</f>
        <v/>
      </c>
      <c r="AE375" s="162"/>
      <c r="AF375" s="148"/>
    </row>
    <row r="376">
      <c r="A376" s="161"/>
      <c r="B376" s="146" t="str">
        <f>IF(A376&lt;&gt;"", SUMIF(Bets!$D:$D, A376, Bets!Z:Z), "")</f>
        <v/>
      </c>
      <c r="C376" s="162"/>
      <c r="D376" s="148"/>
      <c r="E376" s="161"/>
      <c r="F376" s="146" t="str">
        <f>IF(E376&lt;&gt;"", SUMIF(Bets!$D:$D, E376, Bets!AB:AB), "")</f>
        <v/>
      </c>
      <c r="G376" s="162"/>
      <c r="H376" s="148"/>
      <c r="I376" s="161"/>
      <c r="J376" s="146" t="str">
        <f>IF(I376&lt;&gt;"", SUMIF(Bets!$D:$D, I376, Bets!AA:AA), "")</f>
        <v/>
      </c>
      <c r="K376" s="162"/>
      <c r="L376" s="148"/>
      <c r="M376" s="161"/>
      <c r="N376" s="146"/>
      <c r="O376" s="162"/>
      <c r="P376" s="148"/>
      <c r="Q376" s="161"/>
      <c r="R376" s="146" t="str">
        <f>IF(Q376&lt;&gt;"", SUMIF(Bets!$D:$D, Q376, Bets!AD:AD), "")</f>
        <v/>
      </c>
      <c r="S376" s="162"/>
      <c r="T376" s="148"/>
      <c r="U376" s="161"/>
      <c r="V376" s="146" t="str">
        <f>IF(U376&lt;&gt;"", SUMIF(Bets!$D:$D, U376, Bets!AE:AE), "")</f>
        <v/>
      </c>
      <c r="W376" s="162"/>
      <c r="X376" s="148"/>
      <c r="Y376" s="161"/>
      <c r="Z376" s="146" t="str">
        <f>IF(Y376&lt;&gt;"", SUMIF(Bets!$D:$D, Y376, Bets!AF:AF), "")</f>
        <v/>
      </c>
      <c r="AA376" s="162"/>
      <c r="AB376" s="148"/>
      <c r="AC376" s="161"/>
      <c r="AD376" s="146" t="str">
        <f>IF(AC376&lt;&gt;"", SUMIF(Bets!$D:$D, AC376, Bets!AG:AG), "")</f>
        <v/>
      </c>
      <c r="AE376" s="162"/>
      <c r="AF376" s="148"/>
    </row>
    <row r="377">
      <c r="A377" s="161"/>
      <c r="B377" s="146" t="str">
        <f>IF(A377&lt;&gt;"", SUMIF(Bets!$D:$D, A377, Bets!Z:Z), "")</f>
        <v/>
      </c>
      <c r="C377" s="162"/>
      <c r="D377" s="148"/>
      <c r="E377" s="161"/>
      <c r="F377" s="146" t="str">
        <f>IF(E377&lt;&gt;"", SUMIF(Bets!$D:$D, E377, Bets!AB:AB), "")</f>
        <v/>
      </c>
      <c r="G377" s="162"/>
      <c r="H377" s="148"/>
      <c r="I377" s="161"/>
      <c r="J377" s="146" t="str">
        <f>IF(I377&lt;&gt;"", SUMIF(Bets!$D:$D, I377, Bets!AA:AA), "")</f>
        <v/>
      </c>
      <c r="K377" s="162"/>
      <c r="L377" s="148"/>
      <c r="M377" s="161"/>
      <c r="N377" s="146"/>
      <c r="O377" s="162"/>
      <c r="P377" s="148"/>
      <c r="Q377" s="161"/>
      <c r="R377" s="146" t="str">
        <f>IF(Q377&lt;&gt;"", SUMIF(Bets!$D:$D, Q377, Bets!AD:AD), "")</f>
        <v/>
      </c>
      <c r="S377" s="162"/>
      <c r="T377" s="148"/>
      <c r="U377" s="161"/>
      <c r="V377" s="146" t="str">
        <f>IF(U377&lt;&gt;"", SUMIF(Bets!$D:$D, U377, Bets!AE:AE), "")</f>
        <v/>
      </c>
      <c r="W377" s="162"/>
      <c r="X377" s="148"/>
      <c r="Y377" s="161"/>
      <c r="Z377" s="146" t="str">
        <f>IF(Y377&lt;&gt;"", SUMIF(Bets!$D:$D, Y377, Bets!AF:AF), "")</f>
        <v/>
      </c>
      <c r="AA377" s="162"/>
      <c r="AB377" s="148"/>
      <c r="AC377" s="161"/>
      <c r="AD377" s="146" t="str">
        <f>IF(AC377&lt;&gt;"", SUMIF(Bets!$D:$D, AC377, Bets!AG:AG), "")</f>
        <v/>
      </c>
      <c r="AE377" s="162"/>
      <c r="AF377" s="148"/>
    </row>
    <row r="378">
      <c r="A378" s="161"/>
      <c r="B378" s="146" t="str">
        <f>IF(A378&lt;&gt;"", SUMIF(Bets!$D:$D, A378, Bets!Z:Z), "")</f>
        <v/>
      </c>
      <c r="C378" s="162"/>
      <c r="D378" s="148"/>
      <c r="E378" s="161"/>
      <c r="F378" s="146" t="str">
        <f>IF(E378&lt;&gt;"", SUMIF(Bets!$D:$D, E378, Bets!AB:AB), "")</f>
        <v/>
      </c>
      <c r="G378" s="162"/>
      <c r="H378" s="148"/>
      <c r="I378" s="161"/>
      <c r="J378" s="146" t="str">
        <f>IF(I378&lt;&gt;"", SUMIF(Bets!$D:$D, I378, Bets!AA:AA), "")</f>
        <v/>
      </c>
      <c r="K378" s="162"/>
      <c r="L378" s="148"/>
      <c r="M378" s="161"/>
      <c r="N378" s="146"/>
      <c r="O378" s="162"/>
      <c r="P378" s="148"/>
      <c r="Q378" s="161"/>
      <c r="R378" s="146" t="str">
        <f>IF(Q378&lt;&gt;"", SUMIF(Bets!$D:$D, Q378, Bets!AD:AD), "")</f>
        <v/>
      </c>
      <c r="S378" s="162"/>
      <c r="T378" s="148"/>
      <c r="U378" s="161"/>
      <c r="V378" s="146" t="str">
        <f>IF(U378&lt;&gt;"", SUMIF(Bets!$D:$D, U378, Bets!AE:AE), "")</f>
        <v/>
      </c>
      <c r="W378" s="162"/>
      <c r="X378" s="148"/>
      <c r="Y378" s="161"/>
      <c r="Z378" s="146" t="str">
        <f>IF(Y378&lt;&gt;"", SUMIF(Bets!$D:$D, Y378, Bets!AF:AF), "")</f>
        <v/>
      </c>
      <c r="AA378" s="162"/>
      <c r="AB378" s="148"/>
      <c r="AC378" s="161"/>
      <c r="AD378" s="146" t="str">
        <f>IF(AC378&lt;&gt;"", SUMIF(Bets!$D:$D, AC378, Bets!AG:AG), "")</f>
        <v/>
      </c>
      <c r="AE378" s="162"/>
      <c r="AF378" s="148"/>
    </row>
    <row r="379">
      <c r="A379" s="161"/>
      <c r="B379" s="146" t="str">
        <f>IF(A379&lt;&gt;"", SUMIF(Bets!$D:$D, A379, Bets!Z:Z), "")</f>
        <v/>
      </c>
      <c r="C379" s="162"/>
      <c r="D379" s="148"/>
      <c r="E379" s="161"/>
      <c r="F379" s="146" t="str">
        <f>IF(E379&lt;&gt;"", SUMIF(Bets!$D:$D, E379, Bets!AB:AB), "")</f>
        <v/>
      </c>
      <c r="G379" s="162"/>
      <c r="H379" s="148"/>
      <c r="I379" s="161"/>
      <c r="J379" s="146" t="str">
        <f>IF(I379&lt;&gt;"", SUMIF(Bets!$D:$D, I379, Bets!AA:AA), "")</f>
        <v/>
      </c>
      <c r="K379" s="162"/>
      <c r="L379" s="148"/>
      <c r="M379" s="161"/>
      <c r="N379" s="146"/>
      <c r="O379" s="162"/>
      <c r="P379" s="148"/>
      <c r="Q379" s="161"/>
      <c r="R379" s="146" t="str">
        <f>IF(Q379&lt;&gt;"", SUMIF(Bets!$D:$D, Q379, Bets!AD:AD), "")</f>
        <v/>
      </c>
      <c r="S379" s="162"/>
      <c r="T379" s="148"/>
      <c r="U379" s="161"/>
      <c r="V379" s="146" t="str">
        <f>IF(U379&lt;&gt;"", SUMIF(Bets!$D:$D, U379, Bets!AE:AE), "")</f>
        <v/>
      </c>
      <c r="W379" s="162"/>
      <c r="X379" s="148"/>
      <c r="Y379" s="161"/>
      <c r="Z379" s="146" t="str">
        <f>IF(Y379&lt;&gt;"", SUMIF(Bets!$D:$D, Y379, Bets!AF:AF), "")</f>
        <v/>
      </c>
      <c r="AA379" s="162"/>
      <c r="AB379" s="148"/>
      <c r="AC379" s="161"/>
      <c r="AD379" s="146" t="str">
        <f>IF(AC379&lt;&gt;"", SUMIF(Bets!$D:$D, AC379, Bets!AG:AG), "")</f>
        <v/>
      </c>
      <c r="AE379" s="162"/>
      <c r="AF379" s="148"/>
    </row>
    <row r="380">
      <c r="A380" s="161"/>
      <c r="B380" s="146" t="str">
        <f>IF(A380&lt;&gt;"", SUMIF(Bets!$D:$D, A380, Bets!Z:Z), "")</f>
        <v/>
      </c>
      <c r="C380" s="162"/>
      <c r="D380" s="148"/>
      <c r="E380" s="161"/>
      <c r="F380" s="146" t="str">
        <f>IF(E380&lt;&gt;"", SUMIF(Bets!$D:$D, E380, Bets!AB:AB), "")</f>
        <v/>
      </c>
      <c r="G380" s="162"/>
      <c r="H380" s="148"/>
      <c r="I380" s="161"/>
      <c r="J380" s="146" t="str">
        <f>IF(I380&lt;&gt;"", SUMIF(Bets!$D:$D, I380, Bets!AA:AA), "")</f>
        <v/>
      </c>
      <c r="K380" s="162"/>
      <c r="L380" s="148"/>
      <c r="M380" s="161"/>
      <c r="N380" s="146"/>
      <c r="O380" s="162"/>
      <c r="P380" s="148"/>
      <c r="Q380" s="161"/>
      <c r="R380" s="146" t="str">
        <f>IF(Q380&lt;&gt;"", SUMIF(Bets!$D:$D, Q380, Bets!AD:AD), "")</f>
        <v/>
      </c>
      <c r="S380" s="162"/>
      <c r="T380" s="148"/>
      <c r="U380" s="161"/>
      <c r="V380" s="146" t="str">
        <f>IF(U380&lt;&gt;"", SUMIF(Bets!$D:$D, U380, Bets!AE:AE), "")</f>
        <v/>
      </c>
      <c r="W380" s="162"/>
      <c r="X380" s="148"/>
      <c r="Y380" s="161"/>
      <c r="Z380" s="146" t="str">
        <f>IF(Y380&lt;&gt;"", SUMIF(Bets!$D:$D, Y380, Bets!AF:AF), "")</f>
        <v/>
      </c>
      <c r="AA380" s="162"/>
      <c r="AB380" s="148"/>
      <c r="AC380" s="161"/>
      <c r="AD380" s="146" t="str">
        <f>IF(AC380&lt;&gt;"", SUMIF(Bets!$D:$D, AC380, Bets!AG:AG), "")</f>
        <v/>
      </c>
      <c r="AE380" s="162"/>
      <c r="AF380" s="148"/>
    </row>
    <row r="381">
      <c r="A381" s="161"/>
      <c r="B381" s="146" t="str">
        <f>IF(A381&lt;&gt;"", SUMIF(Bets!$D:$D, A381, Bets!Z:Z), "")</f>
        <v/>
      </c>
      <c r="C381" s="162"/>
      <c r="D381" s="148"/>
      <c r="E381" s="161"/>
      <c r="F381" s="146" t="str">
        <f>IF(E381&lt;&gt;"", SUMIF(Bets!$D:$D, E381, Bets!AB:AB), "")</f>
        <v/>
      </c>
      <c r="G381" s="162"/>
      <c r="H381" s="148"/>
      <c r="I381" s="161"/>
      <c r="J381" s="146" t="str">
        <f>IF(I381&lt;&gt;"", SUMIF(Bets!$D:$D, I381, Bets!AA:AA), "")</f>
        <v/>
      </c>
      <c r="K381" s="162"/>
      <c r="L381" s="148"/>
      <c r="M381" s="161"/>
      <c r="N381" s="146"/>
      <c r="O381" s="162"/>
      <c r="P381" s="148"/>
      <c r="Q381" s="161"/>
      <c r="R381" s="146" t="str">
        <f>IF(Q381&lt;&gt;"", SUMIF(Bets!$D:$D, Q381, Bets!AD:AD), "")</f>
        <v/>
      </c>
      <c r="S381" s="162"/>
      <c r="T381" s="148"/>
      <c r="U381" s="161"/>
      <c r="V381" s="146" t="str">
        <f>IF(U381&lt;&gt;"", SUMIF(Bets!$D:$D, U381, Bets!AE:AE), "")</f>
        <v/>
      </c>
      <c r="W381" s="162"/>
      <c r="X381" s="148"/>
      <c r="Y381" s="161"/>
      <c r="Z381" s="146" t="str">
        <f>IF(Y381&lt;&gt;"", SUMIF(Bets!$D:$D, Y381, Bets!AF:AF), "")</f>
        <v/>
      </c>
      <c r="AA381" s="162"/>
      <c r="AB381" s="148"/>
      <c r="AC381" s="161"/>
      <c r="AD381" s="146" t="str">
        <f>IF(AC381&lt;&gt;"", SUMIF(Bets!$D:$D, AC381, Bets!AG:AG), "")</f>
        <v/>
      </c>
      <c r="AE381" s="162"/>
      <c r="AF381" s="148"/>
    </row>
    <row r="382">
      <c r="A382" s="161"/>
      <c r="B382" s="146" t="str">
        <f>IF(A382&lt;&gt;"", SUMIF(Bets!$D:$D, A382, Bets!Z:Z), "")</f>
        <v/>
      </c>
      <c r="C382" s="162"/>
      <c r="D382" s="148"/>
      <c r="E382" s="161"/>
      <c r="F382" s="146" t="str">
        <f>IF(E382&lt;&gt;"", SUMIF(Bets!$D:$D, E382, Bets!AB:AB), "")</f>
        <v/>
      </c>
      <c r="G382" s="162"/>
      <c r="H382" s="148"/>
      <c r="I382" s="161"/>
      <c r="J382" s="146" t="str">
        <f>IF(I382&lt;&gt;"", SUMIF(Bets!$D:$D, I382, Bets!AA:AA), "")</f>
        <v/>
      </c>
      <c r="K382" s="162"/>
      <c r="L382" s="148"/>
      <c r="M382" s="161"/>
      <c r="N382" s="146"/>
      <c r="O382" s="162"/>
      <c r="P382" s="148"/>
      <c r="Q382" s="161"/>
      <c r="R382" s="146" t="str">
        <f>IF(Q382&lt;&gt;"", SUMIF(Bets!$D:$D, Q382, Bets!AD:AD), "")</f>
        <v/>
      </c>
      <c r="S382" s="162"/>
      <c r="T382" s="148"/>
      <c r="U382" s="161"/>
      <c r="V382" s="146" t="str">
        <f>IF(U382&lt;&gt;"", SUMIF(Bets!$D:$D, U382, Bets!AE:AE), "")</f>
        <v/>
      </c>
      <c r="W382" s="162"/>
      <c r="X382" s="148"/>
      <c r="Y382" s="161"/>
      <c r="Z382" s="146" t="str">
        <f>IF(Y382&lt;&gt;"", SUMIF(Bets!$D:$D, Y382, Bets!AF:AF), "")</f>
        <v/>
      </c>
      <c r="AA382" s="162"/>
      <c r="AB382" s="148"/>
      <c r="AC382" s="161"/>
      <c r="AD382" s="146" t="str">
        <f>IF(AC382&lt;&gt;"", SUMIF(Bets!$D:$D, AC382, Bets!AG:AG), "")</f>
        <v/>
      </c>
      <c r="AE382" s="162"/>
      <c r="AF382" s="148"/>
    </row>
    <row r="383">
      <c r="A383" s="161"/>
      <c r="B383" s="146" t="str">
        <f>IF(A383&lt;&gt;"", SUMIF(Bets!$D:$D, A383, Bets!Z:Z), "")</f>
        <v/>
      </c>
      <c r="C383" s="162"/>
      <c r="D383" s="148"/>
      <c r="E383" s="161"/>
      <c r="F383" s="146" t="str">
        <f>IF(E383&lt;&gt;"", SUMIF(Bets!$D:$D, E383, Bets!AB:AB), "")</f>
        <v/>
      </c>
      <c r="G383" s="162"/>
      <c r="H383" s="148"/>
      <c r="I383" s="161"/>
      <c r="J383" s="146" t="str">
        <f>IF(I383&lt;&gt;"", SUMIF(Bets!$D:$D, I383, Bets!AA:AA), "")</f>
        <v/>
      </c>
      <c r="K383" s="162"/>
      <c r="L383" s="148"/>
      <c r="M383" s="161"/>
      <c r="N383" s="146"/>
      <c r="O383" s="162"/>
      <c r="P383" s="148"/>
      <c r="Q383" s="161"/>
      <c r="R383" s="146" t="str">
        <f>IF(Q383&lt;&gt;"", SUMIF(Bets!$D:$D, Q383, Bets!AD:AD), "")</f>
        <v/>
      </c>
      <c r="S383" s="162"/>
      <c r="T383" s="148"/>
      <c r="U383" s="161"/>
      <c r="V383" s="146" t="str">
        <f>IF(U383&lt;&gt;"", SUMIF(Bets!$D:$D, U383, Bets!AE:AE), "")</f>
        <v/>
      </c>
      <c r="W383" s="162"/>
      <c r="X383" s="148"/>
      <c r="Y383" s="161"/>
      <c r="Z383" s="146" t="str">
        <f>IF(Y383&lt;&gt;"", SUMIF(Bets!$D:$D, Y383, Bets!AF:AF), "")</f>
        <v/>
      </c>
      <c r="AA383" s="162"/>
      <c r="AB383" s="148"/>
      <c r="AC383" s="161"/>
      <c r="AD383" s="146" t="str">
        <f>IF(AC383&lt;&gt;"", SUMIF(Bets!$D:$D, AC383, Bets!AG:AG), "")</f>
        <v/>
      </c>
      <c r="AE383" s="162"/>
      <c r="AF383" s="148"/>
    </row>
    <row r="384">
      <c r="A384" s="161"/>
      <c r="B384" s="146" t="str">
        <f>IF(A384&lt;&gt;"", SUMIF(Bets!$D:$D, A384, Bets!Z:Z), "")</f>
        <v/>
      </c>
      <c r="C384" s="162"/>
      <c r="D384" s="148"/>
      <c r="E384" s="161"/>
      <c r="F384" s="146" t="str">
        <f>IF(E384&lt;&gt;"", SUMIF(Bets!$D:$D, E384, Bets!AB:AB), "")</f>
        <v/>
      </c>
      <c r="G384" s="162"/>
      <c r="H384" s="148"/>
      <c r="I384" s="161"/>
      <c r="J384" s="146" t="str">
        <f>IF(I384&lt;&gt;"", SUMIF(Bets!$D:$D, I384, Bets!AA:AA), "")</f>
        <v/>
      </c>
      <c r="K384" s="162"/>
      <c r="L384" s="148"/>
      <c r="M384" s="161"/>
      <c r="N384" s="146"/>
      <c r="O384" s="162"/>
      <c r="P384" s="148"/>
      <c r="Q384" s="161"/>
      <c r="R384" s="146" t="str">
        <f>IF(Q384&lt;&gt;"", SUMIF(Bets!$D:$D, Q384, Bets!AD:AD), "")</f>
        <v/>
      </c>
      <c r="S384" s="162"/>
      <c r="T384" s="148"/>
      <c r="U384" s="161"/>
      <c r="V384" s="146" t="str">
        <f>IF(U384&lt;&gt;"", SUMIF(Bets!$D:$D, U384, Bets!AE:AE), "")</f>
        <v/>
      </c>
      <c r="W384" s="162"/>
      <c r="X384" s="148"/>
      <c r="Y384" s="161"/>
      <c r="Z384" s="146" t="str">
        <f>IF(Y384&lt;&gt;"", SUMIF(Bets!$D:$D, Y384, Bets!AF:AF), "")</f>
        <v/>
      </c>
      <c r="AA384" s="162"/>
      <c r="AB384" s="148"/>
      <c r="AC384" s="161"/>
      <c r="AD384" s="146" t="str">
        <f>IF(AC384&lt;&gt;"", SUMIF(Bets!$D:$D, AC384, Bets!AG:AG), "")</f>
        <v/>
      </c>
      <c r="AE384" s="162"/>
      <c r="AF384" s="148"/>
    </row>
    <row r="385">
      <c r="A385" s="161"/>
      <c r="B385" s="146" t="str">
        <f>IF(A385&lt;&gt;"", SUMIF(Bets!$D:$D, A385, Bets!Z:Z), "")</f>
        <v/>
      </c>
      <c r="C385" s="162"/>
      <c r="D385" s="148"/>
      <c r="E385" s="161"/>
      <c r="F385" s="146" t="str">
        <f>IF(E385&lt;&gt;"", SUMIF(Bets!$D:$D, E385, Bets!AB:AB), "")</f>
        <v/>
      </c>
      <c r="G385" s="162"/>
      <c r="H385" s="148"/>
      <c r="I385" s="161"/>
      <c r="J385" s="146" t="str">
        <f>IF(I385&lt;&gt;"", SUMIF(Bets!$D:$D, I385, Bets!AA:AA), "")</f>
        <v/>
      </c>
      <c r="K385" s="162"/>
      <c r="L385" s="148"/>
      <c r="M385" s="161"/>
      <c r="N385" s="146"/>
      <c r="O385" s="162"/>
      <c r="P385" s="148"/>
      <c r="Q385" s="161"/>
      <c r="R385" s="146" t="str">
        <f>IF(Q385&lt;&gt;"", SUMIF(Bets!$D:$D, Q385, Bets!AD:AD), "")</f>
        <v/>
      </c>
      <c r="S385" s="162"/>
      <c r="T385" s="148"/>
      <c r="U385" s="161"/>
      <c r="V385" s="146" t="str">
        <f>IF(U385&lt;&gt;"", SUMIF(Bets!$D:$D, U385, Bets!AE:AE), "")</f>
        <v/>
      </c>
      <c r="W385" s="162"/>
      <c r="X385" s="148"/>
      <c r="Y385" s="161"/>
      <c r="Z385" s="146" t="str">
        <f>IF(Y385&lt;&gt;"", SUMIF(Bets!$D:$D, Y385, Bets!AF:AF), "")</f>
        <v/>
      </c>
      <c r="AA385" s="162"/>
      <c r="AB385" s="148"/>
      <c r="AC385" s="161"/>
      <c r="AD385" s="146" t="str">
        <f>IF(AC385&lt;&gt;"", SUMIF(Bets!$D:$D, AC385, Bets!AG:AG), "")</f>
        <v/>
      </c>
      <c r="AE385" s="162"/>
      <c r="AF385" s="148"/>
    </row>
    <row r="386">
      <c r="A386" s="161"/>
      <c r="B386" s="146" t="str">
        <f>IF(A386&lt;&gt;"", SUMIF(Bets!$D:$D, A386, Bets!Z:Z), "")</f>
        <v/>
      </c>
      <c r="C386" s="162"/>
      <c r="D386" s="148"/>
      <c r="E386" s="161"/>
      <c r="F386" s="146" t="str">
        <f>IF(E386&lt;&gt;"", SUMIF(Bets!$D:$D, E386, Bets!AB:AB), "")</f>
        <v/>
      </c>
      <c r="G386" s="162"/>
      <c r="H386" s="148"/>
      <c r="I386" s="161"/>
      <c r="J386" s="146" t="str">
        <f>IF(I386&lt;&gt;"", SUMIF(Bets!$D:$D, I386, Bets!AA:AA), "")</f>
        <v/>
      </c>
      <c r="K386" s="162"/>
      <c r="L386" s="148"/>
      <c r="M386" s="161"/>
      <c r="N386" s="146"/>
      <c r="O386" s="162"/>
      <c r="P386" s="148"/>
      <c r="Q386" s="161"/>
      <c r="R386" s="146" t="str">
        <f>IF(Q386&lt;&gt;"", SUMIF(Bets!$D:$D, Q386, Bets!AD:AD), "")</f>
        <v/>
      </c>
      <c r="S386" s="162"/>
      <c r="T386" s="148"/>
      <c r="U386" s="161"/>
      <c r="V386" s="146" t="str">
        <f>IF(U386&lt;&gt;"", SUMIF(Bets!$D:$D, U386, Bets!AE:AE), "")</f>
        <v/>
      </c>
      <c r="W386" s="162"/>
      <c r="X386" s="148"/>
      <c r="Y386" s="161"/>
      <c r="Z386" s="146" t="str">
        <f>IF(Y386&lt;&gt;"", SUMIF(Bets!$D:$D, Y386, Bets!AF:AF), "")</f>
        <v/>
      </c>
      <c r="AA386" s="162"/>
      <c r="AB386" s="148"/>
      <c r="AC386" s="161"/>
      <c r="AD386" s="146" t="str">
        <f>IF(AC386&lt;&gt;"", SUMIF(Bets!$D:$D, AC386, Bets!AG:AG), "")</f>
        <v/>
      </c>
      <c r="AE386" s="162"/>
      <c r="AF386" s="148"/>
    </row>
    <row r="387">
      <c r="A387" s="161"/>
      <c r="B387" s="146" t="str">
        <f>IF(A387&lt;&gt;"", SUMIF(Bets!$D:$D, A387, Bets!Z:Z), "")</f>
        <v/>
      </c>
      <c r="C387" s="162"/>
      <c r="D387" s="148"/>
      <c r="E387" s="161"/>
      <c r="F387" s="146" t="str">
        <f>IF(E387&lt;&gt;"", SUMIF(Bets!$D:$D, E387, Bets!AB:AB), "")</f>
        <v/>
      </c>
      <c r="G387" s="162"/>
      <c r="H387" s="148"/>
      <c r="I387" s="161"/>
      <c r="J387" s="146" t="str">
        <f>IF(I387&lt;&gt;"", SUMIF(Bets!$D:$D, I387, Bets!AA:AA), "")</f>
        <v/>
      </c>
      <c r="K387" s="162"/>
      <c r="L387" s="148"/>
      <c r="M387" s="161"/>
      <c r="N387" s="146"/>
      <c r="O387" s="162"/>
      <c r="P387" s="148"/>
      <c r="Q387" s="161"/>
      <c r="R387" s="146" t="str">
        <f>IF(Q387&lt;&gt;"", SUMIF(Bets!$D:$D, Q387, Bets!AD:AD), "")</f>
        <v/>
      </c>
      <c r="S387" s="162"/>
      <c r="T387" s="148"/>
      <c r="U387" s="161"/>
      <c r="V387" s="146" t="str">
        <f>IF(U387&lt;&gt;"", SUMIF(Bets!$D:$D, U387, Bets!AE:AE), "")</f>
        <v/>
      </c>
      <c r="W387" s="162"/>
      <c r="X387" s="148"/>
      <c r="Y387" s="161"/>
      <c r="Z387" s="146" t="str">
        <f>IF(Y387&lt;&gt;"", SUMIF(Bets!$D:$D, Y387, Bets!AF:AF), "")</f>
        <v/>
      </c>
      <c r="AA387" s="162"/>
      <c r="AB387" s="148"/>
      <c r="AC387" s="161"/>
      <c r="AD387" s="146" t="str">
        <f>IF(AC387&lt;&gt;"", SUMIF(Bets!$D:$D, AC387, Bets!AG:AG), "")</f>
        <v/>
      </c>
      <c r="AE387" s="162"/>
      <c r="AF387" s="148"/>
    </row>
    <row r="388">
      <c r="A388" s="161"/>
      <c r="B388" s="146" t="str">
        <f>IF(A388&lt;&gt;"", SUMIF(Bets!$D:$D, A388, Bets!Z:Z), "")</f>
        <v/>
      </c>
      <c r="C388" s="162"/>
      <c r="D388" s="148"/>
      <c r="E388" s="161"/>
      <c r="F388" s="146" t="str">
        <f>IF(E388&lt;&gt;"", SUMIF(Bets!$D:$D, E388, Bets!AB:AB), "")</f>
        <v/>
      </c>
      <c r="G388" s="162"/>
      <c r="H388" s="148"/>
      <c r="I388" s="161"/>
      <c r="J388" s="146" t="str">
        <f>IF(I388&lt;&gt;"", SUMIF(Bets!$D:$D, I388, Bets!AA:AA), "")</f>
        <v/>
      </c>
      <c r="K388" s="162"/>
      <c r="L388" s="148"/>
      <c r="M388" s="161"/>
      <c r="N388" s="146"/>
      <c r="O388" s="162"/>
      <c r="P388" s="148"/>
      <c r="Q388" s="161"/>
      <c r="R388" s="146" t="str">
        <f>IF(Q388&lt;&gt;"", SUMIF(Bets!$D:$D, Q388, Bets!AD:AD), "")</f>
        <v/>
      </c>
      <c r="S388" s="162"/>
      <c r="T388" s="148"/>
      <c r="U388" s="161"/>
      <c r="V388" s="146" t="str">
        <f>IF(U388&lt;&gt;"", SUMIF(Bets!$D:$D, U388, Bets!AE:AE), "")</f>
        <v/>
      </c>
      <c r="W388" s="162"/>
      <c r="X388" s="148"/>
      <c r="Y388" s="161"/>
      <c r="Z388" s="146" t="str">
        <f>IF(Y388&lt;&gt;"", SUMIF(Bets!$D:$D, Y388, Bets!AF:AF), "")</f>
        <v/>
      </c>
      <c r="AA388" s="162"/>
      <c r="AB388" s="148"/>
      <c r="AC388" s="161"/>
      <c r="AD388" s="146" t="str">
        <f>IF(AC388&lt;&gt;"", SUMIF(Bets!$D:$D, AC388, Bets!AG:AG), "")</f>
        <v/>
      </c>
      <c r="AE388" s="162"/>
      <c r="AF388" s="148"/>
    </row>
    <row r="389">
      <c r="A389" s="161"/>
      <c r="B389" s="146" t="str">
        <f>IF(A389&lt;&gt;"", SUMIF(Bets!$D:$D, A389, Bets!Z:Z), "")</f>
        <v/>
      </c>
      <c r="C389" s="162"/>
      <c r="D389" s="148"/>
      <c r="E389" s="161"/>
      <c r="F389" s="146" t="str">
        <f>IF(E389&lt;&gt;"", SUMIF(Bets!$D:$D, E389, Bets!AB:AB), "")</f>
        <v/>
      </c>
      <c r="G389" s="162"/>
      <c r="H389" s="148"/>
      <c r="I389" s="161"/>
      <c r="J389" s="146" t="str">
        <f>IF(I389&lt;&gt;"", SUMIF(Bets!$D:$D, I389, Bets!AA:AA), "")</f>
        <v/>
      </c>
      <c r="K389" s="162"/>
      <c r="L389" s="148"/>
      <c r="M389" s="161"/>
      <c r="N389" s="146"/>
      <c r="O389" s="162"/>
      <c r="P389" s="148"/>
      <c r="Q389" s="161"/>
      <c r="R389" s="146" t="str">
        <f>IF(Q389&lt;&gt;"", SUMIF(Bets!$D:$D, Q389, Bets!AD:AD), "")</f>
        <v/>
      </c>
      <c r="S389" s="162"/>
      <c r="T389" s="148"/>
      <c r="U389" s="161"/>
      <c r="V389" s="146" t="str">
        <f>IF(U389&lt;&gt;"", SUMIF(Bets!$D:$D, U389, Bets!AE:AE), "")</f>
        <v/>
      </c>
      <c r="W389" s="162"/>
      <c r="X389" s="148"/>
      <c r="Y389" s="161"/>
      <c r="Z389" s="146" t="str">
        <f>IF(Y389&lt;&gt;"", SUMIF(Bets!$D:$D, Y389, Bets!AF:AF), "")</f>
        <v/>
      </c>
      <c r="AA389" s="162"/>
      <c r="AB389" s="148"/>
      <c r="AC389" s="161"/>
      <c r="AD389" s="146" t="str">
        <f>IF(AC389&lt;&gt;"", SUMIF(Bets!$D:$D, AC389, Bets!AG:AG), "")</f>
        <v/>
      </c>
      <c r="AE389" s="162"/>
      <c r="AF389" s="148"/>
    </row>
    <row r="390">
      <c r="A390" s="161"/>
      <c r="B390" s="146" t="str">
        <f>IF(A390&lt;&gt;"", SUMIF(Bets!$D:$D, A390, Bets!Z:Z), "")</f>
        <v/>
      </c>
      <c r="C390" s="162"/>
      <c r="D390" s="148"/>
      <c r="E390" s="161"/>
      <c r="F390" s="146" t="str">
        <f>IF(E390&lt;&gt;"", SUMIF(Bets!$D:$D, E390, Bets!AB:AB), "")</f>
        <v/>
      </c>
      <c r="G390" s="162"/>
      <c r="H390" s="148"/>
      <c r="I390" s="161"/>
      <c r="J390" s="146" t="str">
        <f>IF(I390&lt;&gt;"", SUMIF(Bets!$D:$D, I390, Bets!AA:AA), "")</f>
        <v/>
      </c>
      <c r="K390" s="162"/>
      <c r="L390" s="148"/>
      <c r="M390" s="161"/>
      <c r="N390" s="146"/>
      <c r="O390" s="162"/>
      <c r="P390" s="148"/>
      <c r="Q390" s="161"/>
      <c r="R390" s="146" t="str">
        <f>IF(Q390&lt;&gt;"", SUMIF(Bets!$D:$D, Q390, Bets!AD:AD), "")</f>
        <v/>
      </c>
      <c r="S390" s="162"/>
      <c r="T390" s="148"/>
      <c r="U390" s="161"/>
      <c r="V390" s="146" t="str">
        <f>IF(U390&lt;&gt;"", SUMIF(Bets!$D:$D, U390, Bets!AE:AE), "")</f>
        <v/>
      </c>
      <c r="W390" s="162"/>
      <c r="X390" s="148"/>
      <c r="Y390" s="161"/>
      <c r="Z390" s="146" t="str">
        <f>IF(Y390&lt;&gt;"", SUMIF(Bets!$D:$D, Y390, Bets!AF:AF), "")</f>
        <v/>
      </c>
      <c r="AA390" s="162"/>
      <c r="AB390" s="148"/>
      <c r="AC390" s="161"/>
      <c r="AD390" s="146" t="str">
        <f>IF(AC390&lt;&gt;"", SUMIF(Bets!$D:$D, AC390, Bets!AG:AG), "")</f>
        <v/>
      </c>
      <c r="AE390" s="162"/>
      <c r="AF390" s="148"/>
    </row>
    <row r="391">
      <c r="A391" s="161"/>
      <c r="B391" s="146" t="str">
        <f>IF(A391&lt;&gt;"", SUMIF(Bets!$D:$D, A391, Bets!Z:Z), "")</f>
        <v/>
      </c>
      <c r="C391" s="162"/>
      <c r="D391" s="148"/>
      <c r="E391" s="161"/>
      <c r="F391" s="146" t="str">
        <f>IF(E391&lt;&gt;"", SUMIF(Bets!$D:$D, E391, Bets!AB:AB), "")</f>
        <v/>
      </c>
      <c r="G391" s="162"/>
      <c r="H391" s="148"/>
      <c r="I391" s="161"/>
      <c r="J391" s="146" t="str">
        <f>IF(I391&lt;&gt;"", SUMIF(Bets!$D:$D, I391, Bets!AA:AA), "")</f>
        <v/>
      </c>
      <c r="K391" s="162"/>
      <c r="L391" s="148"/>
      <c r="M391" s="161"/>
      <c r="N391" s="146"/>
      <c r="O391" s="162"/>
      <c r="P391" s="148"/>
      <c r="Q391" s="161"/>
      <c r="R391" s="146" t="str">
        <f>IF(Q391&lt;&gt;"", SUMIF(Bets!$D:$D, Q391, Bets!AD:AD), "")</f>
        <v/>
      </c>
      <c r="S391" s="162"/>
      <c r="T391" s="148"/>
      <c r="U391" s="161"/>
      <c r="V391" s="146" t="str">
        <f>IF(U391&lt;&gt;"", SUMIF(Bets!$D:$D, U391, Bets!AE:AE), "")</f>
        <v/>
      </c>
      <c r="W391" s="162"/>
      <c r="X391" s="148"/>
      <c r="Y391" s="161"/>
      <c r="Z391" s="146" t="str">
        <f>IF(Y391&lt;&gt;"", SUMIF(Bets!$D:$D, Y391, Bets!AF:AF), "")</f>
        <v/>
      </c>
      <c r="AA391" s="162"/>
      <c r="AB391" s="148"/>
      <c r="AC391" s="161"/>
      <c r="AD391" s="146" t="str">
        <f>IF(AC391&lt;&gt;"", SUMIF(Bets!$D:$D, AC391, Bets!AG:AG), "")</f>
        <v/>
      </c>
      <c r="AE391" s="162"/>
      <c r="AF391" s="148"/>
    </row>
    <row r="392">
      <c r="A392" s="161"/>
      <c r="B392" s="146" t="str">
        <f>IF(A392&lt;&gt;"", SUMIF(Bets!$D:$D, A392, Bets!Z:Z), "")</f>
        <v/>
      </c>
      <c r="C392" s="162"/>
      <c r="D392" s="148"/>
      <c r="E392" s="161"/>
      <c r="F392" s="146" t="str">
        <f>IF(E392&lt;&gt;"", SUMIF(Bets!$D:$D, E392, Bets!AB:AB), "")</f>
        <v/>
      </c>
      <c r="G392" s="162"/>
      <c r="H392" s="148"/>
      <c r="I392" s="161"/>
      <c r="J392" s="146" t="str">
        <f>IF(I392&lt;&gt;"", SUMIF(Bets!$D:$D, I392, Bets!AA:AA), "")</f>
        <v/>
      </c>
      <c r="K392" s="162"/>
      <c r="L392" s="148"/>
      <c r="M392" s="161"/>
      <c r="N392" s="146"/>
      <c r="O392" s="162"/>
      <c r="P392" s="148"/>
      <c r="Q392" s="161"/>
      <c r="R392" s="146" t="str">
        <f>IF(Q392&lt;&gt;"", SUMIF(Bets!$D:$D, Q392, Bets!AD:AD), "")</f>
        <v/>
      </c>
      <c r="S392" s="162"/>
      <c r="T392" s="148"/>
      <c r="U392" s="161"/>
      <c r="V392" s="146" t="str">
        <f>IF(U392&lt;&gt;"", SUMIF(Bets!$D:$D, U392, Bets!AE:AE), "")</f>
        <v/>
      </c>
      <c r="W392" s="162"/>
      <c r="X392" s="148"/>
      <c r="Y392" s="161"/>
      <c r="Z392" s="146" t="str">
        <f>IF(Y392&lt;&gt;"", SUMIF(Bets!$D:$D, Y392, Bets!AF:AF), "")</f>
        <v/>
      </c>
      <c r="AA392" s="162"/>
      <c r="AB392" s="148"/>
      <c r="AC392" s="161"/>
      <c r="AD392" s="146" t="str">
        <f>IF(AC392&lt;&gt;"", SUMIF(Bets!$D:$D, AC392, Bets!AG:AG), "")</f>
        <v/>
      </c>
      <c r="AE392" s="162"/>
      <c r="AF392" s="148"/>
    </row>
    <row r="393">
      <c r="A393" s="161"/>
      <c r="B393" s="146" t="str">
        <f>IF(A393&lt;&gt;"", SUMIF(Bets!$D:$D, A393, Bets!Z:Z), "")</f>
        <v/>
      </c>
      <c r="C393" s="162"/>
      <c r="D393" s="148"/>
      <c r="E393" s="161"/>
      <c r="F393" s="146" t="str">
        <f>IF(E393&lt;&gt;"", SUMIF(Bets!$D:$D, E393, Bets!AB:AB), "")</f>
        <v/>
      </c>
      <c r="G393" s="162"/>
      <c r="H393" s="148"/>
      <c r="I393" s="161"/>
      <c r="J393" s="146" t="str">
        <f>IF(I393&lt;&gt;"", SUMIF(Bets!$D:$D, I393, Bets!AA:AA), "")</f>
        <v/>
      </c>
      <c r="K393" s="162"/>
      <c r="L393" s="148"/>
      <c r="M393" s="161"/>
      <c r="N393" s="146"/>
      <c r="O393" s="162"/>
      <c r="P393" s="148"/>
      <c r="Q393" s="161"/>
      <c r="R393" s="146" t="str">
        <f>IF(Q393&lt;&gt;"", SUMIF(Bets!$D:$D, Q393, Bets!AD:AD), "")</f>
        <v/>
      </c>
      <c r="S393" s="162"/>
      <c r="T393" s="148"/>
      <c r="U393" s="161"/>
      <c r="V393" s="146" t="str">
        <f>IF(U393&lt;&gt;"", SUMIF(Bets!$D:$D, U393, Bets!AE:AE), "")</f>
        <v/>
      </c>
      <c r="W393" s="162"/>
      <c r="X393" s="148"/>
      <c r="Y393" s="161"/>
      <c r="Z393" s="146" t="str">
        <f>IF(Y393&lt;&gt;"", SUMIF(Bets!$D:$D, Y393, Bets!AF:AF), "")</f>
        <v/>
      </c>
      <c r="AA393" s="162"/>
      <c r="AB393" s="148"/>
      <c r="AC393" s="161"/>
      <c r="AD393" s="146" t="str">
        <f>IF(AC393&lt;&gt;"", SUMIF(Bets!$D:$D, AC393, Bets!AG:AG), "")</f>
        <v/>
      </c>
      <c r="AE393" s="162"/>
      <c r="AF393" s="148"/>
    </row>
    <row r="394">
      <c r="A394" s="161"/>
      <c r="B394" s="146" t="str">
        <f>IF(A394&lt;&gt;"", SUMIF(Bets!$D:$D, A394, Bets!Z:Z), "")</f>
        <v/>
      </c>
      <c r="C394" s="162"/>
      <c r="D394" s="148"/>
      <c r="E394" s="161"/>
      <c r="F394" s="146" t="str">
        <f>IF(E394&lt;&gt;"", SUMIF(Bets!$D:$D, E394, Bets!AB:AB), "")</f>
        <v/>
      </c>
      <c r="G394" s="162"/>
      <c r="H394" s="148"/>
      <c r="I394" s="161"/>
      <c r="J394" s="146" t="str">
        <f>IF(I394&lt;&gt;"", SUMIF(Bets!$D:$D, I394, Bets!AA:AA), "")</f>
        <v/>
      </c>
      <c r="K394" s="162"/>
      <c r="L394" s="148"/>
      <c r="M394" s="161"/>
      <c r="N394" s="146"/>
      <c r="O394" s="162"/>
      <c r="P394" s="148"/>
      <c r="Q394" s="161"/>
      <c r="R394" s="146" t="str">
        <f>IF(Q394&lt;&gt;"", SUMIF(Bets!$D:$D, Q394, Bets!AD:AD), "")</f>
        <v/>
      </c>
      <c r="S394" s="162"/>
      <c r="T394" s="148"/>
      <c r="U394" s="161"/>
      <c r="V394" s="146" t="str">
        <f>IF(U394&lt;&gt;"", SUMIF(Bets!$D:$D, U394, Bets!AE:AE), "")</f>
        <v/>
      </c>
      <c r="W394" s="162"/>
      <c r="X394" s="148"/>
      <c r="Y394" s="161"/>
      <c r="Z394" s="146" t="str">
        <f>IF(Y394&lt;&gt;"", SUMIF(Bets!$D:$D, Y394, Bets!AF:AF), "")</f>
        <v/>
      </c>
      <c r="AA394" s="162"/>
      <c r="AB394" s="148"/>
      <c r="AC394" s="161"/>
      <c r="AD394" s="146" t="str">
        <f>IF(AC394&lt;&gt;"", SUMIF(Bets!$D:$D, AC394, Bets!AG:AG), "")</f>
        <v/>
      </c>
      <c r="AE394" s="162"/>
      <c r="AF394" s="148"/>
    </row>
    <row r="395">
      <c r="A395" s="161"/>
      <c r="B395" s="146" t="str">
        <f>IF(A395&lt;&gt;"", SUMIF(Bets!$D:$D, A395, Bets!Z:Z), "")</f>
        <v/>
      </c>
      <c r="C395" s="162"/>
      <c r="D395" s="148"/>
      <c r="E395" s="161"/>
      <c r="F395" s="146" t="str">
        <f>IF(E395&lt;&gt;"", SUMIF(Bets!$D:$D, E395, Bets!AB:AB), "")</f>
        <v/>
      </c>
      <c r="G395" s="162"/>
      <c r="H395" s="148"/>
      <c r="I395" s="161"/>
      <c r="J395" s="146" t="str">
        <f>IF(I395&lt;&gt;"", SUMIF(Bets!$D:$D, I395, Bets!AA:AA), "")</f>
        <v/>
      </c>
      <c r="K395" s="162"/>
      <c r="L395" s="148"/>
      <c r="M395" s="161"/>
      <c r="N395" s="146"/>
      <c r="O395" s="162"/>
      <c r="P395" s="148"/>
      <c r="Q395" s="161"/>
      <c r="R395" s="146" t="str">
        <f>IF(Q395&lt;&gt;"", SUMIF(Bets!$D:$D, Q395, Bets!AD:AD), "")</f>
        <v/>
      </c>
      <c r="S395" s="162"/>
      <c r="T395" s="148"/>
      <c r="U395" s="161"/>
      <c r="V395" s="146" t="str">
        <f>IF(U395&lt;&gt;"", SUMIF(Bets!$D:$D, U395, Bets!AE:AE), "")</f>
        <v/>
      </c>
      <c r="W395" s="162"/>
      <c r="X395" s="148"/>
      <c r="Y395" s="161"/>
      <c r="Z395" s="146" t="str">
        <f>IF(Y395&lt;&gt;"", SUMIF(Bets!$D:$D, Y395, Bets!AF:AF), "")</f>
        <v/>
      </c>
      <c r="AA395" s="162"/>
      <c r="AB395" s="148"/>
      <c r="AC395" s="161"/>
      <c r="AD395" s="146" t="str">
        <f>IF(AC395&lt;&gt;"", SUMIF(Bets!$D:$D, AC395, Bets!AG:AG), "")</f>
        <v/>
      </c>
      <c r="AE395" s="162"/>
      <c r="AF395" s="148"/>
    </row>
    <row r="396">
      <c r="A396" s="161"/>
      <c r="B396" s="146" t="str">
        <f>IF(A396&lt;&gt;"", SUMIF(Bets!$D:$D, A396, Bets!Z:Z), "")</f>
        <v/>
      </c>
      <c r="C396" s="162"/>
      <c r="D396" s="148"/>
      <c r="E396" s="161"/>
      <c r="F396" s="146" t="str">
        <f>IF(E396&lt;&gt;"", SUMIF(Bets!$D:$D, E396, Bets!AB:AB), "")</f>
        <v/>
      </c>
      <c r="G396" s="162"/>
      <c r="H396" s="148"/>
      <c r="I396" s="161"/>
      <c r="J396" s="146" t="str">
        <f>IF(I396&lt;&gt;"", SUMIF(Bets!$D:$D, I396, Bets!AA:AA), "")</f>
        <v/>
      </c>
      <c r="K396" s="162"/>
      <c r="L396" s="148"/>
      <c r="M396" s="161"/>
      <c r="N396" s="146"/>
      <c r="O396" s="162"/>
      <c r="P396" s="148"/>
      <c r="Q396" s="161"/>
      <c r="R396" s="146" t="str">
        <f>IF(Q396&lt;&gt;"", SUMIF(Bets!$D:$D, Q396, Bets!AD:AD), "")</f>
        <v/>
      </c>
      <c r="S396" s="162"/>
      <c r="T396" s="148"/>
      <c r="U396" s="161"/>
      <c r="V396" s="146" t="str">
        <f>IF(U396&lt;&gt;"", SUMIF(Bets!$D:$D, U396, Bets!AE:AE), "")</f>
        <v/>
      </c>
      <c r="W396" s="162"/>
      <c r="X396" s="148"/>
      <c r="Y396" s="161"/>
      <c r="Z396" s="146" t="str">
        <f>IF(Y396&lt;&gt;"", SUMIF(Bets!$D:$D, Y396, Bets!AF:AF), "")</f>
        <v/>
      </c>
      <c r="AA396" s="162"/>
      <c r="AB396" s="148"/>
      <c r="AC396" s="161"/>
      <c r="AD396" s="146" t="str">
        <f>IF(AC396&lt;&gt;"", SUMIF(Bets!$D:$D, AC396, Bets!AG:AG), "")</f>
        <v/>
      </c>
      <c r="AE396" s="162"/>
      <c r="AF396" s="148"/>
    </row>
    <row r="397">
      <c r="A397" s="161"/>
      <c r="B397" s="146" t="str">
        <f>IF(A397&lt;&gt;"", SUMIF(Bets!$D:$D, A397, Bets!Z:Z), "")</f>
        <v/>
      </c>
      <c r="C397" s="162"/>
      <c r="D397" s="148"/>
      <c r="E397" s="161"/>
      <c r="F397" s="146" t="str">
        <f>IF(E397&lt;&gt;"", SUMIF(Bets!$D:$D, E397, Bets!AB:AB), "")</f>
        <v/>
      </c>
      <c r="G397" s="162"/>
      <c r="H397" s="148"/>
      <c r="I397" s="161"/>
      <c r="J397" s="146" t="str">
        <f>IF(I397&lt;&gt;"", SUMIF(Bets!$D:$D, I397, Bets!AA:AA), "")</f>
        <v/>
      </c>
      <c r="K397" s="162"/>
      <c r="L397" s="148"/>
      <c r="M397" s="161"/>
      <c r="N397" s="146"/>
      <c r="O397" s="162"/>
      <c r="P397" s="148"/>
      <c r="Q397" s="161"/>
      <c r="R397" s="146" t="str">
        <f>IF(Q397&lt;&gt;"", SUMIF(Bets!$D:$D, Q397, Bets!AD:AD), "")</f>
        <v/>
      </c>
      <c r="S397" s="162"/>
      <c r="T397" s="148"/>
      <c r="U397" s="161"/>
      <c r="V397" s="146" t="str">
        <f>IF(U397&lt;&gt;"", SUMIF(Bets!$D:$D, U397, Bets!AE:AE), "")</f>
        <v/>
      </c>
      <c r="W397" s="162"/>
      <c r="X397" s="148"/>
      <c r="Y397" s="161"/>
      <c r="Z397" s="146" t="str">
        <f>IF(Y397&lt;&gt;"", SUMIF(Bets!$D:$D, Y397, Bets!AF:AF), "")</f>
        <v/>
      </c>
      <c r="AA397" s="162"/>
      <c r="AB397" s="148"/>
      <c r="AC397" s="161"/>
      <c r="AD397" s="146" t="str">
        <f>IF(AC397&lt;&gt;"", SUMIF(Bets!$D:$D, AC397, Bets!AG:AG), "")</f>
        <v/>
      </c>
      <c r="AE397" s="162"/>
      <c r="AF397" s="148"/>
    </row>
    <row r="398">
      <c r="A398" s="161"/>
      <c r="B398" s="146" t="str">
        <f>IF(A398&lt;&gt;"", SUMIF(Bets!$D:$D, A398, Bets!Z:Z), "")</f>
        <v/>
      </c>
      <c r="C398" s="162"/>
      <c r="D398" s="148"/>
      <c r="E398" s="161"/>
      <c r="F398" s="146" t="str">
        <f>IF(E398&lt;&gt;"", SUMIF(Bets!$D:$D, E398, Bets!AB:AB), "")</f>
        <v/>
      </c>
      <c r="G398" s="162"/>
      <c r="H398" s="148"/>
      <c r="I398" s="161"/>
      <c r="J398" s="146" t="str">
        <f>IF(I398&lt;&gt;"", SUMIF(Bets!$D:$D, I398, Bets!AA:AA), "")</f>
        <v/>
      </c>
      <c r="K398" s="162"/>
      <c r="L398" s="148"/>
      <c r="M398" s="161"/>
      <c r="N398" s="146"/>
      <c r="O398" s="162"/>
      <c r="P398" s="148"/>
      <c r="Q398" s="161"/>
      <c r="R398" s="146" t="str">
        <f>IF(Q398&lt;&gt;"", SUMIF(Bets!$D:$D, Q398, Bets!AD:AD), "")</f>
        <v/>
      </c>
      <c r="S398" s="162"/>
      <c r="T398" s="148"/>
      <c r="U398" s="161"/>
      <c r="V398" s="146" t="str">
        <f>IF(U398&lt;&gt;"", SUMIF(Bets!$D:$D, U398, Bets!AE:AE), "")</f>
        <v/>
      </c>
      <c r="W398" s="162"/>
      <c r="X398" s="148"/>
      <c r="Y398" s="161"/>
      <c r="Z398" s="146" t="str">
        <f>IF(Y398&lt;&gt;"", SUMIF(Bets!$D:$D, Y398, Bets!AF:AF), "")</f>
        <v/>
      </c>
      <c r="AA398" s="162"/>
      <c r="AB398" s="148"/>
      <c r="AC398" s="161"/>
      <c r="AD398" s="146" t="str">
        <f>IF(AC398&lt;&gt;"", SUMIF(Bets!$D:$D, AC398, Bets!AG:AG), "")</f>
        <v/>
      </c>
      <c r="AE398" s="162"/>
      <c r="AF398" s="148"/>
    </row>
    <row r="399">
      <c r="A399" s="161"/>
      <c r="B399" s="146" t="str">
        <f>IF(A399&lt;&gt;"", SUMIF(Bets!$D:$D, A399, Bets!Z:Z), "")</f>
        <v/>
      </c>
      <c r="C399" s="162"/>
      <c r="D399" s="148"/>
      <c r="E399" s="161"/>
      <c r="F399" s="146" t="str">
        <f>IF(E399&lt;&gt;"", SUMIF(Bets!$D:$D, E399, Bets!AB:AB), "")</f>
        <v/>
      </c>
      <c r="G399" s="162"/>
      <c r="H399" s="148"/>
      <c r="I399" s="161"/>
      <c r="J399" s="146" t="str">
        <f>IF(I399&lt;&gt;"", SUMIF(Bets!$D:$D, I399, Bets!AA:AA), "")</f>
        <v/>
      </c>
      <c r="K399" s="162"/>
      <c r="L399" s="148"/>
      <c r="M399" s="161"/>
      <c r="N399" s="146"/>
      <c r="O399" s="162"/>
      <c r="P399" s="148"/>
      <c r="Q399" s="161"/>
      <c r="R399" s="146" t="str">
        <f>IF(Q399&lt;&gt;"", SUMIF(Bets!$D:$D, Q399, Bets!AD:AD), "")</f>
        <v/>
      </c>
      <c r="S399" s="162"/>
      <c r="T399" s="148"/>
      <c r="U399" s="161"/>
      <c r="V399" s="146" t="str">
        <f>IF(U399&lt;&gt;"", SUMIF(Bets!$D:$D, U399, Bets!AE:AE), "")</f>
        <v/>
      </c>
      <c r="W399" s="162"/>
      <c r="X399" s="148"/>
      <c r="Y399" s="161"/>
      <c r="Z399" s="146" t="str">
        <f>IF(Y399&lt;&gt;"", SUMIF(Bets!$D:$D, Y399, Bets!AF:AF), "")</f>
        <v/>
      </c>
      <c r="AA399" s="162"/>
      <c r="AB399" s="148"/>
      <c r="AC399" s="161"/>
      <c r="AD399" s="146" t="str">
        <f>IF(AC399&lt;&gt;"", SUMIF(Bets!$D:$D, AC399, Bets!AG:AG), "")</f>
        <v/>
      </c>
      <c r="AE399" s="162"/>
      <c r="AF399" s="148"/>
    </row>
    <row r="400">
      <c r="A400" s="161"/>
      <c r="B400" s="146" t="str">
        <f>IF(A400&lt;&gt;"", SUMIF(Bets!$D:$D, A400, Bets!Z:Z), "")</f>
        <v/>
      </c>
      <c r="C400" s="162"/>
      <c r="D400" s="148"/>
      <c r="E400" s="161"/>
      <c r="F400" s="146" t="str">
        <f>IF(E400&lt;&gt;"", SUMIF(Bets!$D:$D, E400, Bets!AB:AB), "")</f>
        <v/>
      </c>
      <c r="G400" s="162"/>
      <c r="H400" s="148"/>
      <c r="I400" s="161"/>
      <c r="J400" s="146" t="str">
        <f>IF(I400&lt;&gt;"", SUMIF(Bets!$D:$D, I400, Bets!AA:AA), "")</f>
        <v/>
      </c>
      <c r="K400" s="162"/>
      <c r="L400" s="148"/>
      <c r="M400" s="161"/>
      <c r="N400" s="146"/>
      <c r="O400" s="162"/>
      <c r="P400" s="148"/>
      <c r="Q400" s="161"/>
      <c r="R400" s="146" t="str">
        <f>IF(Q400&lt;&gt;"", SUMIF(Bets!$D:$D, Q400, Bets!AD:AD), "")</f>
        <v/>
      </c>
      <c r="S400" s="162"/>
      <c r="T400" s="148"/>
      <c r="U400" s="161"/>
      <c r="V400" s="146" t="str">
        <f>IF(U400&lt;&gt;"", SUMIF(Bets!$D:$D, U400, Bets!AE:AE), "")</f>
        <v/>
      </c>
      <c r="W400" s="162"/>
      <c r="X400" s="148"/>
      <c r="Y400" s="161"/>
      <c r="Z400" s="146" t="str">
        <f>IF(Y400&lt;&gt;"", SUMIF(Bets!$D:$D, Y400, Bets!AF:AF), "")</f>
        <v/>
      </c>
      <c r="AA400" s="162"/>
      <c r="AB400" s="148"/>
      <c r="AC400" s="161"/>
      <c r="AD400" s="146" t="str">
        <f>IF(AC400&lt;&gt;"", SUMIF(Bets!$D:$D, AC400, Bets!AG:AG), "")</f>
        <v/>
      </c>
      <c r="AE400" s="162"/>
      <c r="AF400" s="148"/>
    </row>
    <row r="401">
      <c r="A401" s="161"/>
      <c r="B401" s="146" t="str">
        <f>IF(A401&lt;&gt;"", SUMIF(Bets!$D:$D, A401, Bets!Z:Z), "")</f>
        <v/>
      </c>
      <c r="C401" s="162"/>
      <c r="D401" s="148"/>
      <c r="E401" s="161"/>
      <c r="F401" s="146" t="str">
        <f>IF(E401&lt;&gt;"", SUMIF(Bets!$D:$D, E401, Bets!AB:AB), "")</f>
        <v/>
      </c>
      <c r="G401" s="162"/>
      <c r="H401" s="148"/>
      <c r="I401" s="161"/>
      <c r="J401" s="146" t="str">
        <f>IF(I401&lt;&gt;"", SUMIF(Bets!$D:$D, I401, Bets!AA:AA), "")</f>
        <v/>
      </c>
      <c r="K401" s="162"/>
      <c r="L401" s="148"/>
      <c r="M401" s="161"/>
      <c r="N401" s="146"/>
      <c r="O401" s="162"/>
      <c r="P401" s="148"/>
      <c r="Q401" s="161"/>
      <c r="R401" s="146" t="str">
        <f>IF(Q401&lt;&gt;"", SUMIF(Bets!$D:$D, Q401, Bets!AD:AD), "")</f>
        <v/>
      </c>
      <c r="S401" s="162"/>
      <c r="T401" s="148"/>
      <c r="U401" s="161"/>
      <c r="V401" s="146" t="str">
        <f>IF(U401&lt;&gt;"", SUMIF(Bets!$D:$D, U401, Bets!AE:AE), "")</f>
        <v/>
      </c>
      <c r="W401" s="162"/>
      <c r="X401" s="148"/>
      <c r="Y401" s="161"/>
      <c r="Z401" s="146" t="str">
        <f>IF(Y401&lt;&gt;"", SUMIF(Bets!$D:$D, Y401, Bets!AF:AF), "")</f>
        <v/>
      </c>
      <c r="AA401" s="162"/>
      <c r="AB401" s="148"/>
      <c r="AC401" s="161"/>
      <c r="AD401" s="146" t="str">
        <f>IF(AC401&lt;&gt;"", SUMIF(Bets!$D:$D, AC401, Bets!AG:AG), "")</f>
        <v/>
      </c>
      <c r="AE401" s="162"/>
      <c r="AF401" s="148"/>
    </row>
    <row r="402">
      <c r="A402" s="161"/>
      <c r="B402" s="146" t="str">
        <f>IF(A402&lt;&gt;"", SUMIF(Bets!$D:$D, A402, Bets!Z:Z), "")</f>
        <v/>
      </c>
      <c r="C402" s="162"/>
      <c r="D402" s="148"/>
      <c r="E402" s="161"/>
      <c r="F402" s="146" t="str">
        <f>IF(E402&lt;&gt;"", SUMIF(Bets!$D:$D, E402, Bets!AB:AB), "")</f>
        <v/>
      </c>
      <c r="G402" s="162"/>
      <c r="H402" s="148"/>
      <c r="I402" s="161"/>
      <c r="J402" s="146" t="str">
        <f>IF(I402&lt;&gt;"", SUMIF(Bets!$D:$D, I402, Bets!AA:AA), "")</f>
        <v/>
      </c>
      <c r="K402" s="162"/>
      <c r="L402" s="148"/>
      <c r="M402" s="161"/>
      <c r="N402" s="146"/>
      <c r="O402" s="162"/>
      <c r="P402" s="148"/>
      <c r="Q402" s="161"/>
      <c r="R402" s="146" t="str">
        <f>IF(Q402&lt;&gt;"", SUMIF(Bets!$D:$D, Q402, Bets!AD:AD), "")</f>
        <v/>
      </c>
      <c r="S402" s="162"/>
      <c r="T402" s="148"/>
      <c r="U402" s="161"/>
      <c r="V402" s="146" t="str">
        <f>IF(U402&lt;&gt;"", SUMIF(Bets!$D:$D, U402, Bets!AE:AE), "")</f>
        <v/>
      </c>
      <c r="W402" s="162"/>
      <c r="X402" s="148"/>
      <c r="Y402" s="161"/>
      <c r="Z402" s="146" t="str">
        <f>IF(Y402&lt;&gt;"", SUMIF(Bets!$D:$D, Y402, Bets!AF:AF), "")</f>
        <v/>
      </c>
      <c r="AA402" s="162"/>
      <c r="AB402" s="148"/>
      <c r="AC402" s="161"/>
      <c r="AD402" s="146" t="str">
        <f>IF(AC402&lt;&gt;"", SUMIF(Bets!$D:$D, AC402, Bets!AG:AG), "")</f>
        <v/>
      </c>
      <c r="AE402" s="162"/>
      <c r="AF402" s="148"/>
    </row>
    <row r="403">
      <c r="A403" s="161"/>
      <c r="B403" s="146" t="str">
        <f>IF(A403&lt;&gt;"", SUMIF(Bets!$D:$D, A403, Bets!Z:Z), "")</f>
        <v/>
      </c>
      <c r="C403" s="162"/>
      <c r="D403" s="148"/>
      <c r="E403" s="161"/>
      <c r="F403" s="146" t="str">
        <f>IF(E403&lt;&gt;"", SUMIF(Bets!$D:$D, E403, Bets!AB:AB), "")</f>
        <v/>
      </c>
      <c r="G403" s="162"/>
      <c r="H403" s="148"/>
      <c r="I403" s="161"/>
      <c r="J403" s="146" t="str">
        <f>IF(I403&lt;&gt;"", SUMIF(Bets!$D:$D, I403, Bets!AA:AA), "")</f>
        <v/>
      </c>
      <c r="K403" s="162"/>
      <c r="L403" s="148"/>
      <c r="M403" s="161"/>
      <c r="N403" s="146"/>
      <c r="O403" s="162"/>
      <c r="P403" s="148"/>
      <c r="Q403" s="161"/>
      <c r="R403" s="146" t="str">
        <f>IF(Q403&lt;&gt;"", SUMIF(Bets!$D:$D, Q403, Bets!AD:AD), "")</f>
        <v/>
      </c>
      <c r="S403" s="162"/>
      <c r="T403" s="148"/>
      <c r="U403" s="161"/>
      <c r="V403" s="146" t="str">
        <f>IF(U403&lt;&gt;"", SUMIF(Bets!$D:$D, U403, Bets!AE:AE), "")</f>
        <v/>
      </c>
      <c r="W403" s="162"/>
      <c r="X403" s="148"/>
      <c r="Y403" s="161"/>
      <c r="Z403" s="146" t="str">
        <f>IF(Y403&lt;&gt;"", SUMIF(Bets!$D:$D, Y403, Bets!AF:AF), "")</f>
        <v/>
      </c>
      <c r="AA403" s="162"/>
      <c r="AB403" s="148"/>
      <c r="AC403" s="161"/>
      <c r="AD403" s="146" t="str">
        <f>IF(AC403&lt;&gt;"", SUMIF(Bets!$D:$D, AC403, Bets!AG:AG), "")</f>
        <v/>
      </c>
      <c r="AE403" s="162"/>
      <c r="AF403" s="148"/>
    </row>
    <row r="404">
      <c r="A404" s="161"/>
      <c r="B404" s="146" t="str">
        <f>IF(A404&lt;&gt;"", SUMIF(Bets!$D:$D, A404, Bets!Z:Z), "")</f>
        <v/>
      </c>
      <c r="C404" s="162"/>
      <c r="D404" s="148"/>
      <c r="E404" s="161"/>
      <c r="F404" s="146" t="str">
        <f>IF(E404&lt;&gt;"", SUMIF(Bets!$D:$D, E404, Bets!AB:AB), "")</f>
        <v/>
      </c>
      <c r="G404" s="162"/>
      <c r="H404" s="148"/>
      <c r="I404" s="161"/>
      <c r="J404" s="146" t="str">
        <f>IF(I404&lt;&gt;"", SUMIF(Bets!$D:$D, I404, Bets!AA:AA), "")</f>
        <v/>
      </c>
      <c r="K404" s="162"/>
      <c r="L404" s="148"/>
      <c r="M404" s="161"/>
      <c r="N404" s="146"/>
      <c r="O404" s="162"/>
      <c r="P404" s="148"/>
      <c r="Q404" s="161"/>
      <c r="R404" s="146" t="str">
        <f>IF(Q404&lt;&gt;"", SUMIF(Bets!$D:$D, Q404, Bets!AD:AD), "")</f>
        <v/>
      </c>
      <c r="S404" s="162"/>
      <c r="T404" s="148"/>
      <c r="U404" s="161"/>
      <c r="V404" s="146" t="str">
        <f>IF(U404&lt;&gt;"", SUMIF(Bets!$D:$D, U404, Bets!AE:AE), "")</f>
        <v/>
      </c>
      <c r="W404" s="162"/>
      <c r="X404" s="148"/>
      <c r="Y404" s="161"/>
      <c r="Z404" s="146" t="str">
        <f>IF(Y404&lt;&gt;"", SUMIF(Bets!$D:$D, Y404, Bets!AF:AF), "")</f>
        <v/>
      </c>
      <c r="AA404" s="162"/>
      <c r="AB404" s="148"/>
      <c r="AC404" s="161"/>
      <c r="AD404" s="146" t="str">
        <f>IF(AC404&lt;&gt;"", SUMIF(Bets!$D:$D, AC404, Bets!AG:AG), "")</f>
        <v/>
      </c>
      <c r="AE404" s="162"/>
      <c r="AF404" s="148"/>
    </row>
    <row r="405">
      <c r="A405" s="161"/>
      <c r="B405" s="146" t="str">
        <f>IF(A405&lt;&gt;"", SUMIF(Bets!$D:$D, A405, Bets!Z:Z), "")</f>
        <v/>
      </c>
      <c r="C405" s="162"/>
      <c r="D405" s="148"/>
      <c r="E405" s="161"/>
      <c r="F405" s="146" t="str">
        <f>IF(E405&lt;&gt;"", SUMIF(Bets!$D:$D, E405, Bets!AB:AB), "")</f>
        <v/>
      </c>
      <c r="G405" s="162"/>
      <c r="H405" s="148"/>
      <c r="I405" s="161"/>
      <c r="J405" s="146" t="str">
        <f>IF(I405&lt;&gt;"", SUMIF(Bets!$D:$D, I405, Bets!AA:AA), "")</f>
        <v/>
      </c>
      <c r="K405" s="162"/>
      <c r="L405" s="148"/>
      <c r="M405" s="161"/>
      <c r="N405" s="146"/>
      <c r="O405" s="162"/>
      <c r="P405" s="148"/>
      <c r="Q405" s="161"/>
      <c r="R405" s="146" t="str">
        <f>IF(Q405&lt;&gt;"", SUMIF(Bets!$D:$D, Q405, Bets!AD:AD), "")</f>
        <v/>
      </c>
      <c r="S405" s="162"/>
      <c r="T405" s="148"/>
      <c r="U405" s="161"/>
      <c r="V405" s="146" t="str">
        <f>IF(U405&lt;&gt;"", SUMIF(Bets!$D:$D, U405, Bets!AE:AE), "")</f>
        <v/>
      </c>
      <c r="W405" s="162"/>
      <c r="X405" s="148"/>
      <c r="Y405" s="161"/>
      <c r="Z405" s="146" t="str">
        <f>IF(Y405&lt;&gt;"", SUMIF(Bets!$D:$D, Y405, Bets!AF:AF), "")</f>
        <v/>
      </c>
      <c r="AA405" s="162"/>
      <c r="AB405" s="148"/>
      <c r="AC405" s="161"/>
      <c r="AD405" s="146" t="str">
        <f>IF(AC405&lt;&gt;"", SUMIF(Bets!$D:$D, AC405, Bets!AG:AG), "")</f>
        <v/>
      </c>
      <c r="AE405" s="162"/>
      <c r="AF405" s="148"/>
    </row>
    <row r="406">
      <c r="A406" s="161"/>
      <c r="B406" s="146" t="str">
        <f>IF(A406&lt;&gt;"", SUMIF(Bets!$D:$D, A406, Bets!Z:Z), "")</f>
        <v/>
      </c>
      <c r="C406" s="162"/>
      <c r="D406" s="148"/>
      <c r="E406" s="161"/>
      <c r="F406" s="146" t="str">
        <f>IF(E406&lt;&gt;"", SUMIF(Bets!$D:$D, E406, Bets!AB:AB), "")</f>
        <v/>
      </c>
      <c r="G406" s="162"/>
      <c r="H406" s="148"/>
      <c r="I406" s="161"/>
      <c r="J406" s="146" t="str">
        <f>IF(I406&lt;&gt;"", SUMIF(Bets!$D:$D, I406, Bets!AA:AA), "")</f>
        <v/>
      </c>
      <c r="K406" s="162"/>
      <c r="L406" s="148"/>
      <c r="M406" s="161"/>
      <c r="N406" s="146"/>
      <c r="O406" s="162"/>
      <c r="P406" s="148"/>
      <c r="Q406" s="161"/>
      <c r="R406" s="146" t="str">
        <f>IF(Q406&lt;&gt;"", SUMIF(Bets!$D:$D, Q406, Bets!AD:AD), "")</f>
        <v/>
      </c>
      <c r="S406" s="162"/>
      <c r="T406" s="148"/>
      <c r="U406" s="161"/>
      <c r="V406" s="146" t="str">
        <f>IF(U406&lt;&gt;"", SUMIF(Bets!$D:$D, U406, Bets!AE:AE), "")</f>
        <v/>
      </c>
      <c r="W406" s="162"/>
      <c r="X406" s="148"/>
      <c r="Y406" s="161"/>
      <c r="Z406" s="146" t="str">
        <f>IF(Y406&lt;&gt;"", SUMIF(Bets!$D:$D, Y406, Bets!AF:AF), "")</f>
        <v/>
      </c>
      <c r="AA406" s="162"/>
      <c r="AB406" s="148"/>
      <c r="AC406" s="161"/>
      <c r="AD406" s="146" t="str">
        <f>IF(AC406&lt;&gt;"", SUMIF(Bets!$D:$D, AC406, Bets!AG:AG), "")</f>
        <v/>
      </c>
      <c r="AE406" s="162"/>
      <c r="AF406" s="148"/>
    </row>
    <row r="407">
      <c r="A407" s="161"/>
      <c r="B407" s="146" t="str">
        <f>IF(A407&lt;&gt;"", SUMIF(Bets!$D:$D, A407, Bets!Z:Z), "")</f>
        <v/>
      </c>
      <c r="C407" s="162"/>
      <c r="D407" s="148"/>
      <c r="E407" s="161"/>
      <c r="F407" s="146" t="str">
        <f>IF(E407&lt;&gt;"", SUMIF(Bets!$D:$D, E407, Bets!AB:AB), "")</f>
        <v/>
      </c>
      <c r="G407" s="162"/>
      <c r="H407" s="148"/>
      <c r="I407" s="161"/>
      <c r="J407" s="146" t="str">
        <f>IF(I407&lt;&gt;"", SUMIF(Bets!$D:$D, I407, Bets!AA:AA), "")</f>
        <v/>
      </c>
      <c r="K407" s="162"/>
      <c r="L407" s="148"/>
      <c r="M407" s="161"/>
      <c r="N407" s="146"/>
      <c r="O407" s="162"/>
      <c r="P407" s="148"/>
      <c r="Q407" s="161"/>
      <c r="R407" s="146" t="str">
        <f>IF(Q407&lt;&gt;"", SUMIF(Bets!$D:$D, Q407, Bets!AD:AD), "")</f>
        <v/>
      </c>
      <c r="S407" s="162"/>
      <c r="T407" s="148"/>
      <c r="U407" s="161"/>
      <c r="V407" s="146" t="str">
        <f>IF(U407&lt;&gt;"", SUMIF(Bets!$D:$D, U407, Bets!AE:AE), "")</f>
        <v/>
      </c>
      <c r="W407" s="162"/>
      <c r="X407" s="148"/>
      <c r="Y407" s="161"/>
      <c r="Z407" s="146" t="str">
        <f>IF(Y407&lt;&gt;"", SUMIF(Bets!$D:$D, Y407, Bets!AF:AF), "")</f>
        <v/>
      </c>
      <c r="AA407" s="162"/>
      <c r="AB407" s="148"/>
      <c r="AC407" s="161"/>
      <c r="AD407" s="146" t="str">
        <f>IF(AC407&lt;&gt;"", SUMIF(Bets!$D:$D, AC407, Bets!AG:AG), "")</f>
        <v/>
      </c>
      <c r="AE407" s="162"/>
      <c r="AF407" s="148"/>
    </row>
    <row r="408">
      <c r="A408" s="161"/>
      <c r="B408" s="146" t="str">
        <f>IF(A408&lt;&gt;"", SUMIF(Bets!$D:$D, A408, Bets!Z:Z), "")</f>
        <v/>
      </c>
      <c r="C408" s="162"/>
      <c r="D408" s="148"/>
      <c r="E408" s="161"/>
      <c r="F408" s="146" t="str">
        <f>IF(E408&lt;&gt;"", SUMIF(Bets!$D:$D, E408, Bets!AB:AB), "")</f>
        <v/>
      </c>
      <c r="G408" s="162"/>
      <c r="H408" s="148"/>
      <c r="I408" s="161"/>
      <c r="J408" s="146" t="str">
        <f>IF(I408&lt;&gt;"", SUMIF(Bets!$D:$D, I408, Bets!AA:AA), "")</f>
        <v/>
      </c>
      <c r="K408" s="162"/>
      <c r="L408" s="148"/>
      <c r="M408" s="161"/>
      <c r="N408" s="146"/>
      <c r="O408" s="162"/>
      <c r="P408" s="148"/>
      <c r="Q408" s="161"/>
      <c r="R408" s="146" t="str">
        <f>IF(Q408&lt;&gt;"", SUMIF(Bets!$D:$D, Q408, Bets!AD:AD), "")</f>
        <v/>
      </c>
      <c r="S408" s="162"/>
      <c r="T408" s="148"/>
      <c r="U408" s="161"/>
      <c r="V408" s="146" t="str">
        <f>IF(U408&lt;&gt;"", SUMIF(Bets!$D:$D, U408, Bets!AE:AE), "")</f>
        <v/>
      </c>
      <c r="W408" s="162"/>
      <c r="X408" s="148"/>
      <c r="Y408" s="161"/>
      <c r="Z408" s="146" t="str">
        <f>IF(Y408&lt;&gt;"", SUMIF(Bets!$D:$D, Y408, Bets!AF:AF), "")</f>
        <v/>
      </c>
      <c r="AA408" s="162"/>
      <c r="AB408" s="148"/>
      <c r="AC408" s="161"/>
      <c r="AD408" s="146" t="str">
        <f>IF(AC408&lt;&gt;"", SUMIF(Bets!$D:$D, AC408, Bets!AG:AG), "")</f>
        <v/>
      </c>
      <c r="AE408" s="162"/>
      <c r="AF408" s="148"/>
    </row>
    <row r="409">
      <c r="A409" s="161"/>
      <c r="B409" s="146" t="str">
        <f>IF(A409&lt;&gt;"", SUMIF(Bets!$D:$D, A409, Bets!Z:Z), "")</f>
        <v/>
      </c>
      <c r="C409" s="162"/>
      <c r="D409" s="148"/>
      <c r="E409" s="161"/>
      <c r="F409" s="146" t="str">
        <f>IF(E409&lt;&gt;"", SUMIF(Bets!$D:$D, E409, Bets!AB:AB), "")</f>
        <v/>
      </c>
      <c r="G409" s="162"/>
      <c r="H409" s="148"/>
      <c r="I409" s="161"/>
      <c r="J409" s="146" t="str">
        <f>IF(I409&lt;&gt;"", SUMIF(Bets!$D:$D, I409, Bets!AA:AA), "")</f>
        <v/>
      </c>
      <c r="K409" s="162"/>
      <c r="L409" s="148"/>
      <c r="M409" s="161"/>
      <c r="N409" s="146"/>
      <c r="O409" s="162"/>
      <c r="P409" s="148"/>
      <c r="Q409" s="161"/>
      <c r="R409" s="146" t="str">
        <f>IF(Q409&lt;&gt;"", SUMIF(Bets!$D:$D, Q409, Bets!AD:AD), "")</f>
        <v/>
      </c>
      <c r="S409" s="162"/>
      <c r="T409" s="148"/>
      <c r="U409" s="161"/>
      <c r="V409" s="146" t="str">
        <f>IF(U409&lt;&gt;"", SUMIF(Bets!$D:$D, U409, Bets!AE:AE), "")</f>
        <v/>
      </c>
      <c r="W409" s="162"/>
      <c r="X409" s="148"/>
      <c r="Y409" s="161"/>
      <c r="Z409" s="146" t="str">
        <f>IF(Y409&lt;&gt;"", SUMIF(Bets!$D:$D, Y409, Bets!AF:AF), "")</f>
        <v/>
      </c>
      <c r="AA409" s="162"/>
      <c r="AB409" s="148"/>
      <c r="AC409" s="161"/>
      <c r="AD409" s="146" t="str">
        <f>IF(AC409&lt;&gt;"", SUMIF(Bets!$D:$D, AC409, Bets!AG:AG), "")</f>
        <v/>
      </c>
      <c r="AE409" s="162"/>
      <c r="AF409" s="148"/>
    </row>
    <row r="410">
      <c r="A410" s="161"/>
      <c r="B410" s="146" t="str">
        <f>IF(A410&lt;&gt;"", SUMIF(Bets!$D:$D, A410, Bets!Z:Z), "")</f>
        <v/>
      </c>
      <c r="C410" s="162"/>
      <c r="D410" s="148"/>
      <c r="E410" s="161"/>
      <c r="F410" s="146" t="str">
        <f>IF(E410&lt;&gt;"", SUMIF(Bets!$D:$D, E410, Bets!AB:AB), "")</f>
        <v/>
      </c>
      <c r="G410" s="162"/>
      <c r="H410" s="148"/>
      <c r="I410" s="161"/>
      <c r="J410" s="146" t="str">
        <f>IF(I410&lt;&gt;"", SUMIF(Bets!$D:$D, I410, Bets!AA:AA), "")</f>
        <v/>
      </c>
      <c r="K410" s="162"/>
      <c r="L410" s="148"/>
      <c r="M410" s="161"/>
      <c r="N410" s="146"/>
      <c r="O410" s="162"/>
      <c r="P410" s="148"/>
      <c r="Q410" s="161"/>
      <c r="R410" s="146" t="str">
        <f>IF(Q410&lt;&gt;"", SUMIF(Bets!$D:$D, Q410, Bets!AD:AD), "")</f>
        <v/>
      </c>
      <c r="S410" s="162"/>
      <c r="T410" s="148"/>
      <c r="U410" s="161"/>
      <c r="V410" s="146" t="str">
        <f>IF(U410&lt;&gt;"", SUMIF(Bets!$D:$D, U410, Bets!AE:AE), "")</f>
        <v/>
      </c>
      <c r="W410" s="162"/>
      <c r="X410" s="148"/>
      <c r="Y410" s="161"/>
      <c r="Z410" s="146" t="str">
        <f>IF(Y410&lt;&gt;"", SUMIF(Bets!$D:$D, Y410, Bets!AF:AF), "")</f>
        <v/>
      </c>
      <c r="AA410" s="162"/>
      <c r="AB410" s="148"/>
      <c r="AC410" s="161"/>
      <c r="AD410" s="146" t="str">
        <f>IF(AC410&lt;&gt;"", SUMIF(Bets!$D:$D, AC410, Bets!AG:AG), "")</f>
        <v/>
      </c>
      <c r="AE410" s="162"/>
      <c r="AF410" s="148"/>
    </row>
    <row r="411">
      <c r="A411" s="161"/>
      <c r="B411" s="146" t="str">
        <f>IF(A411&lt;&gt;"", SUMIF(Bets!$D:$D, A411, Bets!Z:Z), "")</f>
        <v/>
      </c>
      <c r="C411" s="162"/>
      <c r="D411" s="148"/>
      <c r="E411" s="161"/>
      <c r="F411" s="146" t="str">
        <f>IF(E411&lt;&gt;"", SUMIF(Bets!$D:$D, E411, Bets!AB:AB), "")</f>
        <v/>
      </c>
      <c r="G411" s="162"/>
      <c r="H411" s="148"/>
      <c r="I411" s="161"/>
      <c r="J411" s="146" t="str">
        <f>IF(I411&lt;&gt;"", SUMIF(Bets!$D:$D, I411, Bets!AA:AA), "")</f>
        <v/>
      </c>
      <c r="K411" s="162"/>
      <c r="L411" s="148"/>
      <c r="M411" s="161"/>
      <c r="N411" s="146"/>
      <c r="O411" s="162"/>
      <c r="P411" s="148"/>
      <c r="Q411" s="161"/>
      <c r="R411" s="146" t="str">
        <f>IF(Q411&lt;&gt;"", SUMIF(Bets!$D:$D, Q411, Bets!AD:AD), "")</f>
        <v/>
      </c>
      <c r="S411" s="162"/>
      <c r="T411" s="148"/>
      <c r="U411" s="161"/>
      <c r="V411" s="146" t="str">
        <f>IF(U411&lt;&gt;"", SUMIF(Bets!$D:$D, U411, Bets!AE:AE), "")</f>
        <v/>
      </c>
      <c r="W411" s="162"/>
      <c r="X411" s="148"/>
      <c r="Y411" s="161"/>
      <c r="Z411" s="146" t="str">
        <f>IF(Y411&lt;&gt;"", SUMIF(Bets!$D:$D, Y411, Bets!AF:AF), "")</f>
        <v/>
      </c>
      <c r="AA411" s="162"/>
      <c r="AB411" s="148"/>
      <c r="AC411" s="161"/>
      <c r="AD411" s="146" t="str">
        <f>IF(AC411&lt;&gt;"", SUMIF(Bets!$D:$D, AC411, Bets!AG:AG), "")</f>
        <v/>
      </c>
      <c r="AE411" s="162"/>
      <c r="AF411" s="148"/>
    </row>
    <row r="412">
      <c r="A412" s="161"/>
      <c r="B412" s="146" t="str">
        <f>IF(A412&lt;&gt;"", SUMIF(Bets!$D:$D, A412, Bets!Z:Z), "")</f>
        <v/>
      </c>
      <c r="C412" s="162"/>
      <c r="D412" s="148"/>
      <c r="E412" s="161"/>
      <c r="F412" s="146" t="str">
        <f>IF(E412&lt;&gt;"", SUMIF(Bets!$D:$D, E412, Bets!AB:AB), "")</f>
        <v/>
      </c>
      <c r="G412" s="162"/>
      <c r="H412" s="148"/>
      <c r="I412" s="161"/>
      <c r="J412" s="146" t="str">
        <f>IF(I412&lt;&gt;"", SUMIF(Bets!$D:$D, I412, Bets!AA:AA), "")</f>
        <v/>
      </c>
      <c r="K412" s="162"/>
      <c r="L412" s="148"/>
      <c r="M412" s="161"/>
      <c r="N412" s="146"/>
      <c r="O412" s="162"/>
      <c r="P412" s="148"/>
      <c r="Q412" s="161"/>
      <c r="R412" s="146" t="str">
        <f>IF(Q412&lt;&gt;"", SUMIF(Bets!$D:$D, Q412, Bets!AD:AD), "")</f>
        <v/>
      </c>
      <c r="S412" s="162"/>
      <c r="T412" s="148"/>
      <c r="U412" s="161"/>
      <c r="V412" s="146" t="str">
        <f>IF(U412&lt;&gt;"", SUMIF(Bets!$D:$D, U412, Bets!AE:AE), "")</f>
        <v/>
      </c>
      <c r="W412" s="162"/>
      <c r="X412" s="148"/>
      <c r="Y412" s="161"/>
      <c r="Z412" s="146" t="str">
        <f>IF(Y412&lt;&gt;"", SUMIF(Bets!$D:$D, Y412, Bets!AF:AF), "")</f>
        <v/>
      </c>
      <c r="AA412" s="162"/>
      <c r="AB412" s="148"/>
      <c r="AC412" s="161"/>
      <c r="AD412" s="146" t="str">
        <f>IF(AC412&lt;&gt;"", SUMIF(Bets!$D:$D, AC412, Bets!AG:AG), "")</f>
        <v/>
      </c>
      <c r="AE412" s="162"/>
      <c r="AF412" s="148"/>
    </row>
    <row r="413">
      <c r="A413" s="161"/>
      <c r="B413" s="146" t="str">
        <f>IF(A413&lt;&gt;"", SUMIF(Bets!$D:$D, A413, Bets!Z:Z), "")</f>
        <v/>
      </c>
      <c r="C413" s="162"/>
      <c r="D413" s="148"/>
      <c r="E413" s="161"/>
      <c r="F413" s="146" t="str">
        <f>IF(E413&lt;&gt;"", SUMIF(Bets!$D:$D, E413, Bets!AB:AB), "")</f>
        <v/>
      </c>
      <c r="G413" s="162"/>
      <c r="H413" s="148"/>
      <c r="I413" s="161"/>
      <c r="J413" s="146" t="str">
        <f>IF(I413&lt;&gt;"", SUMIF(Bets!$D:$D, I413, Bets!AA:AA), "")</f>
        <v/>
      </c>
      <c r="K413" s="162"/>
      <c r="L413" s="148"/>
      <c r="M413" s="161"/>
      <c r="N413" s="146"/>
      <c r="O413" s="162"/>
      <c r="P413" s="148"/>
      <c r="Q413" s="161"/>
      <c r="R413" s="146" t="str">
        <f>IF(Q413&lt;&gt;"", SUMIF(Bets!$D:$D, Q413, Bets!AD:AD), "")</f>
        <v/>
      </c>
      <c r="S413" s="162"/>
      <c r="T413" s="148"/>
      <c r="U413" s="161"/>
      <c r="V413" s="146" t="str">
        <f>IF(U413&lt;&gt;"", SUMIF(Bets!$D:$D, U413, Bets!AE:AE), "")</f>
        <v/>
      </c>
      <c r="W413" s="162"/>
      <c r="X413" s="148"/>
      <c r="Y413" s="161"/>
      <c r="Z413" s="146" t="str">
        <f>IF(Y413&lt;&gt;"", SUMIF(Bets!$D:$D, Y413, Bets!AF:AF), "")</f>
        <v/>
      </c>
      <c r="AA413" s="162"/>
      <c r="AB413" s="148"/>
      <c r="AC413" s="161"/>
      <c r="AD413" s="146" t="str">
        <f>IF(AC413&lt;&gt;"", SUMIF(Bets!$D:$D, AC413, Bets!AG:AG), "")</f>
        <v/>
      </c>
      <c r="AE413" s="162"/>
      <c r="AF413" s="148"/>
    </row>
    <row r="414">
      <c r="A414" s="161"/>
      <c r="B414" s="146" t="str">
        <f>IF(A414&lt;&gt;"", SUMIF(Bets!$D:$D, A414, Bets!Z:Z), "")</f>
        <v/>
      </c>
      <c r="C414" s="162"/>
      <c r="D414" s="148"/>
      <c r="E414" s="161"/>
      <c r="F414" s="146" t="str">
        <f>IF(E414&lt;&gt;"", SUMIF(Bets!$D:$D, E414, Bets!AB:AB), "")</f>
        <v/>
      </c>
      <c r="G414" s="162"/>
      <c r="H414" s="148"/>
      <c r="I414" s="161"/>
      <c r="J414" s="146" t="str">
        <f>IF(I414&lt;&gt;"", SUMIF(Bets!$D:$D, I414, Bets!AA:AA), "")</f>
        <v/>
      </c>
      <c r="K414" s="162"/>
      <c r="L414" s="148"/>
      <c r="M414" s="161"/>
      <c r="N414" s="146"/>
      <c r="O414" s="162"/>
      <c r="P414" s="148"/>
      <c r="Q414" s="161"/>
      <c r="R414" s="146" t="str">
        <f>IF(Q414&lt;&gt;"", SUMIF(Bets!$D:$D, Q414, Bets!AD:AD), "")</f>
        <v/>
      </c>
      <c r="S414" s="162"/>
      <c r="T414" s="148"/>
      <c r="U414" s="161"/>
      <c r="V414" s="146" t="str">
        <f>IF(U414&lt;&gt;"", SUMIF(Bets!$D:$D, U414, Bets!AE:AE), "")</f>
        <v/>
      </c>
      <c r="W414" s="162"/>
      <c r="X414" s="148"/>
      <c r="Y414" s="161"/>
      <c r="Z414" s="146" t="str">
        <f>IF(Y414&lt;&gt;"", SUMIF(Bets!$D:$D, Y414, Bets!AF:AF), "")</f>
        <v/>
      </c>
      <c r="AA414" s="162"/>
      <c r="AB414" s="148"/>
      <c r="AC414" s="161"/>
      <c r="AD414" s="146" t="str">
        <f>IF(AC414&lt;&gt;"", SUMIF(Bets!$D:$D, AC414, Bets!AG:AG), "")</f>
        <v/>
      </c>
      <c r="AE414" s="162"/>
      <c r="AF414" s="148"/>
    </row>
    <row r="415">
      <c r="A415" s="161"/>
      <c r="B415" s="146" t="str">
        <f>IF(A415&lt;&gt;"", SUMIF(Bets!$D:$D, A415, Bets!Z:Z), "")</f>
        <v/>
      </c>
      <c r="C415" s="162"/>
      <c r="D415" s="148"/>
      <c r="E415" s="161"/>
      <c r="F415" s="146" t="str">
        <f>IF(E415&lt;&gt;"", SUMIF(Bets!$D:$D, E415, Bets!AB:AB), "")</f>
        <v/>
      </c>
      <c r="G415" s="162"/>
      <c r="H415" s="148"/>
      <c r="I415" s="161"/>
      <c r="J415" s="146" t="str">
        <f>IF(I415&lt;&gt;"", SUMIF(Bets!$D:$D, I415, Bets!AA:AA), "")</f>
        <v/>
      </c>
      <c r="K415" s="162"/>
      <c r="L415" s="148"/>
      <c r="M415" s="161"/>
      <c r="N415" s="146"/>
      <c r="O415" s="162"/>
      <c r="P415" s="148"/>
      <c r="Q415" s="161"/>
      <c r="R415" s="146" t="str">
        <f>IF(Q415&lt;&gt;"", SUMIF(Bets!$D:$D, Q415, Bets!AD:AD), "")</f>
        <v/>
      </c>
      <c r="S415" s="162"/>
      <c r="T415" s="148"/>
      <c r="U415" s="161"/>
      <c r="V415" s="146" t="str">
        <f>IF(U415&lt;&gt;"", SUMIF(Bets!$D:$D, U415, Bets!AE:AE), "")</f>
        <v/>
      </c>
      <c r="W415" s="162"/>
      <c r="X415" s="148"/>
      <c r="Y415" s="161"/>
      <c r="Z415" s="146" t="str">
        <f>IF(Y415&lt;&gt;"", SUMIF(Bets!$D:$D, Y415, Bets!AF:AF), "")</f>
        <v/>
      </c>
      <c r="AA415" s="162"/>
      <c r="AB415" s="148"/>
      <c r="AC415" s="161"/>
      <c r="AD415" s="146" t="str">
        <f>IF(AC415&lt;&gt;"", SUMIF(Bets!$D:$D, AC415, Bets!AG:AG), "")</f>
        <v/>
      </c>
      <c r="AE415" s="162"/>
      <c r="AF415" s="148"/>
    </row>
    <row r="416">
      <c r="A416" s="161"/>
      <c r="B416" s="146" t="str">
        <f>IF(A416&lt;&gt;"", SUMIF(Bets!$D:$D, A416, Bets!Z:Z), "")</f>
        <v/>
      </c>
      <c r="C416" s="162"/>
      <c r="D416" s="148"/>
      <c r="E416" s="161"/>
      <c r="F416" s="146" t="str">
        <f>IF(E416&lt;&gt;"", SUMIF(Bets!$D:$D, E416, Bets!AB:AB), "")</f>
        <v/>
      </c>
      <c r="G416" s="162"/>
      <c r="H416" s="148"/>
      <c r="I416" s="161"/>
      <c r="J416" s="146" t="str">
        <f>IF(I416&lt;&gt;"", SUMIF(Bets!$D:$D, I416, Bets!AA:AA), "")</f>
        <v/>
      </c>
      <c r="K416" s="162"/>
      <c r="L416" s="148"/>
      <c r="M416" s="161"/>
      <c r="N416" s="146"/>
      <c r="O416" s="162"/>
      <c r="P416" s="148"/>
      <c r="Q416" s="161"/>
      <c r="R416" s="146" t="str">
        <f>IF(Q416&lt;&gt;"", SUMIF(Bets!$D:$D, Q416, Bets!AD:AD), "")</f>
        <v/>
      </c>
      <c r="S416" s="162"/>
      <c r="T416" s="148"/>
      <c r="U416" s="161"/>
      <c r="V416" s="146" t="str">
        <f>IF(U416&lt;&gt;"", SUMIF(Bets!$D:$D, U416, Bets!AE:AE), "")</f>
        <v/>
      </c>
      <c r="W416" s="162"/>
      <c r="X416" s="148"/>
      <c r="Y416" s="161"/>
      <c r="Z416" s="146" t="str">
        <f>IF(Y416&lt;&gt;"", SUMIF(Bets!$D:$D, Y416, Bets!AF:AF), "")</f>
        <v/>
      </c>
      <c r="AA416" s="162"/>
      <c r="AB416" s="148"/>
      <c r="AC416" s="161"/>
      <c r="AD416" s="146" t="str">
        <f>IF(AC416&lt;&gt;"", SUMIF(Bets!$D:$D, AC416, Bets!AG:AG), "")</f>
        <v/>
      </c>
      <c r="AE416" s="162"/>
      <c r="AF416" s="148"/>
    </row>
    <row r="417">
      <c r="A417" s="161"/>
      <c r="B417" s="146" t="str">
        <f>IF(A417&lt;&gt;"", SUMIF(Bets!$D:$D, A417, Bets!Z:Z), "")</f>
        <v/>
      </c>
      <c r="C417" s="162"/>
      <c r="D417" s="148"/>
      <c r="E417" s="161"/>
      <c r="F417" s="146" t="str">
        <f>IF(E417&lt;&gt;"", SUMIF(Bets!$D:$D, E417, Bets!AB:AB), "")</f>
        <v/>
      </c>
      <c r="G417" s="162"/>
      <c r="H417" s="148"/>
      <c r="I417" s="161"/>
      <c r="J417" s="146" t="str">
        <f>IF(I417&lt;&gt;"", SUMIF(Bets!$D:$D, I417, Bets!AA:AA), "")</f>
        <v/>
      </c>
      <c r="K417" s="162"/>
      <c r="L417" s="148"/>
      <c r="M417" s="161"/>
      <c r="N417" s="146"/>
      <c r="O417" s="162"/>
      <c r="P417" s="148"/>
      <c r="Q417" s="161"/>
      <c r="R417" s="146" t="str">
        <f>IF(Q417&lt;&gt;"", SUMIF(Bets!$D:$D, Q417, Bets!AD:AD), "")</f>
        <v/>
      </c>
      <c r="S417" s="162"/>
      <c r="T417" s="148"/>
      <c r="U417" s="161"/>
      <c r="V417" s="146" t="str">
        <f>IF(U417&lt;&gt;"", SUMIF(Bets!$D:$D, U417, Bets!AE:AE), "")</f>
        <v/>
      </c>
      <c r="W417" s="162"/>
      <c r="X417" s="148"/>
      <c r="Y417" s="161"/>
      <c r="Z417" s="146" t="str">
        <f>IF(Y417&lt;&gt;"", SUMIF(Bets!$D:$D, Y417, Bets!AF:AF), "")</f>
        <v/>
      </c>
      <c r="AA417" s="162"/>
      <c r="AB417" s="148"/>
      <c r="AC417" s="161"/>
      <c r="AD417" s="146" t="str">
        <f>IF(AC417&lt;&gt;"", SUMIF(Bets!$D:$D, AC417, Bets!AG:AG), "")</f>
        <v/>
      </c>
      <c r="AE417" s="162"/>
      <c r="AF417" s="148"/>
    </row>
    <row r="418">
      <c r="A418" s="161"/>
      <c r="B418" s="146" t="str">
        <f>IF(A418&lt;&gt;"", SUMIF(Bets!$D:$D, A418, Bets!Z:Z), "")</f>
        <v/>
      </c>
      <c r="C418" s="162"/>
      <c r="D418" s="148"/>
      <c r="E418" s="161"/>
      <c r="F418" s="146" t="str">
        <f>IF(E418&lt;&gt;"", SUMIF(Bets!$D:$D, E418, Bets!AB:AB), "")</f>
        <v/>
      </c>
      <c r="G418" s="162"/>
      <c r="H418" s="148"/>
      <c r="I418" s="161"/>
      <c r="J418" s="146" t="str">
        <f>IF(I418&lt;&gt;"", SUMIF(Bets!$D:$D, I418, Bets!AA:AA), "")</f>
        <v/>
      </c>
      <c r="K418" s="162"/>
      <c r="L418" s="148"/>
      <c r="M418" s="161"/>
      <c r="N418" s="146"/>
      <c r="O418" s="162"/>
      <c r="P418" s="148"/>
      <c r="Q418" s="161"/>
      <c r="R418" s="146" t="str">
        <f>IF(Q418&lt;&gt;"", SUMIF(Bets!$D:$D, Q418, Bets!AD:AD), "")</f>
        <v/>
      </c>
      <c r="S418" s="162"/>
      <c r="T418" s="148"/>
      <c r="U418" s="161"/>
      <c r="V418" s="146" t="str">
        <f>IF(U418&lt;&gt;"", SUMIF(Bets!$D:$D, U418, Bets!AE:AE), "")</f>
        <v/>
      </c>
      <c r="W418" s="162"/>
      <c r="X418" s="148"/>
      <c r="Y418" s="161"/>
      <c r="Z418" s="146" t="str">
        <f>IF(Y418&lt;&gt;"", SUMIF(Bets!$D:$D, Y418, Bets!AF:AF), "")</f>
        <v/>
      </c>
      <c r="AA418" s="162"/>
      <c r="AB418" s="148"/>
      <c r="AC418" s="161"/>
      <c r="AD418" s="146" t="str">
        <f>IF(AC418&lt;&gt;"", SUMIF(Bets!$D:$D, AC418, Bets!AG:AG), "")</f>
        <v/>
      </c>
      <c r="AE418" s="162"/>
      <c r="AF418" s="148"/>
    </row>
    <row r="419">
      <c r="A419" s="161"/>
      <c r="B419" s="146" t="str">
        <f>IF(A419&lt;&gt;"", SUMIF(Bets!$D:$D, A419, Bets!Z:Z), "")</f>
        <v/>
      </c>
      <c r="C419" s="162"/>
      <c r="D419" s="148"/>
      <c r="E419" s="161"/>
      <c r="F419" s="146" t="str">
        <f>IF(E419&lt;&gt;"", SUMIF(Bets!$D:$D, E419, Bets!AB:AB), "")</f>
        <v/>
      </c>
      <c r="G419" s="162"/>
      <c r="H419" s="148"/>
      <c r="I419" s="161"/>
      <c r="J419" s="146" t="str">
        <f>IF(I419&lt;&gt;"", SUMIF(Bets!$D:$D, I419, Bets!AA:AA), "")</f>
        <v/>
      </c>
      <c r="K419" s="162"/>
      <c r="L419" s="148"/>
      <c r="M419" s="161"/>
      <c r="N419" s="146"/>
      <c r="O419" s="162"/>
      <c r="P419" s="148"/>
      <c r="Q419" s="161"/>
      <c r="R419" s="146" t="str">
        <f>IF(Q419&lt;&gt;"", SUMIF(Bets!$D:$D, Q419, Bets!AD:AD), "")</f>
        <v/>
      </c>
      <c r="S419" s="162"/>
      <c r="T419" s="148"/>
      <c r="U419" s="161"/>
      <c r="V419" s="146" t="str">
        <f>IF(U419&lt;&gt;"", SUMIF(Bets!$D:$D, U419, Bets!AE:AE), "")</f>
        <v/>
      </c>
      <c r="W419" s="162"/>
      <c r="X419" s="148"/>
      <c r="Y419" s="161"/>
      <c r="Z419" s="146" t="str">
        <f>IF(Y419&lt;&gt;"", SUMIF(Bets!$D:$D, Y419, Bets!AF:AF), "")</f>
        <v/>
      </c>
      <c r="AA419" s="162"/>
      <c r="AB419" s="148"/>
      <c r="AC419" s="161"/>
      <c r="AD419" s="146" t="str">
        <f>IF(AC419&lt;&gt;"", SUMIF(Bets!$D:$D, AC419, Bets!AG:AG), "")</f>
        <v/>
      </c>
      <c r="AE419" s="162"/>
      <c r="AF419" s="148"/>
    </row>
    <row r="420">
      <c r="A420" s="161"/>
      <c r="B420" s="146" t="str">
        <f>IF(A420&lt;&gt;"", SUMIF(Bets!$D:$D, A420, Bets!Z:Z), "")</f>
        <v/>
      </c>
      <c r="C420" s="162"/>
      <c r="D420" s="148"/>
      <c r="E420" s="161"/>
      <c r="F420" s="146" t="str">
        <f>IF(E420&lt;&gt;"", SUMIF(Bets!$D:$D, E420, Bets!AB:AB), "")</f>
        <v/>
      </c>
      <c r="G420" s="162"/>
      <c r="H420" s="148"/>
      <c r="I420" s="161"/>
      <c r="J420" s="146" t="str">
        <f>IF(I420&lt;&gt;"", SUMIF(Bets!$D:$D, I420, Bets!AA:AA), "")</f>
        <v/>
      </c>
      <c r="K420" s="162"/>
      <c r="L420" s="148"/>
      <c r="M420" s="161"/>
      <c r="N420" s="146"/>
      <c r="O420" s="162"/>
      <c r="P420" s="148"/>
      <c r="Q420" s="161"/>
      <c r="R420" s="146" t="str">
        <f>IF(Q420&lt;&gt;"", SUMIF(Bets!$D:$D, Q420, Bets!AD:AD), "")</f>
        <v/>
      </c>
      <c r="S420" s="162"/>
      <c r="T420" s="148"/>
      <c r="U420" s="161"/>
      <c r="V420" s="146" t="str">
        <f>IF(U420&lt;&gt;"", SUMIF(Bets!$D:$D, U420, Bets!AE:AE), "")</f>
        <v/>
      </c>
      <c r="W420" s="162"/>
      <c r="X420" s="148"/>
      <c r="Y420" s="161"/>
      <c r="Z420" s="146" t="str">
        <f>IF(Y420&lt;&gt;"", SUMIF(Bets!$D:$D, Y420, Bets!AF:AF), "")</f>
        <v/>
      </c>
      <c r="AA420" s="162"/>
      <c r="AB420" s="148"/>
      <c r="AC420" s="161"/>
      <c r="AD420" s="146" t="str">
        <f>IF(AC420&lt;&gt;"", SUMIF(Bets!$D:$D, AC420, Bets!AG:AG), "")</f>
        <v/>
      </c>
      <c r="AE420" s="162"/>
      <c r="AF420" s="148"/>
    </row>
    <row r="421">
      <c r="A421" s="161"/>
      <c r="B421" s="146" t="str">
        <f>IF(A421&lt;&gt;"", SUMIF(Bets!$D:$D, A421, Bets!Z:Z), "")</f>
        <v/>
      </c>
      <c r="C421" s="162"/>
      <c r="D421" s="148"/>
      <c r="E421" s="161"/>
      <c r="F421" s="146" t="str">
        <f>IF(E421&lt;&gt;"", SUMIF(Bets!$D:$D, E421, Bets!AB:AB), "")</f>
        <v/>
      </c>
      <c r="G421" s="162"/>
      <c r="H421" s="148"/>
      <c r="I421" s="161"/>
      <c r="J421" s="146" t="str">
        <f>IF(I421&lt;&gt;"", SUMIF(Bets!$D:$D, I421, Bets!AA:AA), "")</f>
        <v/>
      </c>
      <c r="K421" s="162"/>
      <c r="L421" s="148"/>
      <c r="M421" s="161"/>
      <c r="N421" s="146"/>
      <c r="O421" s="162"/>
      <c r="P421" s="148"/>
      <c r="Q421" s="161"/>
      <c r="R421" s="146" t="str">
        <f>IF(Q421&lt;&gt;"", SUMIF(Bets!$D:$D, Q421, Bets!AD:AD), "")</f>
        <v/>
      </c>
      <c r="S421" s="162"/>
      <c r="T421" s="148"/>
      <c r="U421" s="161"/>
      <c r="V421" s="146" t="str">
        <f>IF(U421&lt;&gt;"", SUMIF(Bets!$D:$D, U421, Bets!AE:AE), "")</f>
        <v/>
      </c>
      <c r="W421" s="162"/>
      <c r="X421" s="148"/>
      <c r="Y421" s="161"/>
      <c r="Z421" s="146" t="str">
        <f>IF(Y421&lt;&gt;"", SUMIF(Bets!$D:$D, Y421, Bets!AF:AF), "")</f>
        <v/>
      </c>
      <c r="AA421" s="162"/>
      <c r="AB421" s="148"/>
      <c r="AC421" s="161"/>
      <c r="AD421" s="146" t="str">
        <f>IF(AC421&lt;&gt;"", SUMIF(Bets!$D:$D, AC421, Bets!AG:AG), "")</f>
        <v/>
      </c>
      <c r="AE421" s="162"/>
      <c r="AF421" s="148"/>
    </row>
    <row r="422">
      <c r="A422" s="161"/>
      <c r="B422" s="146" t="str">
        <f>IF(A422&lt;&gt;"", SUMIF(Bets!$D:$D, A422, Bets!Z:Z), "")</f>
        <v/>
      </c>
      <c r="C422" s="162"/>
      <c r="D422" s="148"/>
      <c r="E422" s="161"/>
      <c r="F422" s="146" t="str">
        <f>IF(E422&lt;&gt;"", SUMIF(Bets!$D:$D, E422, Bets!AB:AB), "")</f>
        <v/>
      </c>
      <c r="G422" s="162"/>
      <c r="H422" s="148"/>
      <c r="I422" s="161"/>
      <c r="J422" s="146" t="str">
        <f>IF(I422&lt;&gt;"", SUMIF(Bets!$D:$D, I422, Bets!AA:AA), "")</f>
        <v/>
      </c>
      <c r="K422" s="162"/>
      <c r="L422" s="148"/>
      <c r="M422" s="161"/>
      <c r="N422" s="146"/>
      <c r="O422" s="162"/>
      <c r="P422" s="148"/>
      <c r="Q422" s="161"/>
      <c r="R422" s="146" t="str">
        <f>IF(Q422&lt;&gt;"", SUMIF(Bets!$D:$D, Q422, Bets!AD:AD), "")</f>
        <v/>
      </c>
      <c r="S422" s="162"/>
      <c r="T422" s="148"/>
      <c r="U422" s="161"/>
      <c r="V422" s="146" t="str">
        <f>IF(U422&lt;&gt;"", SUMIF(Bets!$D:$D, U422, Bets!AE:AE), "")</f>
        <v/>
      </c>
      <c r="W422" s="162"/>
      <c r="X422" s="148"/>
      <c r="Y422" s="161"/>
      <c r="Z422" s="146" t="str">
        <f>IF(Y422&lt;&gt;"", SUMIF(Bets!$D:$D, Y422, Bets!AF:AF), "")</f>
        <v/>
      </c>
      <c r="AA422" s="162"/>
      <c r="AB422" s="148"/>
      <c r="AC422" s="161"/>
      <c r="AD422" s="146" t="str">
        <f>IF(AC422&lt;&gt;"", SUMIF(Bets!$D:$D, AC422, Bets!AG:AG), "")</f>
        <v/>
      </c>
      <c r="AE422" s="162"/>
      <c r="AF422" s="148"/>
    </row>
    <row r="423">
      <c r="A423" s="161"/>
      <c r="B423" s="146" t="str">
        <f>IF(A423&lt;&gt;"", SUMIF(Bets!$D:$D, A423, Bets!Z:Z), "")</f>
        <v/>
      </c>
      <c r="C423" s="162"/>
      <c r="D423" s="148"/>
      <c r="E423" s="161"/>
      <c r="F423" s="146" t="str">
        <f>IF(E423&lt;&gt;"", SUMIF(Bets!$D:$D, E423, Bets!AB:AB), "")</f>
        <v/>
      </c>
      <c r="G423" s="162"/>
      <c r="H423" s="148"/>
      <c r="I423" s="161"/>
      <c r="J423" s="146" t="str">
        <f>IF(I423&lt;&gt;"", SUMIF(Bets!$D:$D, I423, Bets!AA:AA), "")</f>
        <v/>
      </c>
      <c r="K423" s="162"/>
      <c r="L423" s="148"/>
      <c r="M423" s="161"/>
      <c r="N423" s="146"/>
      <c r="O423" s="162"/>
      <c r="P423" s="148"/>
      <c r="Q423" s="161"/>
      <c r="R423" s="146" t="str">
        <f>IF(Q423&lt;&gt;"", SUMIF(Bets!$D:$D, Q423, Bets!AD:AD), "")</f>
        <v/>
      </c>
      <c r="S423" s="162"/>
      <c r="T423" s="148"/>
      <c r="U423" s="161"/>
      <c r="V423" s="146" t="str">
        <f>IF(U423&lt;&gt;"", SUMIF(Bets!$D:$D, U423, Bets!AE:AE), "")</f>
        <v/>
      </c>
      <c r="W423" s="162"/>
      <c r="X423" s="148"/>
      <c r="Y423" s="161"/>
      <c r="Z423" s="146" t="str">
        <f>IF(Y423&lt;&gt;"", SUMIF(Bets!$D:$D, Y423, Bets!AF:AF), "")</f>
        <v/>
      </c>
      <c r="AA423" s="162"/>
      <c r="AB423" s="148"/>
      <c r="AC423" s="161"/>
      <c r="AD423" s="146" t="str">
        <f>IF(AC423&lt;&gt;"", SUMIF(Bets!$D:$D, AC423, Bets!AG:AG), "")</f>
        <v/>
      </c>
      <c r="AE423" s="162"/>
      <c r="AF423" s="148"/>
    </row>
    <row r="424">
      <c r="A424" s="161"/>
      <c r="B424" s="146" t="str">
        <f>IF(A424&lt;&gt;"", SUMIF(Bets!$D:$D, A424, Bets!Z:Z), "")</f>
        <v/>
      </c>
      <c r="C424" s="162"/>
      <c r="D424" s="148"/>
      <c r="E424" s="161"/>
      <c r="F424" s="146" t="str">
        <f>IF(E424&lt;&gt;"", SUMIF(Bets!$D:$D, E424, Bets!AB:AB), "")</f>
        <v/>
      </c>
      <c r="G424" s="162"/>
      <c r="H424" s="148"/>
      <c r="I424" s="161"/>
      <c r="J424" s="146" t="str">
        <f>IF(I424&lt;&gt;"", SUMIF(Bets!$D:$D, I424, Bets!AA:AA), "")</f>
        <v/>
      </c>
      <c r="K424" s="162"/>
      <c r="L424" s="148"/>
      <c r="M424" s="161"/>
      <c r="N424" s="146"/>
      <c r="O424" s="162"/>
      <c r="P424" s="148"/>
      <c r="Q424" s="161"/>
      <c r="R424" s="146" t="str">
        <f>IF(Q424&lt;&gt;"", SUMIF(Bets!$D:$D, Q424, Bets!AD:AD), "")</f>
        <v/>
      </c>
      <c r="S424" s="162"/>
      <c r="T424" s="148"/>
      <c r="U424" s="161"/>
      <c r="V424" s="146" t="str">
        <f>IF(U424&lt;&gt;"", SUMIF(Bets!$D:$D, U424, Bets!AE:AE), "")</f>
        <v/>
      </c>
      <c r="W424" s="162"/>
      <c r="X424" s="148"/>
      <c r="Y424" s="161"/>
      <c r="Z424" s="146" t="str">
        <f>IF(Y424&lt;&gt;"", SUMIF(Bets!$D:$D, Y424, Bets!AF:AF), "")</f>
        <v/>
      </c>
      <c r="AA424" s="162"/>
      <c r="AB424" s="148"/>
      <c r="AC424" s="161"/>
      <c r="AD424" s="146" t="str">
        <f>IF(AC424&lt;&gt;"", SUMIF(Bets!$D:$D, AC424, Bets!AG:AG), "")</f>
        <v/>
      </c>
      <c r="AE424" s="162"/>
      <c r="AF424" s="148"/>
    </row>
    <row r="425">
      <c r="A425" s="161"/>
      <c r="B425" s="146" t="str">
        <f>IF(A425&lt;&gt;"", SUMIF(Bets!$D:$D, A425, Bets!Z:Z), "")</f>
        <v/>
      </c>
      <c r="C425" s="162"/>
      <c r="D425" s="148"/>
      <c r="E425" s="161"/>
      <c r="F425" s="146" t="str">
        <f>IF(E425&lt;&gt;"", SUMIF(Bets!$D:$D, E425, Bets!AB:AB), "")</f>
        <v/>
      </c>
      <c r="G425" s="162"/>
      <c r="H425" s="148"/>
      <c r="I425" s="161"/>
      <c r="J425" s="146" t="str">
        <f>IF(I425&lt;&gt;"", SUMIF(Bets!$D:$D, I425, Bets!AA:AA), "")</f>
        <v/>
      </c>
      <c r="K425" s="162"/>
      <c r="L425" s="148"/>
      <c r="M425" s="161"/>
      <c r="N425" s="146"/>
      <c r="O425" s="162"/>
      <c r="P425" s="148"/>
      <c r="Q425" s="161"/>
      <c r="R425" s="146" t="str">
        <f>IF(Q425&lt;&gt;"", SUMIF(Bets!$D:$D, Q425, Bets!AD:AD), "")</f>
        <v/>
      </c>
      <c r="S425" s="162"/>
      <c r="T425" s="148"/>
      <c r="U425" s="161"/>
      <c r="V425" s="146" t="str">
        <f>IF(U425&lt;&gt;"", SUMIF(Bets!$D:$D, U425, Bets!AE:AE), "")</f>
        <v/>
      </c>
      <c r="W425" s="162"/>
      <c r="X425" s="148"/>
      <c r="Y425" s="161"/>
      <c r="Z425" s="146" t="str">
        <f>IF(Y425&lt;&gt;"", SUMIF(Bets!$D:$D, Y425, Bets!AF:AF), "")</f>
        <v/>
      </c>
      <c r="AA425" s="162"/>
      <c r="AB425" s="148"/>
      <c r="AC425" s="161"/>
      <c r="AD425" s="146" t="str">
        <f>IF(AC425&lt;&gt;"", SUMIF(Bets!$D:$D, AC425, Bets!AG:AG), "")</f>
        <v/>
      </c>
      <c r="AE425" s="162"/>
      <c r="AF425" s="148"/>
    </row>
    <row r="426">
      <c r="A426" s="161"/>
      <c r="B426" s="146" t="str">
        <f>IF(A426&lt;&gt;"", SUMIF(Bets!$D:$D, A426, Bets!Z:Z), "")</f>
        <v/>
      </c>
      <c r="C426" s="162"/>
      <c r="D426" s="148"/>
      <c r="E426" s="161"/>
      <c r="F426" s="146" t="str">
        <f>IF(E426&lt;&gt;"", SUMIF(Bets!$D:$D, E426, Bets!AB:AB), "")</f>
        <v/>
      </c>
      <c r="G426" s="162"/>
      <c r="H426" s="148"/>
      <c r="I426" s="161"/>
      <c r="J426" s="146" t="str">
        <f>IF(I426&lt;&gt;"", SUMIF(Bets!$D:$D, I426, Bets!AA:AA), "")</f>
        <v/>
      </c>
      <c r="K426" s="162"/>
      <c r="L426" s="148"/>
      <c r="M426" s="161"/>
      <c r="N426" s="146"/>
      <c r="O426" s="162"/>
      <c r="P426" s="148"/>
      <c r="Q426" s="161"/>
      <c r="R426" s="146" t="str">
        <f>IF(Q426&lt;&gt;"", SUMIF(Bets!$D:$D, Q426, Bets!AD:AD), "")</f>
        <v/>
      </c>
      <c r="S426" s="162"/>
      <c r="T426" s="148"/>
      <c r="U426" s="161"/>
      <c r="V426" s="146" t="str">
        <f>IF(U426&lt;&gt;"", SUMIF(Bets!$D:$D, U426, Bets!AE:AE), "")</f>
        <v/>
      </c>
      <c r="W426" s="162"/>
      <c r="X426" s="148"/>
      <c r="Y426" s="161"/>
      <c r="Z426" s="146" t="str">
        <f>IF(Y426&lt;&gt;"", SUMIF(Bets!$D:$D, Y426, Bets!AF:AF), "")</f>
        <v/>
      </c>
      <c r="AA426" s="162"/>
      <c r="AB426" s="148"/>
      <c r="AC426" s="161"/>
      <c r="AD426" s="146" t="str">
        <f>IF(AC426&lt;&gt;"", SUMIF(Bets!$D:$D, AC426, Bets!AG:AG), "")</f>
        <v/>
      </c>
      <c r="AE426" s="162"/>
      <c r="AF426" s="148"/>
    </row>
    <row r="427">
      <c r="A427" s="161"/>
      <c r="B427" s="146" t="str">
        <f>IF(A427&lt;&gt;"", SUMIF(Bets!$D:$D, A427, Bets!Z:Z), "")</f>
        <v/>
      </c>
      <c r="C427" s="162"/>
      <c r="D427" s="148"/>
      <c r="E427" s="161"/>
      <c r="F427" s="146" t="str">
        <f>IF(E427&lt;&gt;"", SUMIF(Bets!$D:$D, E427, Bets!AB:AB), "")</f>
        <v/>
      </c>
      <c r="G427" s="162"/>
      <c r="H427" s="148"/>
      <c r="I427" s="161"/>
      <c r="J427" s="146" t="str">
        <f>IF(I427&lt;&gt;"", SUMIF(Bets!$D:$D, I427, Bets!AA:AA), "")</f>
        <v/>
      </c>
      <c r="K427" s="162"/>
      <c r="L427" s="148"/>
      <c r="M427" s="161"/>
      <c r="N427" s="146"/>
      <c r="O427" s="162"/>
      <c r="P427" s="148"/>
      <c r="Q427" s="161"/>
      <c r="R427" s="146" t="str">
        <f>IF(Q427&lt;&gt;"", SUMIF(Bets!$D:$D, Q427, Bets!AD:AD), "")</f>
        <v/>
      </c>
      <c r="S427" s="162"/>
      <c r="T427" s="148"/>
      <c r="U427" s="161"/>
      <c r="V427" s="146" t="str">
        <f>IF(U427&lt;&gt;"", SUMIF(Bets!$D:$D, U427, Bets!AE:AE), "")</f>
        <v/>
      </c>
      <c r="W427" s="162"/>
      <c r="X427" s="148"/>
      <c r="Y427" s="161"/>
      <c r="Z427" s="146" t="str">
        <f>IF(Y427&lt;&gt;"", SUMIF(Bets!$D:$D, Y427, Bets!AF:AF), "")</f>
        <v/>
      </c>
      <c r="AA427" s="162"/>
      <c r="AB427" s="148"/>
      <c r="AC427" s="161"/>
      <c r="AD427" s="146" t="str">
        <f>IF(AC427&lt;&gt;"", SUMIF(Bets!$D:$D, AC427, Bets!AG:AG), "")</f>
        <v/>
      </c>
      <c r="AE427" s="162"/>
      <c r="AF427" s="148"/>
    </row>
    <row r="428">
      <c r="A428" s="161"/>
      <c r="B428" s="146" t="str">
        <f>IF(A428&lt;&gt;"", SUMIF(Bets!$D:$D, A428, Bets!Z:Z), "")</f>
        <v/>
      </c>
      <c r="C428" s="162"/>
      <c r="D428" s="148"/>
      <c r="E428" s="161"/>
      <c r="F428" s="146" t="str">
        <f>IF(E428&lt;&gt;"", SUMIF(Bets!$D:$D, E428, Bets!AB:AB), "")</f>
        <v/>
      </c>
      <c r="G428" s="162"/>
      <c r="H428" s="148"/>
      <c r="I428" s="161"/>
      <c r="J428" s="146" t="str">
        <f>IF(I428&lt;&gt;"", SUMIF(Bets!$D:$D, I428, Bets!AA:AA), "")</f>
        <v/>
      </c>
      <c r="K428" s="162"/>
      <c r="L428" s="148"/>
      <c r="M428" s="161"/>
      <c r="N428" s="146"/>
      <c r="O428" s="162"/>
      <c r="P428" s="148"/>
      <c r="Q428" s="161"/>
      <c r="R428" s="146" t="str">
        <f>IF(Q428&lt;&gt;"", SUMIF(Bets!$D:$D, Q428, Bets!AD:AD), "")</f>
        <v/>
      </c>
      <c r="S428" s="162"/>
      <c r="T428" s="148"/>
      <c r="U428" s="161"/>
      <c r="V428" s="146" t="str">
        <f>IF(U428&lt;&gt;"", SUMIF(Bets!$D:$D, U428, Bets!AE:AE), "")</f>
        <v/>
      </c>
      <c r="W428" s="162"/>
      <c r="X428" s="148"/>
      <c r="Y428" s="161"/>
      <c r="Z428" s="146" t="str">
        <f>IF(Y428&lt;&gt;"", SUMIF(Bets!$D:$D, Y428, Bets!AF:AF), "")</f>
        <v/>
      </c>
      <c r="AA428" s="162"/>
      <c r="AB428" s="148"/>
      <c r="AC428" s="161"/>
      <c r="AD428" s="146" t="str">
        <f>IF(AC428&lt;&gt;"", SUMIF(Bets!$D:$D, AC428, Bets!AG:AG), "")</f>
        <v/>
      </c>
      <c r="AE428" s="162"/>
      <c r="AF428" s="148"/>
    </row>
    <row r="429">
      <c r="A429" s="161"/>
      <c r="B429" s="146" t="str">
        <f>IF(A429&lt;&gt;"", SUMIF(Bets!$D:$D, A429, Bets!Z:Z), "")</f>
        <v/>
      </c>
      <c r="C429" s="162"/>
      <c r="D429" s="148"/>
      <c r="E429" s="161"/>
      <c r="F429" s="146" t="str">
        <f>IF(E429&lt;&gt;"", SUMIF(Bets!$D:$D, E429, Bets!AB:AB), "")</f>
        <v/>
      </c>
      <c r="G429" s="162"/>
      <c r="H429" s="148"/>
      <c r="I429" s="161"/>
      <c r="J429" s="146" t="str">
        <f>IF(I429&lt;&gt;"", SUMIF(Bets!$D:$D, I429, Bets!AA:AA), "")</f>
        <v/>
      </c>
      <c r="K429" s="162"/>
      <c r="L429" s="148"/>
      <c r="M429" s="161"/>
      <c r="N429" s="146"/>
      <c r="O429" s="162"/>
      <c r="P429" s="148"/>
      <c r="Q429" s="161"/>
      <c r="R429" s="146" t="str">
        <f>IF(Q429&lt;&gt;"", SUMIF(Bets!$D:$D, Q429, Bets!AD:AD), "")</f>
        <v/>
      </c>
      <c r="S429" s="162"/>
      <c r="T429" s="148"/>
      <c r="U429" s="161"/>
      <c r="V429" s="146" t="str">
        <f>IF(U429&lt;&gt;"", SUMIF(Bets!$D:$D, U429, Bets!AE:AE), "")</f>
        <v/>
      </c>
      <c r="W429" s="162"/>
      <c r="X429" s="148"/>
      <c r="Y429" s="161"/>
      <c r="Z429" s="146" t="str">
        <f>IF(Y429&lt;&gt;"", SUMIF(Bets!$D:$D, Y429, Bets!AF:AF), "")</f>
        <v/>
      </c>
      <c r="AA429" s="162"/>
      <c r="AB429" s="148"/>
      <c r="AC429" s="161"/>
      <c r="AD429" s="146" t="str">
        <f>IF(AC429&lt;&gt;"", SUMIF(Bets!$D:$D, AC429, Bets!AG:AG), "")</f>
        <v/>
      </c>
      <c r="AE429" s="162"/>
      <c r="AF429" s="148"/>
    </row>
    <row r="430">
      <c r="A430" s="161"/>
      <c r="B430" s="146" t="str">
        <f>IF(A430&lt;&gt;"", SUMIF(Bets!$D:$D, A430, Bets!Z:Z), "")</f>
        <v/>
      </c>
      <c r="C430" s="162"/>
      <c r="D430" s="148"/>
      <c r="E430" s="161"/>
      <c r="F430" s="146" t="str">
        <f>IF(E430&lt;&gt;"", SUMIF(Bets!$D:$D, E430, Bets!AB:AB), "")</f>
        <v/>
      </c>
      <c r="G430" s="162"/>
      <c r="H430" s="148"/>
      <c r="I430" s="161"/>
      <c r="J430" s="146" t="str">
        <f>IF(I430&lt;&gt;"", SUMIF(Bets!$D:$D, I430, Bets!AA:AA), "")</f>
        <v/>
      </c>
      <c r="K430" s="162"/>
      <c r="L430" s="148"/>
      <c r="M430" s="161"/>
      <c r="N430" s="146"/>
      <c r="O430" s="162"/>
      <c r="P430" s="148"/>
      <c r="Q430" s="161"/>
      <c r="R430" s="146" t="str">
        <f>IF(Q430&lt;&gt;"", SUMIF(Bets!$D:$D, Q430, Bets!AD:AD), "")</f>
        <v/>
      </c>
      <c r="S430" s="162"/>
      <c r="T430" s="148"/>
      <c r="U430" s="161"/>
      <c r="V430" s="146" t="str">
        <f>IF(U430&lt;&gt;"", SUMIF(Bets!$D:$D, U430, Bets!AE:AE), "")</f>
        <v/>
      </c>
      <c r="W430" s="162"/>
      <c r="X430" s="148"/>
      <c r="Y430" s="161"/>
      <c r="Z430" s="146" t="str">
        <f>IF(Y430&lt;&gt;"", SUMIF(Bets!$D:$D, Y430, Bets!AF:AF), "")</f>
        <v/>
      </c>
      <c r="AA430" s="162"/>
      <c r="AB430" s="148"/>
      <c r="AC430" s="161"/>
      <c r="AD430" s="146" t="str">
        <f>IF(AC430&lt;&gt;"", SUMIF(Bets!$D:$D, AC430, Bets!AG:AG), "")</f>
        <v/>
      </c>
      <c r="AE430" s="162"/>
      <c r="AF430" s="148"/>
    </row>
    <row r="431">
      <c r="A431" s="161"/>
      <c r="B431" s="146" t="str">
        <f>IF(A431&lt;&gt;"", SUMIF(Bets!$D:$D, A431, Bets!Z:Z), "")</f>
        <v/>
      </c>
      <c r="C431" s="162"/>
      <c r="D431" s="148"/>
      <c r="E431" s="161"/>
      <c r="F431" s="146" t="str">
        <f>IF(E431&lt;&gt;"", SUMIF(Bets!$D:$D, E431, Bets!AB:AB), "")</f>
        <v/>
      </c>
      <c r="G431" s="162"/>
      <c r="H431" s="148"/>
      <c r="I431" s="161"/>
      <c r="J431" s="146" t="str">
        <f>IF(I431&lt;&gt;"", SUMIF(Bets!$D:$D, I431, Bets!AA:AA), "")</f>
        <v/>
      </c>
      <c r="K431" s="162"/>
      <c r="L431" s="148"/>
      <c r="M431" s="161"/>
      <c r="N431" s="146"/>
      <c r="O431" s="162"/>
      <c r="P431" s="148"/>
      <c r="Q431" s="161"/>
      <c r="R431" s="146" t="str">
        <f>IF(Q431&lt;&gt;"", SUMIF(Bets!$D:$D, Q431, Bets!AD:AD), "")</f>
        <v/>
      </c>
      <c r="S431" s="162"/>
      <c r="T431" s="148"/>
      <c r="U431" s="161"/>
      <c r="V431" s="146" t="str">
        <f>IF(U431&lt;&gt;"", SUMIF(Bets!$D:$D, U431, Bets!AE:AE), "")</f>
        <v/>
      </c>
      <c r="W431" s="162"/>
      <c r="X431" s="148"/>
      <c r="Y431" s="161"/>
      <c r="Z431" s="146" t="str">
        <f>IF(Y431&lt;&gt;"", SUMIF(Bets!$D:$D, Y431, Bets!AF:AF), "")</f>
        <v/>
      </c>
      <c r="AA431" s="162"/>
      <c r="AB431" s="148"/>
      <c r="AC431" s="161"/>
      <c r="AD431" s="146" t="str">
        <f>IF(AC431&lt;&gt;"", SUMIF(Bets!$D:$D, AC431, Bets!AG:AG), "")</f>
        <v/>
      </c>
      <c r="AE431" s="162"/>
      <c r="AF431" s="148"/>
    </row>
    <row r="432">
      <c r="A432" s="161"/>
      <c r="B432" s="146" t="str">
        <f>IF(A432&lt;&gt;"", SUMIF(Bets!$D:$D, A432, Bets!Z:Z), "")</f>
        <v/>
      </c>
      <c r="C432" s="162"/>
      <c r="D432" s="148"/>
      <c r="E432" s="161"/>
      <c r="F432" s="146" t="str">
        <f>IF(E432&lt;&gt;"", SUMIF(Bets!$D:$D, E432, Bets!AB:AB), "")</f>
        <v/>
      </c>
      <c r="G432" s="162"/>
      <c r="H432" s="148"/>
      <c r="I432" s="161"/>
      <c r="J432" s="146" t="str">
        <f>IF(I432&lt;&gt;"", SUMIF(Bets!$D:$D, I432, Bets!AA:AA), "")</f>
        <v/>
      </c>
      <c r="K432" s="162"/>
      <c r="L432" s="148"/>
      <c r="M432" s="161"/>
      <c r="N432" s="146"/>
      <c r="O432" s="162"/>
      <c r="P432" s="148"/>
      <c r="Q432" s="161"/>
      <c r="R432" s="146" t="str">
        <f>IF(Q432&lt;&gt;"", SUMIF(Bets!$D:$D, Q432, Bets!AD:AD), "")</f>
        <v/>
      </c>
      <c r="S432" s="162"/>
      <c r="T432" s="148"/>
      <c r="U432" s="161"/>
      <c r="V432" s="146" t="str">
        <f>IF(U432&lt;&gt;"", SUMIF(Bets!$D:$D, U432, Bets!AE:AE), "")</f>
        <v/>
      </c>
      <c r="W432" s="162"/>
      <c r="X432" s="148"/>
      <c r="Y432" s="161"/>
      <c r="Z432" s="146" t="str">
        <f>IF(Y432&lt;&gt;"", SUMIF(Bets!$D:$D, Y432, Bets!AF:AF), "")</f>
        <v/>
      </c>
      <c r="AA432" s="162"/>
      <c r="AB432" s="148"/>
      <c r="AC432" s="161"/>
      <c r="AD432" s="146" t="str">
        <f>IF(AC432&lt;&gt;"", SUMIF(Bets!$D:$D, AC432, Bets!AG:AG), "")</f>
        <v/>
      </c>
      <c r="AE432" s="162"/>
      <c r="AF432" s="148"/>
    </row>
    <row r="433">
      <c r="A433" s="161"/>
      <c r="B433" s="146" t="str">
        <f>IF(A433&lt;&gt;"", SUMIF(Bets!$D:$D, A433, Bets!Z:Z), "")</f>
        <v/>
      </c>
      <c r="C433" s="162"/>
      <c r="D433" s="148"/>
      <c r="E433" s="161"/>
      <c r="F433" s="146" t="str">
        <f>IF(E433&lt;&gt;"", SUMIF(Bets!$D:$D, E433, Bets!AB:AB), "")</f>
        <v/>
      </c>
      <c r="G433" s="162"/>
      <c r="H433" s="148"/>
      <c r="I433" s="161"/>
      <c r="J433" s="146" t="str">
        <f>IF(I433&lt;&gt;"", SUMIF(Bets!$D:$D, I433, Bets!AA:AA), "")</f>
        <v/>
      </c>
      <c r="K433" s="162"/>
      <c r="L433" s="148"/>
      <c r="M433" s="161"/>
      <c r="N433" s="146"/>
      <c r="O433" s="162"/>
      <c r="P433" s="148"/>
      <c r="Q433" s="161"/>
      <c r="R433" s="146" t="str">
        <f>IF(Q433&lt;&gt;"", SUMIF(Bets!$D:$D, Q433, Bets!AD:AD), "")</f>
        <v/>
      </c>
      <c r="S433" s="162"/>
      <c r="T433" s="148"/>
      <c r="U433" s="161"/>
      <c r="V433" s="146" t="str">
        <f>IF(U433&lt;&gt;"", SUMIF(Bets!$D:$D, U433, Bets!AE:AE), "")</f>
        <v/>
      </c>
      <c r="W433" s="162"/>
      <c r="X433" s="148"/>
      <c r="Y433" s="161"/>
      <c r="Z433" s="146" t="str">
        <f>IF(Y433&lt;&gt;"", SUMIF(Bets!$D:$D, Y433, Bets!AF:AF), "")</f>
        <v/>
      </c>
      <c r="AA433" s="162"/>
      <c r="AB433" s="148"/>
      <c r="AC433" s="161"/>
      <c r="AD433" s="146" t="str">
        <f>IF(AC433&lt;&gt;"", SUMIF(Bets!$D:$D, AC433, Bets!AG:AG), "")</f>
        <v/>
      </c>
      <c r="AE433" s="162"/>
      <c r="AF433" s="148"/>
    </row>
    <row r="434">
      <c r="A434" s="161"/>
      <c r="B434" s="146" t="str">
        <f>IF(A434&lt;&gt;"", SUMIF(Bets!$D:$D, A434, Bets!Z:Z), "")</f>
        <v/>
      </c>
      <c r="C434" s="162"/>
      <c r="D434" s="148"/>
      <c r="E434" s="161"/>
      <c r="F434" s="146" t="str">
        <f>IF(E434&lt;&gt;"", SUMIF(Bets!$D:$D, E434, Bets!AB:AB), "")</f>
        <v/>
      </c>
      <c r="G434" s="162"/>
      <c r="H434" s="148"/>
      <c r="I434" s="161"/>
      <c r="J434" s="146" t="str">
        <f>IF(I434&lt;&gt;"", SUMIF(Bets!$D:$D, I434, Bets!AA:AA), "")</f>
        <v/>
      </c>
      <c r="K434" s="162"/>
      <c r="L434" s="148"/>
      <c r="M434" s="161"/>
      <c r="N434" s="146"/>
      <c r="O434" s="162"/>
      <c r="P434" s="148"/>
      <c r="Q434" s="161"/>
      <c r="R434" s="146" t="str">
        <f>IF(Q434&lt;&gt;"", SUMIF(Bets!$D:$D, Q434, Bets!AD:AD), "")</f>
        <v/>
      </c>
      <c r="S434" s="162"/>
      <c r="T434" s="148"/>
      <c r="U434" s="161"/>
      <c r="V434" s="146" t="str">
        <f>IF(U434&lt;&gt;"", SUMIF(Bets!$D:$D, U434, Bets!AE:AE), "")</f>
        <v/>
      </c>
      <c r="W434" s="162"/>
      <c r="X434" s="148"/>
      <c r="Y434" s="161"/>
      <c r="Z434" s="146" t="str">
        <f>IF(Y434&lt;&gt;"", SUMIF(Bets!$D:$D, Y434, Bets!AF:AF), "")</f>
        <v/>
      </c>
      <c r="AA434" s="162"/>
      <c r="AB434" s="148"/>
      <c r="AC434" s="161"/>
      <c r="AD434" s="146" t="str">
        <f>IF(AC434&lt;&gt;"", SUMIF(Bets!$D:$D, AC434, Bets!AG:AG), "")</f>
        <v/>
      </c>
      <c r="AE434" s="162"/>
      <c r="AF434" s="148"/>
    </row>
    <row r="435">
      <c r="A435" s="161"/>
      <c r="B435" s="146" t="str">
        <f>IF(A435&lt;&gt;"", SUMIF(Bets!$D:$D, A435, Bets!Z:Z), "")</f>
        <v/>
      </c>
      <c r="C435" s="162"/>
      <c r="D435" s="148"/>
      <c r="E435" s="161"/>
      <c r="F435" s="146" t="str">
        <f>IF(E435&lt;&gt;"", SUMIF(Bets!$D:$D, E435, Bets!AB:AB), "")</f>
        <v/>
      </c>
      <c r="G435" s="162"/>
      <c r="H435" s="148"/>
      <c r="I435" s="161"/>
      <c r="J435" s="146" t="str">
        <f>IF(I435&lt;&gt;"", SUMIF(Bets!$D:$D, I435, Bets!AA:AA), "")</f>
        <v/>
      </c>
      <c r="K435" s="162"/>
      <c r="L435" s="148"/>
      <c r="M435" s="161"/>
      <c r="N435" s="146"/>
      <c r="O435" s="162"/>
      <c r="P435" s="148"/>
      <c r="Q435" s="161"/>
      <c r="R435" s="146" t="str">
        <f>IF(Q435&lt;&gt;"", SUMIF(Bets!$D:$D, Q435, Bets!AD:AD), "")</f>
        <v/>
      </c>
      <c r="S435" s="162"/>
      <c r="T435" s="148"/>
      <c r="U435" s="161"/>
      <c r="V435" s="146" t="str">
        <f>IF(U435&lt;&gt;"", SUMIF(Bets!$D:$D, U435, Bets!AE:AE), "")</f>
        <v/>
      </c>
      <c r="W435" s="162"/>
      <c r="X435" s="148"/>
      <c r="Y435" s="161"/>
      <c r="Z435" s="146" t="str">
        <f>IF(Y435&lt;&gt;"", SUMIF(Bets!$D:$D, Y435, Bets!AF:AF), "")</f>
        <v/>
      </c>
      <c r="AA435" s="162"/>
      <c r="AB435" s="148"/>
      <c r="AC435" s="161"/>
      <c r="AD435" s="146" t="str">
        <f>IF(AC435&lt;&gt;"", SUMIF(Bets!$D:$D, AC435, Bets!AG:AG), "")</f>
        <v/>
      </c>
      <c r="AE435" s="162"/>
      <c r="AF435" s="148"/>
    </row>
    <row r="436">
      <c r="A436" s="161"/>
      <c r="B436" s="146" t="str">
        <f>IF(A436&lt;&gt;"", SUMIF(Bets!$D:$D, A436, Bets!Z:Z), "")</f>
        <v/>
      </c>
      <c r="C436" s="162"/>
      <c r="D436" s="148"/>
      <c r="E436" s="161"/>
      <c r="F436" s="146" t="str">
        <f>IF(E436&lt;&gt;"", SUMIF(Bets!$D:$D, E436, Bets!AB:AB), "")</f>
        <v/>
      </c>
      <c r="G436" s="162"/>
      <c r="H436" s="148"/>
      <c r="I436" s="161"/>
      <c r="J436" s="146" t="str">
        <f>IF(I436&lt;&gt;"", SUMIF(Bets!$D:$D, I436, Bets!AA:AA), "")</f>
        <v/>
      </c>
      <c r="K436" s="162"/>
      <c r="L436" s="148"/>
      <c r="M436" s="161"/>
      <c r="N436" s="146"/>
      <c r="O436" s="162"/>
      <c r="P436" s="148"/>
      <c r="Q436" s="161"/>
      <c r="R436" s="146" t="str">
        <f>IF(Q436&lt;&gt;"", SUMIF(Bets!$D:$D, Q436, Bets!AD:AD), "")</f>
        <v/>
      </c>
      <c r="S436" s="162"/>
      <c r="T436" s="148"/>
      <c r="U436" s="161"/>
      <c r="V436" s="146" t="str">
        <f>IF(U436&lt;&gt;"", SUMIF(Bets!$D:$D, U436, Bets!AE:AE), "")</f>
        <v/>
      </c>
      <c r="W436" s="162"/>
      <c r="X436" s="148"/>
      <c r="Y436" s="161"/>
      <c r="Z436" s="146" t="str">
        <f>IF(Y436&lt;&gt;"", SUMIF(Bets!$D:$D, Y436, Bets!AF:AF), "")</f>
        <v/>
      </c>
      <c r="AA436" s="162"/>
      <c r="AB436" s="148"/>
      <c r="AC436" s="161"/>
      <c r="AD436" s="146" t="str">
        <f>IF(AC436&lt;&gt;"", SUMIF(Bets!$D:$D, AC436, Bets!AG:AG), "")</f>
        <v/>
      </c>
      <c r="AE436" s="162"/>
      <c r="AF436" s="148"/>
    </row>
    <row r="437">
      <c r="A437" s="161"/>
      <c r="B437" s="146" t="str">
        <f>IF(A437&lt;&gt;"", SUMIF(Bets!$D:$D, A437, Bets!Z:Z), "")</f>
        <v/>
      </c>
      <c r="C437" s="162"/>
      <c r="D437" s="148"/>
      <c r="E437" s="161"/>
      <c r="F437" s="146" t="str">
        <f>IF(E437&lt;&gt;"", SUMIF(Bets!$D:$D, E437, Bets!AB:AB), "")</f>
        <v/>
      </c>
      <c r="G437" s="162"/>
      <c r="H437" s="148"/>
      <c r="I437" s="161"/>
      <c r="J437" s="146" t="str">
        <f>IF(I437&lt;&gt;"", SUMIF(Bets!$D:$D, I437, Bets!AA:AA), "")</f>
        <v/>
      </c>
      <c r="K437" s="162"/>
      <c r="L437" s="148"/>
      <c r="M437" s="161"/>
      <c r="N437" s="146"/>
      <c r="O437" s="162"/>
      <c r="P437" s="148"/>
      <c r="Q437" s="161"/>
      <c r="R437" s="146" t="str">
        <f>IF(Q437&lt;&gt;"", SUMIF(Bets!$D:$D, Q437, Bets!AD:AD), "")</f>
        <v/>
      </c>
      <c r="S437" s="162"/>
      <c r="T437" s="148"/>
      <c r="U437" s="161"/>
      <c r="V437" s="146" t="str">
        <f>IF(U437&lt;&gt;"", SUMIF(Bets!$D:$D, U437, Bets!AE:AE), "")</f>
        <v/>
      </c>
      <c r="W437" s="162"/>
      <c r="X437" s="148"/>
      <c r="Y437" s="161"/>
      <c r="Z437" s="146" t="str">
        <f>IF(Y437&lt;&gt;"", SUMIF(Bets!$D:$D, Y437, Bets!AF:AF), "")</f>
        <v/>
      </c>
      <c r="AA437" s="162"/>
      <c r="AB437" s="148"/>
      <c r="AC437" s="161"/>
      <c r="AD437" s="146" t="str">
        <f>IF(AC437&lt;&gt;"", SUMIF(Bets!$D:$D, AC437, Bets!AG:AG), "")</f>
        <v/>
      </c>
      <c r="AE437" s="162"/>
      <c r="AF437" s="148"/>
    </row>
    <row r="438">
      <c r="A438" s="161"/>
      <c r="B438" s="146" t="str">
        <f>IF(A438&lt;&gt;"", SUMIF(Bets!$D:$D, A438, Bets!Z:Z), "")</f>
        <v/>
      </c>
      <c r="C438" s="162"/>
      <c r="D438" s="148"/>
      <c r="E438" s="161"/>
      <c r="F438" s="146" t="str">
        <f>IF(E438&lt;&gt;"", SUMIF(Bets!$D:$D, E438, Bets!AB:AB), "")</f>
        <v/>
      </c>
      <c r="G438" s="162"/>
      <c r="H438" s="148"/>
      <c r="I438" s="161"/>
      <c r="J438" s="146" t="str">
        <f>IF(I438&lt;&gt;"", SUMIF(Bets!$D:$D, I438, Bets!AA:AA), "")</f>
        <v/>
      </c>
      <c r="K438" s="162"/>
      <c r="L438" s="148"/>
      <c r="M438" s="161"/>
      <c r="N438" s="146"/>
      <c r="O438" s="162"/>
      <c r="P438" s="148"/>
      <c r="Q438" s="161"/>
      <c r="R438" s="146" t="str">
        <f>IF(Q438&lt;&gt;"", SUMIF(Bets!$D:$D, Q438, Bets!AD:AD), "")</f>
        <v/>
      </c>
      <c r="S438" s="162"/>
      <c r="T438" s="148"/>
      <c r="U438" s="161"/>
      <c r="V438" s="146" t="str">
        <f>IF(U438&lt;&gt;"", SUMIF(Bets!$D:$D, U438, Bets!AE:AE), "")</f>
        <v/>
      </c>
      <c r="W438" s="162"/>
      <c r="X438" s="148"/>
      <c r="Y438" s="161"/>
      <c r="Z438" s="146" t="str">
        <f>IF(Y438&lt;&gt;"", SUMIF(Bets!$D:$D, Y438, Bets!AF:AF), "")</f>
        <v/>
      </c>
      <c r="AA438" s="162"/>
      <c r="AB438" s="148"/>
      <c r="AC438" s="161"/>
      <c r="AD438" s="146" t="str">
        <f>IF(AC438&lt;&gt;"", SUMIF(Bets!$D:$D, AC438, Bets!AG:AG), "")</f>
        <v/>
      </c>
      <c r="AE438" s="162"/>
      <c r="AF438" s="148"/>
    </row>
    <row r="439">
      <c r="A439" s="161"/>
      <c r="B439" s="146" t="str">
        <f>IF(A439&lt;&gt;"", SUMIF(Bets!$D:$D, A439, Bets!Z:Z), "")</f>
        <v/>
      </c>
      <c r="C439" s="162"/>
      <c r="D439" s="148"/>
      <c r="E439" s="161"/>
      <c r="F439" s="146" t="str">
        <f>IF(E439&lt;&gt;"", SUMIF(Bets!$D:$D, E439, Bets!AB:AB), "")</f>
        <v/>
      </c>
      <c r="G439" s="162"/>
      <c r="H439" s="148"/>
      <c r="I439" s="161"/>
      <c r="J439" s="146" t="str">
        <f>IF(I439&lt;&gt;"", SUMIF(Bets!$D:$D, I439, Bets!AA:AA), "")</f>
        <v/>
      </c>
      <c r="K439" s="162"/>
      <c r="L439" s="148"/>
      <c r="M439" s="161"/>
      <c r="N439" s="146"/>
      <c r="O439" s="162"/>
      <c r="P439" s="148"/>
      <c r="Q439" s="161"/>
      <c r="R439" s="146" t="str">
        <f>IF(Q439&lt;&gt;"", SUMIF(Bets!$D:$D, Q439, Bets!AD:AD), "")</f>
        <v/>
      </c>
      <c r="S439" s="162"/>
      <c r="T439" s="148"/>
      <c r="U439" s="161"/>
      <c r="V439" s="146" t="str">
        <f>IF(U439&lt;&gt;"", SUMIF(Bets!$D:$D, U439, Bets!AE:AE), "")</f>
        <v/>
      </c>
      <c r="W439" s="162"/>
      <c r="X439" s="148"/>
      <c r="Y439" s="161"/>
      <c r="Z439" s="146" t="str">
        <f>IF(Y439&lt;&gt;"", SUMIF(Bets!$D:$D, Y439, Bets!AF:AF), "")</f>
        <v/>
      </c>
      <c r="AA439" s="162"/>
      <c r="AB439" s="148"/>
      <c r="AC439" s="161"/>
      <c r="AD439" s="146" t="str">
        <f>IF(AC439&lt;&gt;"", SUMIF(Bets!$D:$D, AC439, Bets!AG:AG), "")</f>
        <v/>
      </c>
      <c r="AE439" s="162"/>
      <c r="AF439" s="148"/>
    </row>
    <row r="440">
      <c r="A440" s="161"/>
      <c r="B440" s="146" t="str">
        <f>IF(A440&lt;&gt;"", SUMIF(Bets!$D:$D, A440, Bets!Z:Z), "")</f>
        <v/>
      </c>
      <c r="C440" s="162"/>
      <c r="D440" s="148"/>
      <c r="E440" s="161"/>
      <c r="F440" s="146" t="str">
        <f>IF(E440&lt;&gt;"", SUMIF(Bets!$D:$D, E440, Bets!AB:AB), "")</f>
        <v/>
      </c>
      <c r="G440" s="162"/>
      <c r="H440" s="148"/>
      <c r="I440" s="161"/>
      <c r="J440" s="146" t="str">
        <f>IF(I440&lt;&gt;"", SUMIF(Bets!$D:$D, I440, Bets!AA:AA), "")</f>
        <v/>
      </c>
      <c r="K440" s="162"/>
      <c r="L440" s="148"/>
      <c r="M440" s="161"/>
      <c r="N440" s="146"/>
      <c r="O440" s="162"/>
      <c r="P440" s="148"/>
      <c r="Q440" s="161"/>
      <c r="R440" s="146" t="str">
        <f>IF(Q440&lt;&gt;"", SUMIF(Bets!$D:$D, Q440, Bets!AD:AD), "")</f>
        <v/>
      </c>
      <c r="S440" s="162"/>
      <c r="T440" s="148"/>
      <c r="U440" s="161"/>
      <c r="V440" s="146" t="str">
        <f>IF(U440&lt;&gt;"", SUMIF(Bets!$D:$D, U440, Bets!AE:AE), "")</f>
        <v/>
      </c>
      <c r="W440" s="162"/>
      <c r="X440" s="148"/>
      <c r="Y440" s="161"/>
      <c r="Z440" s="146" t="str">
        <f>IF(Y440&lt;&gt;"", SUMIF(Bets!$D:$D, Y440, Bets!AF:AF), "")</f>
        <v/>
      </c>
      <c r="AA440" s="162"/>
      <c r="AB440" s="148"/>
      <c r="AC440" s="161"/>
      <c r="AD440" s="146" t="str">
        <f>IF(AC440&lt;&gt;"", SUMIF(Bets!$D:$D, AC440, Bets!AG:AG), "")</f>
        <v/>
      </c>
      <c r="AE440" s="162"/>
      <c r="AF440" s="148"/>
    </row>
    <row r="441">
      <c r="A441" s="161"/>
      <c r="B441" s="146" t="str">
        <f>IF(A441&lt;&gt;"", SUMIF(Bets!$D:$D, A441, Bets!Z:Z), "")</f>
        <v/>
      </c>
      <c r="C441" s="162"/>
      <c r="D441" s="148"/>
      <c r="E441" s="161"/>
      <c r="F441" s="146" t="str">
        <f>IF(E441&lt;&gt;"", SUMIF(Bets!$D:$D, E441, Bets!AB:AB), "")</f>
        <v/>
      </c>
      <c r="G441" s="162"/>
      <c r="H441" s="148"/>
      <c r="I441" s="161"/>
      <c r="J441" s="146" t="str">
        <f>IF(I441&lt;&gt;"", SUMIF(Bets!$D:$D, I441, Bets!AA:AA), "")</f>
        <v/>
      </c>
      <c r="K441" s="162"/>
      <c r="L441" s="148"/>
      <c r="M441" s="161"/>
      <c r="N441" s="146"/>
      <c r="O441" s="162"/>
      <c r="P441" s="148"/>
      <c r="Q441" s="161"/>
      <c r="R441" s="146" t="str">
        <f>IF(Q441&lt;&gt;"", SUMIF(Bets!$D:$D, Q441, Bets!AD:AD), "")</f>
        <v/>
      </c>
      <c r="S441" s="162"/>
      <c r="T441" s="148"/>
      <c r="U441" s="161"/>
      <c r="V441" s="146" t="str">
        <f>IF(U441&lt;&gt;"", SUMIF(Bets!$D:$D, U441, Bets!AE:AE), "")</f>
        <v/>
      </c>
      <c r="W441" s="162"/>
      <c r="X441" s="148"/>
      <c r="Y441" s="161"/>
      <c r="Z441" s="146" t="str">
        <f>IF(Y441&lt;&gt;"", SUMIF(Bets!$D:$D, Y441, Bets!AF:AF), "")</f>
        <v/>
      </c>
      <c r="AA441" s="162"/>
      <c r="AB441" s="148"/>
      <c r="AC441" s="161"/>
      <c r="AD441" s="146" t="str">
        <f>IF(AC441&lt;&gt;"", SUMIF(Bets!$D:$D, AC441, Bets!AG:AG), "")</f>
        <v/>
      </c>
      <c r="AE441" s="162"/>
      <c r="AF441" s="148"/>
    </row>
    <row r="442">
      <c r="A442" s="161"/>
      <c r="B442" s="146" t="str">
        <f>IF(A442&lt;&gt;"", SUMIF(Bets!$D:$D, A442, Bets!Z:Z), "")</f>
        <v/>
      </c>
      <c r="C442" s="162"/>
      <c r="D442" s="148"/>
      <c r="E442" s="161"/>
      <c r="F442" s="146" t="str">
        <f>IF(E442&lt;&gt;"", SUMIF(Bets!$D:$D, E442, Bets!AB:AB), "")</f>
        <v/>
      </c>
      <c r="G442" s="162"/>
      <c r="H442" s="148"/>
      <c r="I442" s="161"/>
      <c r="J442" s="146" t="str">
        <f>IF(I442&lt;&gt;"", SUMIF(Bets!$D:$D, I442, Bets!AA:AA), "")</f>
        <v/>
      </c>
      <c r="K442" s="162"/>
      <c r="L442" s="148"/>
      <c r="M442" s="161"/>
      <c r="N442" s="146"/>
      <c r="O442" s="162"/>
      <c r="P442" s="148"/>
      <c r="Q442" s="161"/>
      <c r="R442" s="146" t="str">
        <f>IF(Q442&lt;&gt;"", SUMIF(Bets!$D:$D, Q442, Bets!AD:AD), "")</f>
        <v/>
      </c>
      <c r="S442" s="162"/>
      <c r="T442" s="148"/>
      <c r="U442" s="161"/>
      <c r="V442" s="146" t="str">
        <f>IF(U442&lt;&gt;"", SUMIF(Bets!$D:$D, U442, Bets!AE:AE), "")</f>
        <v/>
      </c>
      <c r="W442" s="162"/>
      <c r="X442" s="148"/>
      <c r="Y442" s="161"/>
      <c r="Z442" s="146" t="str">
        <f>IF(Y442&lt;&gt;"", SUMIF(Bets!$D:$D, Y442, Bets!AF:AF), "")</f>
        <v/>
      </c>
      <c r="AA442" s="162"/>
      <c r="AB442" s="148"/>
      <c r="AC442" s="161"/>
      <c r="AD442" s="146" t="str">
        <f>IF(AC442&lt;&gt;"", SUMIF(Bets!$D:$D, AC442, Bets!AG:AG), "")</f>
        <v/>
      </c>
      <c r="AE442" s="162"/>
      <c r="AF442" s="148"/>
    </row>
    <row r="443">
      <c r="A443" s="161"/>
      <c r="B443" s="146" t="str">
        <f>IF(A443&lt;&gt;"", SUMIF(Bets!$D:$D, A443, Bets!Z:Z), "")</f>
        <v/>
      </c>
      <c r="C443" s="162"/>
      <c r="D443" s="148"/>
      <c r="E443" s="161"/>
      <c r="F443" s="146" t="str">
        <f>IF(E443&lt;&gt;"", SUMIF(Bets!$D:$D, E443, Bets!AB:AB), "")</f>
        <v/>
      </c>
      <c r="G443" s="162"/>
      <c r="H443" s="148"/>
      <c r="I443" s="161"/>
      <c r="J443" s="146" t="str">
        <f>IF(I443&lt;&gt;"", SUMIF(Bets!$D:$D, I443, Bets!AA:AA), "")</f>
        <v/>
      </c>
      <c r="K443" s="162"/>
      <c r="L443" s="148"/>
      <c r="M443" s="161"/>
      <c r="N443" s="146"/>
      <c r="O443" s="162"/>
      <c r="P443" s="148"/>
      <c r="Q443" s="161"/>
      <c r="R443" s="146" t="str">
        <f>IF(Q443&lt;&gt;"", SUMIF(Bets!$D:$D, Q443, Bets!AD:AD), "")</f>
        <v/>
      </c>
      <c r="S443" s="162"/>
      <c r="T443" s="148"/>
      <c r="U443" s="161"/>
      <c r="V443" s="146" t="str">
        <f>IF(U443&lt;&gt;"", SUMIF(Bets!$D:$D, U443, Bets!AE:AE), "")</f>
        <v/>
      </c>
      <c r="W443" s="162"/>
      <c r="X443" s="148"/>
      <c r="Y443" s="161"/>
      <c r="Z443" s="146" t="str">
        <f>IF(Y443&lt;&gt;"", SUMIF(Bets!$D:$D, Y443, Bets!AF:AF), "")</f>
        <v/>
      </c>
      <c r="AA443" s="162"/>
      <c r="AB443" s="148"/>
      <c r="AC443" s="161"/>
      <c r="AD443" s="146" t="str">
        <f>IF(AC443&lt;&gt;"", SUMIF(Bets!$D:$D, AC443, Bets!AG:AG), "")</f>
        <v/>
      </c>
      <c r="AE443" s="162"/>
      <c r="AF443" s="148"/>
    </row>
    <row r="444">
      <c r="A444" s="161"/>
      <c r="B444" s="146" t="str">
        <f>IF(A444&lt;&gt;"", SUMIF(Bets!$D:$D, A444, Bets!Z:Z), "")</f>
        <v/>
      </c>
      <c r="C444" s="162"/>
      <c r="D444" s="148"/>
      <c r="E444" s="161"/>
      <c r="F444" s="146" t="str">
        <f>IF(E444&lt;&gt;"", SUMIF(Bets!$D:$D, E444, Bets!AB:AB), "")</f>
        <v/>
      </c>
      <c r="G444" s="162"/>
      <c r="H444" s="148"/>
      <c r="I444" s="161"/>
      <c r="J444" s="146" t="str">
        <f>IF(I444&lt;&gt;"", SUMIF(Bets!$D:$D, I444, Bets!AA:AA), "")</f>
        <v/>
      </c>
      <c r="K444" s="162"/>
      <c r="L444" s="148"/>
      <c r="M444" s="161"/>
      <c r="N444" s="146"/>
      <c r="O444" s="162"/>
      <c r="P444" s="148"/>
      <c r="Q444" s="161"/>
      <c r="R444" s="146" t="str">
        <f>IF(Q444&lt;&gt;"", SUMIF(Bets!$D:$D, Q444, Bets!AD:AD), "")</f>
        <v/>
      </c>
      <c r="S444" s="162"/>
      <c r="T444" s="148"/>
      <c r="U444" s="161"/>
      <c r="V444" s="146" t="str">
        <f>IF(U444&lt;&gt;"", SUMIF(Bets!$D:$D, U444, Bets!AE:AE), "")</f>
        <v/>
      </c>
      <c r="W444" s="162"/>
      <c r="X444" s="148"/>
      <c r="Y444" s="161"/>
      <c r="Z444" s="146" t="str">
        <f>IF(Y444&lt;&gt;"", SUMIF(Bets!$D:$D, Y444, Bets!AF:AF), "")</f>
        <v/>
      </c>
      <c r="AA444" s="162"/>
      <c r="AB444" s="148"/>
      <c r="AC444" s="161"/>
      <c r="AD444" s="146" t="str">
        <f>IF(AC444&lt;&gt;"", SUMIF(Bets!$D:$D, AC444, Bets!AG:AG), "")</f>
        <v/>
      </c>
      <c r="AE444" s="162"/>
      <c r="AF444" s="148"/>
    </row>
    <row r="445">
      <c r="A445" s="161"/>
      <c r="B445" s="146" t="str">
        <f>IF(A445&lt;&gt;"", SUMIF(Bets!$D:$D, A445, Bets!Z:Z), "")</f>
        <v/>
      </c>
      <c r="C445" s="162"/>
      <c r="D445" s="148"/>
      <c r="E445" s="161"/>
      <c r="F445" s="146" t="str">
        <f>IF(E445&lt;&gt;"", SUMIF(Bets!$D:$D, E445, Bets!AB:AB), "")</f>
        <v/>
      </c>
      <c r="G445" s="162"/>
      <c r="H445" s="148"/>
      <c r="I445" s="161"/>
      <c r="J445" s="146" t="str">
        <f>IF(I445&lt;&gt;"", SUMIF(Bets!$D:$D, I445, Bets!AA:AA), "")</f>
        <v/>
      </c>
      <c r="K445" s="162"/>
      <c r="L445" s="148"/>
      <c r="M445" s="161"/>
      <c r="N445" s="146"/>
      <c r="O445" s="162"/>
      <c r="P445" s="148"/>
      <c r="Q445" s="161"/>
      <c r="R445" s="146" t="str">
        <f>IF(Q445&lt;&gt;"", SUMIF(Bets!$D:$D, Q445, Bets!AD:AD), "")</f>
        <v/>
      </c>
      <c r="S445" s="162"/>
      <c r="T445" s="148"/>
      <c r="U445" s="161"/>
      <c r="V445" s="146" t="str">
        <f>IF(U445&lt;&gt;"", SUMIF(Bets!$D:$D, U445, Bets!AE:AE), "")</f>
        <v/>
      </c>
      <c r="W445" s="162"/>
      <c r="X445" s="148"/>
      <c r="Y445" s="161"/>
      <c r="Z445" s="146" t="str">
        <f>IF(Y445&lt;&gt;"", SUMIF(Bets!$D:$D, Y445, Bets!AF:AF), "")</f>
        <v/>
      </c>
      <c r="AA445" s="162"/>
      <c r="AB445" s="148"/>
      <c r="AC445" s="161"/>
      <c r="AD445" s="146" t="str">
        <f>IF(AC445&lt;&gt;"", SUMIF(Bets!$D:$D, AC445, Bets!AG:AG), "")</f>
        <v/>
      </c>
      <c r="AE445" s="162"/>
      <c r="AF445" s="148"/>
    </row>
    <row r="446">
      <c r="A446" s="161"/>
      <c r="B446" s="146" t="str">
        <f>IF(A446&lt;&gt;"", SUMIF(Bets!$D:$D, A446, Bets!Z:Z), "")</f>
        <v/>
      </c>
      <c r="C446" s="162"/>
      <c r="D446" s="148"/>
      <c r="E446" s="161"/>
      <c r="F446" s="146" t="str">
        <f>IF(E446&lt;&gt;"", SUMIF(Bets!$D:$D, E446, Bets!AB:AB), "")</f>
        <v/>
      </c>
      <c r="G446" s="162"/>
      <c r="H446" s="148"/>
      <c r="I446" s="161"/>
      <c r="J446" s="146" t="str">
        <f>IF(I446&lt;&gt;"", SUMIF(Bets!$D:$D, I446, Bets!AA:AA), "")</f>
        <v/>
      </c>
      <c r="K446" s="162"/>
      <c r="L446" s="148"/>
      <c r="M446" s="161"/>
      <c r="N446" s="146"/>
      <c r="O446" s="162"/>
      <c r="P446" s="148"/>
      <c r="Q446" s="161"/>
      <c r="R446" s="146" t="str">
        <f>IF(Q446&lt;&gt;"", SUMIF(Bets!$D:$D, Q446, Bets!AD:AD), "")</f>
        <v/>
      </c>
      <c r="S446" s="162"/>
      <c r="T446" s="148"/>
      <c r="U446" s="161"/>
      <c r="V446" s="146" t="str">
        <f>IF(U446&lt;&gt;"", SUMIF(Bets!$D:$D, U446, Bets!AE:AE), "")</f>
        <v/>
      </c>
      <c r="W446" s="162"/>
      <c r="X446" s="148"/>
      <c r="Y446" s="161"/>
      <c r="Z446" s="146" t="str">
        <f>IF(Y446&lt;&gt;"", SUMIF(Bets!$D:$D, Y446, Bets!AF:AF), "")</f>
        <v/>
      </c>
      <c r="AA446" s="162"/>
      <c r="AB446" s="148"/>
      <c r="AC446" s="161"/>
      <c r="AD446" s="146" t="str">
        <f>IF(AC446&lt;&gt;"", SUMIF(Bets!$D:$D, AC446, Bets!AG:AG), "")</f>
        <v/>
      </c>
      <c r="AE446" s="162"/>
      <c r="AF446" s="148"/>
    </row>
    <row r="447">
      <c r="A447" s="161"/>
      <c r="B447" s="146" t="str">
        <f>IF(A447&lt;&gt;"", SUMIF(Bets!$D:$D, A447, Bets!Z:Z), "")</f>
        <v/>
      </c>
      <c r="C447" s="162"/>
      <c r="D447" s="148"/>
      <c r="E447" s="161"/>
      <c r="F447" s="146" t="str">
        <f>IF(E447&lt;&gt;"", SUMIF(Bets!$D:$D, E447, Bets!AB:AB), "")</f>
        <v/>
      </c>
      <c r="G447" s="162"/>
      <c r="H447" s="148"/>
      <c r="I447" s="161"/>
      <c r="J447" s="146" t="str">
        <f>IF(I447&lt;&gt;"", SUMIF(Bets!$D:$D, I447, Bets!AA:AA), "")</f>
        <v/>
      </c>
      <c r="K447" s="162"/>
      <c r="L447" s="148"/>
      <c r="M447" s="161"/>
      <c r="N447" s="146"/>
      <c r="O447" s="162"/>
      <c r="P447" s="148"/>
      <c r="Q447" s="161"/>
      <c r="R447" s="146" t="str">
        <f>IF(Q447&lt;&gt;"", SUMIF(Bets!$D:$D, Q447, Bets!AD:AD), "")</f>
        <v/>
      </c>
      <c r="S447" s="162"/>
      <c r="T447" s="148"/>
      <c r="U447" s="161"/>
      <c r="V447" s="146" t="str">
        <f>IF(U447&lt;&gt;"", SUMIF(Bets!$D:$D, U447, Bets!AE:AE), "")</f>
        <v/>
      </c>
      <c r="W447" s="162"/>
      <c r="X447" s="148"/>
      <c r="Y447" s="161"/>
      <c r="Z447" s="146" t="str">
        <f>IF(Y447&lt;&gt;"", SUMIF(Bets!$D:$D, Y447, Bets!AF:AF), "")</f>
        <v/>
      </c>
      <c r="AA447" s="162"/>
      <c r="AB447" s="148"/>
      <c r="AC447" s="161"/>
      <c r="AD447" s="146" t="str">
        <f>IF(AC447&lt;&gt;"", SUMIF(Bets!$D:$D, AC447, Bets!AG:AG), "")</f>
        <v/>
      </c>
      <c r="AE447" s="162"/>
      <c r="AF447" s="148"/>
    </row>
    <row r="448">
      <c r="A448" s="161"/>
      <c r="B448" s="146" t="str">
        <f>IF(A448&lt;&gt;"", SUMIF(Bets!$D:$D, A448, Bets!Z:Z), "")</f>
        <v/>
      </c>
      <c r="C448" s="162"/>
      <c r="D448" s="148"/>
      <c r="E448" s="161"/>
      <c r="F448" s="146" t="str">
        <f>IF(E448&lt;&gt;"", SUMIF(Bets!$D:$D, E448, Bets!AB:AB), "")</f>
        <v/>
      </c>
      <c r="G448" s="162"/>
      <c r="H448" s="148"/>
      <c r="I448" s="161"/>
      <c r="J448" s="146" t="str">
        <f>IF(I448&lt;&gt;"", SUMIF(Bets!$D:$D, I448, Bets!AA:AA), "")</f>
        <v/>
      </c>
      <c r="K448" s="162"/>
      <c r="L448" s="148"/>
      <c r="M448" s="161"/>
      <c r="N448" s="146"/>
      <c r="O448" s="162"/>
      <c r="P448" s="148"/>
      <c r="Q448" s="161"/>
      <c r="R448" s="146" t="str">
        <f>IF(Q448&lt;&gt;"", SUMIF(Bets!$D:$D, Q448, Bets!AD:AD), "")</f>
        <v/>
      </c>
      <c r="S448" s="162"/>
      <c r="T448" s="148"/>
      <c r="U448" s="161"/>
      <c r="V448" s="146" t="str">
        <f>IF(U448&lt;&gt;"", SUMIF(Bets!$D:$D, U448, Bets!AE:AE), "")</f>
        <v/>
      </c>
      <c r="W448" s="162"/>
      <c r="X448" s="148"/>
      <c r="Y448" s="161"/>
      <c r="Z448" s="146" t="str">
        <f>IF(Y448&lt;&gt;"", SUMIF(Bets!$D:$D, Y448, Bets!AF:AF), "")</f>
        <v/>
      </c>
      <c r="AA448" s="162"/>
      <c r="AB448" s="148"/>
      <c r="AC448" s="161"/>
      <c r="AD448" s="146" t="str">
        <f>IF(AC448&lt;&gt;"", SUMIF(Bets!$D:$D, AC448, Bets!AG:AG), "")</f>
        <v/>
      </c>
      <c r="AE448" s="162"/>
      <c r="AF448" s="148"/>
    </row>
    <row r="449">
      <c r="A449" s="161"/>
      <c r="B449" s="146" t="str">
        <f>IF(A449&lt;&gt;"", SUMIF(Bets!$D:$D, A449, Bets!Z:Z), "")</f>
        <v/>
      </c>
      <c r="C449" s="162"/>
      <c r="D449" s="148"/>
      <c r="E449" s="161"/>
      <c r="F449" s="146" t="str">
        <f>IF(E449&lt;&gt;"", SUMIF(Bets!$D:$D, E449, Bets!AB:AB), "")</f>
        <v/>
      </c>
      <c r="G449" s="162"/>
      <c r="H449" s="148"/>
      <c r="I449" s="161"/>
      <c r="J449" s="146" t="str">
        <f>IF(I449&lt;&gt;"", SUMIF(Bets!$D:$D, I449, Bets!AA:AA), "")</f>
        <v/>
      </c>
      <c r="K449" s="162"/>
      <c r="L449" s="148"/>
      <c r="M449" s="161"/>
      <c r="N449" s="146"/>
      <c r="O449" s="162"/>
      <c r="P449" s="148"/>
      <c r="Q449" s="161"/>
      <c r="R449" s="146" t="str">
        <f>IF(Q449&lt;&gt;"", SUMIF(Bets!$D:$D, Q449, Bets!AD:AD), "")</f>
        <v/>
      </c>
      <c r="S449" s="162"/>
      <c r="T449" s="148"/>
      <c r="U449" s="161"/>
      <c r="V449" s="146" t="str">
        <f>IF(U449&lt;&gt;"", SUMIF(Bets!$D:$D, U449, Bets!AE:AE), "")</f>
        <v/>
      </c>
      <c r="W449" s="162"/>
      <c r="X449" s="148"/>
      <c r="Y449" s="161"/>
      <c r="Z449" s="146" t="str">
        <f>IF(Y449&lt;&gt;"", SUMIF(Bets!$D:$D, Y449, Bets!AF:AF), "")</f>
        <v/>
      </c>
      <c r="AA449" s="162"/>
      <c r="AB449" s="148"/>
      <c r="AC449" s="161"/>
      <c r="AD449" s="146" t="str">
        <f>IF(AC449&lt;&gt;"", SUMIF(Bets!$D:$D, AC449, Bets!AG:AG), "")</f>
        <v/>
      </c>
      <c r="AE449" s="162"/>
      <c r="AF449" s="148"/>
    </row>
    <row r="450">
      <c r="A450" s="161"/>
      <c r="B450" s="146" t="str">
        <f>IF(A450&lt;&gt;"", SUMIF(Bets!$D:$D, A450, Bets!Z:Z), "")</f>
        <v/>
      </c>
      <c r="C450" s="162"/>
      <c r="D450" s="148"/>
      <c r="E450" s="161"/>
      <c r="F450" s="146" t="str">
        <f>IF(E450&lt;&gt;"", SUMIF(Bets!$D:$D, E450, Bets!AB:AB), "")</f>
        <v/>
      </c>
      <c r="G450" s="162"/>
      <c r="H450" s="148"/>
      <c r="I450" s="161"/>
      <c r="J450" s="146" t="str">
        <f>IF(I450&lt;&gt;"", SUMIF(Bets!$D:$D, I450, Bets!AA:AA), "")</f>
        <v/>
      </c>
      <c r="K450" s="162"/>
      <c r="L450" s="148"/>
      <c r="M450" s="161"/>
      <c r="N450" s="146"/>
      <c r="O450" s="162"/>
      <c r="P450" s="148"/>
      <c r="Q450" s="161"/>
      <c r="R450" s="146" t="str">
        <f>IF(Q450&lt;&gt;"", SUMIF(Bets!$D:$D, Q450, Bets!AD:AD), "")</f>
        <v/>
      </c>
      <c r="S450" s="162"/>
      <c r="T450" s="148"/>
      <c r="U450" s="161"/>
      <c r="V450" s="146" t="str">
        <f>IF(U450&lt;&gt;"", SUMIF(Bets!$D:$D, U450, Bets!AE:AE), "")</f>
        <v/>
      </c>
      <c r="W450" s="162"/>
      <c r="X450" s="148"/>
      <c r="Y450" s="161"/>
      <c r="Z450" s="146" t="str">
        <f>IF(Y450&lt;&gt;"", SUMIF(Bets!$D:$D, Y450, Bets!AF:AF), "")</f>
        <v/>
      </c>
      <c r="AA450" s="162"/>
      <c r="AB450" s="148"/>
      <c r="AC450" s="161"/>
      <c r="AD450" s="146" t="str">
        <f>IF(AC450&lt;&gt;"", SUMIF(Bets!$D:$D, AC450, Bets!AG:AG), "")</f>
        <v/>
      </c>
      <c r="AE450" s="162"/>
      <c r="AF450" s="148"/>
    </row>
    <row r="451">
      <c r="A451" s="161"/>
      <c r="B451" s="146" t="str">
        <f>IF(A451&lt;&gt;"", SUMIF(Bets!$D:$D, A451, Bets!Z:Z), "")</f>
        <v/>
      </c>
      <c r="C451" s="162"/>
      <c r="D451" s="148"/>
      <c r="E451" s="161"/>
      <c r="F451" s="146" t="str">
        <f>IF(E451&lt;&gt;"", SUMIF(Bets!$D:$D, E451, Bets!AB:AB), "")</f>
        <v/>
      </c>
      <c r="G451" s="162"/>
      <c r="H451" s="148"/>
      <c r="I451" s="161"/>
      <c r="J451" s="146" t="str">
        <f>IF(I451&lt;&gt;"", SUMIF(Bets!$D:$D, I451, Bets!AA:AA), "")</f>
        <v/>
      </c>
      <c r="K451" s="162"/>
      <c r="L451" s="148"/>
      <c r="M451" s="161"/>
      <c r="N451" s="146"/>
      <c r="O451" s="162"/>
      <c r="P451" s="148"/>
      <c r="Q451" s="161"/>
      <c r="R451" s="146" t="str">
        <f>IF(Q451&lt;&gt;"", SUMIF(Bets!$D:$D, Q451, Bets!AD:AD), "")</f>
        <v/>
      </c>
      <c r="S451" s="162"/>
      <c r="T451" s="148"/>
      <c r="U451" s="161"/>
      <c r="V451" s="146" t="str">
        <f>IF(U451&lt;&gt;"", SUMIF(Bets!$D:$D, U451, Bets!AE:AE), "")</f>
        <v/>
      </c>
      <c r="W451" s="162"/>
      <c r="X451" s="148"/>
      <c r="Y451" s="161"/>
      <c r="Z451" s="146" t="str">
        <f>IF(Y451&lt;&gt;"", SUMIF(Bets!$D:$D, Y451, Bets!AF:AF), "")</f>
        <v/>
      </c>
      <c r="AA451" s="162"/>
      <c r="AB451" s="148"/>
      <c r="AC451" s="161"/>
      <c r="AD451" s="146" t="str">
        <f>IF(AC451&lt;&gt;"", SUMIF(Bets!$D:$D, AC451, Bets!AG:AG), "")</f>
        <v/>
      </c>
      <c r="AE451" s="162"/>
      <c r="AF451" s="148"/>
    </row>
    <row r="452">
      <c r="A452" s="161"/>
      <c r="B452" s="146" t="str">
        <f>IF(A452&lt;&gt;"", SUMIF(Bets!$D:$D, A452, Bets!Z:Z), "")</f>
        <v/>
      </c>
      <c r="C452" s="162"/>
      <c r="D452" s="148"/>
      <c r="E452" s="161"/>
      <c r="F452" s="146" t="str">
        <f>IF(E452&lt;&gt;"", SUMIF(Bets!$D:$D, E452, Bets!AB:AB), "")</f>
        <v/>
      </c>
      <c r="G452" s="162"/>
      <c r="H452" s="148"/>
      <c r="I452" s="161"/>
      <c r="J452" s="146" t="str">
        <f>IF(I452&lt;&gt;"", SUMIF(Bets!$D:$D, I452, Bets!AA:AA), "")</f>
        <v/>
      </c>
      <c r="K452" s="162"/>
      <c r="L452" s="148"/>
      <c r="M452" s="161"/>
      <c r="N452" s="146"/>
      <c r="O452" s="162"/>
      <c r="P452" s="148"/>
      <c r="Q452" s="161"/>
      <c r="R452" s="146" t="str">
        <f>IF(Q452&lt;&gt;"", SUMIF(Bets!$D:$D, Q452, Bets!AD:AD), "")</f>
        <v/>
      </c>
      <c r="S452" s="162"/>
      <c r="T452" s="148"/>
      <c r="U452" s="161"/>
      <c r="V452" s="146" t="str">
        <f>IF(U452&lt;&gt;"", SUMIF(Bets!$D:$D, U452, Bets!AE:AE), "")</f>
        <v/>
      </c>
      <c r="W452" s="162"/>
      <c r="X452" s="148"/>
      <c r="Y452" s="161"/>
      <c r="Z452" s="146" t="str">
        <f>IF(Y452&lt;&gt;"", SUMIF(Bets!$D:$D, Y452, Bets!AF:AF), "")</f>
        <v/>
      </c>
      <c r="AA452" s="162"/>
      <c r="AB452" s="148"/>
      <c r="AC452" s="161"/>
      <c r="AD452" s="146" t="str">
        <f>IF(AC452&lt;&gt;"", SUMIF(Bets!$D:$D, AC452, Bets!AG:AG), "")</f>
        <v/>
      </c>
      <c r="AE452" s="162"/>
      <c r="AF452" s="148"/>
    </row>
    <row r="453">
      <c r="A453" s="161"/>
      <c r="B453" s="146" t="str">
        <f>IF(A453&lt;&gt;"", SUMIF(Bets!$D:$D, A453, Bets!Z:Z), "")</f>
        <v/>
      </c>
      <c r="C453" s="162"/>
      <c r="D453" s="148"/>
      <c r="E453" s="161"/>
      <c r="F453" s="146" t="str">
        <f>IF(E453&lt;&gt;"", SUMIF(Bets!$D:$D, E453, Bets!AB:AB), "")</f>
        <v/>
      </c>
      <c r="G453" s="162"/>
      <c r="H453" s="148"/>
      <c r="I453" s="161"/>
      <c r="J453" s="146" t="str">
        <f>IF(I453&lt;&gt;"", SUMIF(Bets!$D:$D, I453, Bets!AA:AA), "")</f>
        <v/>
      </c>
      <c r="K453" s="162"/>
      <c r="L453" s="148"/>
      <c r="M453" s="161"/>
      <c r="N453" s="146"/>
      <c r="O453" s="162"/>
      <c r="P453" s="148"/>
      <c r="Q453" s="161"/>
      <c r="R453" s="146" t="str">
        <f>IF(Q453&lt;&gt;"", SUMIF(Bets!$D:$D, Q453, Bets!AD:AD), "")</f>
        <v/>
      </c>
      <c r="S453" s="162"/>
      <c r="T453" s="148"/>
      <c r="U453" s="161"/>
      <c r="V453" s="146" t="str">
        <f>IF(U453&lt;&gt;"", SUMIF(Bets!$D:$D, U453, Bets!AE:AE), "")</f>
        <v/>
      </c>
      <c r="W453" s="162"/>
      <c r="X453" s="148"/>
      <c r="Y453" s="161"/>
      <c r="Z453" s="146" t="str">
        <f>IF(Y453&lt;&gt;"", SUMIF(Bets!$D:$D, Y453, Bets!AF:AF), "")</f>
        <v/>
      </c>
      <c r="AA453" s="162"/>
      <c r="AB453" s="148"/>
      <c r="AC453" s="161"/>
      <c r="AD453" s="146" t="str">
        <f>IF(AC453&lt;&gt;"", SUMIF(Bets!$D:$D, AC453, Bets!AG:AG), "")</f>
        <v/>
      </c>
      <c r="AE453" s="162"/>
      <c r="AF453" s="148"/>
    </row>
    <row r="454">
      <c r="A454" s="161"/>
      <c r="B454" s="146" t="str">
        <f>IF(A454&lt;&gt;"", SUMIF(Bets!$D:$D, A454, Bets!Z:Z), "")</f>
        <v/>
      </c>
      <c r="C454" s="162"/>
      <c r="D454" s="148"/>
      <c r="E454" s="161"/>
      <c r="F454" s="146" t="str">
        <f>IF(E454&lt;&gt;"", SUMIF(Bets!$D:$D, E454, Bets!AB:AB), "")</f>
        <v/>
      </c>
      <c r="G454" s="162"/>
      <c r="H454" s="148"/>
      <c r="I454" s="161"/>
      <c r="J454" s="146" t="str">
        <f>IF(I454&lt;&gt;"", SUMIF(Bets!$D:$D, I454, Bets!AA:AA), "")</f>
        <v/>
      </c>
      <c r="K454" s="162"/>
      <c r="L454" s="148"/>
      <c r="M454" s="161"/>
      <c r="N454" s="146"/>
      <c r="O454" s="162"/>
      <c r="P454" s="148"/>
      <c r="Q454" s="161"/>
      <c r="R454" s="146" t="str">
        <f>IF(Q454&lt;&gt;"", SUMIF(Bets!$D:$D, Q454, Bets!AD:AD), "")</f>
        <v/>
      </c>
      <c r="S454" s="162"/>
      <c r="T454" s="148"/>
      <c r="U454" s="161"/>
      <c r="V454" s="146" t="str">
        <f>IF(U454&lt;&gt;"", SUMIF(Bets!$D:$D, U454, Bets!AE:AE), "")</f>
        <v/>
      </c>
      <c r="W454" s="162"/>
      <c r="X454" s="148"/>
      <c r="Y454" s="161"/>
      <c r="Z454" s="146" t="str">
        <f>IF(Y454&lt;&gt;"", SUMIF(Bets!$D:$D, Y454, Bets!AF:AF), "")</f>
        <v/>
      </c>
      <c r="AA454" s="162"/>
      <c r="AB454" s="148"/>
      <c r="AC454" s="161"/>
      <c r="AD454" s="146" t="str">
        <f>IF(AC454&lt;&gt;"", SUMIF(Bets!$D:$D, AC454, Bets!AG:AG), "")</f>
        <v/>
      </c>
      <c r="AE454" s="162"/>
      <c r="AF454" s="148"/>
    </row>
    <row r="455">
      <c r="A455" s="161"/>
      <c r="B455" s="146" t="str">
        <f>IF(A455&lt;&gt;"", SUMIF(Bets!$D:$D, A455, Bets!Z:Z), "")</f>
        <v/>
      </c>
      <c r="C455" s="162"/>
      <c r="D455" s="148"/>
      <c r="E455" s="161"/>
      <c r="F455" s="146" t="str">
        <f>IF(E455&lt;&gt;"", SUMIF(Bets!$D:$D, E455, Bets!AB:AB), "")</f>
        <v/>
      </c>
      <c r="G455" s="162"/>
      <c r="H455" s="148"/>
      <c r="I455" s="161"/>
      <c r="J455" s="146" t="str">
        <f>IF(I455&lt;&gt;"", SUMIF(Bets!$D:$D, I455, Bets!AA:AA), "")</f>
        <v/>
      </c>
      <c r="K455" s="162"/>
      <c r="L455" s="148"/>
      <c r="M455" s="161"/>
      <c r="N455" s="146"/>
      <c r="O455" s="162"/>
      <c r="P455" s="148"/>
      <c r="Q455" s="161"/>
      <c r="R455" s="146" t="str">
        <f>IF(Q455&lt;&gt;"", SUMIF(Bets!$D:$D, Q455, Bets!AD:AD), "")</f>
        <v/>
      </c>
      <c r="S455" s="162"/>
      <c r="T455" s="148"/>
      <c r="U455" s="161"/>
      <c r="V455" s="146" t="str">
        <f>IF(U455&lt;&gt;"", SUMIF(Bets!$D:$D, U455, Bets!AE:AE), "")</f>
        <v/>
      </c>
      <c r="W455" s="162"/>
      <c r="X455" s="148"/>
      <c r="Y455" s="161"/>
      <c r="Z455" s="146" t="str">
        <f>IF(Y455&lt;&gt;"", SUMIF(Bets!$D:$D, Y455, Bets!AF:AF), "")</f>
        <v/>
      </c>
      <c r="AA455" s="162"/>
      <c r="AB455" s="148"/>
      <c r="AC455" s="161"/>
      <c r="AD455" s="146" t="str">
        <f>IF(AC455&lt;&gt;"", SUMIF(Bets!$D:$D, AC455, Bets!AG:AG), "")</f>
        <v/>
      </c>
      <c r="AE455" s="162"/>
      <c r="AF455" s="148"/>
    </row>
    <row r="456">
      <c r="A456" s="161"/>
      <c r="B456" s="146" t="str">
        <f>IF(A456&lt;&gt;"", SUMIF(Bets!$D:$D, A456, Bets!Z:Z), "")</f>
        <v/>
      </c>
      <c r="C456" s="162"/>
      <c r="D456" s="148"/>
      <c r="E456" s="161"/>
      <c r="F456" s="146" t="str">
        <f>IF(E456&lt;&gt;"", SUMIF(Bets!$D:$D, E456, Bets!AB:AB), "")</f>
        <v/>
      </c>
      <c r="G456" s="162"/>
      <c r="H456" s="148"/>
      <c r="I456" s="161"/>
      <c r="J456" s="146" t="str">
        <f>IF(I456&lt;&gt;"", SUMIF(Bets!$D:$D, I456, Bets!AA:AA), "")</f>
        <v/>
      </c>
      <c r="K456" s="162"/>
      <c r="L456" s="148"/>
      <c r="M456" s="161"/>
      <c r="N456" s="146"/>
      <c r="O456" s="162"/>
      <c r="P456" s="148"/>
      <c r="Q456" s="161"/>
      <c r="R456" s="146" t="str">
        <f>IF(Q456&lt;&gt;"", SUMIF(Bets!$D:$D, Q456, Bets!AD:AD), "")</f>
        <v/>
      </c>
      <c r="S456" s="162"/>
      <c r="T456" s="148"/>
      <c r="U456" s="161"/>
      <c r="V456" s="146" t="str">
        <f>IF(U456&lt;&gt;"", SUMIF(Bets!$D:$D, U456, Bets!AE:AE), "")</f>
        <v/>
      </c>
      <c r="W456" s="162"/>
      <c r="X456" s="148"/>
      <c r="Y456" s="161"/>
      <c r="Z456" s="146" t="str">
        <f>IF(Y456&lt;&gt;"", SUMIF(Bets!$D:$D, Y456, Bets!AF:AF), "")</f>
        <v/>
      </c>
      <c r="AA456" s="162"/>
      <c r="AB456" s="148"/>
      <c r="AC456" s="161"/>
      <c r="AD456" s="146" t="str">
        <f>IF(AC456&lt;&gt;"", SUMIF(Bets!$D:$D, AC456, Bets!AG:AG), "")</f>
        <v/>
      </c>
      <c r="AE456" s="162"/>
      <c r="AF456" s="148"/>
    </row>
    <row r="457">
      <c r="A457" s="161"/>
      <c r="B457" s="146" t="str">
        <f>IF(A457&lt;&gt;"", SUMIF(Bets!$D:$D, A457, Bets!Z:Z), "")</f>
        <v/>
      </c>
      <c r="C457" s="162"/>
      <c r="D457" s="148"/>
      <c r="E457" s="161"/>
      <c r="F457" s="146" t="str">
        <f>IF(E457&lt;&gt;"", SUMIF(Bets!$D:$D, E457, Bets!AB:AB), "")</f>
        <v/>
      </c>
      <c r="G457" s="162"/>
      <c r="H457" s="148"/>
      <c r="I457" s="161"/>
      <c r="J457" s="146" t="str">
        <f>IF(I457&lt;&gt;"", SUMIF(Bets!$D:$D, I457, Bets!AA:AA), "")</f>
        <v/>
      </c>
      <c r="K457" s="162"/>
      <c r="L457" s="148"/>
      <c r="M457" s="161"/>
      <c r="N457" s="146"/>
      <c r="O457" s="162"/>
      <c r="P457" s="148"/>
      <c r="Q457" s="161"/>
      <c r="R457" s="146" t="str">
        <f>IF(Q457&lt;&gt;"", SUMIF(Bets!$D:$D, Q457, Bets!AD:AD), "")</f>
        <v/>
      </c>
      <c r="S457" s="162"/>
      <c r="T457" s="148"/>
      <c r="U457" s="161"/>
      <c r="V457" s="146" t="str">
        <f>IF(U457&lt;&gt;"", SUMIF(Bets!$D:$D, U457, Bets!AE:AE), "")</f>
        <v/>
      </c>
      <c r="W457" s="162"/>
      <c r="X457" s="148"/>
      <c r="Y457" s="161"/>
      <c r="Z457" s="146" t="str">
        <f>IF(Y457&lt;&gt;"", SUMIF(Bets!$D:$D, Y457, Bets!AF:AF), "")</f>
        <v/>
      </c>
      <c r="AA457" s="162"/>
      <c r="AB457" s="148"/>
      <c r="AC457" s="161"/>
      <c r="AD457" s="146" t="str">
        <f>IF(AC457&lt;&gt;"", SUMIF(Bets!$D:$D, AC457, Bets!AG:AG), "")</f>
        <v/>
      </c>
      <c r="AE457" s="162"/>
      <c r="AF457" s="148"/>
    </row>
    <row r="458">
      <c r="A458" s="161"/>
      <c r="B458" s="146" t="str">
        <f>IF(A458&lt;&gt;"", SUMIF(Bets!$D:$D, A458, Bets!Z:Z), "")</f>
        <v/>
      </c>
      <c r="C458" s="162"/>
      <c r="D458" s="148"/>
      <c r="E458" s="161"/>
      <c r="F458" s="146" t="str">
        <f>IF(E458&lt;&gt;"", SUMIF(Bets!$D:$D, E458, Bets!AB:AB), "")</f>
        <v/>
      </c>
      <c r="G458" s="162"/>
      <c r="H458" s="148"/>
      <c r="I458" s="161"/>
      <c r="J458" s="146" t="str">
        <f>IF(I458&lt;&gt;"", SUMIF(Bets!$D:$D, I458, Bets!AA:AA), "")</f>
        <v/>
      </c>
      <c r="K458" s="162"/>
      <c r="L458" s="148"/>
      <c r="M458" s="161"/>
      <c r="N458" s="146"/>
      <c r="O458" s="162"/>
      <c r="P458" s="148"/>
      <c r="Q458" s="161"/>
      <c r="R458" s="146" t="str">
        <f>IF(Q458&lt;&gt;"", SUMIF(Bets!$D:$D, Q458, Bets!AD:AD), "")</f>
        <v/>
      </c>
      <c r="S458" s="162"/>
      <c r="T458" s="148"/>
      <c r="U458" s="161"/>
      <c r="V458" s="146" t="str">
        <f>IF(U458&lt;&gt;"", SUMIF(Bets!$D:$D, U458, Bets!AE:AE), "")</f>
        <v/>
      </c>
      <c r="W458" s="162"/>
      <c r="X458" s="148"/>
      <c r="Y458" s="161"/>
      <c r="Z458" s="146" t="str">
        <f>IF(Y458&lt;&gt;"", SUMIF(Bets!$D:$D, Y458, Bets!AF:AF), "")</f>
        <v/>
      </c>
      <c r="AA458" s="162"/>
      <c r="AB458" s="148"/>
      <c r="AC458" s="161"/>
      <c r="AD458" s="146" t="str">
        <f>IF(AC458&lt;&gt;"", SUMIF(Bets!$D:$D, AC458, Bets!AG:AG), "")</f>
        <v/>
      </c>
      <c r="AE458" s="162"/>
      <c r="AF458" s="148"/>
    </row>
    <row r="459">
      <c r="A459" s="161"/>
      <c r="B459" s="146" t="str">
        <f>IF(A459&lt;&gt;"", SUMIF(Bets!$D:$D, A459, Bets!Z:Z), "")</f>
        <v/>
      </c>
      <c r="C459" s="162"/>
      <c r="D459" s="148"/>
      <c r="E459" s="161"/>
      <c r="F459" s="146" t="str">
        <f>IF(E459&lt;&gt;"", SUMIF(Bets!$D:$D, E459, Bets!AB:AB), "")</f>
        <v/>
      </c>
      <c r="G459" s="162"/>
      <c r="H459" s="148"/>
      <c r="I459" s="161"/>
      <c r="J459" s="146" t="str">
        <f>IF(I459&lt;&gt;"", SUMIF(Bets!$D:$D, I459, Bets!AA:AA), "")</f>
        <v/>
      </c>
      <c r="K459" s="162"/>
      <c r="L459" s="148"/>
      <c r="M459" s="161"/>
      <c r="N459" s="146"/>
      <c r="O459" s="162"/>
      <c r="P459" s="148"/>
      <c r="Q459" s="161"/>
      <c r="R459" s="146" t="str">
        <f>IF(Q459&lt;&gt;"", SUMIF(Bets!$D:$D, Q459, Bets!AD:AD), "")</f>
        <v/>
      </c>
      <c r="S459" s="162"/>
      <c r="T459" s="148"/>
      <c r="U459" s="161"/>
      <c r="V459" s="146" t="str">
        <f>IF(U459&lt;&gt;"", SUMIF(Bets!$D:$D, U459, Bets!AE:AE), "")</f>
        <v/>
      </c>
      <c r="W459" s="162"/>
      <c r="X459" s="148"/>
      <c r="Y459" s="161"/>
      <c r="Z459" s="146" t="str">
        <f>IF(Y459&lt;&gt;"", SUMIF(Bets!$D:$D, Y459, Bets!AF:AF), "")</f>
        <v/>
      </c>
      <c r="AA459" s="162"/>
      <c r="AB459" s="148"/>
      <c r="AC459" s="161"/>
      <c r="AD459" s="146" t="str">
        <f>IF(AC459&lt;&gt;"", SUMIF(Bets!$D:$D, AC459, Bets!AG:AG), "")</f>
        <v/>
      </c>
      <c r="AE459" s="162"/>
      <c r="AF459" s="148"/>
    </row>
    <row r="460">
      <c r="A460" s="161"/>
      <c r="B460" s="146" t="str">
        <f>IF(A460&lt;&gt;"", SUMIF(Bets!$D:$D, A460, Bets!Z:Z), "")</f>
        <v/>
      </c>
      <c r="C460" s="162"/>
      <c r="D460" s="148"/>
      <c r="E460" s="161"/>
      <c r="F460" s="146" t="str">
        <f>IF(E460&lt;&gt;"", SUMIF(Bets!$D:$D, E460, Bets!AB:AB), "")</f>
        <v/>
      </c>
      <c r="G460" s="162"/>
      <c r="H460" s="148"/>
      <c r="I460" s="161"/>
      <c r="J460" s="146" t="str">
        <f>IF(I460&lt;&gt;"", SUMIF(Bets!$D:$D, I460, Bets!AA:AA), "")</f>
        <v/>
      </c>
      <c r="K460" s="162"/>
      <c r="L460" s="148"/>
      <c r="M460" s="161"/>
      <c r="N460" s="146"/>
      <c r="O460" s="162"/>
      <c r="P460" s="148"/>
      <c r="Q460" s="161"/>
      <c r="R460" s="146" t="str">
        <f>IF(Q460&lt;&gt;"", SUMIF(Bets!$D:$D, Q460, Bets!AD:AD), "")</f>
        <v/>
      </c>
      <c r="S460" s="162"/>
      <c r="T460" s="148"/>
      <c r="U460" s="161"/>
      <c r="V460" s="146" t="str">
        <f>IF(U460&lt;&gt;"", SUMIF(Bets!$D:$D, U460, Bets!AE:AE), "")</f>
        <v/>
      </c>
      <c r="W460" s="162"/>
      <c r="X460" s="148"/>
      <c r="Y460" s="161"/>
      <c r="Z460" s="146" t="str">
        <f>IF(Y460&lt;&gt;"", SUMIF(Bets!$D:$D, Y460, Bets!AF:AF), "")</f>
        <v/>
      </c>
      <c r="AA460" s="162"/>
      <c r="AB460" s="148"/>
      <c r="AC460" s="161"/>
      <c r="AD460" s="146" t="str">
        <f>IF(AC460&lt;&gt;"", SUMIF(Bets!$D:$D, AC460, Bets!AG:AG), "")</f>
        <v/>
      </c>
      <c r="AE460" s="162"/>
      <c r="AF460" s="148"/>
    </row>
    <row r="461">
      <c r="A461" s="161"/>
      <c r="B461" s="146" t="str">
        <f>IF(A461&lt;&gt;"", SUMIF(Bets!$D:$D, A461, Bets!Z:Z), "")</f>
        <v/>
      </c>
      <c r="C461" s="162"/>
      <c r="D461" s="148"/>
      <c r="E461" s="161"/>
      <c r="F461" s="146" t="str">
        <f>IF(E461&lt;&gt;"", SUMIF(Bets!$D:$D, E461, Bets!AB:AB), "")</f>
        <v/>
      </c>
      <c r="G461" s="162"/>
      <c r="H461" s="148"/>
      <c r="I461" s="161"/>
      <c r="J461" s="146" t="str">
        <f>IF(I461&lt;&gt;"", SUMIF(Bets!$D:$D, I461, Bets!AA:AA), "")</f>
        <v/>
      </c>
      <c r="K461" s="162"/>
      <c r="L461" s="148"/>
      <c r="M461" s="161"/>
      <c r="N461" s="146"/>
      <c r="O461" s="162"/>
      <c r="P461" s="148"/>
      <c r="Q461" s="161"/>
      <c r="R461" s="146" t="str">
        <f>IF(Q461&lt;&gt;"", SUMIF(Bets!$D:$D, Q461, Bets!AD:AD), "")</f>
        <v/>
      </c>
      <c r="S461" s="162"/>
      <c r="T461" s="148"/>
      <c r="U461" s="161"/>
      <c r="V461" s="146" t="str">
        <f>IF(U461&lt;&gt;"", SUMIF(Bets!$D:$D, U461, Bets!AE:AE), "")</f>
        <v/>
      </c>
      <c r="W461" s="162"/>
      <c r="X461" s="148"/>
      <c r="Y461" s="161"/>
      <c r="Z461" s="146" t="str">
        <f>IF(Y461&lt;&gt;"", SUMIF(Bets!$D:$D, Y461, Bets!AF:AF), "")</f>
        <v/>
      </c>
      <c r="AA461" s="162"/>
      <c r="AB461" s="148"/>
      <c r="AC461" s="161"/>
      <c r="AD461" s="146" t="str">
        <f>IF(AC461&lt;&gt;"", SUMIF(Bets!$D:$D, AC461, Bets!AG:AG), "")</f>
        <v/>
      </c>
      <c r="AE461" s="162"/>
      <c r="AF461" s="148"/>
    </row>
    <row r="462">
      <c r="A462" s="161"/>
      <c r="B462" s="146" t="str">
        <f>IF(A462&lt;&gt;"", SUMIF(Bets!$D:$D, A462, Bets!Z:Z), "")</f>
        <v/>
      </c>
      <c r="C462" s="162"/>
      <c r="D462" s="148"/>
      <c r="E462" s="161"/>
      <c r="F462" s="146" t="str">
        <f>IF(E462&lt;&gt;"", SUMIF(Bets!$D:$D, E462, Bets!AB:AB), "")</f>
        <v/>
      </c>
      <c r="G462" s="162"/>
      <c r="H462" s="148"/>
      <c r="I462" s="161"/>
      <c r="J462" s="146" t="str">
        <f>IF(I462&lt;&gt;"", SUMIF(Bets!$D:$D, I462, Bets!AA:AA), "")</f>
        <v/>
      </c>
      <c r="K462" s="162"/>
      <c r="L462" s="148"/>
      <c r="M462" s="161"/>
      <c r="N462" s="146"/>
      <c r="O462" s="162"/>
      <c r="P462" s="148"/>
      <c r="Q462" s="161"/>
      <c r="R462" s="146" t="str">
        <f>IF(Q462&lt;&gt;"", SUMIF(Bets!$D:$D, Q462, Bets!AD:AD), "")</f>
        <v/>
      </c>
      <c r="S462" s="162"/>
      <c r="T462" s="148"/>
      <c r="U462" s="161"/>
      <c r="V462" s="146" t="str">
        <f>IF(U462&lt;&gt;"", SUMIF(Bets!$D:$D, U462, Bets!AE:AE), "")</f>
        <v/>
      </c>
      <c r="W462" s="162"/>
      <c r="X462" s="148"/>
      <c r="Y462" s="161"/>
      <c r="Z462" s="146" t="str">
        <f>IF(Y462&lt;&gt;"", SUMIF(Bets!$D:$D, Y462, Bets!AF:AF), "")</f>
        <v/>
      </c>
      <c r="AA462" s="162"/>
      <c r="AB462" s="148"/>
      <c r="AC462" s="161"/>
      <c r="AD462" s="146" t="str">
        <f>IF(AC462&lt;&gt;"", SUMIF(Bets!$D:$D, AC462, Bets!AG:AG), "")</f>
        <v/>
      </c>
      <c r="AE462" s="162"/>
      <c r="AF462" s="148"/>
    </row>
    <row r="463">
      <c r="A463" s="161"/>
      <c r="B463" s="146" t="str">
        <f>IF(A463&lt;&gt;"", SUMIF(Bets!$D:$D, A463, Bets!Z:Z), "")</f>
        <v/>
      </c>
      <c r="C463" s="162"/>
      <c r="D463" s="148"/>
      <c r="E463" s="161"/>
      <c r="F463" s="146" t="str">
        <f>IF(E463&lt;&gt;"", SUMIF(Bets!$D:$D, E463, Bets!AB:AB), "")</f>
        <v/>
      </c>
      <c r="G463" s="162"/>
      <c r="H463" s="148"/>
      <c r="I463" s="161"/>
      <c r="J463" s="146" t="str">
        <f>IF(I463&lt;&gt;"", SUMIF(Bets!$D:$D, I463, Bets!AA:AA), "")</f>
        <v/>
      </c>
      <c r="K463" s="162"/>
      <c r="L463" s="148"/>
      <c r="M463" s="161"/>
      <c r="N463" s="146"/>
      <c r="O463" s="162"/>
      <c r="P463" s="148"/>
      <c r="Q463" s="161"/>
      <c r="R463" s="146" t="str">
        <f>IF(Q463&lt;&gt;"", SUMIF(Bets!$D:$D, Q463, Bets!AD:AD), "")</f>
        <v/>
      </c>
      <c r="S463" s="162"/>
      <c r="T463" s="148"/>
      <c r="U463" s="161"/>
      <c r="V463" s="146" t="str">
        <f>IF(U463&lt;&gt;"", SUMIF(Bets!$D:$D, U463, Bets!AE:AE), "")</f>
        <v/>
      </c>
      <c r="W463" s="162"/>
      <c r="X463" s="148"/>
      <c r="Y463" s="161"/>
      <c r="Z463" s="146" t="str">
        <f>IF(Y463&lt;&gt;"", SUMIF(Bets!$D:$D, Y463, Bets!AF:AF), "")</f>
        <v/>
      </c>
      <c r="AA463" s="162"/>
      <c r="AB463" s="148"/>
      <c r="AC463" s="161"/>
      <c r="AD463" s="146" t="str">
        <f>IF(AC463&lt;&gt;"", SUMIF(Bets!$D:$D, AC463, Bets!AG:AG), "")</f>
        <v/>
      </c>
      <c r="AE463" s="162"/>
      <c r="AF463" s="148"/>
    </row>
    <row r="464">
      <c r="A464" s="161"/>
      <c r="B464" s="146" t="str">
        <f>IF(A464&lt;&gt;"", SUMIF(Bets!$D:$D, A464, Bets!Z:Z), "")</f>
        <v/>
      </c>
      <c r="C464" s="162"/>
      <c r="D464" s="148"/>
      <c r="E464" s="161"/>
      <c r="F464" s="146" t="str">
        <f>IF(E464&lt;&gt;"", SUMIF(Bets!$D:$D, E464, Bets!AB:AB), "")</f>
        <v/>
      </c>
      <c r="G464" s="162"/>
      <c r="H464" s="148"/>
      <c r="I464" s="161"/>
      <c r="J464" s="146" t="str">
        <f>IF(I464&lt;&gt;"", SUMIF(Bets!$D:$D, I464, Bets!AA:AA), "")</f>
        <v/>
      </c>
      <c r="K464" s="162"/>
      <c r="L464" s="148"/>
      <c r="M464" s="161"/>
      <c r="N464" s="146"/>
      <c r="O464" s="162"/>
      <c r="P464" s="148"/>
      <c r="Q464" s="161"/>
      <c r="R464" s="146" t="str">
        <f>IF(Q464&lt;&gt;"", SUMIF(Bets!$D:$D, Q464, Bets!AD:AD), "")</f>
        <v/>
      </c>
      <c r="S464" s="162"/>
      <c r="T464" s="148"/>
      <c r="U464" s="161"/>
      <c r="V464" s="146" t="str">
        <f>IF(U464&lt;&gt;"", SUMIF(Bets!$D:$D, U464, Bets!AE:AE), "")</f>
        <v/>
      </c>
      <c r="W464" s="162"/>
      <c r="X464" s="148"/>
      <c r="Y464" s="161"/>
      <c r="Z464" s="146" t="str">
        <f>IF(Y464&lt;&gt;"", SUMIF(Bets!$D:$D, Y464, Bets!AF:AF), "")</f>
        <v/>
      </c>
      <c r="AA464" s="162"/>
      <c r="AB464" s="148"/>
      <c r="AC464" s="161"/>
      <c r="AD464" s="146" t="str">
        <f>IF(AC464&lt;&gt;"", SUMIF(Bets!$D:$D, AC464, Bets!AG:AG), "")</f>
        <v/>
      </c>
      <c r="AE464" s="162"/>
      <c r="AF464" s="148"/>
    </row>
    <row r="465">
      <c r="A465" s="161"/>
      <c r="B465" s="146" t="str">
        <f>IF(A465&lt;&gt;"", SUMIF(Bets!$D:$D, A465, Bets!Z:Z), "")</f>
        <v/>
      </c>
      <c r="C465" s="162"/>
      <c r="D465" s="148"/>
      <c r="E465" s="161"/>
      <c r="F465" s="146" t="str">
        <f>IF(E465&lt;&gt;"", SUMIF(Bets!$D:$D, E465, Bets!AB:AB), "")</f>
        <v/>
      </c>
      <c r="G465" s="162"/>
      <c r="H465" s="148"/>
      <c r="I465" s="161"/>
      <c r="J465" s="146" t="str">
        <f>IF(I465&lt;&gt;"", SUMIF(Bets!$D:$D, I465, Bets!AA:AA), "")</f>
        <v/>
      </c>
      <c r="K465" s="162"/>
      <c r="L465" s="148"/>
      <c r="M465" s="161"/>
      <c r="N465" s="146"/>
      <c r="O465" s="162"/>
      <c r="P465" s="148"/>
      <c r="Q465" s="161"/>
      <c r="R465" s="146" t="str">
        <f>IF(Q465&lt;&gt;"", SUMIF(Bets!$D:$D, Q465, Bets!AD:AD), "")</f>
        <v/>
      </c>
      <c r="S465" s="162"/>
      <c r="T465" s="148"/>
      <c r="U465" s="161"/>
      <c r="V465" s="146" t="str">
        <f>IF(U465&lt;&gt;"", SUMIF(Bets!$D:$D, U465, Bets!AE:AE), "")</f>
        <v/>
      </c>
      <c r="W465" s="162"/>
      <c r="X465" s="148"/>
      <c r="Y465" s="161"/>
      <c r="Z465" s="146" t="str">
        <f>IF(Y465&lt;&gt;"", SUMIF(Bets!$D:$D, Y465, Bets!AF:AF), "")</f>
        <v/>
      </c>
      <c r="AA465" s="162"/>
      <c r="AB465" s="148"/>
      <c r="AC465" s="161"/>
      <c r="AD465" s="146" t="str">
        <f>IF(AC465&lt;&gt;"", SUMIF(Bets!$D:$D, AC465, Bets!AG:AG), "")</f>
        <v/>
      </c>
      <c r="AE465" s="162"/>
      <c r="AF465" s="148"/>
    </row>
    <row r="466">
      <c r="A466" s="161"/>
      <c r="B466" s="146" t="str">
        <f>IF(A466&lt;&gt;"", SUMIF(Bets!$D:$D, A466, Bets!Z:Z), "")</f>
        <v/>
      </c>
      <c r="C466" s="162"/>
      <c r="D466" s="148"/>
      <c r="E466" s="161"/>
      <c r="F466" s="146" t="str">
        <f>IF(E466&lt;&gt;"", SUMIF(Bets!$D:$D, E466, Bets!AB:AB), "")</f>
        <v/>
      </c>
      <c r="G466" s="162"/>
      <c r="H466" s="148"/>
      <c r="I466" s="161"/>
      <c r="J466" s="146" t="str">
        <f>IF(I466&lt;&gt;"", SUMIF(Bets!$D:$D, I466, Bets!AA:AA), "")</f>
        <v/>
      </c>
      <c r="K466" s="162"/>
      <c r="L466" s="148"/>
      <c r="M466" s="161"/>
      <c r="N466" s="146"/>
      <c r="O466" s="162"/>
      <c r="P466" s="148"/>
      <c r="Q466" s="161"/>
      <c r="R466" s="146" t="str">
        <f>IF(Q466&lt;&gt;"", SUMIF(Bets!$D:$D, Q466, Bets!AD:AD), "")</f>
        <v/>
      </c>
      <c r="S466" s="162"/>
      <c r="T466" s="148"/>
      <c r="U466" s="161"/>
      <c r="V466" s="146" t="str">
        <f>IF(U466&lt;&gt;"", SUMIF(Bets!$D:$D, U466, Bets!AE:AE), "")</f>
        <v/>
      </c>
      <c r="W466" s="162"/>
      <c r="X466" s="148"/>
      <c r="Y466" s="161"/>
      <c r="Z466" s="146" t="str">
        <f>IF(Y466&lt;&gt;"", SUMIF(Bets!$D:$D, Y466, Bets!AF:AF), "")</f>
        <v/>
      </c>
      <c r="AA466" s="162"/>
      <c r="AB466" s="148"/>
      <c r="AC466" s="161"/>
      <c r="AD466" s="146" t="str">
        <f>IF(AC466&lt;&gt;"", SUMIF(Bets!$D:$D, AC466, Bets!AG:AG), "")</f>
        <v/>
      </c>
      <c r="AE466" s="162"/>
      <c r="AF466" s="148"/>
    </row>
    <row r="467">
      <c r="A467" s="161"/>
      <c r="B467" s="146" t="str">
        <f>IF(A467&lt;&gt;"", SUMIF(Bets!$D:$D, A467, Bets!Z:Z), "")</f>
        <v/>
      </c>
      <c r="C467" s="162"/>
      <c r="D467" s="148"/>
      <c r="E467" s="161"/>
      <c r="F467" s="146" t="str">
        <f>IF(E467&lt;&gt;"", SUMIF(Bets!$D:$D, E467, Bets!AB:AB), "")</f>
        <v/>
      </c>
      <c r="G467" s="162"/>
      <c r="H467" s="148"/>
      <c r="I467" s="161"/>
      <c r="J467" s="146" t="str">
        <f>IF(I467&lt;&gt;"", SUMIF(Bets!$D:$D, I467, Bets!AA:AA), "")</f>
        <v/>
      </c>
      <c r="K467" s="162"/>
      <c r="L467" s="148"/>
      <c r="M467" s="161"/>
      <c r="N467" s="146"/>
      <c r="O467" s="162"/>
      <c r="P467" s="148"/>
      <c r="Q467" s="161"/>
      <c r="R467" s="146" t="str">
        <f>IF(Q467&lt;&gt;"", SUMIF(Bets!$D:$D, Q467, Bets!AD:AD), "")</f>
        <v/>
      </c>
      <c r="S467" s="162"/>
      <c r="T467" s="148"/>
      <c r="U467" s="161"/>
      <c r="V467" s="146" t="str">
        <f>IF(U467&lt;&gt;"", SUMIF(Bets!$D:$D, U467, Bets!AE:AE), "")</f>
        <v/>
      </c>
      <c r="W467" s="162"/>
      <c r="X467" s="148"/>
      <c r="Y467" s="161"/>
      <c r="Z467" s="146" t="str">
        <f>IF(Y467&lt;&gt;"", SUMIF(Bets!$D:$D, Y467, Bets!AF:AF), "")</f>
        <v/>
      </c>
      <c r="AA467" s="162"/>
      <c r="AB467" s="148"/>
      <c r="AC467" s="161"/>
      <c r="AD467" s="146" t="str">
        <f>IF(AC467&lt;&gt;"", SUMIF(Bets!$D:$D, AC467, Bets!AG:AG), "")</f>
        <v/>
      </c>
      <c r="AE467" s="162"/>
      <c r="AF467" s="148"/>
    </row>
    <row r="468">
      <c r="A468" s="161"/>
      <c r="B468" s="146" t="str">
        <f>IF(A468&lt;&gt;"", SUMIF(Bets!$D:$D, A468, Bets!Z:Z), "")</f>
        <v/>
      </c>
      <c r="C468" s="162"/>
      <c r="D468" s="148"/>
      <c r="E468" s="161"/>
      <c r="F468" s="146" t="str">
        <f>IF(E468&lt;&gt;"", SUMIF(Bets!$D:$D, E468, Bets!AB:AB), "")</f>
        <v/>
      </c>
      <c r="G468" s="162"/>
      <c r="H468" s="148"/>
      <c r="I468" s="161"/>
      <c r="J468" s="146" t="str">
        <f>IF(I468&lt;&gt;"", SUMIF(Bets!$D:$D, I468, Bets!AA:AA), "")</f>
        <v/>
      </c>
      <c r="K468" s="162"/>
      <c r="L468" s="148"/>
      <c r="M468" s="161"/>
      <c r="N468" s="146"/>
      <c r="O468" s="162"/>
      <c r="P468" s="148"/>
      <c r="Q468" s="161"/>
      <c r="R468" s="146" t="str">
        <f>IF(Q468&lt;&gt;"", SUMIF(Bets!$D:$D, Q468, Bets!AD:AD), "")</f>
        <v/>
      </c>
      <c r="S468" s="162"/>
      <c r="T468" s="148"/>
      <c r="U468" s="161"/>
      <c r="V468" s="146" t="str">
        <f>IF(U468&lt;&gt;"", SUMIF(Bets!$D:$D, U468, Bets!AE:AE), "")</f>
        <v/>
      </c>
      <c r="W468" s="162"/>
      <c r="X468" s="148"/>
      <c r="Y468" s="161"/>
      <c r="Z468" s="146" t="str">
        <f>IF(Y468&lt;&gt;"", SUMIF(Bets!$D:$D, Y468, Bets!AF:AF), "")</f>
        <v/>
      </c>
      <c r="AA468" s="162"/>
      <c r="AB468" s="148"/>
      <c r="AC468" s="161"/>
      <c r="AD468" s="146" t="str">
        <f>IF(AC468&lt;&gt;"", SUMIF(Bets!$D:$D, AC468, Bets!AG:AG), "")</f>
        <v/>
      </c>
      <c r="AE468" s="162"/>
      <c r="AF468" s="148"/>
    </row>
    <row r="469">
      <c r="A469" s="161"/>
      <c r="B469" s="146" t="str">
        <f>IF(A469&lt;&gt;"", SUMIF(Bets!$D:$D, A469, Bets!Z:Z), "")</f>
        <v/>
      </c>
      <c r="C469" s="162"/>
      <c r="D469" s="148"/>
      <c r="E469" s="161"/>
      <c r="F469" s="146" t="str">
        <f>IF(E469&lt;&gt;"", SUMIF(Bets!$D:$D, E469, Bets!AB:AB), "")</f>
        <v/>
      </c>
      <c r="G469" s="162"/>
      <c r="H469" s="148"/>
      <c r="I469" s="161"/>
      <c r="J469" s="146" t="str">
        <f>IF(I469&lt;&gt;"", SUMIF(Bets!$D:$D, I469, Bets!AA:AA), "")</f>
        <v/>
      </c>
      <c r="K469" s="162"/>
      <c r="L469" s="148"/>
      <c r="M469" s="161"/>
      <c r="N469" s="146"/>
      <c r="O469" s="162"/>
      <c r="P469" s="148"/>
      <c r="Q469" s="161"/>
      <c r="R469" s="146" t="str">
        <f>IF(Q469&lt;&gt;"", SUMIF(Bets!$D:$D, Q469, Bets!AD:AD), "")</f>
        <v/>
      </c>
      <c r="S469" s="162"/>
      <c r="T469" s="148"/>
      <c r="U469" s="161"/>
      <c r="V469" s="146" t="str">
        <f>IF(U469&lt;&gt;"", SUMIF(Bets!$D:$D, U469, Bets!AE:AE), "")</f>
        <v/>
      </c>
      <c r="W469" s="162"/>
      <c r="X469" s="148"/>
      <c r="Y469" s="161"/>
      <c r="Z469" s="146" t="str">
        <f>IF(Y469&lt;&gt;"", SUMIF(Bets!$D:$D, Y469, Bets!AF:AF), "")</f>
        <v/>
      </c>
      <c r="AA469" s="162"/>
      <c r="AB469" s="148"/>
      <c r="AC469" s="161"/>
      <c r="AD469" s="146" t="str">
        <f>IF(AC469&lt;&gt;"", SUMIF(Bets!$D:$D, AC469, Bets!AG:AG), "")</f>
        <v/>
      </c>
      <c r="AE469" s="162"/>
      <c r="AF469" s="148"/>
    </row>
    <row r="470">
      <c r="A470" s="161"/>
      <c r="B470" s="146" t="str">
        <f>IF(A470&lt;&gt;"", SUMIF(Bets!$D:$D, A470, Bets!Z:Z), "")</f>
        <v/>
      </c>
      <c r="C470" s="162"/>
      <c r="D470" s="148"/>
      <c r="E470" s="161"/>
      <c r="F470" s="146" t="str">
        <f>IF(E470&lt;&gt;"", SUMIF(Bets!$D:$D, E470, Bets!AB:AB), "")</f>
        <v/>
      </c>
      <c r="G470" s="162"/>
      <c r="H470" s="148"/>
      <c r="I470" s="161"/>
      <c r="J470" s="146" t="str">
        <f>IF(I470&lt;&gt;"", SUMIF(Bets!$D:$D, I470, Bets!AA:AA), "")</f>
        <v/>
      </c>
      <c r="K470" s="162"/>
      <c r="L470" s="148"/>
      <c r="M470" s="161"/>
      <c r="N470" s="146"/>
      <c r="O470" s="162"/>
      <c r="P470" s="148"/>
      <c r="Q470" s="161"/>
      <c r="R470" s="146" t="str">
        <f>IF(Q470&lt;&gt;"", SUMIF(Bets!$D:$D, Q470, Bets!AD:AD), "")</f>
        <v/>
      </c>
      <c r="S470" s="162"/>
      <c r="T470" s="148"/>
      <c r="U470" s="161"/>
      <c r="V470" s="146" t="str">
        <f>IF(U470&lt;&gt;"", SUMIF(Bets!$D:$D, U470, Bets!AE:AE), "")</f>
        <v/>
      </c>
      <c r="W470" s="162"/>
      <c r="X470" s="148"/>
      <c r="Y470" s="161"/>
      <c r="Z470" s="146" t="str">
        <f>IF(Y470&lt;&gt;"", SUMIF(Bets!$D:$D, Y470, Bets!AF:AF), "")</f>
        <v/>
      </c>
      <c r="AA470" s="162"/>
      <c r="AB470" s="148"/>
      <c r="AC470" s="161"/>
      <c r="AD470" s="146" t="str">
        <f>IF(AC470&lt;&gt;"", SUMIF(Bets!$D:$D, AC470, Bets!AG:AG), "")</f>
        <v/>
      </c>
      <c r="AE470" s="162"/>
      <c r="AF470" s="148"/>
    </row>
    <row r="471">
      <c r="A471" s="161"/>
      <c r="B471" s="146" t="str">
        <f>IF(A471&lt;&gt;"", SUMIF(Bets!$D:$D, A471, Bets!Z:Z), "")</f>
        <v/>
      </c>
      <c r="C471" s="162"/>
      <c r="D471" s="148"/>
      <c r="E471" s="161"/>
      <c r="F471" s="146" t="str">
        <f>IF(E471&lt;&gt;"", SUMIF(Bets!$D:$D, E471, Bets!AB:AB), "")</f>
        <v/>
      </c>
      <c r="G471" s="162"/>
      <c r="H471" s="148"/>
      <c r="I471" s="161"/>
      <c r="J471" s="146" t="str">
        <f>IF(I471&lt;&gt;"", SUMIF(Bets!$D:$D, I471, Bets!AA:AA), "")</f>
        <v/>
      </c>
      <c r="K471" s="162"/>
      <c r="L471" s="148"/>
      <c r="M471" s="161"/>
      <c r="N471" s="146"/>
      <c r="O471" s="162"/>
      <c r="P471" s="148"/>
      <c r="Q471" s="161"/>
      <c r="R471" s="146" t="str">
        <f>IF(Q471&lt;&gt;"", SUMIF(Bets!$D:$D, Q471, Bets!AD:AD), "")</f>
        <v/>
      </c>
      <c r="S471" s="162"/>
      <c r="T471" s="148"/>
      <c r="U471" s="161"/>
      <c r="V471" s="146" t="str">
        <f>IF(U471&lt;&gt;"", SUMIF(Bets!$D:$D, U471, Bets!AE:AE), "")</f>
        <v/>
      </c>
      <c r="W471" s="162"/>
      <c r="X471" s="148"/>
      <c r="Y471" s="161"/>
      <c r="Z471" s="146" t="str">
        <f>IF(Y471&lt;&gt;"", SUMIF(Bets!$D:$D, Y471, Bets!AF:AF), "")</f>
        <v/>
      </c>
      <c r="AA471" s="162"/>
      <c r="AB471" s="148"/>
      <c r="AC471" s="161"/>
      <c r="AD471" s="146" t="str">
        <f>IF(AC471&lt;&gt;"", SUMIF(Bets!$D:$D, AC471, Bets!AG:AG), "")</f>
        <v/>
      </c>
      <c r="AE471" s="162"/>
      <c r="AF471" s="148"/>
    </row>
    <row r="472">
      <c r="A472" s="161"/>
      <c r="B472" s="146" t="str">
        <f>IF(A472&lt;&gt;"", SUMIF(Bets!$D:$D, A472, Bets!Z:Z), "")</f>
        <v/>
      </c>
      <c r="C472" s="162"/>
      <c r="D472" s="148"/>
      <c r="E472" s="161"/>
      <c r="F472" s="146" t="str">
        <f>IF(E472&lt;&gt;"", SUMIF(Bets!$D:$D, E472, Bets!AB:AB), "")</f>
        <v/>
      </c>
      <c r="G472" s="162"/>
      <c r="H472" s="148"/>
      <c r="I472" s="161"/>
      <c r="J472" s="146" t="str">
        <f>IF(I472&lt;&gt;"", SUMIF(Bets!$D:$D, I472, Bets!AA:AA), "")</f>
        <v/>
      </c>
      <c r="K472" s="162"/>
      <c r="L472" s="148"/>
      <c r="M472" s="161"/>
      <c r="N472" s="146"/>
      <c r="O472" s="162"/>
      <c r="P472" s="148"/>
      <c r="Q472" s="161"/>
      <c r="R472" s="146" t="str">
        <f>IF(Q472&lt;&gt;"", SUMIF(Bets!$D:$D, Q472, Bets!AD:AD), "")</f>
        <v/>
      </c>
      <c r="S472" s="162"/>
      <c r="T472" s="148"/>
      <c r="U472" s="161"/>
      <c r="V472" s="146" t="str">
        <f>IF(U472&lt;&gt;"", SUMIF(Bets!$D:$D, U472, Bets!AE:AE), "")</f>
        <v/>
      </c>
      <c r="W472" s="162"/>
      <c r="X472" s="148"/>
      <c r="Y472" s="161"/>
      <c r="Z472" s="146" t="str">
        <f>IF(Y472&lt;&gt;"", SUMIF(Bets!$D:$D, Y472, Bets!AF:AF), "")</f>
        <v/>
      </c>
      <c r="AA472" s="162"/>
      <c r="AB472" s="148"/>
      <c r="AC472" s="161"/>
      <c r="AD472" s="146" t="str">
        <f>IF(AC472&lt;&gt;"", SUMIF(Bets!$D:$D, AC472, Bets!AG:AG), "")</f>
        <v/>
      </c>
      <c r="AE472" s="162"/>
      <c r="AF472" s="148"/>
    </row>
    <row r="473">
      <c r="A473" s="161"/>
      <c r="B473" s="146" t="str">
        <f>IF(A473&lt;&gt;"", SUMIF(Bets!$D:$D, A473, Bets!Z:Z), "")</f>
        <v/>
      </c>
      <c r="C473" s="162"/>
      <c r="D473" s="148"/>
      <c r="E473" s="161"/>
      <c r="F473" s="146" t="str">
        <f>IF(E473&lt;&gt;"", SUMIF(Bets!$D:$D, E473, Bets!AB:AB), "")</f>
        <v/>
      </c>
      <c r="G473" s="162"/>
      <c r="H473" s="148"/>
      <c r="I473" s="161"/>
      <c r="J473" s="146" t="str">
        <f>IF(I473&lt;&gt;"", SUMIF(Bets!$D:$D, I473, Bets!AA:AA), "")</f>
        <v/>
      </c>
      <c r="K473" s="162"/>
      <c r="L473" s="148"/>
      <c r="M473" s="161"/>
      <c r="N473" s="146"/>
      <c r="O473" s="162"/>
      <c r="P473" s="148"/>
      <c r="Q473" s="161"/>
      <c r="R473" s="146" t="str">
        <f>IF(Q473&lt;&gt;"", SUMIF(Bets!$D:$D, Q473, Bets!AD:AD), "")</f>
        <v/>
      </c>
      <c r="S473" s="162"/>
      <c r="T473" s="148"/>
      <c r="U473" s="161"/>
      <c r="V473" s="146" t="str">
        <f>IF(U473&lt;&gt;"", SUMIF(Bets!$D:$D, U473, Bets!AE:AE), "")</f>
        <v/>
      </c>
      <c r="W473" s="162"/>
      <c r="X473" s="148"/>
      <c r="Y473" s="161"/>
      <c r="Z473" s="146" t="str">
        <f>IF(Y473&lt;&gt;"", SUMIF(Bets!$D:$D, Y473, Bets!AF:AF), "")</f>
        <v/>
      </c>
      <c r="AA473" s="162"/>
      <c r="AB473" s="148"/>
      <c r="AC473" s="161"/>
      <c r="AD473" s="146" t="str">
        <f>IF(AC473&lt;&gt;"", SUMIF(Bets!$D:$D, AC473, Bets!AG:AG), "")</f>
        <v/>
      </c>
      <c r="AE473" s="162"/>
      <c r="AF473" s="148"/>
    </row>
    <row r="474">
      <c r="A474" s="161"/>
      <c r="B474" s="146" t="str">
        <f>IF(A474&lt;&gt;"", SUMIF(Bets!$D:$D, A474, Bets!Z:Z), "")</f>
        <v/>
      </c>
      <c r="C474" s="162"/>
      <c r="D474" s="148"/>
      <c r="E474" s="161"/>
      <c r="F474" s="146" t="str">
        <f>IF(E474&lt;&gt;"", SUMIF(Bets!$D:$D, E474, Bets!AB:AB), "")</f>
        <v/>
      </c>
      <c r="G474" s="162"/>
      <c r="H474" s="148"/>
      <c r="I474" s="161"/>
      <c r="J474" s="146" t="str">
        <f>IF(I474&lt;&gt;"", SUMIF(Bets!$D:$D, I474, Bets!AA:AA), "")</f>
        <v/>
      </c>
      <c r="K474" s="162"/>
      <c r="L474" s="148"/>
      <c r="M474" s="161"/>
      <c r="N474" s="146"/>
      <c r="O474" s="162"/>
      <c r="P474" s="148"/>
      <c r="Q474" s="161"/>
      <c r="R474" s="146" t="str">
        <f>IF(Q474&lt;&gt;"", SUMIF(Bets!$D:$D, Q474, Bets!AD:AD), "")</f>
        <v/>
      </c>
      <c r="S474" s="162"/>
      <c r="T474" s="148"/>
      <c r="U474" s="161"/>
      <c r="V474" s="146" t="str">
        <f>IF(U474&lt;&gt;"", SUMIF(Bets!$D:$D, U474, Bets!AE:AE), "")</f>
        <v/>
      </c>
      <c r="W474" s="162"/>
      <c r="X474" s="148"/>
      <c r="Y474" s="161"/>
      <c r="Z474" s="146" t="str">
        <f>IF(Y474&lt;&gt;"", SUMIF(Bets!$D:$D, Y474, Bets!AF:AF), "")</f>
        <v/>
      </c>
      <c r="AA474" s="162"/>
      <c r="AB474" s="148"/>
      <c r="AC474" s="161"/>
      <c r="AD474" s="146" t="str">
        <f>IF(AC474&lt;&gt;"", SUMIF(Bets!$D:$D, AC474, Bets!AG:AG), "")</f>
        <v/>
      </c>
      <c r="AE474" s="162"/>
      <c r="AF474" s="148"/>
    </row>
    <row r="475">
      <c r="A475" s="161"/>
      <c r="B475" s="146" t="str">
        <f>IF(A475&lt;&gt;"", SUMIF(Bets!$D:$D, A475, Bets!Z:Z), "")</f>
        <v/>
      </c>
      <c r="C475" s="162"/>
      <c r="D475" s="148"/>
      <c r="E475" s="161"/>
      <c r="F475" s="146" t="str">
        <f>IF(E475&lt;&gt;"", SUMIF(Bets!$D:$D, E475, Bets!AB:AB), "")</f>
        <v/>
      </c>
      <c r="G475" s="162"/>
      <c r="H475" s="148"/>
      <c r="I475" s="161"/>
      <c r="J475" s="146" t="str">
        <f>IF(I475&lt;&gt;"", SUMIF(Bets!$D:$D, I475, Bets!AA:AA), "")</f>
        <v/>
      </c>
      <c r="K475" s="162"/>
      <c r="L475" s="148"/>
      <c r="M475" s="161"/>
      <c r="N475" s="146"/>
      <c r="O475" s="162"/>
      <c r="P475" s="148"/>
      <c r="Q475" s="161"/>
      <c r="R475" s="146" t="str">
        <f>IF(Q475&lt;&gt;"", SUMIF(Bets!$D:$D, Q475, Bets!AD:AD), "")</f>
        <v/>
      </c>
      <c r="S475" s="162"/>
      <c r="T475" s="148"/>
      <c r="U475" s="161"/>
      <c r="V475" s="146" t="str">
        <f>IF(U475&lt;&gt;"", SUMIF(Bets!$D:$D, U475, Bets!AE:AE), "")</f>
        <v/>
      </c>
      <c r="W475" s="162"/>
      <c r="X475" s="148"/>
      <c r="Y475" s="161"/>
      <c r="Z475" s="146" t="str">
        <f>IF(Y475&lt;&gt;"", SUMIF(Bets!$D:$D, Y475, Bets!AF:AF), "")</f>
        <v/>
      </c>
      <c r="AA475" s="162"/>
      <c r="AB475" s="148"/>
      <c r="AC475" s="161"/>
      <c r="AD475" s="146" t="str">
        <f>IF(AC475&lt;&gt;"", SUMIF(Bets!$D:$D, AC475, Bets!AG:AG), "")</f>
        <v/>
      </c>
      <c r="AE475" s="162"/>
      <c r="AF475" s="148"/>
    </row>
    <row r="476">
      <c r="A476" s="161"/>
      <c r="B476" s="146" t="str">
        <f>IF(A476&lt;&gt;"", SUMIF(Bets!$D:$D, A476, Bets!Z:Z), "")</f>
        <v/>
      </c>
      <c r="C476" s="162"/>
      <c r="D476" s="148"/>
      <c r="E476" s="161"/>
      <c r="F476" s="146" t="str">
        <f>IF(E476&lt;&gt;"", SUMIF(Bets!$D:$D, E476, Bets!AB:AB), "")</f>
        <v/>
      </c>
      <c r="G476" s="162"/>
      <c r="H476" s="148"/>
      <c r="I476" s="161"/>
      <c r="J476" s="146" t="str">
        <f>IF(I476&lt;&gt;"", SUMIF(Bets!$D:$D, I476, Bets!AA:AA), "")</f>
        <v/>
      </c>
      <c r="K476" s="162"/>
      <c r="L476" s="148"/>
      <c r="M476" s="161"/>
      <c r="N476" s="146"/>
      <c r="O476" s="162"/>
      <c r="P476" s="148"/>
      <c r="Q476" s="161"/>
      <c r="R476" s="146" t="str">
        <f>IF(Q476&lt;&gt;"", SUMIF(Bets!$D:$D, Q476, Bets!AD:AD), "")</f>
        <v/>
      </c>
      <c r="S476" s="162"/>
      <c r="T476" s="148"/>
      <c r="U476" s="161"/>
      <c r="V476" s="146" t="str">
        <f>IF(U476&lt;&gt;"", SUMIF(Bets!$D:$D, U476, Bets!AE:AE), "")</f>
        <v/>
      </c>
      <c r="W476" s="162"/>
      <c r="X476" s="148"/>
      <c r="Y476" s="161"/>
      <c r="Z476" s="146" t="str">
        <f>IF(Y476&lt;&gt;"", SUMIF(Bets!$D:$D, Y476, Bets!AF:AF), "")</f>
        <v/>
      </c>
      <c r="AA476" s="162"/>
      <c r="AB476" s="148"/>
      <c r="AC476" s="161"/>
      <c r="AD476" s="146" t="str">
        <f>IF(AC476&lt;&gt;"", SUMIF(Bets!$D:$D, AC476, Bets!AG:AG), "")</f>
        <v/>
      </c>
      <c r="AE476" s="162"/>
      <c r="AF476" s="148"/>
    </row>
    <row r="477">
      <c r="A477" s="161"/>
      <c r="B477" s="146" t="str">
        <f>IF(A477&lt;&gt;"", SUMIF(Bets!$D:$D, A477, Bets!Z:Z), "")</f>
        <v/>
      </c>
      <c r="C477" s="162"/>
      <c r="D477" s="148"/>
      <c r="E477" s="161"/>
      <c r="F477" s="146" t="str">
        <f>IF(E477&lt;&gt;"", SUMIF(Bets!$D:$D, E477, Bets!AB:AB), "")</f>
        <v/>
      </c>
      <c r="G477" s="162"/>
      <c r="H477" s="148"/>
      <c r="I477" s="161"/>
      <c r="J477" s="146" t="str">
        <f>IF(I477&lt;&gt;"", SUMIF(Bets!$D:$D, I477, Bets!AA:AA), "")</f>
        <v/>
      </c>
      <c r="K477" s="162"/>
      <c r="L477" s="148"/>
      <c r="M477" s="161"/>
      <c r="N477" s="146"/>
      <c r="O477" s="162"/>
      <c r="P477" s="148"/>
      <c r="Q477" s="161"/>
      <c r="R477" s="146" t="str">
        <f>IF(Q477&lt;&gt;"", SUMIF(Bets!$D:$D, Q477, Bets!AD:AD), "")</f>
        <v/>
      </c>
      <c r="S477" s="162"/>
      <c r="T477" s="148"/>
      <c r="U477" s="161"/>
      <c r="V477" s="146" t="str">
        <f>IF(U477&lt;&gt;"", SUMIF(Bets!$D:$D, U477, Bets!AE:AE), "")</f>
        <v/>
      </c>
      <c r="W477" s="162"/>
      <c r="X477" s="148"/>
      <c r="Y477" s="161"/>
      <c r="Z477" s="146" t="str">
        <f>IF(Y477&lt;&gt;"", SUMIF(Bets!$D:$D, Y477, Bets!AF:AF), "")</f>
        <v/>
      </c>
      <c r="AA477" s="162"/>
      <c r="AB477" s="148"/>
      <c r="AC477" s="161"/>
      <c r="AD477" s="146" t="str">
        <f>IF(AC477&lt;&gt;"", SUMIF(Bets!$D:$D, AC477, Bets!AG:AG), "")</f>
        <v/>
      </c>
      <c r="AE477" s="162"/>
      <c r="AF477" s="148"/>
    </row>
    <row r="478">
      <c r="A478" s="161"/>
      <c r="B478" s="146" t="str">
        <f>IF(A478&lt;&gt;"", SUMIF(Bets!$D:$D, A478, Bets!Z:Z), "")</f>
        <v/>
      </c>
      <c r="C478" s="162"/>
      <c r="D478" s="148"/>
      <c r="E478" s="161"/>
      <c r="F478" s="146" t="str">
        <f>IF(E478&lt;&gt;"", SUMIF(Bets!$D:$D, E478, Bets!AB:AB), "")</f>
        <v/>
      </c>
      <c r="G478" s="162"/>
      <c r="H478" s="148"/>
      <c r="I478" s="161"/>
      <c r="J478" s="146" t="str">
        <f>IF(I478&lt;&gt;"", SUMIF(Bets!$D:$D, I478, Bets!AA:AA), "")</f>
        <v/>
      </c>
      <c r="K478" s="162"/>
      <c r="L478" s="148"/>
      <c r="M478" s="161"/>
      <c r="N478" s="146"/>
      <c r="O478" s="162"/>
      <c r="P478" s="148"/>
      <c r="Q478" s="161"/>
      <c r="R478" s="146" t="str">
        <f>IF(Q478&lt;&gt;"", SUMIF(Bets!$D:$D, Q478, Bets!AD:AD), "")</f>
        <v/>
      </c>
      <c r="S478" s="162"/>
      <c r="T478" s="148"/>
      <c r="U478" s="161"/>
      <c r="V478" s="146" t="str">
        <f>IF(U478&lt;&gt;"", SUMIF(Bets!$D:$D, U478, Bets!AE:AE), "")</f>
        <v/>
      </c>
      <c r="W478" s="162"/>
      <c r="X478" s="148"/>
      <c r="Y478" s="161"/>
      <c r="Z478" s="146" t="str">
        <f>IF(Y478&lt;&gt;"", SUMIF(Bets!$D:$D, Y478, Bets!AF:AF), "")</f>
        <v/>
      </c>
      <c r="AA478" s="162"/>
      <c r="AB478" s="148"/>
      <c r="AC478" s="161"/>
      <c r="AD478" s="146" t="str">
        <f>IF(AC478&lt;&gt;"", SUMIF(Bets!$D:$D, AC478, Bets!AG:AG), "")</f>
        <v/>
      </c>
      <c r="AE478" s="162"/>
      <c r="AF478" s="148"/>
    </row>
    <row r="479">
      <c r="A479" s="161"/>
      <c r="B479" s="146" t="str">
        <f>IF(A479&lt;&gt;"", SUMIF(Bets!$D:$D, A479, Bets!Z:Z), "")</f>
        <v/>
      </c>
      <c r="C479" s="162"/>
      <c r="D479" s="148"/>
      <c r="E479" s="161"/>
      <c r="F479" s="146" t="str">
        <f>IF(E479&lt;&gt;"", SUMIF(Bets!$D:$D, E479, Bets!AB:AB), "")</f>
        <v/>
      </c>
      <c r="G479" s="162"/>
      <c r="H479" s="148"/>
      <c r="I479" s="161"/>
      <c r="J479" s="146" t="str">
        <f>IF(I479&lt;&gt;"", SUMIF(Bets!$D:$D, I479, Bets!AA:AA), "")</f>
        <v/>
      </c>
      <c r="K479" s="162"/>
      <c r="L479" s="148"/>
      <c r="M479" s="161"/>
      <c r="N479" s="146"/>
      <c r="O479" s="162"/>
      <c r="P479" s="148"/>
      <c r="Q479" s="161"/>
      <c r="R479" s="146" t="str">
        <f>IF(Q479&lt;&gt;"", SUMIF(Bets!$D:$D, Q479, Bets!AD:AD), "")</f>
        <v/>
      </c>
      <c r="S479" s="162"/>
      <c r="T479" s="148"/>
      <c r="U479" s="161"/>
      <c r="V479" s="146" t="str">
        <f>IF(U479&lt;&gt;"", SUMIF(Bets!$D:$D, U479, Bets!AE:AE), "")</f>
        <v/>
      </c>
      <c r="W479" s="162"/>
      <c r="X479" s="148"/>
      <c r="Y479" s="161"/>
      <c r="Z479" s="146" t="str">
        <f>IF(Y479&lt;&gt;"", SUMIF(Bets!$D:$D, Y479, Bets!AF:AF), "")</f>
        <v/>
      </c>
      <c r="AA479" s="162"/>
      <c r="AB479" s="148"/>
      <c r="AC479" s="161"/>
      <c r="AD479" s="146" t="str">
        <f>IF(AC479&lt;&gt;"", SUMIF(Bets!$D:$D, AC479, Bets!AG:AG), "")</f>
        <v/>
      </c>
      <c r="AE479" s="162"/>
      <c r="AF479" s="148"/>
    </row>
    <row r="480">
      <c r="A480" s="161"/>
      <c r="B480" s="146" t="str">
        <f>IF(A480&lt;&gt;"", SUMIF(Bets!$D:$D, A480, Bets!Z:Z), "")</f>
        <v/>
      </c>
      <c r="C480" s="162"/>
      <c r="D480" s="148"/>
      <c r="E480" s="161"/>
      <c r="F480" s="146" t="str">
        <f>IF(E480&lt;&gt;"", SUMIF(Bets!$D:$D, E480, Bets!AB:AB), "")</f>
        <v/>
      </c>
      <c r="G480" s="162"/>
      <c r="H480" s="148"/>
      <c r="I480" s="161"/>
      <c r="J480" s="146" t="str">
        <f>IF(I480&lt;&gt;"", SUMIF(Bets!$D:$D, I480, Bets!AA:AA), "")</f>
        <v/>
      </c>
      <c r="K480" s="162"/>
      <c r="L480" s="148"/>
      <c r="M480" s="161"/>
      <c r="N480" s="146"/>
      <c r="O480" s="162"/>
      <c r="P480" s="148"/>
      <c r="Q480" s="161"/>
      <c r="R480" s="146" t="str">
        <f>IF(Q480&lt;&gt;"", SUMIF(Bets!$D:$D, Q480, Bets!AD:AD), "")</f>
        <v/>
      </c>
      <c r="S480" s="162"/>
      <c r="T480" s="148"/>
      <c r="U480" s="161"/>
      <c r="V480" s="146" t="str">
        <f>IF(U480&lt;&gt;"", SUMIF(Bets!$D:$D, U480, Bets!AE:AE), "")</f>
        <v/>
      </c>
      <c r="W480" s="162"/>
      <c r="X480" s="148"/>
      <c r="Y480" s="161"/>
      <c r="Z480" s="146" t="str">
        <f>IF(Y480&lt;&gt;"", SUMIF(Bets!$D:$D, Y480, Bets!AF:AF), "")</f>
        <v/>
      </c>
      <c r="AA480" s="162"/>
      <c r="AB480" s="148"/>
      <c r="AC480" s="161"/>
      <c r="AD480" s="146" t="str">
        <f>IF(AC480&lt;&gt;"", SUMIF(Bets!$D:$D, AC480, Bets!AG:AG), "")</f>
        <v/>
      </c>
      <c r="AE480" s="162"/>
      <c r="AF480" s="148"/>
    </row>
    <row r="481">
      <c r="A481" s="161"/>
      <c r="B481" s="146" t="str">
        <f>IF(A481&lt;&gt;"", SUMIF(Bets!$D:$D, A481, Bets!Z:Z), "")</f>
        <v/>
      </c>
      <c r="C481" s="162"/>
      <c r="D481" s="148"/>
      <c r="E481" s="161"/>
      <c r="F481" s="146" t="str">
        <f>IF(E481&lt;&gt;"", SUMIF(Bets!$D:$D, E481, Bets!AB:AB), "")</f>
        <v/>
      </c>
      <c r="G481" s="162"/>
      <c r="H481" s="148"/>
      <c r="I481" s="161"/>
      <c r="J481" s="146" t="str">
        <f>IF(I481&lt;&gt;"", SUMIF(Bets!$D:$D, I481, Bets!AA:AA), "")</f>
        <v/>
      </c>
      <c r="K481" s="162"/>
      <c r="L481" s="148"/>
      <c r="M481" s="161"/>
      <c r="N481" s="146"/>
      <c r="O481" s="162"/>
      <c r="P481" s="148"/>
      <c r="Q481" s="161"/>
      <c r="R481" s="146" t="str">
        <f>IF(Q481&lt;&gt;"", SUMIF(Bets!$D:$D, Q481, Bets!AD:AD), "")</f>
        <v/>
      </c>
      <c r="S481" s="162"/>
      <c r="T481" s="148"/>
      <c r="U481" s="161"/>
      <c r="V481" s="146" t="str">
        <f>IF(U481&lt;&gt;"", SUMIF(Bets!$D:$D, U481, Bets!AE:AE), "")</f>
        <v/>
      </c>
      <c r="W481" s="162"/>
      <c r="X481" s="148"/>
      <c r="Y481" s="161"/>
      <c r="Z481" s="146" t="str">
        <f>IF(Y481&lt;&gt;"", SUMIF(Bets!$D:$D, Y481, Bets!AF:AF), "")</f>
        <v/>
      </c>
      <c r="AA481" s="162"/>
      <c r="AB481" s="148"/>
      <c r="AC481" s="161"/>
      <c r="AD481" s="146" t="str">
        <f>IF(AC481&lt;&gt;"", SUMIF(Bets!$D:$D, AC481, Bets!AG:AG), "")</f>
        <v/>
      </c>
      <c r="AE481" s="162"/>
      <c r="AF481" s="148"/>
    </row>
    <row r="482">
      <c r="A482" s="161"/>
      <c r="B482" s="146" t="str">
        <f>IF(A482&lt;&gt;"", SUMIF(Bets!$D:$D, A482, Bets!Z:Z), "")</f>
        <v/>
      </c>
      <c r="C482" s="162"/>
      <c r="D482" s="148"/>
      <c r="E482" s="161"/>
      <c r="F482" s="146" t="str">
        <f>IF(E482&lt;&gt;"", SUMIF(Bets!$D:$D, E482, Bets!AB:AB), "")</f>
        <v/>
      </c>
      <c r="G482" s="162"/>
      <c r="H482" s="148"/>
      <c r="I482" s="161"/>
      <c r="J482" s="146" t="str">
        <f>IF(I482&lt;&gt;"", SUMIF(Bets!$D:$D, I482, Bets!AA:AA), "")</f>
        <v/>
      </c>
      <c r="K482" s="162"/>
      <c r="L482" s="148"/>
      <c r="M482" s="161"/>
      <c r="N482" s="146"/>
      <c r="O482" s="162"/>
      <c r="P482" s="148"/>
      <c r="Q482" s="161"/>
      <c r="R482" s="146" t="str">
        <f>IF(Q482&lt;&gt;"", SUMIF(Bets!$D:$D, Q482, Bets!AD:AD), "")</f>
        <v/>
      </c>
      <c r="S482" s="162"/>
      <c r="T482" s="148"/>
      <c r="U482" s="161"/>
      <c r="V482" s="146" t="str">
        <f>IF(U482&lt;&gt;"", SUMIF(Bets!$D:$D, U482, Bets!AE:AE), "")</f>
        <v/>
      </c>
      <c r="W482" s="162"/>
      <c r="X482" s="148"/>
      <c r="Y482" s="161"/>
      <c r="Z482" s="146" t="str">
        <f>IF(Y482&lt;&gt;"", SUMIF(Bets!$D:$D, Y482, Bets!AF:AF), "")</f>
        <v/>
      </c>
      <c r="AA482" s="162"/>
      <c r="AB482" s="148"/>
      <c r="AC482" s="161"/>
      <c r="AD482" s="146" t="str">
        <f>IF(AC482&lt;&gt;"", SUMIF(Bets!$D:$D, AC482, Bets!AG:AG), "")</f>
        <v/>
      </c>
      <c r="AE482" s="162"/>
      <c r="AF482" s="148"/>
    </row>
    <row r="483">
      <c r="A483" s="161"/>
      <c r="B483" s="146" t="str">
        <f>IF(A483&lt;&gt;"", SUMIF(Bets!$D:$D, A483, Bets!Z:Z), "")</f>
        <v/>
      </c>
      <c r="C483" s="162"/>
      <c r="D483" s="148"/>
      <c r="E483" s="161"/>
      <c r="F483" s="146" t="str">
        <f>IF(E483&lt;&gt;"", SUMIF(Bets!$D:$D, E483, Bets!AB:AB), "")</f>
        <v/>
      </c>
      <c r="G483" s="162"/>
      <c r="H483" s="148"/>
      <c r="I483" s="161"/>
      <c r="J483" s="146" t="str">
        <f>IF(I483&lt;&gt;"", SUMIF(Bets!$D:$D, I483, Bets!AA:AA), "")</f>
        <v/>
      </c>
      <c r="K483" s="162"/>
      <c r="L483" s="148"/>
      <c r="M483" s="161"/>
      <c r="N483" s="146"/>
      <c r="O483" s="162"/>
      <c r="P483" s="148"/>
      <c r="Q483" s="161"/>
      <c r="R483" s="146" t="str">
        <f>IF(Q483&lt;&gt;"", SUMIF(Bets!$D:$D, Q483, Bets!AD:AD), "")</f>
        <v/>
      </c>
      <c r="S483" s="162"/>
      <c r="T483" s="148"/>
      <c r="U483" s="161"/>
      <c r="V483" s="146" t="str">
        <f>IF(U483&lt;&gt;"", SUMIF(Bets!$D:$D, U483, Bets!AE:AE), "")</f>
        <v/>
      </c>
      <c r="W483" s="162"/>
      <c r="X483" s="148"/>
      <c r="Y483" s="161"/>
      <c r="Z483" s="146" t="str">
        <f>IF(Y483&lt;&gt;"", SUMIF(Bets!$D:$D, Y483, Bets!AF:AF), "")</f>
        <v/>
      </c>
      <c r="AA483" s="162"/>
      <c r="AB483" s="148"/>
      <c r="AC483" s="161"/>
      <c r="AD483" s="146" t="str">
        <f>IF(AC483&lt;&gt;"", SUMIF(Bets!$D:$D, AC483, Bets!AG:AG), "")</f>
        <v/>
      </c>
      <c r="AE483" s="162"/>
      <c r="AF483" s="148"/>
    </row>
    <row r="484">
      <c r="A484" s="161"/>
      <c r="B484" s="146" t="str">
        <f>IF(A484&lt;&gt;"", SUMIF(Bets!$D:$D, A484, Bets!Z:Z), "")</f>
        <v/>
      </c>
      <c r="C484" s="162"/>
      <c r="D484" s="148"/>
      <c r="E484" s="161"/>
      <c r="F484" s="146" t="str">
        <f>IF(E484&lt;&gt;"", SUMIF(Bets!$D:$D, E484, Bets!AB:AB), "")</f>
        <v/>
      </c>
      <c r="G484" s="162"/>
      <c r="H484" s="148"/>
      <c r="I484" s="161"/>
      <c r="J484" s="146" t="str">
        <f>IF(I484&lt;&gt;"", SUMIF(Bets!$D:$D, I484, Bets!AA:AA), "")</f>
        <v/>
      </c>
      <c r="K484" s="162"/>
      <c r="L484" s="148"/>
      <c r="M484" s="161"/>
      <c r="N484" s="146"/>
      <c r="O484" s="162"/>
      <c r="P484" s="148"/>
      <c r="Q484" s="161"/>
      <c r="R484" s="146" t="str">
        <f>IF(Q484&lt;&gt;"", SUMIF(Bets!$D:$D, Q484, Bets!AD:AD), "")</f>
        <v/>
      </c>
      <c r="S484" s="162"/>
      <c r="T484" s="148"/>
      <c r="U484" s="161"/>
      <c r="V484" s="146" t="str">
        <f>IF(U484&lt;&gt;"", SUMIF(Bets!$D:$D, U484, Bets!AE:AE), "")</f>
        <v/>
      </c>
      <c r="W484" s="162"/>
      <c r="X484" s="148"/>
      <c r="Y484" s="161"/>
      <c r="Z484" s="146" t="str">
        <f>IF(Y484&lt;&gt;"", SUMIF(Bets!$D:$D, Y484, Bets!AF:AF), "")</f>
        <v/>
      </c>
      <c r="AA484" s="162"/>
      <c r="AB484" s="148"/>
      <c r="AC484" s="161"/>
      <c r="AD484" s="146" t="str">
        <f>IF(AC484&lt;&gt;"", SUMIF(Bets!$D:$D, AC484, Bets!AG:AG), "")</f>
        <v/>
      </c>
      <c r="AE484" s="162"/>
      <c r="AF484" s="148"/>
    </row>
    <row r="485">
      <c r="A485" s="161"/>
      <c r="B485" s="146" t="str">
        <f>IF(A485&lt;&gt;"", SUMIF(Bets!$D:$D, A485, Bets!Z:Z), "")</f>
        <v/>
      </c>
      <c r="C485" s="162"/>
      <c r="D485" s="148"/>
      <c r="E485" s="161"/>
      <c r="F485" s="146" t="str">
        <f>IF(E485&lt;&gt;"", SUMIF(Bets!$D:$D, E485, Bets!AB:AB), "")</f>
        <v/>
      </c>
      <c r="G485" s="162"/>
      <c r="H485" s="148"/>
      <c r="I485" s="161"/>
      <c r="J485" s="146" t="str">
        <f>IF(I485&lt;&gt;"", SUMIF(Bets!$D:$D, I485, Bets!AA:AA), "")</f>
        <v/>
      </c>
      <c r="K485" s="162"/>
      <c r="L485" s="148"/>
      <c r="M485" s="161"/>
      <c r="N485" s="146"/>
      <c r="O485" s="162"/>
      <c r="P485" s="148"/>
      <c r="Q485" s="161"/>
      <c r="R485" s="146" t="str">
        <f>IF(Q485&lt;&gt;"", SUMIF(Bets!$D:$D, Q485, Bets!AD:AD), "")</f>
        <v/>
      </c>
      <c r="S485" s="162"/>
      <c r="T485" s="148"/>
      <c r="U485" s="161"/>
      <c r="V485" s="146" t="str">
        <f>IF(U485&lt;&gt;"", SUMIF(Bets!$D:$D, U485, Bets!AE:AE), "")</f>
        <v/>
      </c>
      <c r="W485" s="162"/>
      <c r="X485" s="148"/>
      <c r="Y485" s="161"/>
      <c r="Z485" s="146" t="str">
        <f>IF(Y485&lt;&gt;"", SUMIF(Bets!$D:$D, Y485, Bets!AF:AF), "")</f>
        <v/>
      </c>
      <c r="AA485" s="162"/>
      <c r="AB485" s="148"/>
      <c r="AC485" s="161"/>
      <c r="AD485" s="146" t="str">
        <f>IF(AC485&lt;&gt;"", SUMIF(Bets!$D:$D, AC485, Bets!AG:AG), "")</f>
        <v/>
      </c>
      <c r="AE485" s="162"/>
      <c r="AF485" s="148"/>
    </row>
    <row r="486">
      <c r="A486" s="161"/>
      <c r="B486" s="146" t="str">
        <f>IF(A486&lt;&gt;"", SUMIF(Bets!$D:$D, A486, Bets!Z:Z), "")</f>
        <v/>
      </c>
      <c r="C486" s="162"/>
      <c r="D486" s="148"/>
      <c r="E486" s="161"/>
      <c r="F486" s="146" t="str">
        <f>IF(E486&lt;&gt;"", SUMIF(Bets!$D:$D, E486, Bets!AB:AB), "")</f>
        <v/>
      </c>
      <c r="G486" s="162"/>
      <c r="H486" s="148"/>
      <c r="I486" s="161"/>
      <c r="J486" s="146" t="str">
        <f>IF(I486&lt;&gt;"", SUMIF(Bets!$D:$D, I486, Bets!AA:AA), "")</f>
        <v/>
      </c>
      <c r="K486" s="162"/>
      <c r="L486" s="148"/>
      <c r="M486" s="161"/>
      <c r="N486" s="146"/>
      <c r="O486" s="162"/>
      <c r="P486" s="148"/>
      <c r="Q486" s="161"/>
      <c r="R486" s="146" t="str">
        <f>IF(Q486&lt;&gt;"", SUMIF(Bets!$D:$D, Q486, Bets!AD:AD), "")</f>
        <v/>
      </c>
      <c r="S486" s="162"/>
      <c r="T486" s="148"/>
      <c r="U486" s="161"/>
      <c r="V486" s="146" t="str">
        <f>IF(U486&lt;&gt;"", SUMIF(Bets!$D:$D, U486, Bets!AE:AE), "")</f>
        <v/>
      </c>
      <c r="W486" s="162"/>
      <c r="X486" s="148"/>
      <c r="Y486" s="161"/>
      <c r="Z486" s="146" t="str">
        <f>IF(Y486&lt;&gt;"", SUMIF(Bets!$D:$D, Y486, Bets!AF:AF), "")</f>
        <v/>
      </c>
      <c r="AA486" s="162"/>
      <c r="AB486" s="148"/>
      <c r="AC486" s="161"/>
      <c r="AD486" s="146" t="str">
        <f>IF(AC486&lt;&gt;"", SUMIF(Bets!$D:$D, AC486, Bets!AG:AG), "")</f>
        <v/>
      </c>
      <c r="AE486" s="162"/>
      <c r="AF486" s="148"/>
    </row>
    <row r="487">
      <c r="A487" s="161"/>
      <c r="B487" s="146" t="str">
        <f>IF(A487&lt;&gt;"", SUMIF(Bets!$D:$D, A487, Bets!Z:Z), "")</f>
        <v/>
      </c>
      <c r="C487" s="162"/>
      <c r="D487" s="148"/>
      <c r="E487" s="161"/>
      <c r="F487" s="146" t="str">
        <f>IF(E487&lt;&gt;"", SUMIF(Bets!$D:$D, E487, Bets!AB:AB), "")</f>
        <v/>
      </c>
      <c r="G487" s="162"/>
      <c r="H487" s="148"/>
      <c r="I487" s="161"/>
      <c r="J487" s="146" t="str">
        <f>IF(I487&lt;&gt;"", SUMIF(Bets!$D:$D, I487, Bets!AA:AA), "")</f>
        <v/>
      </c>
      <c r="K487" s="162"/>
      <c r="L487" s="148"/>
      <c r="M487" s="161"/>
      <c r="N487" s="146"/>
      <c r="O487" s="162"/>
      <c r="P487" s="148"/>
      <c r="Q487" s="161"/>
      <c r="R487" s="146" t="str">
        <f>IF(Q487&lt;&gt;"", SUMIF(Bets!$D:$D, Q487, Bets!AD:AD), "")</f>
        <v/>
      </c>
      <c r="S487" s="162"/>
      <c r="T487" s="148"/>
      <c r="U487" s="161"/>
      <c r="V487" s="146" t="str">
        <f>IF(U487&lt;&gt;"", SUMIF(Bets!$D:$D, U487, Bets!AE:AE), "")</f>
        <v/>
      </c>
      <c r="W487" s="162"/>
      <c r="X487" s="148"/>
      <c r="Y487" s="161"/>
      <c r="Z487" s="146" t="str">
        <f>IF(Y487&lt;&gt;"", SUMIF(Bets!$D:$D, Y487, Bets!AF:AF), "")</f>
        <v/>
      </c>
      <c r="AA487" s="162"/>
      <c r="AB487" s="148"/>
      <c r="AC487" s="161"/>
      <c r="AD487" s="146" t="str">
        <f>IF(AC487&lt;&gt;"", SUMIF(Bets!$D:$D, AC487, Bets!AG:AG), "")</f>
        <v/>
      </c>
      <c r="AE487" s="162"/>
      <c r="AF487" s="148"/>
    </row>
    <row r="488">
      <c r="A488" s="161"/>
      <c r="B488" s="146" t="str">
        <f>IF(A488&lt;&gt;"", SUMIF(Bets!$D:$D, A488, Bets!Z:Z), "")</f>
        <v/>
      </c>
      <c r="C488" s="162"/>
      <c r="D488" s="148"/>
      <c r="E488" s="161"/>
      <c r="F488" s="146" t="str">
        <f>IF(E488&lt;&gt;"", SUMIF(Bets!$D:$D, E488, Bets!AB:AB), "")</f>
        <v/>
      </c>
      <c r="G488" s="162"/>
      <c r="H488" s="148"/>
      <c r="I488" s="161"/>
      <c r="J488" s="146" t="str">
        <f>IF(I488&lt;&gt;"", SUMIF(Bets!$D:$D, I488, Bets!AA:AA), "")</f>
        <v/>
      </c>
      <c r="K488" s="162"/>
      <c r="L488" s="148"/>
      <c r="M488" s="161"/>
      <c r="N488" s="146"/>
      <c r="O488" s="162"/>
      <c r="P488" s="148"/>
      <c r="Q488" s="161"/>
      <c r="R488" s="146" t="str">
        <f>IF(Q488&lt;&gt;"", SUMIF(Bets!$D:$D, Q488, Bets!AD:AD), "")</f>
        <v/>
      </c>
      <c r="S488" s="162"/>
      <c r="T488" s="148"/>
      <c r="U488" s="161"/>
      <c r="V488" s="146" t="str">
        <f>IF(U488&lt;&gt;"", SUMIF(Bets!$D:$D, U488, Bets!AE:AE), "")</f>
        <v/>
      </c>
      <c r="W488" s="162"/>
      <c r="X488" s="148"/>
      <c r="Y488" s="161"/>
      <c r="Z488" s="146" t="str">
        <f>IF(Y488&lt;&gt;"", SUMIF(Bets!$D:$D, Y488, Bets!AF:AF), "")</f>
        <v/>
      </c>
      <c r="AA488" s="162"/>
      <c r="AB488" s="148"/>
      <c r="AC488" s="161"/>
      <c r="AD488" s="146" t="str">
        <f>IF(AC488&lt;&gt;"", SUMIF(Bets!$D:$D, AC488, Bets!AG:AG), "")</f>
        <v/>
      </c>
      <c r="AE488" s="162"/>
      <c r="AF488" s="148"/>
    </row>
    <row r="489">
      <c r="A489" s="161"/>
      <c r="B489" s="146" t="str">
        <f>IF(A489&lt;&gt;"", SUMIF(Bets!$D:$D, A489, Bets!Z:Z), "")</f>
        <v/>
      </c>
      <c r="C489" s="162"/>
      <c r="D489" s="148"/>
      <c r="E489" s="161"/>
      <c r="F489" s="146" t="str">
        <f>IF(E489&lt;&gt;"", SUMIF(Bets!$D:$D, E489, Bets!AB:AB), "")</f>
        <v/>
      </c>
      <c r="G489" s="162"/>
      <c r="H489" s="148"/>
      <c r="I489" s="161"/>
      <c r="J489" s="146" t="str">
        <f>IF(I489&lt;&gt;"", SUMIF(Bets!$D:$D, I489, Bets!AA:AA), "")</f>
        <v/>
      </c>
      <c r="K489" s="162"/>
      <c r="L489" s="148"/>
      <c r="M489" s="161"/>
      <c r="N489" s="146"/>
      <c r="O489" s="162"/>
      <c r="P489" s="148"/>
      <c r="Q489" s="161"/>
      <c r="R489" s="146" t="str">
        <f>IF(Q489&lt;&gt;"", SUMIF(Bets!$D:$D, Q489, Bets!AD:AD), "")</f>
        <v/>
      </c>
      <c r="S489" s="162"/>
      <c r="T489" s="148"/>
      <c r="U489" s="161"/>
      <c r="V489" s="146" t="str">
        <f>IF(U489&lt;&gt;"", SUMIF(Bets!$D:$D, U489, Bets!AE:AE), "")</f>
        <v/>
      </c>
      <c r="W489" s="162"/>
      <c r="X489" s="148"/>
      <c r="Y489" s="161"/>
      <c r="Z489" s="146" t="str">
        <f>IF(Y489&lt;&gt;"", SUMIF(Bets!$D:$D, Y489, Bets!AF:AF), "")</f>
        <v/>
      </c>
      <c r="AA489" s="162"/>
      <c r="AB489" s="148"/>
      <c r="AC489" s="161"/>
      <c r="AD489" s="146" t="str">
        <f>IF(AC489&lt;&gt;"", SUMIF(Bets!$D:$D, AC489, Bets!AG:AG), "")</f>
        <v/>
      </c>
      <c r="AE489" s="162"/>
      <c r="AF489" s="148"/>
    </row>
    <row r="490">
      <c r="A490" s="161"/>
      <c r="B490" s="146" t="str">
        <f>IF(A490&lt;&gt;"", SUMIF(Bets!$D:$D, A490, Bets!Z:Z), "")</f>
        <v/>
      </c>
      <c r="C490" s="162"/>
      <c r="D490" s="148"/>
      <c r="E490" s="161"/>
      <c r="F490" s="146" t="str">
        <f>IF(E490&lt;&gt;"", SUMIF(Bets!$D:$D, E490, Bets!AB:AB), "")</f>
        <v/>
      </c>
      <c r="G490" s="162"/>
      <c r="H490" s="148"/>
      <c r="I490" s="161"/>
      <c r="J490" s="146" t="str">
        <f>IF(I490&lt;&gt;"", SUMIF(Bets!$D:$D, I490, Bets!AA:AA), "")</f>
        <v/>
      </c>
      <c r="K490" s="162"/>
      <c r="L490" s="148"/>
      <c r="M490" s="161"/>
      <c r="N490" s="146"/>
      <c r="O490" s="162"/>
      <c r="P490" s="148"/>
      <c r="Q490" s="161"/>
      <c r="R490" s="146" t="str">
        <f>IF(Q490&lt;&gt;"", SUMIF(Bets!$D:$D, Q490, Bets!AD:AD), "")</f>
        <v/>
      </c>
      <c r="S490" s="162"/>
      <c r="T490" s="148"/>
      <c r="U490" s="161"/>
      <c r="V490" s="146" t="str">
        <f>IF(U490&lt;&gt;"", SUMIF(Bets!$D:$D, U490, Bets!AE:AE), "")</f>
        <v/>
      </c>
      <c r="W490" s="162"/>
      <c r="X490" s="148"/>
      <c r="Y490" s="161"/>
      <c r="Z490" s="146" t="str">
        <f>IF(Y490&lt;&gt;"", SUMIF(Bets!$D:$D, Y490, Bets!AF:AF), "")</f>
        <v/>
      </c>
      <c r="AA490" s="162"/>
      <c r="AB490" s="148"/>
      <c r="AC490" s="161"/>
      <c r="AD490" s="146" t="str">
        <f>IF(AC490&lt;&gt;"", SUMIF(Bets!$D:$D, AC490, Bets!AG:AG), "")</f>
        <v/>
      </c>
      <c r="AE490" s="162"/>
      <c r="AF490" s="148"/>
    </row>
    <row r="491">
      <c r="A491" s="161"/>
      <c r="B491" s="146" t="str">
        <f>IF(A491&lt;&gt;"", SUMIF(Bets!$D:$D, A491, Bets!Z:Z), "")</f>
        <v/>
      </c>
      <c r="C491" s="162"/>
      <c r="D491" s="148"/>
      <c r="E491" s="161"/>
      <c r="F491" s="146" t="str">
        <f>IF(E491&lt;&gt;"", SUMIF(Bets!$D:$D, E491, Bets!AB:AB), "")</f>
        <v/>
      </c>
      <c r="G491" s="162"/>
      <c r="H491" s="148"/>
      <c r="I491" s="161"/>
      <c r="J491" s="146" t="str">
        <f>IF(I491&lt;&gt;"", SUMIF(Bets!$D:$D, I491, Bets!AA:AA), "")</f>
        <v/>
      </c>
      <c r="K491" s="162"/>
      <c r="L491" s="148"/>
      <c r="M491" s="161"/>
      <c r="N491" s="146"/>
      <c r="O491" s="162"/>
      <c r="P491" s="148"/>
      <c r="Q491" s="161"/>
      <c r="R491" s="146" t="str">
        <f>IF(Q491&lt;&gt;"", SUMIF(Bets!$D:$D, Q491, Bets!AD:AD), "")</f>
        <v/>
      </c>
      <c r="S491" s="162"/>
      <c r="T491" s="148"/>
      <c r="U491" s="161"/>
      <c r="V491" s="146" t="str">
        <f>IF(U491&lt;&gt;"", SUMIF(Bets!$D:$D, U491, Bets!AE:AE), "")</f>
        <v/>
      </c>
      <c r="W491" s="162"/>
      <c r="X491" s="148"/>
      <c r="Y491" s="161"/>
      <c r="Z491" s="146" t="str">
        <f>IF(Y491&lt;&gt;"", SUMIF(Bets!$D:$D, Y491, Bets!AF:AF), "")</f>
        <v/>
      </c>
      <c r="AA491" s="162"/>
      <c r="AB491" s="148"/>
      <c r="AC491" s="161"/>
      <c r="AD491" s="146" t="str">
        <f>IF(AC491&lt;&gt;"", SUMIF(Bets!$D:$D, AC491, Bets!AG:AG), "")</f>
        <v/>
      </c>
      <c r="AE491" s="162"/>
      <c r="AF491" s="148"/>
    </row>
    <row r="492">
      <c r="A492" s="161"/>
      <c r="B492" s="146" t="str">
        <f>IF(A492&lt;&gt;"", SUMIF(Bets!$D:$D, A492, Bets!Z:Z), "")</f>
        <v/>
      </c>
      <c r="C492" s="162"/>
      <c r="D492" s="148"/>
      <c r="E492" s="161"/>
      <c r="F492" s="146" t="str">
        <f>IF(E492&lt;&gt;"", SUMIF(Bets!$D:$D, E492, Bets!AB:AB), "")</f>
        <v/>
      </c>
      <c r="G492" s="162"/>
      <c r="H492" s="148"/>
      <c r="I492" s="161"/>
      <c r="J492" s="146" t="str">
        <f>IF(I492&lt;&gt;"", SUMIF(Bets!$D:$D, I492, Bets!AA:AA), "")</f>
        <v/>
      </c>
      <c r="K492" s="162"/>
      <c r="L492" s="148"/>
      <c r="M492" s="161"/>
      <c r="N492" s="146"/>
      <c r="O492" s="162"/>
      <c r="P492" s="148"/>
      <c r="Q492" s="161"/>
      <c r="R492" s="146" t="str">
        <f>IF(Q492&lt;&gt;"", SUMIF(Bets!$D:$D, Q492, Bets!AD:AD), "")</f>
        <v/>
      </c>
      <c r="S492" s="162"/>
      <c r="T492" s="148"/>
      <c r="U492" s="161"/>
      <c r="V492" s="146" t="str">
        <f>IF(U492&lt;&gt;"", SUMIF(Bets!$D:$D, U492, Bets!AE:AE), "")</f>
        <v/>
      </c>
      <c r="W492" s="162"/>
      <c r="X492" s="148"/>
      <c r="Y492" s="161"/>
      <c r="Z492" s="146" t="str">
        <f>IF(Y492&lt;&gt;"", SUMIF(Bets!$D:$D, Y492, Bets!AF:AF), "")</f>
        <v/>
      </c>
      <c r="AA492" s="162"/>
      <c r="AB492" s="148"/>
      <c r="AC492" s="161"/>
      <c r="AD492" s="146" t="str">
        <f>IF(AC492&lt;&gt;"", SUMIF(Bets!$D:$D, AC492, Bets!AG:AG), "")</f>
        <v/>
      </c>
      <c r="AE492" s="162"/>
      <c r="AF492" s="148"/>
    </row>
    <row r="493">
      <c r="A493" s="161"/>
      <c r="B493" s="146" t="str">
        <f>IF(A493&lt;&gt;"", SUMIF(Bets!$D:$D, A493, Bets!Z:Z), "")</f>
        <v/>
      </c>
      <c r="C493" s="162"/>
      <c r="D493" s="148"/>
      <c r="E493" s="161"/>
      <c r="F493" s="146" t="str">
        <f>IF(E493&lt;&gt;"", SUMIF(Bets!$D:$D, E493, Bets!AB:AB), "")</f>
        <v/>
      </c>
      <c r="G493" s="162"/>
      <c r="H493" s="148"/>
      <c r="I493" s="161"/>
      <c r="J493" s="146" t="str">
        <f>IF(I493&lt;&gt;"", SUMIF(Bets!$D:$D, I493, Bets!AA:AA), "")</f>
        <v/>
      </c>
      <c r="K493" s="162"/>
      <c r="L493" s="148"/>
      <c r="M493" s="161"/>
      <c r="N493" s="146"/>
      <c r="O493" s="162"/>
      <c r="P493" s="148"/>
      <c r="Q493" s="161"/>
      <c r="R493" s="146" t="str">
        <f>IF(Q493&lt;&gt;"", SUMIF(Bets!$D:$D, Q493, Bets!AD:AD), "")</f>
        <v/>
      </c>
      <c r="S493" s="162"/>
      <c r="T493" s="148"/>
      <c r="U493" s="161"/>
      <c r="V493" s="146" t="str">
        <f>IF(U493&lt;&gt;"", SUMIF(Bets!$D:$D, U493, Bets!AE:AE), "")</f>
        <v/>
      </c>
      <c r="W493" s="162"/>
      <c r="X493" s="148"/>
      <c r="Y493" s="161"/>
      <c r="Z493" s="146" t="str">
        <f>IF(Y493&lt;&gt;"", SUMIF(Bets!$D:$D, Y493, Bets!AF:AF), "")</f>
        <v/>
      </c>
      <c r="AA493" s="162"/>
      <c r="AB493" s="148"/>
      <c r="AC493" s="161"/>
      <c r="AD493" s="146" t="str">
        <f>IF(AC493&lt;&gt;"", SUMIF(Bets!$D:$D, AC493, Bets!AG:AG), "")</f>
        <v/>
      </c>
      <c r="AE493" s="162"/>
      <c r="AF493" s="148"/>
    </row>
    <row r="494">
      <c r="A494" s="161"/>
      <c r="B494" s="146" t="str">
        <f>IF(A494&lt;&gt;"", SUMIF(Bets!$D:$D, A494, Bets!Z:Z), "")</f>
        <v/>
      </c>
      <c r="C494" s="162"/>
      <c r="D494" s="148"/>
      <c r="E494" s="161"/>
      <c r="F494" s="146" t="str">
        <f>IF(E494&lt;&gt;"", SUMIF(Bets!$D:$D, E494, Bets!AB:AB), "")</f>
        <v/>
      </c>
      <c r="G494" s="162"/>
      <c r="H494" s="148"/>
      <c r="I494" s="161"/>
      <c r="J494" s="146" t="str">
        <f>IF(I494&lt;&gt;"", SUMIF(Bets!$D:$D, I494, Bets!AA:AA), "")</f>
        <v/>
      </c>
      <c r="K494" s="162"/>
      <c r="L494" s="148"/>
      <c r="M494" s="161"/>
      <c r="N494" s="146"/>
      <c r="O494" s="162"/>
      <c r="P494" s="148"/>
      <c r="Q494" s="161"/>
      <c r="R494" s="146" t="str">
        <f>IF(Q494&lt;&gt;"", SUMIF(Bets!$D:$D, Q494, Bets!AD:AD), "")</f>
        <v/>
      </c>
      <c r="S494" s="162"/>
      <c r="T494" s="148"/>
      <c r="U494" s="161"/>
      <c r="V494" s="146" t="str">
        <f>IF(U494&lt;&gt;"", SUMIF(Bets!$D:$D, U494, Bets!AE:AE), "")</f>
        <v/>
      </c>
      <c r="W494" s="162"/>
      <c r="X494" s="148"/>
      <c r="Y494" s="161"/>
      <c r="Z494" s="146" t="str">
        <f>IF(Y494&lt;&gt;"", SUMIF(Bets!$D:$D, Y494, Bets!AF:AF), "")</f>
        <v/>
      </c>
      <c r="AA494" s="162"/>
      <c r="AB494" s="148"/>
      <c r="AC494" s="161"/>
      <c r="AD494" s="146" t="str">
        <f>IF(AC494&lt;&gt;"", SUMIF(Bets!$D:$D, AC494, Bets!AG:AG), "")</f>
        <v/>
      </c>
      <c r="AE494" s="162"/>
      <c r="AF494" s="148"/>
    </row>
    <row r="495">
      <c r="A495" s="161"/>
      <c r="B495" s="146" t="str">
        <f>IF(A495&lt;&gt;"", SUMIF(Bets!$D:$D, A495, Bets!Z:Z), "")</f>
        <v/>
      </c>
      <c r="C495" s="162"/>
      <c r="D495" s="148"/>
      <c r="E495" s="161"/>
      <c r="F495" s="146" t="str">
        <f>IF(E495&lt;&gt;"", SUMIF(Bets!$D:$D, E495, Bets!AB:AB), "")</f>
        <v/>
      </c>
      <c r="G495" s="162"/>
      <c r="H495" s="148"/>
      <c r="I495" s="161"/>
      <c r="J495" s="146" t="str">
        <f>IF(I495&lt;&gt;"", SUMIF(Bets!$D:$D, I495, Bets!AA:AA), "")</f>
        <v/>
      </c>
      <c r="K495" s="162"/>
      <c r="L495" s="148"/>
      <c r="M495" s="161"/>
      <c r="N495" s="146"/>
      <c r="O495" s="162"/>
      <c r="P495" s="148"/>
      <c r="Q495" s="161"/>
      <c r="R495" s="146" t="str">
        <f>IF(Q495&lt;&gt;"", SUMIF(Bets!$D:$D, Q495, Bets!AD:AD), "")</f>
        <v/>
      </c>
      <c r="S495" s="162"/>
      <c r="T495" s="148"/>
      <c r="U495" s="161"/>
      <c r="V495" s="146" t="str">
        <f>IF(U495&lt;&gt;"", SUMIF(Bets!$D:$D, U495, Bets!AE:AE), "")</f>
        <v/>
      </c>
      <c r="W495" s="162"/>
      <c r="X495" s="148"/>
      <c r="Y495" s="161"/>
      <c r="Z495" s="146" t="str">
        <f>IF(Y495&lt;&gt;"", SUMIF(Bets!$D:$D, Y495, Bets!AF:AF), "")</f>
        <v/>
      </c>
      <c r="AA495" s="162"/>
      <c r="AB495" s="148"/>
      <c r="AC495" s="161"/>
      <c r="AD495" s="146" t="str">
        <f>IF(AC495&lt;&gt;"", SUMIF(Bets!$D:$D, AC495, Bets!AG:AG), "")</f>
        <v/>
      </c>
      <c r="AE495" s="162"/>
      <c r="AF495" s="148"/>
    </row>
    <row r="496">
      <c r="A496" s="161"/>
      <c r="B496" s="146" t="str">
        <f>IF(A496&lt;&gt;"", SUMIF(Bets!$D:$D, A496, Bets!Z:Z), "")</f>
        <v/>
      </c>
      <c r="C496" s="162"/>
      <c r="D496" s="148"/>
      <c r="E496" s="161"/>
      <c r="F496" s="146" t="str">
        <f>IF(E496&lt;&gt;"", SUMIF(Bets!$D:$D, E496, Bets!AB:AB), "")</f>
        <v/>
      </c>
      <c r="G496" s="162"/>
      <c r="H496" s="148"/>
      <c r="I496" s="161"/>
      <c r="J496" s="146" t="str">
        <f>IF(I496&lt;&gt;"", SUMIF(Bets!$D:$D, I496, Bets!AA:AA), "")</f>
        <v/>
      </c>
      <c r="K496" s="162"/>
      <c r="L496" s="148"/>
      <c r="M496" s="161"/>
      <c r="N496" s="146"/>
      <c r="O496" s="162"/>
      <c r="P496" s="148"/>
      <c r="Q496" s="161"/>
      <c r="R496" s="146" t="str">
        <f>IF(Q496&lt;&gt;"", SUMIF(Bets!$D:$D, Q496, Bets!AD:AD), "")</f>
        <v/>
      </c>
      <c r="S496" s="162"/>
      <c r="T496" s="148"/>
      <c r="U496" s="161"/>
      <c r="V496" s="146" t="str">
        <f>IF(U496&lt;&gt;"", SUMIF(Bets!$D:$D, U496, Bets!AE:AE), "")</f>
        <v/>
      </c>
      <c r="W496" s="162"/>
      <c r="X496" s="148"/>
      <c r="Y496" s="161"/>
      <c r="Z496" s="146" t="str">
        <f>IF(Y496&lt;&gt;"", SUMIF(Bets!$D:$D, Y496, Bets!AF:AF), "")</f>
        <v/>
      </c>
      <c r="AA496" s="162"/>
      <c r="AB496" s="148"/>
      <c r="AC496" s="161"/>
      <c r="AD496" s="146" t="str">
        <f>IF(AC496&lt;&gt;"", SUMIF(Bets!$D:$D, AC496, Bets!AG:AG), "")</f>
        <v/>
      </c>
      <c r="AE496" s="162"/>
      <c r="AF496" s="148"/>
    </row>
    <row r="497">
      <c r="A497" s="161"/>
      <c r="B497" s="146" t="str">
        <f>IF(A497&lt;&gt;"", SUMIF(Bets!$D:$D, A497, Bets!Z:Z), "")</f>
        <v/>
      </c>
      <c r="C497" s="162"/>
      <c r="D497" s="148"/>
      <c r="E497" s="161"/>
      <c r="F497" s="146" t="str">
        <f>IF(E497&lt;&gt;"", SUMIF(Bets!$D:$D, E497, Bets!AB:AB), "")</f>
        <v/>
      </c>
      <c r="G497" s="162"/>
      <c r="H497" s="148"/>
      <c r="I497" s="161"/>
      <c r="J497" s="146" t="str">
        <f>IF(I497&lt;&gt;"", SUMIF(Bets!$D:$D, I497, Bets!AA:AA), "")</f>
        <v/>
      </c>
      <c r="K497" s="162"/>
      <c r="L497" s="148"/>
      <c r="M497" s="161"/>
      <c r="N497" s="146"/>
      <c r="O497" s="162"/>
      <c r="P497" s="148"/>
      <c r="Q497" s="161"/>
      <c r="R497" s="146" t="str">
        <f>IF(Q497&lt;&gt;"", SUMIF(Bets!$D:$D, Q497, Bets!AD:AD), "")</f>
        <v/>
      </c>
      <c r="S497" s="162"/>
      <c r="T497" s="148"/>
      <c r="U497" s="161"/>
      <c r="V497" s="146" t="str">
        <f>IF(U497&lt;&gt;"", SUMIF(Bets!$D:$D, U497, Bets!AE:AE), "")</f>
        <v/>
      </c>
      <c r="W497" s="162"/>
      <c r="X497" s="148"/>
      <c r="Y497" s="161"/>
      <c r="Z497" s="146" t="str">
        <f>IF(Y497&lt;&gt;"", SUMIF(Bets!$D:$D, Y497, Bets!AF:AF), "")</f>
        <v/>
      </c>
      <c r="AA497" s="162"/>
      <c r="AB497" s="148"/>
      <c r="AC497" s="161"/>
      <c r="AD497" s="146" t="str">
        <f>IF(AC497&lt;&gt;"", SUMIF(Bets!$D:$D, AC497, Bets!AG:AG), "")</f>
        <v/>
      </c>
      <c r="AE497" s="162"/>
      <c r="AF497" s="148"/>
    </row>
    <row r="498">
      <c r="A498" s="161"/>
      <c r="B498" s="146" t="str">
        <f>IF(A498&lt;&gt;"", SUMIF(Bets!$D:$D, A498, Bets!Z:Z), "")</f>
        <v/>
      </c>
      <c r="C498" s="162"/>
      <c r="D498" s="148"/>
      <c r="E498" s="161"/>
      <c r="F498" s="146" t="str">
        <f>IF(E498&lt;&gt;"", SUMIF(Bets!$D:$D, E498, Bets!AB:AB), "")</f>
        <v/>
      </c>
      <c r="G498" s="162"/>
      <c r="H498" s="148"/>
      <c r="I498" s="161"/>
      <c r="J498" s="146" t="str">
        <f>IF(I498&lt;&gt;"", SUMIF(Bets!$D:$D, I498, Bets!AA:AA), "")</f>
        <v/>
      </c>
      <c r="K498" s="162"/>
      <c r="L498" s="148"/>
      <c r="M498" s="161"/>
      <c r="N498" s="146"/>
      <c r="O498" s="162"/>
      <c r="P498" s="148"/>
      <c r="Q498" s="161"/>
      <c r="R498" s="146" t="str">
        <f>IF(Q498&lt;&gt;"", SUMIF(Bets!$D:$D, Q498, Bets!AD:AD), "")</f>
        <v/>
      </c>
      <c r="S498" s="162"/>
      <c r="T498" s="148"/>
      <c r="U498" s="161"/>
      <c r="V498" s="146" t="str">
        <f>IF(U498&lt;&gt;"", SUMIF(Bets!$D:$D, U498, Bets!AE:AE), "")</f>
        <v/>
      </c>
      <c r="W498" s="162"/>
      <c r="X498" s="148"/>
      <c r="Y498" s="161"/>
      <c r="Z498" s="146" t="str">
        <f>IF(Y498&lt;&gt;"", SUMIF(Bets!$D:$D, Y498, Bets!AF:AF), "")</f>
        <v/>
      </c>
      <c r="AA498" s="162"/>
      <c r="AB498" s="148"/>
      <c r="AC498" s="161"/>
      <c r="AD498" s="146" t="str">
        <f>IF(AC498&lt;&gt;"", SUMIF(Bets!$D:$D, AC498, Bets!AG:AG), "")</f>
        <v/>
      </c>
      <c r="AE498" s="162"/>
      <c r="AF498" s="148"/>
    </row>
    <row r="499">
      <c r="A499" s="161"/>
      <c r="B499" s="146" t="str">
        <f>IF(A499&lt;&gt;"", SUMIF(Bets!$D:$D, A499, Bets!Z:Z), "")</f>
        <v/>
      </c>
      <c r="C499" s="162"/>
      <c r="D499" s="148"/>
      <c r="E499" s="161"/>
      <c r="F499" s="146" t="str">
        <f>IF(E499&lt;&gt;"", SUMIF(Bets!$D:$D, E499, Bets!AB:AB), "")</f>
        <v/>
      </c>
      <c r="G499" s="162"/>
      <c r="H499" s="148"/>
      <c r="I499" s="161"/>
      <c r="J499" s="146" t="str">
        <f>IF(I499&lt;&gt;"", SUMIF(Bets!$D:$D, I499, Bets!AA:AA), "")</f>
        <v/>
      </c>
      <c r="K499" s="162"/>
      <c r="L499" s="148"/>
      <c r="M499" s="161"/>
      <c r="N499" s="146"/>
      <c r="O499" s="162"/>
      <c r="P499" s="148"/>
      <c r="Q499" s="161"/>
      <c r="R499" s="146" t="str">
        <f>IF(Q499&lt;&gt;"", SUMIF(Bets!$D:$D, Q499, Bets!AD:AD), "")</f>
        <v/>
      </c>
      <c r="S499" s="162"/>
      <c r="T499" s="148"/>
      <c r="U499" s="161"/>
      <c r="V499" s="146" t="str">
        <f>IF(U499&lt;&gt;"", SUMIF(Bets!$D:$D, U499, Bets!AE:AE), "")</f>
        <v/>
      </c>
      <c r="W499" s="162"/>
      <c r="X499" s="148"/>
      <c r="Y499" s="161"/>
      <c r="Z499" s="146" t="str">
        <f>IF(Y499&lt;&gt;"", SUMIF(Bets!$D:$D, Y499, Bets!AF:AF), "")</f>
        <v/>
      </c>
      <c r="AA499" s="162"/>
      <c r="AB499" s="148"/>
      <c r="AC499" s="161"/>
      <c r="AD499" s="146" t="str">
        <f>IF(AC499&lt;&gt;"", SUMIF(Bets!$D:$D, AC499, Bets!AG:AG), "")</f>
        <v/>
      </c>
      <c r="AE499" s="162"/>
      <c r="AF499" s="148"/>
    </row>
    <row r="500">
      <c r="A500" s="161"/>
      <c r="B500" s="146" t="str">
        <f>IF(A500&lt;&gt;"", SUMIF(Bets!$D:$D, A500, Bets!Z:Z), "")</f>
        <v/>
      </c>
      <c r="C500" s="162"/>
      <c r="D500" s="148"/>
      <c r="E500" s="161"/>
      <c r="F500" s="146" t="str">
        <f>IF(E500&lt;&gt;"", SUMIF(Bets!$D:$D, E500, Bets!AB:AB), "")</f>
        <v/>
      </c>
      <c r="G500" s="162"/>
      <c r="H500" s="148"/>
      <c r="I500" s="161"/>
      <c r="J500" s="146" t="str">
        <f>IF(I500&lt;&gt;"", SUMIF(Bets!$D:$D, I500, Bets!AA:AA), "")</f>
        <v/>
      </c>
      <c r="K500" s="162"/>
      <c r="L500" s="148"/>
      <c r="M500" s="161"/>
      <c r="N500" s="146"/>
      <c r="O500" s="162"/>
      <c r="P500" s="148"/>
      <c r="Q500" s="161"/>
      <c r="R500" s="146" t="str">
        <f>IF(Q500&lt;&gt;"", SUMIF(Bets!$D:$D, Q500, Bets!AD:AD), "")</f>
        <v/>
      </c>
      <c r="S500" s="162"/>
      <c r="T500" s="148"/>
      <c r="U500" s="161"/>
      <c r="V500" s="146" t="str">
        <f>IF(U500&lt;&gt;"", SUMIF(Bets!$D:$D, U500, Bets!AE:AE), "")</f>
        <v/>
      </c>
      <c r="W500" s="162"/>
      <c r="X500" s="148"/>
      <c r="Y500" s="161"/>
      <c r="Z500" s="146" t="str">
        <f>IF(Y500&lt;&gt;"", SUMIF(Bets!$D:$D, Y500, Bets!AF:AF), "")</f>
        <v/>
      </c>
      <c r="AA500" s="162"/>
      <c r="AB500" s="148"/>
      <c r="AC500" s="161"/>
      <c r="AD500" s="146" t="str">
        <f>IF(AC500&lt;&gt;"", SUMIF(Bets!$D:$D, AC500, Bets!AG:AG), "")</f>
        <v/>
      </c>
      <c r="AE500" s="162"/>
      <c r="AF500" s="148"/>
    </row>
    <row r="501">
      <c r="A501" s="161"/>
      <c r="B501" s="146" t="str">
        <f>IF(A501&lt;&gt;"", SUMIF(Bets!$D:$D, A501, Bets!Z:Z), "")</f>
        <v/>
      </c>
      <c r="C501" s="162"/>
      <c r="D501" s="148"/>
      <c r="E501" s="161"/>
      <c r="F501" s="146" t="str">
        <f>IF(E501&lt;&gt;"", SUMIF(Bets!$D:$D, E501, Bets!AB:AB), "")</f>
        <v/>
      </c>
      <c r="G501" s="162"/>
      <c r="H501" s="148"/>
      <c r="I501" s="161"/>
      <c r="J501" s="146" t="str">
        <f>IF(I501&lt;&gt;"", SUMIF(Bets!$D:$D, I501, Bets!AA:AA), "")</f>
        <v/>
      </c>
      <c r="K501" s="162"/>
      <c r="L501" s="148"/>
      <c r="M501" s="161"/>
      <c r="N501" s="146"/>
      <c r="O501" s="162"/>
      <c r="P501" s="148"/>
      <c r="Q501" s="161"/>
      <c r="R501" s="146" t="str">
        <f>IF(Q501&lt;&gt;"", SUMIF(Bets!$D:$D, Q501, Bets!AD:AD), "")</f>
        <v/>
      </c>
      <c r="S501" s="162"/>
      <c r="T501" s="148"/>
      <c r="U501" s="161"/>
      <c r="V501" s="146" t="str">
        <f>IF(U501&lt;&gt;"", SUMIF(Bets!$D:$D, U501, Bets!AE:AE), "")</f>
        <v/>
      </c>
      <c r="W501" s="162"/>
      <c r="X501" s="148"/>
      <c r="Y501" s="161"/>
      <c r="Z501" s="146" t="str">
        <f>IF(Y501&lt;&gt;"", SUMIF(Bets!$D:$D, Y501, Bets!AF:AF), "")</f>
        <v/>
      </c>
      <c r="AA501" s="162"/>
      <c r="AB501" s="148"/>
      <c r="AC501" s="161"/>
      <c r="AD501" s="146" t="str">
        <f>IF(AC501&lt;&gt;"", SUMIF(Bets!$D:$D, AC501, Bets!AG:AG), "")</f>
        <v/>
      </c>
      <c r="AE501" s="162"/>
      <c r="AF501" s="148"/>
    </row>
    <row r="502">
      <c r="A502" s="161"/>
      <c r="B502" s="146" t="str">
        <f>IF(A502&lt;&gt;"", SUMIF(Bets!$D:$D, A502, Bets!Z:Z), "")</f>
        <v/>
      </c>
      <c r="C502" s="162"/>
      <c r="D502" s="148"/>
      <c r="E502" s="161"/>
      <c r="F502" s="146" t="str">
        <f>IF(E502&lt;&gt;"", SUMIF(Bets!$D:$D, E502, Bets!AB:AB), "")</f>
        <v/>
      </c>
      <c r="G502" s="162"/>
      <c r="H502" s="148"/>
      <c r="I502" s="161"/>
      <c r="J502" s="146" t="str">
        <f>IF(I502&lt;&gt;"", SUMIF(Bets!$D:$D, I502, Bets!AA:AA), "")</f>
        <v/>
      </c>
      <c r="K502" s="162"/>
      <c r="L502" s="148"/>
      <c r="M502" s="161"/>
      <c r="N502" s="146"/>
      <c r="O502" s="162"/>
      <c r="P502" s="148"/>
      <c r="Q502" s="161"/>
      <c r="R502" s="146" t="str">
        <f>IF(Q502&lt;&gt;"", SUMIF(Bets!$D:$D, Q502, Bets!AD:AD), "")</f>
        <v/>
      </c>
      <c r="S502" s="162"/>
      <c r="T502" s="148"/>
      <c r="U502" s="161"/>
      <c r="V502" s="146" t="str">
        <f>IF(U502&lt;&gt;"", SUMIF(Bets!$D:$D, U502, Bets!AE:AE), "")</f>
        <v/>
      </c>
      <c r="W502" s="162"/>
      <c r="X502" s="148"/>
      <c r="Y502" s="161"/>
      <c r="Z502" s="146" t="str">
        <f>IF(Y502&lt;&gt;"", SUMIF(Bets!$D:$D, Y502, Bets!AF:AF), "")</f>
        <v/>
      </c>
      <c r="AA502" s="162"/>
      <c r="AB502" s="148"/>
      <c r="AC502" s="161"/>
      <c r="AD502" s="146" t="str">
        <f>IF(AC502&lt;&gt;"", SUMIF(Bets!$D:$D, AC502, Bets!AG:AG), "")</f>
        <v/>
      </c>
      <c r="AE502" s="162"/>
      <c r="AF502" s="148"/>
    </row>
    <row r="503">
      <c r="A503" s="161"/>
      <c r="B503" s="146" t="str">
        <f>IF(A503&lt;&gt;"", SUMIF(Bets!$D:$D, A503, Bets!Z:Z), "")</f>
        <v/>
      </c>
      <c r="C503" s="162"/>
      <c r="D503" s="148"/>
      <c r="E503" s="161"/>
      <c r="F503" s="146" t="str">
        <f>IF(E503&lt;&gt;"", SUMIF(Bets!$D:$D, E503, Bets!AB:AB), "")</f>
        <v/>
      </c>
      <c r="G503" s="162"/>
      <c r="H503" s="148"/>
      <c r="I503" s="161"/>
      <c r="J503" s="146" t="str">
        <f>IF(I503&lt;&gt;"", SUMIF(Bets!$D:$D, I503, Bets!AA:AA), "")</f>
        <v/>
      </c>
      <c r="K503" s="162"/>
      <c r="L503" s="148"/>
      <c r="M503" s="161"/>
      <c r="N503" s="146"/>
      <c r="O503" s="162"/>
      <c r="P503" s="148"/>
      <c r="Q503" s="161"/>
      <c r="R503" s="146" t="str">
        <f>IF(Q503&lt;&gt;"", SUMIF(Bets!$D:$D, Q503, Bets!AD:AD), "")</f>
        <v/>
      </c>
      <c r="S503" s="162"/>
      <c r="T503" s="148"/>
      <c r="U503" s="161"/>
      <c r="V503" s="146" t="str">
        <f>IF(U503&lt;&gt;"", SUMIF(Bets!$D:$D, U503, Bets!AE:AE), "")</f>
        <v/>
      </c>
      <c r="W503" s="162"/>
      <c r="X503" s="148"/>
      <c r="Y503" s="161"/>
      <c r="Z503" s="146" t="str">
        <f>IF(Y503&lt;&gt;"", SUMIF(Bets!$D:$D, Y503, Bets!AF:AF), "")</f>
        <v/>
      </c>
      <c r="AA503" s="162"/>
      <c r="AB503" s="148"/>
      <c r="AC503" s="161"/>
      <c r="AD503" s="146" t="str">
        <f>IF(AC503&lt;&gt;"", SUMIF(Bets!$D:$D, AC503, Bets!AG:AG), "")</f>
        <v/>
      </c>
      <c r="AE503" s="162"/>
      <c r="AF503" s="148"/>
    </row>
    <row r="504">
      <c r="A504" s="161"/>
      <c r="B504" s="146" t="str">
        <f>IF(A504&lt;&gt;"", SUMIF(Bets!$D:$D, A504, Bets!Z:Z), "")</f>
        <v/>
      </c>
      <c r="C504" s="162"/>
      <c r="D504" s="148"/>
      <c r="E504" s="161"/>
      <c r="F504" s="146" t="str">
        <f>IF(E504&lt;&gt;"", SUMIF(Bets!$D:$D, E504, Bets!AB:AB), "")</f>
        <v/>
      </c>
      <c r="G504" s="162"/>
      <c r="H504" s="148"/>
      <c r="I504" s="161"/>
      <c r="J504" s="146" t="str">
        <f>IF(I504&lt;&gt;"", SUMIF(Bets!$D:$D, I504, Bets!AA:AA), "")</f>
        <v/>
      </c>
      <c r="K504" s="162"/>
      <c r="L504" s="148"/>
      <c r="M504" s="161"/>
      <c r="N504" s="146"/>
      <c r="O504" s="162"/>
      <c r="P504" s="148"/>
      <c r="Q504" s="161"/>
      <c r="R504" s="146" t="str">
        <f>IF(Q504&lt;&gt;"", SUMIF(Bets!$D:$D, Q504, Bets!AD:AD), "")</f>
        <v/>
      </c>
      <c r="S504" s="162"/>
      <c r="T504" s="148"/>
      <c r="U504" s="161"/>
      <c r="V504" s="146" t="str">
        <f>IF(U504&lt;&gt;"", SUMIF(Bets!$D:$D, U504, Bets!AE:AE), "")</f>
        <v/>
      </c>
      <c r="W504" s="162"/>
      <c r="X504" s="148"/>
      <c r="Y504" s="161"/>
      <c r="Z504" s="146" t="str">
        <f>IF(Y504&lt;&gt;"", SUMIF(Bets!$D:$D, Y504, Bets!AF:AF), "")</f>
        <v/>
      </c>
      <c r="AA504" s="162"/>
      <c r="AB504" s="148"/>
      <c r="AC504" s="161"/>
      <c r="AD504" s="146" t="str">
        <f>IF(AC504&lt;&gt;"", SUMIF(Bets!$D:$D, AC504, Bets!AG:AG), "")</f>
        <v/>
      </c>
      <c r="AE504" s="162"/>
      <c r="AF504" s="148"/>
    </row>
    <row r="505">
      <c r="A505" s="161"/>
      <c r="B505" s="146" t="str">
        <f>IF(A505&lt;&gt;"", SUMIF(Bets!$D:$D, A505, Bets!Z:Z), "")</f>
        <v/>
      </c>
      <c r="C505" s="162"/>
      <c r="D505" s="148"/>
      <c r="E505" s="161"/>
      <c r="F505" s="146" t="str">
        <f>IF(E505&lt;&gt;"", SUMIF(Bets!$D:$D, E505, Bets!AB:AB), "")</f>
        <v/>
      </c>
      <c r="G505" s="162"/>
      <c r="H505" s="148"/>
      <c r="I505" s="161"/>
      <c r="J505" s="146" t="str">
        <f>IF(I505&lt;&gt;"", SUMIF(Bets!$D:$D, I505, Bets!AA:AA), "")</f>
        <v/>
      </c>
      <c r="K505" s="162"/>
      <c r="L505" s="148"/>
      <c r="M505" s="161"/>
      <c r="N505" s="146"/>
      <c r="O505" s="162"/>
      <c r="P505" s="148"/>
      <c r="Q505" s="161"/>
      <c r="R505" s="146" t="str">
        <f>IF(Q505&lt;&gt;"", SUMIF(Bets!$D:$D, Q505, Bets!AD:AD), "")</f>
        <v/>
      </c>
      <c r="S505" s="162"/>
      <c r="T505" s="148"/>
      <c r="U505" s="161"/>
      <c r="V505" s="146" t="str">
        <f>IF(U505&lt;&gt;"", SUMIF(Bets!$D:$D, U505, Bets!AE:AE), "")</f>
        <v/>
      </c>
      <c r="W505" s="162"/>
      <c r="X505" s="148"/>
      <c r="Y505" s="161"/>
      <c r="Z505" s="146" t="str">
        <f>IF(Y505&lt;&gt;"", SUMIF(Bets!$D:$D, Y505, Bets!AF:AF), "")</f>
        <v/>
      </c>
      <c r="AA505" s="162"/>
      <c r="AB505" s="148"/>
      <c r="AC505" s="161"/>
      <c r="AD505" s="146" t="str">
        <f>IF(AC505&lt;&gt;"", SUMIF(Bets!$D:$D, AC505, Bets!AG:AG), "")</f>
        <v/>
      </c>
      <c r="AE505" s="162"/>
      <c r="AF505" s="148"/>
    </row>
    <row r="506">
      <c r="A506" s="161"/>
      <c r="B506" s="146" t="str">
        <f>IF(A506&lt;&gt;"", SUMIF(Bets!$D:$D, A506, Bets!Z:Z), "")</f>
        <v/>
      </c>
      <c r="C506" s="162"/>
      <c r="D506" s="148"/>
      <c r="E506" s="161"/>
      <c r="F506" s="146" t="str">
        <f>IF(E506&lt;&gt;"", SUMIF(Bets!$D:$D, E506, Bets!AB:AB), "")</f>
        <v/>
      </c>
      <c r="G506" s="162"/>
      <c r="H506" s="148"/>
      <c r="I506" s="161"/>
      <c r="J506" s="146" t="str">
        <f>IF(I506&lt;&gt;"", SUMIF(Bets!$D:$D, I506, Bets!AA:AA), "")</f>
        <v/>
      </c>
      <c r="K506" s="162"/>
      <c r="L506" s="148"/>
      <c r="M506" s="161"/>
      <c r="N506" s="146"/>
      <c r="O506" s="162"/>
      <c r="P506" s="148"/>
      <c r="Q506" s="161"/>
      <c r="R506" s="146" t="str">
        <f>IF(Q506&lt;&gt;"", SUMIF(Bets!$D:$D, Q506, Bets!AD:AD), "")</f>
        <v/>
      </c>
      <c r="S506" s="162"/>
      <c r="T506" s="148"/>
      <c r="U506" s="161"/>
      <c r="V506" s="146" t="str">
        <f>IF(U506&lt;&gt;"", SUMIF(Bets!$D:$D, U506, Bets!AE:AE), "")</f>
        <v/>
      </c>
      <c r="W506" s="162"/>
      <c r="X506" s="148"/>
      <c r="Y506" s="161"/>
      <c r="Z506" s="146" t="str">
        <f>IF(Y506&lt;&gt;"", SUMIF(Bets!$D:$D, Y506, Bets!AF:AF), "")</f>
        <v/>
      </c>
      <c r="AA506" s="162"/>
      <c r="AB506" s="148"/>
      <c r="AC506" s="161"/>
      <c r="AD506" s="146" t="str">
        <f>IF(AC506&lt;&gt;"", SUMIF(Bets!$D:$D, AC506, Bets!AG:AG), "")</f>
        <v/>
      </c>
      <c r="AE506" s="162"/>
      <c r="AF506" s="148"/>
    </row>
    <row r="507">
      <c r="A507" s="161"/>
      <c r="B507" s="146" t="str">
        <f>IF(A507&lt;&gt;"", SUMIF(Bets!$D:$D, A507, Bets!Z:Z), "")</f>
        <v/>
      </c>
      <c r="C507" s="162"/>
      <c r="D507" s="148"/>
      <c r="E507" s="161"/>
      <c r="F507" s="146" t="str">
        <f>IF(E507&lt;&gt;"", SUMIF(Bets!$D:$D, E507, Bets!AB:AB), "")</f>
        <v/>
      </c>
      <c r="G507" s="162"/>
      <c r="H507" s="148"/>
      <c r="I507" s="161"/>
      <c r="J507" s="146" t="str">
        <f>IF(I507&lt;&gt;"", SUMIF(Bets!$D:$D, I507, Bets!AA:AA), "")</f>
        <v/>
      </c>
      <c r="K507" s="162"/>
      <c r="L507" s="148"/>
      <c r="M507" s="161"/>
      <c r="N507" s="146"/>
      <c r="O507" s="162"/>
      <c r="P507" s="148"/>
      <c r="Q507" s="161"/>
      <c r="R507" s="146" t="str">
        <f>IF(Q507&lt;&gt;"", SUMIF(Bets!$D:$D, Q507, Bets!AD:AD), "")</f>
        <v/>
      </c>
      <c r="S507" s="162"/>
      <c r="T507" s="148"/>
      <c r="U507" s="161"/>
      <c r="V507" s="146" t="str">
        <f>IF(U507&lt;&gt;"", SUMIF(Bets!$D:$D, U507, Bets!AE:AE), "")</f>
        <v/>
      </c>
      <c r="W507" s="162"/>
      <c r="X507" s="148"/>
      <c r="Y507" s="161"/>
      <c r="Z507" s="146" t="str">
        <f>IF(Y507&lt;&gt;"", SUMIF(Bets!$D:$D, Y507, Bets!AF:AF), "")</f>
        <v/>
      </c>
      <c r="AA507" s="162"/>
      <c r="AB507" s="148"/>
      <c r="AC507" s="161"/>
      <c r="AD507" s="146" t="str">
        <f>IF(AC507&lt;&gt;"", SUMIF(Bets!$D:$D, AC507, Bets!AG:AG), "")</f>
        <v/>
      </c>
      <c r="AE507" s="162"/>
      <c r="AF507" s="148"/>
    </row>
    <row r="508">
      <c r="A508" s="161"/>
      <c r="B508" s="146" t="str">
        <f>IF(A508&lt;&gt;"", SUMIF(Bets!$D:$D, A508, Bets!Z:Z), "")</f>
        <v/>
      </c>
      <c r="C508" s="162"/>
      <c r="D508" s="148"/>
      <c r="E508" s="161"/>
      <c r="F508" s="146" t="str">
        <f>IF(E508&lt;&gt;"", SUMIF(Bets!$D:$D, E508, Bets!AB:AB), "")</f>
        <v/>
      </c>
      <c r="G508" s="162"/>
      <c r="H508" s="148"/>
      <c r="I508" s="161"/>
      <c r="J508" s="146" t="str">
        <f>IF(I508&lt;&gt;"", SUMIF(Bets!$D:$D, I508, Bets!AA:AA), "")</f>
        <v/>
      </c>
      <c r="K508" s="162"/>
      <c r="L508" s="148"/>
      <c r="M508" s="161"/>
      <c r="N508" s="146"/>
      <c r="O508" s="162"/>
      <c r="P508" s="148"/>
      <c r="Q508" s="161"/>
      <c r="R508" s="146" t="str">
        <f>IF(Q508&lt;&gt;"", SUMIF(Bets!$D:$D, Q508, Bets!AD:AD), "")</f>
        <v/>
      </c>
      <c r="S508" s="162"/>
      <c r="T508" s="148"/>
      <c r="U508" s="161"/>
      <c r="V508" s="146" t="str">
        <f>IF(U508&lt;&gt;"", SUMIF(Bets!$D:$D, U508, Bets!AE:AE), "")</f>
        <v/>
      </c>
      <c r="W508" s="162"/>
      <c r="X508" s="148"/>
      <c r="Y508" s="161"/>
      <c r="Z508" s="146" t="str">
        <f>IF(Y508&lt;&gt;"", SUMIF(Bets!$D:$D, Y508, Bets!AF:AF), "")</f>
        <v/>
      </c>
      <c r="AA508" s="162"/>
      <c r="AB508" s="148"/>
      <c r="AC508" s="161"/>
      <c r="AD508" s="146" t="str">
        <f>IF(AC508&lt;&gt;"", SUMIF(Bets!$D:$D, AC508, Bets!AG:AG), "")</f>
        <v/>
      </c>
      <c r="AE508" s="162"/>
      <c r="AF508" s="148"/>
    </row>
    <row r="509">
      <c r="A509" s="161"/>
      <c r="B509" s="146" t="str">
        <f>IF(A509&lt;&gt;"", SUMIF(Bets!$D:$D, A509, Bets!Z:Z), "")</f>
        <v/>
      </c>
      <c r="C509" s="162"/>
      <c r="D509" s="148"/>
      <c r="E509" s="161"/>
      <c r="F509" s="146" t="str">
        <f>IF(E509&lt;&gt;"", SUMIF(Bets!$D:$D, E509, Bets!AB:AB), "")</f>
        <v/>
      </c>
      <c r="G509" s="162"/>
      <c r="H509" s="148"/>
      <c r="I509" s="161"/>
      <c r="J509" s="146" t="str">
        <f>IF(I509&lt;&gt;"", SUMIF(Bets!$D:$D, I509, Bets!AA:AA), "")</f>
        <v/>
      </c>
      <c r="K509" s="162"/>
      <c r="L509" s="148"/>
      <c r="M509" s="161"/>
      <c r="N509" s="146"/>
      <c r="O509" s="162"/>
      <c r="P509" s="148"/>
      <c r="Q509" s="161"/>
      <c r="R509" s="146" t="str">
        <f>IF(Q509&lt;&gt;"", SUMIF(Bets!$D:$D, Q509, Bets!AD:AD), "")</f>
        <v/>
      </c>
      <c r="S509" s="162"/>
      <c r="T509" s="148"/>
      <c r="U509" s="161"/>
      <c r="V509" s="146" t="str">
        <f>IF(U509&lt;&gt;"", SUMIF(Bets!$D:$D, U509, Bets!AE:AE), "")</f>
        <v/>
      </c>
      <c r="W509" s="162"/>
      <c r="X509" s="148"/>
      <c r="Y509" s="161"/>
      <c r="Z509" s="146" t="str">
        <f>IF(Y509&lt;&gt;"", SUMIF(Bets!$D:$D, Y509, Bets!AF:AF), "")</f>
        <v/>
      </c>
      <c r="AA509" s="162"/>
      <c r="AB509" s="148"/>
      <c r="AC509" s="161"/>
      <c r="AD509" s="146" t="str">
        <f>IF(AC509&lt;&gt;"", SUMIF(Bets!$D:$D, AC509, Bets!AG:AG), "")</f>
        <v/>
      </c>
      <c r="AE509" s="162"/>
      <c r="AF509" s="148"/>
    </row>
    <row r="510">
      <c r="A510" s="161"/>
      <c r="B510" s="146" t="str">
        <f>IF(A510&lt;&gt;"", SUMIF(Bets!$D:$D, A510, Bets!Z:Z), "")</f>
        <v/>
      </c>
      <c r="C510" s="162"/>
      <c r="D510" s="148"/>
      <c r="E510" s="161"/>
      <c r="F510" s="146" t="str">
        <f>IF(E510&lt;&gt;"", SUMIF(Bets!$D:$D, E510, Bets!AB:AB), "")</f>
        <v/>
      </c>
      <c r="G510" s="162"/>
      <c r="H510" s="148"/>
      <c r="I510" s="161"/>
      <c r="J510" s="146" t="str">
        <f>IF(I510&lt;&gt;"", SUMIF(Bets!$D:$D, I510, Bets!AA:AA), "")</f>
        <v/>
      </c>
      <c r="K510" s="162"/>
      <c r="L510" s="148"/>
      <c r="M510" s="161"/>
      <c r="N510" s="146"/>
      <c r="O510" s="162"/>
      <c r="P510" s="148"/>
      <c r="Q510" s="161"/>
      <c r="R510" s="146" t="str">
        <f>IF(Q510&lt;&gt;"", SUMIF(Bets!$D:$D, Q510, Bets!AD:AD), "")</f>
        <v/>
      </c>
      <c r="S510" s="162"/>
      <c r="T510" s="148"/>
      <c r="U510" s="161"/>
      <c r="V510" s="146" t="str">
        <f>IF(U510&lt;&gt;"", SUMIF(Bets!$D:$D, U510, Bets!AE:AE), "")</f>
        <v/>
      </c>
      <c r="W510" s="162"/>
      <c r="X510" s="148"/>
      <c r="Y510" s="161"/>
      <c r="Z510" s="146" t="str">
        <f>IF(Y510&lt;&gt;"", SUMIF(Bets!$D:$D, Y510, Bets!AF:AF), "")</f>
        <v/>
      </c>
      <c r="AA510" s="162"/>
      <c r="AB510" s="148"/>
      <c r="AC510" s="161"/>
      <c r="AD510" s="146" t="str">
        <f>IF(AC510&lt;&gt;"", SUMIF(Bets!$D:$D, AC510, Bets!AG:AG), "")</f>
        <v/>
      </c>
      <c r="AE510" s="162"/>
      <c r="AF510" s="148"/>
    </row>
    <row r="511">
      <c r="A511" s="161"/>
      <c r="B511" s="146" t="str">
        <f>IF(A511&lt;&gt;"", SUMIF(Bets!$D:$D, A511, Bets!Z:Z), "")</f>
        <v/>
      </c>
      <c r="C511" s="162"/>
      <c r="D511" s="148"/>
      <c r="E511" s="161"/>
      <c r="F511" s="146" t="str">
        <f>IF(E511&lt;&gt;"", SUMIF(Bets!$D:$D, E511, Bets!AB:AB), "")</f>
        <v/>
      </c>
      <c r="G511" s="162"/>
      <c r="H511" s="148"/>
      <c r="I511" s="161"/>
      <c r="J511" s="146" t="str">
        <f>IF(I511&lt;&gt;"", SUMIF(Bets!$D:$D, I511, Bets!AA:AA), "")</f>
        <v/>
      </c>
      <c r="K511" s="162"/>
      <c r="L511" s="148"/>
      <c r="M511" s="161"/>
      <c r="N511" s="146"/>
      <c r="O511" s="162"/>
      <c r="P511" s="148"/>
      <c r="Q511" s="161"/>
      <c r="R511" s="146" t="str">
        <f>IF(Q511&lt;&gt;"", SUMIF(Bets!$D:$D, Q511, Bets!AD:AD), "")</f>
        <v/>
      </c>
      <c r="S511" s="162"/>
      <c r="T511" s="148"/>
      <c r="U511" s="161"/>
      <c r="V511" s="146" t="str">
        <f>IF(U511&lt;&gt;"", SUMIF(Bets!$D:$D, U511, Bets!AE:AE), "")</f>
        <v/>
      </c>
      <c r="W511" s="162"/>
      <c r="X511" s="148"/>
      <c r="Y511" s="161"/>
      <c r="Z511" s="146" t="str">
        <f>IF(Y511&lt;&gt;"", SUMIF(Bets!$D:$D, Y511, Bets!AF:AF), "")</f>
        <v/>
      </c>
      <c r="AA511" s="162"/>
      <c r="AB511" s="148"/>
      <c r="AC511" s="161"/>
      <c r="AD511" s="146" t="str">
        <f>IF(AC511&lt;&gt;"", SUMIF(Bets!$D:$D, AC511, Bets!AG:AG), "")</f>
        <v/>
      </c>
      <c r="AE511" s="162"/>
      <c r="AF511" s="148"/>
    </row>
    <row r="512">
      <c r="A512" s="161"/>
      <c r="B512" s="146" t="str">
        <f>IF(A512&lt;&gt;"", SUMIF(Bets!$D:$D, A512, Bets!Z:Z), "")</f>
        <v/>
      </c>
      <c r="C512" s="162"/>
      <c r="D512" s="148"/>
      <c r="E512" s="161"/>
      <c r="F512" s="146" t="str">
        <f>IF(E512&lt;&gt;"", SUMIF(Bets!$D:$D, E512, Bets!AB:AB), "")</f>
        <v/>
      </c>
      <c r="G512" s="162"/>
      <c r="H512" s="148"/>
      <c r="I512" s="161"/>
      <c r="J512" s="146" t="str">
        <f>IF(I512&lt;&gt;"", SUMIF(Bets!$D:$D, I512, Bets!AA:AA), "")</f>
        <v/>
      </c>
      <c r="K512" s="162"/>
      <c r="L512" s="148"/>
      <c r="M512" s="161"/>
      <c r="N512" s="146"/>
      <c r="O512" s="162"/>
      <c r="P512" s="148"/>
      <c r="Q512" s="161"/>
      <c r="R512" s="146" t="str">
        <f>IF(Q512&lt;&gt;"", SUMIF(Bets!$D:$D, Q512, Bets!AD:AD), "")</f>
        <v/>
      </c>
      <c r="S512" s="162"/>
      <c r="T512" s="148"/>
      <c r="U512" s="161"/>
      <c r="V512" s="146" t="str">
        <f>IF(U512&lt;&gt;"", SUMIF(Bets!$D:$D, U512, Bets!AE:AE), "")</f>
        <v/>
      </c>
      <c r="W512" s="162"/>
      <c r="X512" s="148"/>
      <c r="Y512" s="161"/>
      <c r="Z512" s="146" t="str">
        <f>IF(Y512&lt;&gt;"", SUMIF(Bets!$D:$D, Y512, Bets!AF:AF), "")</f>
        <v/>
      </c>
      <c r="AA512" s="162"/>
      <c r="AB512" s="148"/>
      <c r="AC512" s="161"/>
      <c r="AD512" s="146" t="str">
        <f>IF(AC512&lt;&gt;"", SUMIF(Bets!$D:$D, AC512, Bets!AG:AG), "")</f>
        <v/>
      </c>
      <c r="AE512" s="162"/>
      <c r="AF512" s="148"/>
    </row>
    <row r="513">
      <c r="A513" s="161"/>
      <c r="B513" s="146" t="str">
        <f>IF(A513&lt;&gt;"", SUMIF(Bets!$D:$D, A513, Bets!Z:Z), "")</f>
        <v/>
      </c>
      <c r="C513" s="162"/>
      <c r="D513" s="148"/>
      <c r="E513" s="161"/>
      <c r="F513" s="146" t="str">
        <f>IF(E513&lt;&gt;"", SUMIF(Bets!$D:$D, E513, Bets!AB:AB), "")</f>
        <v/>
      </c>
      <c r="G513" s="162"/>
      <c r="H513" s="148"/>
      <c r="I513" s="161"/>
      <c r="J513" s="146" t="str">
        <f>IF(I513&lt;&gt;"", SUMIF(Bets!$D:$D, I513, Bets!AA:AA), "")</f>
        <v/>
      </c>
      <c r="K513" s="162"/>
      <c r="L513" s="148"/>
      <c r="M513" s="161"/>
      <c r="N513" s="146"/>
      <c r="O513" s="162"/>
      <c r="P513" s="148"/>
      <c r="Q513" s="161"/>
      <c r="R513" s="146" t="str">
        <f>IF(Q513&lt;&gt;"", SUMIF(Bets!$D:$D, Q513, Bets!AD:AD), "")</f>
        <v/>
      </c>
      <c r="S513" s="162"/>
      <c r="T513" s="148"/>
      <c r="U513" s="161"/>
      <c r="V513" s="146" t="str">
        <f>IF(U513&lt;&gt;"", SUMIF(Bets!$D:$D, U513, Bets!AE:AE), "")</f>
        <v/>
      </c>
      <c r="W513" s="162"/>
      <c r="X513" s="148"/>
      <c r="Y513" s="161"/>
      <c r="Z513" s="146" t="str">
        <f>IF(Y513&lt;&gt;"", SUMIF(Bets!$D:$D, Y513, Bets!AF:AF), "")</f>
        <v/>
      </c>
      <c r="AA513" s="162"/>
      <c r="AB513" s="148"/>
      <c r="AC513" s="161"/>
      <c r="AD513" s="146" t="str">
        <f>IF(AC513&lt;&gt;"", SUMIF(Bets!$D:$D, AC513, Bets!AG:AG), "")</f>
        <v/>
      </c>
      <c r="AE513" s="162"/>
      <c r="AF513" s="148"/>
    </row>
    <row r="514">
      <c r="A514" s="161"/>
      <c r="B514" s="146" t="str">
        <f>IF(A514&lt;&gt;"", SUMIF(Bets!$D:$D, A514, Bets!Z:Z), "")</f>
        <v/>
      </c>
      <c r="C514" s="162"/>
      <c r="D514" s="148"/>
      <c r="E514" s="161"/>
      <c r="F514" s="146" t="str">
        <f>IF(E514&lt;&gt;"", SUMIF(Bets!$D:$D, E514, Bets!AB:AB), "")</f>
        <v/>
      </c>
      <c r="G514" s="162"/>
      <c r="H514" s="148"/>
      <c r="I514" s="161"/>
      <c r="J514" s="146" t="str">
        <f>IF(I514&lt;&gt;"", SUMIF(Bets!$D:$D, I514, Bets!AA:AA), "")</f>
        <v/>
      </c>
      <c r="K514" s="162"/>
      <c r="L514" s="148"/>
      <c r="M514" s="161"/>
      <c r="N514" s="146"/>
      <c r="O514" s="162"/>
      <c r="P514" s="148"/>
      <c r="Q514" s="161"/>
      <c r="R514" s="146" t="str">
        <f>IF(Q514&lt;&gt;"", SUMIF(Bets!$D:$D, Q514, Bets!AD:AD), "")</f>
        <v/>
      </c>
      <c r="S514" s="162"/>
      <c r="T514" s="148"/>
      <c r="U514" s="161"/>
      <c r="V514" s="146" t="str">
        <f>IF(U514&lt;&gt;"", SUMIF(Bets!$D:$D, U514, Bets!AE:AE), "")</f>
        <v/>
      </c>
      <c r="W514" s="162"/>
      <c r="X514" s="148"/>
      <c r="Y514" s="161"/>
      <c r="Z514" s="146" t="str">
        <f>IF(Y514&lt;&gt;"", SUMIF(Bets!$D:$D, Y514, Bets!AF:AF), "")</f>
        <v/>
      </c>
      <c r="AA514" s="162"/>
      <c r="AB514" s="148"/>
      <c r="AC514" s="161"/>
      <c r="AD514" s="146" t="str">
        <f>IF(AC514&lt;&gt;"", SUMIF(Bets!$D:$D, AC514, Bets!AG:AG), "")</f>
        <v/>
      </c>
      <c r="AE514" s="162"/>
      <c r="AF514" s="148"/>
    </row>
    <row r="515">
      <c r="A515" s="161"/>
      <c r="B515" s="146" t="str">
        <f>IF(A515&lt;&gt;"", SUMIF(Bets!$D:$D, A515, Bets!Z:Z), "")</f>
        <v/>
      </c>
      <c r="C515" s="162"/>
      <c r="D515" s="148"/>
      <c r="E515" s="161"/>
      <c r="F515" s="146" t="str">
        <f>IF(E515&lt;&gt;"", SUMIF(Bets!$D:$D, E515, Bets!AB:AB), "")</f>
        <v/>
      </c>
      <c r="G515" s="162"/>
      <c r="H515" s="148"/>
      <c r="I515" s="161"/>
      <c r="J515" s="146" t="str">
        <f>IF(I515&lt;&gt;"", SUMIF(Bets!$D:$D, I515, Bets!AA:AA), "")</f>
        <v/>
      </c>
      <c r="K515" s="162"/>
      <c r="L515" s="148"/>
      <c r="M515" s="161"/>
      <c r="N515" s="146"/>
      <c r="O515" s="162"/>
      <c r="P515" s="148"/>
      <c r="Q515" s="161"/>
      <c r="R515" s="146" t="str">
        <f>IF(Q515&lt;&gt;"", SUMIF(Bets!$D:$D, Q515, Bets!AD:AD), "")</f>
        <v/>
      </c>
      <c r="S515" s="162"/>
      <c r="T515" s="148"/>
      <c r="U515" s="161"/>
      <c r="V515" s="146" t="str">
        <f>IF(U515&lt;&gt;"", SUMIF(Bets!$D:$D, U515, Bets!AE:AE), "")</f>
        <v/>
      </c>
      <c r="W515" s="162"/>
      <c r="X515" s="148"/>
      <c r="Y515" s="161"/>
      <c r="Z515" s="146" t="str">
        <f>IF(Y515&lt;&gt;"", SUMIF(Bets!$D:$D, Y515, Bets!AF:AF), "")</f>
        <v/>
      </c>
      <c r="AA515" s="162"/>
      <c r="AB515" s="148"/>
      <c r="AC515" s="161"/>
      <c r="AD515" s="146" t="str">
        <f>IF(AC515&lt;&gt;"", SUMIF(Bets!$D:$D, AC515, Bets!AG:AG), "")</f>
        <v/>
      </c>
      <c r="AE515" s="162"/>
      <c r="AF515" s="148"/>
    </row>
    <row r="516">
      <c r="A516" s="161"/>
      <c r="B516" s="146" t="str">
        <f>IF(A516&lt;&gt;"", SUMIF(Bets!$D:$D, A516, Bets!Z:Z), "")</f>
        <v/>
      </c>
      <c r="C516" s="162"/>
      <c r="D516" s="148"/>
      <c r="E516" s="161"/>
      <c r="F516" s="146" t="str">
        <f>IF(E516&lt;&gt;"", SUMIF(Bets!$D:$D, E516, Bets!AB:AB), "")</f>
        <v/>
      </c>
      <c r="G516" s="162"/>
      <c r="H516" s="148"/>
      <c r="I516" s="161"/>
      <c r="J516" s="146" t="str">
        <f>IF(I516&lt;&gt;"", SUMIF(Bets!$D:$D, I516, Bets!AA:AA), "")</f>
        <v/>
      </c>
      <c r="K516" s="162"/>
      <c r="L516" s="148"/>
      <c r="M516" s="161"/>
      <c r="N516" s="146"/>
      <c r="O516" s="162"/>
      <c r="P516" s="148"/>
      <c r="Q516" s="161"/>
      <c r="R516" s="146" t="str">
        <f>IF(Q516&lt;&gt;"", SUMIF(Bets!$D:$D, Q516, Bets!AD:AD), "")</f>
        <v/>
      </c>
      <c r="S516" s="162"/>
      <c r="T516" s="148"/>
      <c r="U516" s="161"/>
      <c r="V516" s="146" t="str">
        <f>IF(U516&lt;&gt;"", SUMIF(Bets!$D:$D, U516, Bets!AE:AE), "")</f>
        <v/>
      </c>
      <c r="W516" s="162"/>
      <c r="X516" s="148"/>
      <c r="Y516" s="161"/>
      <c r="Z516" s="146" t="str">
        <f>IF(Y516&lt;&gt;"", SUMIF(Bets!$D:$D, Y516, Bets!AF:AF), "")</f>
        <v/>
      </c>
      <c r="AA516" s="162"/>
      <c r="AB516" s="148"/>
      <c r="AC516" s="161"/>
      <c r="AD516" s="146" t="str">
        <f>IF(AC516&lt;&gt;"", SUMIF(Bets!$D:$D, AC516, Bets!AG:AG), "")</f>
        <v/>
      </c>
      <c r="AE516" s="162"/>
      <c r="AF516" s="148"/>
    </row>
    <row r="517">
      <c r="A517" s="161"/>
      <c r="B517" s="146" t="str">
        <f>IF(A517&lt;&gt;"", SUMIF(Bets!$D:$D, A517, Bets!Z:Z), "")</f>
        <v/>
      </c>
      <c r="C517" s="162"/>
      <c r="D517" s="148"/>
      <c r="E517" s="161"/>
      <c r="F517" s="146" t="str">
        <f>IF(E517&lt;&gt;"", SUMIF(Bets!$D:$D, E517, Bets!AB:AB), "")</f>
        <v/>
      </c>
      <c r="G517" s="162"/>
      <c r="H517" s="148"/>
      <c r="I517" s="161"/>
      <c r="J517" s="146" t="str">
        <f>IF(I517&lt;&gt;"", SUMIF(Bets!$D:$D, I517, Bets!AA:AA), "")</f>
        <v/>
      </c>
      <c r="K517" s="162"/>
      <c r="L517" s="148"/>
      <c r="M517" s="161"/>
      <c r="N517" s="146"/>
      <c r="O517" s="162"/>
      <c r="P517" s="148"/>
      <c r="Q517" s="161"/>
      <c r="R517" s="146" t="str">
        <f>IF(Q517&lt;&gt;"", SUMIF(Bets!$D:$D, Q517, Bets!AD:AD), "")</f>
        <v/>
      </c>
      <c r="S517" s="162"/>
      <c r="T517" s="148"/>
      <c r="U517" s="161"/>
      <c r="V517" s="146" t="str">
        <f>IF(U517&lt;&gt;"", SUMIF(Bets!$D:$D, U517, Bets!AE:AE), "")</f>
        <v/>
      </c>
      <c r="W517" s="162"/>
      <c r="X517" s="148"/>
      <c r="Y517" s="161"/>
      <c r="Z517" s="146" t="str">
        <f>IF(Y517&lt;&gt;"", SUMIF(Bets!$D:$D, Y517, Bets!AF:AF), "")</f>
        <v/>
      </c>
      <c r="AA517" s="162"/>
      <c r="AB517" s="148"/>
      <c r="AC517" s="161"/>
      <c r="AD517" s="146" t="str">
        <f>IF(AC517&lt;&gt;"", SUMIF(Bets!$D:$D, AC517, Bets!AG:AG), "")</f>
        <v/>
      </c>
      <c r="AE517" s="162"/>
      <c r="AF517" s="148"/>
    </row>
    <row r="518">
      <c r="A518" s="161"/>
      <c r="B518" s="146" t="str">
        <f>IF(A518&lt;&gt;"", SUMIF(Bets!$D:$D, A518, Bets!Z:Z), "")</f>
        <v/>
      </c>
      <c r="C518" s="162"/>
      <c r="D518" s="148"/>
      <c r="E518" s="161"/>
      <c r="F518" s="146" t="str">
        <f>IF(E518&lt;&gt;"", SUMIF(Bets!$D:$D, E518, Bets!AB:AB), "")</f>
        <v/>
      </c>
      <c r="G518" s="162"/>
      <c r="H518" s="148"/>
      <c r="I518" s="161"/>
      <c r="J518" s="146" t="str">
        <f>IF(I518&lt;&gt;"", SUMIF(Bets!$D:$D, I518, Bets!AA:AA), "")</f>
        <v/>
      </c>
      <c r="K518" s="162"/>
      <c r="L518" s="148"/>
      <c r="M518" s="161"/>
      <c r="N518" s="146"/>
      <c r="O518" s="162"/>
      <c r="P518" s="148"/>
      <c r="Q518" s="161"/>
      <c r="R518" s="146" t="str">
        <f>IF(Q518&lt;&gt;"", SUMIF(Bets!$D:$D, Q518, Bets!AD:AD), "")</f>
        <v/>
      </c>
      <c r="S518" s="162"/>
      <c r="T518" s="148"/>
      <c r="U518" s="161"/>
      <c r="V518" s="146" t="str">
        <f>IF(U518&lt;&gt;"", SUMIF(Bets!$D:$D, U518, Bets!AE:AE), "")</f>
        <v/>
      </c>
      <c r="W518" s="162"/>
      <c r="X518" s="148"/>
      <c r="Y518" s="161"/>
      <c r="Z518" s="146" t="str">
        <f>IF(Y518&lt;&gt;"", SUMIF(Bets!$D:$D, Y518, Bets!AF:AF), "")</f>
        <v/>
      </c>
      <c r="AA518" s="162"/>
      <c r="AB518" s="148"/>
      <c r="AC518" s="161"/>
      <c r="AD518" s="146" t="str">
        <f>IF(AC518&lt;&gt;"", SUMIF(Bets!$D:$D, AC518, Bets!AG:AG), "")</f>
        <v/>
      </c>
      <c r="AE518" s="162"/>
      <c r="AF518" s="148"/>
    </row>
    <row r="519">
      <c r="A519" s="161"/>
      <c r="B519" s="146" t="str">
        <f>IF(A519&lt;&gt;"", SUMIF(Bets!$D:$D, A519, Bets!Z:Z), "")</f>
        <v/>
      </c>
      <c r="C519" s="162"/>
      <c r="D519" s="148"/>
      <c r="E519" s="161"/>
      <c r="F519" s="146" t="str">
        <f>IF(E519&lt;&gt;"", SUMIF(Bets!$D:$D, E519, Bets!AB:AB), "")</f>
        <v/>
      </c>
      <c r="G519" s="162"/>
      <c r="H519" s="148"/>
      <c r="I519" s="161"/>
      <c r="J519" s="146" t="str">
        <f>IF(I519&lt;&gt;"", SUMIF(Bets!$D:$D, I519, Bets!AA:AA), "")</f>
        <v/>
      </c>
      <c r="K519" s="162"/>
      <c r="L519" s="148"/>
      <c r="M519" s="161"/>
      <c r="N519" s="146"/>
      <c r="O519" s="162"/>
      <c r="P519" s="148"/>
      <c r="Q519" s="161"/>
      <c r="R519" s="146" t="str">
        <f>IF(Q519&lt;&gt;"", SUMIF(Bets!$D:$D, Q519, Bets!AD:AD), "")</f>
        <v/>
      </c>
      <c r="S519" s="162"/>
      <c r="T519" s="148"/>
      <c r="U519" s="161"/>
      <c r="V519" s="146" t="str">
        <f>IF(U519&lt;&gt;"", SUMIF(Bets!$D:$D, U519, Bets!AE:AE), "")</f>
        <v/>
      </c>
      <c r="W519" s="162"/>
      <c r="X519" s="148"/>
      <c r="Y519" s="161"/>
      <c r="Z519" s="146" t="str">
        <f>IF(Y519&lt;&gt;"", SUMIF(Bets!$D:$D, Y519, Bets!AF:AF), "")</f>
        <v/>
      </c>
      <c r="AA519" s="162"/>
      <c r="AB519" s="148"/>
      <c r="AC519" s="161"/>
      <c r="AD519" s="146" t="str">
        <f>IF(AC519&lt;&gt;"", SUMIF(Bets!$D:$D, AC519, Bets!AG:AG), "")</f>
        <v/>
      </c>
      <c r="AE519" s="162"/>
      <c r="AF519" s="148"/>
    </row>
    <row r="520">
      <c r="A520" s="161"/>
      <c r="B520" s="146" t="str">
        <f>IF(A520&lt;&gt;"", SUMIF(Bets!$D:$D, A520, Bets!Z:Z), "")</f>
        <v/>
      </c>
      <c r="C520" s="162"/>
      <c r="D520" s="148"/>
      <c r="E520" s="161"/>
      <c r="F520" s="146" t="str">
        <f>IF(E520&lt;&gt;"", SUMIF(Bets!$D:$D, E520, Bets!AB:AB), "")</f>
        <v/>
      </c>
      <c r="G520" s="162"/>
      <c r="H520" s="148"/>
      <c r="I520" s="161"/>
      <c r="J520" s="146" t="str">
        <f>IF(I520&lt;&gt;"", SUMIF(Bets!$D:$D, I520, Bets!AA:AA), "")</f>
        <v/>
      </c>
      <c r="K520" s="162"/>
      <c r="L520" s="148"/>
      <c r="M520" s="161"/>
      <c r="N520" s="146"/>
      <c r="O520" s="162"/>
      <c r="P520" s="148"/>
      <c r="Q520" s="161"/>
      <c r="R520" s="146" t="str">
        <f>IF(Q520&lt;&gt;"", SUMIF(Bets!$D:$D, Q520, Bets!AD:AD), "")</f>
        <v/>
      </c>
      <c r="S520" s="162"/>
      <c r="T520" s="148"/>
      <c r="U520" s="161"/>
      <c r="V520" s="146" t="str">
        <f>IF(U520&lt;&gt;"", SUMIF(Bets!$D:$D, U520, Bets!AE:AE), "")</f>
        <v/>
      </c>
      <c r="W520" s="162"/>
      <c r="X520" s="148"/>
      <c r="Y520" s="161"/>
      <c r="Z520" s="146" t="str">
        <f>IF(Y520&lt;&gt;"", SUMIF(Bets!$D:$D, Y520, Bets!AF:AF), "")</f>
        <v/>
      </c>
      <c r="AA520" s="162"/>
      <c r="AB520" s="148"/>
      <c r="AC520" s="161"/>
      <c r="AD520" s="146" t="str">
        <f>IF(AC520&lt;&gt;"", SUMIF(Bets!$D:$D, AC520, Bets!AG:AG), "")</f>
        <v/>
      </c>
      <c r="AE520" s="162"/>
      <c r="AF520" s="148"/>
    </row>
    <row r="521">
      <c r="A521" s="161"/>
      <c r="B521" s="146" t="str">
        <f>IF(A521&lt;&gt;"", SUMIF(Bets!$D:$D, A521, Bets!Z:Z), "")</f>
        <v/>
      </c>
      <c r="C521" s="162"/>
      <c r="D521" s="148"/>
      <c r="E521" s="161"/>
      <c r="F521" s="146" t="str">
        <f>IF(E521&lt;&gt;"", SUMIF(Bets!$D:$D, E521, Bets!AB:AB), "")</f>
        <v/>
      </c>
      <c r="G521" s="162"/>
      <c r="H521" s="148"/>
      <c r="I521" s="161"/>
      <c r="J521" s="146" t="str">
        <f>IF(I521&lt;&gt;"", SUMIF(Bets!$D:$D, I521, Bets!AA:AA), "")</f>
        <v/>
      </c>
      <c r="K521" s="162"/>
      <c r="L521" s="148"/>
      <c r="M521" s="161"/>
      <c r="N521" s="146"/>
      <c r="O521" s="162"/>
      <c r="P521" s="148"/>
      <c r="Q521" s="161"/>
      <c r="R521" s="146" t="str">
        <f>IF(Q521&lt;&gt;"", SUMIF(Bets!$D:$D, Q521, Bets!AD:AD), "")</f>
        <v/>
      </c>
      <c r="S521" s="162"/>
      <c r="T521" s="148"/>
      <c r="U521" s="161"/>
      <c r="V521" s="146" t="str">
        <f>IF(U521&lt;&gt;"", SUMIF(Bets!$D:$D, U521, Bets!AE:AE), "")</f>
        <v/>
      </c>
      <c r="W521" s="162"/>
      <c r="X521" s="148"/>
      <c r="Y521" s="161"/>
      <c r="Z521" s="146" t="str">
        <f>IF(Y521&lt;&gt;"", SUMIF(Bets!$D:$D, Y521, Bets!AF:AF), "")</f>
        <v/>
      </c>
      <c r="AA521" s="162"/>
      <c r="AB521" s="148"/>
      <c r="AC521" s="161"/>
      <c r="AD521" s="146" t="str">
        <f>IF(AC521&lt;&gt;"", SUMIF(Bets!$D:$D, AC521, Bets!AG:AG), "")</f>
        <v/>
      </c>
      <c r="AE521" s="162"/>
      <c r="AF521" s="148"/>
    </row>
    <row r="522">
      <c r="A522" s="161"/>
      <c r="B522" s="146" t="str">
        <f>IF(A522&lt;&gt;"", SUMIF(Bets!$D:$D, A522, Bets!Z:Z), "")</f>
        <v/>
      </c>
      <c r="C522" s="162"/>
      <c r="D522" s="148"/>
      <c r="E522" s="161"/>
      <c r="F522" s="146" t="str">
        <f>IF(E522&lt;&gt;"", SUMIF(Bets!$D:$D, E522, Bets!AB:AB), "")</f>
        <v/>
      </c>
      <c r="G522" s="162"/>
      <c r="H522" s="148"/>
      <c r="I522" s="161"/>
      <c r="J522" s="146" t="str">
        <f>IF(I522&lt;&gt;"", SUMIF(Bets!$D:$D, I522, Bets!AA:AA), "")</f>
        <v/>
      </c>
      <c r="K522" s="162"/>
      <c r="L522" s="148"/>
      <c r="M522" s="161"/>
      <c r="N522" s="146"/>
      <c r="O522" s="162"/>
      <c r="P522" s="148"/>
      <c r="Q522" s="161"/>
      <c r="R522" s="146" t="str">
        <f>IF(Q522&lt;&gt;"", SUMIF(Bets!$D:$D, Q522, Bets!AD:AD), "")</f>
        <v/>
      </c>
      <c r="S522" s="162"/>
      <c r="T522" s="148"/>
      <c r="U522" s="161"/>
      <c r="V522" s="146" t="str">
        <f>IF(U522&lt;&gt;"", SUMIF(Bets!$D:$D, U522, Bets!AE:AE), "")</f>
        <v/>
      </c>
      <c r="W522" s="162"/>
      <c r="X522" s="148"/>
      <c r="Y522" s="161"/>
      <c r="Z522" s="146" t="str">
        <f>IF(Y522&lt;&gt;"", SUMIF(Bets!$D:$D, Y522, Bets!AF:AF), "")</f>
        <v/>
      </c>
      <c r="AA522" s="162"/>
      <c r="AB522" s="148"/>
      <c r="AC522" s="161"/>
      <c r="AD522" s="146" t="str">
        <f>IF(AC522&lt;&gt;"", SUMIF(Bets!$D:$D, AC522, Bets!AG:AG), "")</f>
        <v/>
      </c>
      <c r="AE522" s="162"/>
      <c r="AF522" s="148"/>
    </row>
    <row r="523">
      <c r="A523" s="161"/>
      <c r="B523" s="146" t="str">
        <f>IF(A523&lt;&gt;"", SUMIF(Bets!$D:$D, A523, Bets!Z:Z), "")</f>
        <v/>
      </c>
      <c r="C523" s="162"/>
      <c r="D523" s="148"/>
      <c r="E523" s="161"/>
      <c r="F523" s="146" t="str">
        <f>IF(E523&lt;&gt;"", SUMIF(Bets!$D:$D, E523, Bets!AB:AB), "")</f>
        <v/>
      </c>
      <c r="G523" s="162"/>
      <c r="H523" s="148"/>
      <c r="I523" s="161"/>
      <c r="J523" s="146" t="str">
        <f>IF(I523&lt;&gt;"", SUMIF(Bets!$D:$D, I523, Bets!AA:AA), "")</f>
        <v/>
      </c>
      <c r="K523" s="162"/>
      <c r="L523" s="148"/>
      <c r="M523" s="161"/>
      <c r="N523" s="146"/>
      <c r="O523" s="162"/>
      <c r="P523" s="148"/>
      <c r="Q523" s="161"/>
      <c r="R523" s="146" t="str">
        <f>IF(Q523&lt;&gt;"", SUMIF(Bets!$D:$D, Q523, Bets!AD:AD), "")</f>
        <v/>
      </c>
      <c r="S523" s="162"/>
      <c r="T523" s="148"/>
      <c r="U523" s="161"/>
      <c r="V523" s="146" t="str">
        <f>IF(U523&lt;&gt;"", SUMIF(Bets!$D:$D, U523, Bets!AE:AE), "")</f>
        <v/>
      </c>
      <c r="W523" s="162"/>
      <c r="X523" s="148"/>
      <c r="Y523" s="161"/>
      <c r="Z523" s="146" t="str">
        <f>IF(Y523&lt;&gt;"", SUMIF(Bets!$D:$D, Y523, Bets!AF:AF), "")</f>
        <v/>
      </c>
      <c r="AA523" s="162"/>
      <c r="AB523" s="148"/>
      <c r="AC523" s="161"/>
      <c r="AD523" s="146" t="str">
        <f>IF(AC523&lt;&gt;"", SUMIF(Bets!$D:$D, AC523, Bets!AG:AG), "")</f>
        <v/>
      </c>
      <c r="AE523" s="162"/>
      <c r="AF523" s="148"/>
    </row>
    <row r="524">
      <c r="A524" s="161"/>
      <c r="B524" s="146" t="str">
        <f>IF(A524&lt;&gt;"", SUMIF(Bets!$D:$D, A524, Bets!Z:Z), "")</f>
        <v/>
      </c>
      <c r="C524" s="162"/>
      <c r="D524" s="148"/>
      <c r="E524" s="161"/>
      <c r="F524" s="146" t="str">
        <f>IF(E524&lt;&gt;"", SUMIF(Bets!$D:$D, E524, Bets!AB:AB), "")</f>
        <v/>
      </c>
      <c r="G524" s="162"/>
      <c r="H524" s="148"/>
      <c r="I524" s="161"/>
      <c r="J524" s="146" t="str">
        <f>IF(I524&lt;&gt;"", SUMIF(Bets!$D:$D, I524, Bets!AA:AA), "")</f>
        <v/>
      </c>
      <c r="K524" s="162"/>
      <c r="L524" s="148"/>
      <c r="M524" s="161"/>
      <c r="N524" s="146"/>
      <c r="O524" s="162"/>
      <c r="P524" s="148"/>
      <c r="Q524" s="161"/>
      <c r="R524" s="146" t="str">
        <f>IF(Q524&lt;&gt;"", SUMIF(Bets!$D:$D, Q524, Bets!AD:AD), "")</f>
        <v/>
      </c>
      <c r="S524" s="162"/>
      <c r="T524" s="148"/>
      <c r="U524" s="161"/>
      <c r="V524" s="146" t="str">
        <f>IF(U524&lt;&gt;"", SUMIF(Bets!$D:$D, U524, Bets!AE:AE), "")</f>
        <v/>
      </c>
      <c r="W524" s="162"/>
      <c r="X524" s="148"/>
      <c r="Y524" s="161"/>
      <c r="Z524" s="146" t="str">
        <f>IF(Y524&lt;&gt;"", SUMIF(Bets!$D:$D, Y524, Bets!AF:AF), "")</f>
        <v/>
      </c>
      <c r="AA524" s="162"/>
      <c r="AB524" s="148"/>
      <c r="AC524" s="161"/>
      <c r="AD524" s="146" t="str">
        <f>IF(AC524&lt;&gt;"", SUMIF(Bets!$D:$D, AC524, Bets!AG:AG), "")</f>
        <v/>
      </c>
      <c r="AE524" s="162"/>
      <c r="AF524" s="148"/>
    </row>
    <row r="525">
      <c r="A525" s="161"/>
      <c r="B525" s="146" t="str">
        <f>IF(A525&lt;&gt;"", SUMIF(Bets!$D:$D, A525, Bets!Z:Z), "")</f>
        <v/>
      </c>
      <c r="C525" s="162"/>
      <c r="D525" s="148"/>
      <c r="E525" s="161"/>
      <c r="F525" s="146" t="str">
        <f>IF(E525&lt;&gt;"", SUMIF(Bets!$D:$D, E525, Bets!AB:AB), "")</f>
        <v/>
      </c>
      <c r="G525" s="162"/>
      <c r="H525" s="148"/>
      <c r="I525" s="161"/>
      <c r="J525" s="146" t="str">
        <f>IF(I525&lt;&gt;"", SUMIF(Bets!$D:$D, I525, Bets!AA:AA), "")</f>
        <v/>
      </c>
      <c r="K525" s="162"/>
      <c r="L525" s="148"/>
      <c r="M525" s="161"/>
      <c r="N525" s="146"/>
      <c r="O525" s="162"/>
      <c r="P525" s="148"/>
      <c r="Q525" s="161"/>
      <c r="R525" s="146" t="str">
        <f>IF(Q525&lt;&gt;"", SUMIF(Bets!$D:$D, Q525, Bets!AD:AD), "")</f>
        <v/>
      </c>
      <c r="S525" s="162"/>
      <c r="T525" s="148"/>
      <c r="U525" s="161"/>
      <c r="V525" s="146" t="str">
        <f>IF(U525&lt;&gt;"", SUMIF(Bets!$D:$D, U525, Bets!AE:AE), "")</f>
        <v/>
      </c>
      <c r="W525" s="162"/>
      <c r="X525" s="148"/>
      <c r="Y525" s="161"/>
      <c r="Z525" s="146" t="str">
        <f>IF(Y525&lt;&gt;"", SUMIF(Bets!$D:$D, Y525, Bets!AF:AF), "")</f>
        <v/>
      </c>
      <c r="AA525" s="162"/>
      <c r="AB525" s="148"/>
      <c r="AC525" s="161"/>
      <c r="AD525" s="146" t="str">
        <f>IF(AC525&lt;&gt;"", SUMIF(Bets!$D:$D, AC525, Bets!AG:AG), "")</f>
        <v/>
      </c>
      <c r="AE525" s="162"/>
      <c r="AF525" s="148"/>
    </row>
    <row r="526">
      <c r="A526" s="161"/>
      <c r="B526" s="146" t="str">
        <f>IF(A526&lt;&gt;"", SUMIF(Bets!$D:$D, A526, Bets!Z:Z), "")</f>
        <v/>
      </c>
      <c r="C526" s="162"/>
      <c r="D526" s="148"/>
      <c r="E526" s="161"/>
      <c r="F526" s="146" t="str">
        <f>IF(E526&lt;&gt;"", SUMIF(Bets!$D:$D, E526, Bets!AB:AB), "")</f>
        <v/>
      </c>
      <c r="G526" s="162"/>
      <c r="H526" s="148"/>
      <c r="I526" s="161"/>
      <c r="J526" s="146" t="str">
        <f>IF(I526&lt;&gt;"", SUMIF(Bets!$D:$D, I526, Bets!AA:AA), "")</f>
        <v/>
      </c>
      <c r="K526" s="162"/>
      <c r="L526" s="148"/>
      <c r="M526" s="161"/>
      <c r="N526" s="146"/>
      <c r="O526" s="162"/>
      <c r="P526" s="148"/>
      <c r="Q526" s="161"/>
      <c r="R526" s="146" t="str">
        <f>IF(Q526&lt;&gt;"", SUMIF(Bets!$D:$D, Q526, Bets!AD:AD), "")</f>
        <v/>
      </c>
      <c r="S526" s="162"/>
      <c r="T526" s="148"/>
      <c r="U526" s="161"/>
      <c r="V526" s="146" t="str">
        <f>IF(U526&lt;&gt;"", SUMIF(Bets!$D:$D, U526, Bets!AE:AE), "")</f>
        <v/>
      </c>
      <c r="W526" s="162"/>
      <c r="X526" s="148"/>
      <c r="Y526" s="161"/>
      <c r="Z526" s="146" t="str">
        <f>IF(Y526&lt;&gt;"", SUMIF(Bets!$D:$D, Y526, Bets!AF:AF), "")</f>
        <v/>
      </c>
      <c r="AA526" s="162"/>
      <c r="AB526" s="148"/>
      <c r="AC526" s="161"/>
      <c r="AD526" s="146" t="str">
        <f>IF(AC526&lt;&gt;"", SUMIF(Bets!$D:$D, AC526, Bets!AG:AG), "")</f>
        <v/>
      </c>
      <c r="AE526" s="162"/>
      <c r="AF526" s="148"/>
    </row>
    <row r="527">
      <c r="A527" s="161"/>
      <c r="B527" s="146" t="str">
        <f>IF(A527&lt;&gt;"", SUMIF(Bets!$D:$D, A527, Bets!Z:Z), "")</f>
        <v/>
      </c>
      <c r="C527" s="162"/>
      <c r="D527" s="148"/>
      <c r="E527" s="161"/>
      <c r="F527" s="146" t="str">
        <f>IF(E527&lt;&gt;"", SUMIF(Bets!$D:$D, E527, Bets!AB:AB), "")</f>
        <v/>
      </c>
      <c r="G527" s="162"/>
      <c r="H527" s="148"/>
      <c r="I527" s="161"/>
      <c r="J527" s="146" t="str">
        <f>IF(I527&lt;&gt;"", SUMIF(Bets!$D:$D, I527, Bets!AA:AA), "")</f>
        <v/>
      </c>
      <c r="K527" s="162"/>
      <c r="L527" s="148"/>
      <c r="M527" s="161"/>
      <c r="N527" s="146"/>
      <c r="O527" s="162"/>
      <c r="P527" s="148"/>
      <c r="Q527" s="161"/>
      <c r="R527" s="146" t="str">
        <f>IF(Q527&lt;&gt;"", SUMIF(Bets!$D:$D, Q527, Bets!AD:AD), "")</f>
        <v/>
      </c>
      <c r="S527" s="162"/>
      <c r="T527" s="148"/>
      <c r="U527" s="161"/>
      <c r="V527" s="146" t="str">
        <f>IF(U527&lt;&gt;"", SUMIF(Bets!$D:$D, U527, Bets!AE:AE), "")</f>
        <v/>
      </c>
      <c r="W527" s="162"/>
      <c r="X527" s="148"/>
      <c r="Y527" s="161"/>
      <c r="Z527" s="146" t="str">
        <f>IF(Y527&lt;&gt;"", SUMIF(Bets!$D:$D, Y527, Bets!AF:AF), "")</f>
        <v/>
      </c>
      <c r="AA527" s="162"/>
      <c r="AB527" s="148"/>
      <c r="AC527" s="161"/>
      <c r="AD527" s="146" t="str">
        <f>IF(AC527&lt;&gt;"", SUMIF(Bets!$D:$D, AC527, Bets!AG:AG), "")</f>
        <v/>
      </c>
      <c r="AE527" s="162"/>
      <c r="AF527" s="148"/>
    </row>
    <row r="528">
      <c r="A528" s="161"/>
      <c r="B528" s="146" t="str">
        <f>IF(A528&lt;&gt;"", SUMIF(Bets!$D:$D, A528, Bets!Z:Z), "")</f>
        <v/>
      </c>
      <c r="C528" s="162"/>
      <c r="D528" s="148"/>
      <c r="E528" s="161"/>
      <c r="F528" s="146" t="str">
        <f>IF(E528&lt;&gt;"", SUMIF(Bets!$D:$D, E528, Bets!AB:AB), "")</f>
        <v/>
      </c>
      <c r="G528" s="162"/>
      <c r="H528" s="148"/>
      <c r="I528" s="161"/>
      <c r="J528" s="146" t="str">
        <f>IF(I528&lt;&gt;"", SUMIF(Bets!$D:$D, I528, Bets!AA:AA), "")</f>
        <v/>
      </c>
      <c r="K528" s="162"/>
      <c r="L528" s="148"/>
      <c r="M528" s="161"/>
      <c r="N528" s="146"/>
      <c r="O528" s="162"/>
      <c r="P528" s="148"/>
      <c r="Q528" s="161"/>
      <c r="R528" s="146" t="str">
        <f>IF(Q528&lt;&gt;"", SUMIF(Bets!$D:$D, Q528, Bets!AD:AD), "")</f>
        <v/>
      </c>
      <c r="S528" s="162"/>
      <c r="T528" s="148"/>
      <c r="U528" s="161"/>
      <c r="V528" s="146" t="str">
        <f>IF(U528&lt;&gt;"", SUMIF(Bets!$D:$D, U528, Bets!AE:AE), "")</f>
        <v/>
      </c>
      <c r="W528" s="162"/>
      <c r="X528" s="148"/>
      <c r="Y528" s="161"/>
      <c r="Z528" s="146" t="str">
        <f>IF(Y528&lt;&gt;"", SUMIF(Bets!$D:$D, Y528, Bets!AF:AF), "")</f>
        <v/>
      </c>
      <c r="AA528" s="162"/>
      <c r="AB528" s="148"/>
      <c r="AC528" s="161"/>
      <c r="AD528" s="146" t="str">
        <f>IF(AC528&lt;&gt;"", SUMIF(Bets!$D:$D, AC528, Bets!AG:AG), "")</f>
        <v/>
      </c>
      <c r="AE528" s="162"/>
      <c r="AF528" s="148"/>
    </row>
    <row r="529">
      <c r="A529" s="161"/>
      <c r="B529" s="146" t="str">
        <f>IF(A529&lt;&gt;"", SUMIF(Bets!$D:$D, A529, Bets!Z:Z), "")</f>
        <v/>
      </c>
      <c r="C529" s="162"/>
      <c r="D529" s="148"/>
      <c r="E529" s="161"/>
      <c r="F529" s="146" t="str">
        <f>IF(E529&lt;&gt;"", SUMIF(Bets!$D:$D, E529, Bets!AB:AB), "")</f>
        <v/>
      </c>
      <c r="G529" s="162"/>
      <c r="H529" s="148"/>
      <c r="I529" s="161"/>
      <c r="J529" s="146" t="str">
        <f>IF(I529&lt;&gt;"", SUMIF(Bets!$D:$D, I529, Bets!AA:AA), "")</f>
        <v/>
      </c>
      <c r="K529" s="162"/>
      <c r="L529" s="148"/>
      <c r="M529" s="161"/>
      <c r="N529" s="146"/>
      <c r="O529" s="162"/>
      <c r="P529" s="148"/>
      <c r="Q529" s="161"/>
      <c r="R529" s="146" t="str">
        <f>IF(Q529&lt;&gt;"", SUMIF(Bets!$D:$D, Q529, Bets!AD:AD), "")</f>
        <v/>
      </c>
      <c r="S529" s="162"/>
      <c r="T529" s="148"/>
      <c r="U529" s="161"/>
      <c r="V529" s="146" t="str">
        <f>IF(U529&lt;&gt;"", SUMIF(Bets!$D:$D, U529, Bets!AE:AE), "")</f>
        <v/>
      </c>
      <c r="W529" s="162"/>
      <c r="X529" s="148"/>
      <c r="Y529" s="161"/>
      <c r="Z529" s="146" t="str">
        <f>IF(Y529&lt;&gt;"", SUMIF(Bets!$D:$D, Y529, Bets!AF:AF), "")</f>
        <v/>
      </c>
      <c r="AA529" s="162"/>
      <c r="AB529" s="148"/>
      <c r="AC529" s="161"/>
      <c r="AD529" s="146" t="str">
        <f>IF(AC529&lt;&gt;"", SUMIF(Bets!$D:$D, AC529, Bets!AG:AG), "")</f>
        <v/>
      </c>
      <c r="AE529" s="162"/>
      <c r="AF529" s="148"/>
    </row>
    <row r="530">
      <c r="A530" s="161"/>
      <c r="B530" s="146" t="str">
        <f>IF(A530&lt;&gt;"", SUMIF(Bets!$D:$D, A530, Bets!Z:Z), "")</f>
        <v/>
      </c>
      <c r="C530" s="162"/>
      <c r="D530" s="148"/>
      <c r="E530" s="161"/>
      <c r="F530" s="146" t="str">
        <f>IF(E530&lt;&gt;"", SUMIF(Bets!$D:$D, E530, Bets!AB:AB), "")</f>
        <v/>
      </c>
      <c r="G530" s="162"/>
      <c r="H530" s="148"/>
      <c r="I530" s="161"/>
      <c r="J530" s="146" t="str">
        <f>IF(I530&lt;&gt;"", SUMIF(Bets!$D:$D, I530, Bets!AA:AA), "")</f>
        <v/>
      </c>
      <c r="K530" s="162"/>
      <c r="L530" s="148"/>
      <c r="M530" s="161"/>
      <c r="N530" s="146"/>
      <c r="O530" s="162"/>
      <c r="P530" s="148"/>
      <c r="Q530" s="161"/>
      <c r="R530" s="146" t="str">
        <f>IF(Q530&lt;&gt;"", SUMIF(Bets!$D:$D, Q530, Bets!AD:AD), "")</f>
        <v/>
      </c>
      <c r="S530" s="162"/>
      <c r="T530" s="148"/>
      <c r="U530" s="161"/>
      <c r="V530" s="146" t="str">
        <f>IF(U530&lt;&gt;"", SUMIF(Bets!$D:$D, U530, Bets!AE:AE), "")</f>
        <v/>
      </c>
      <c r="W530" s="162"/>
      <c r="X530" s="148"/>
      <c r="Y530" s="161"/>
      <c r="Z530" s="146" t="str">
        <f>IF(Y530&lt;&gt;"", SUMIF(Bets!$D:$D, Y530, Bets!AF:AF), "")</f>
        <v/>
      </c>
      <c r="AA530" s="162"/>
      <c r="AB530" s="148"/>
      <c r="AC530" s="161"/>
      <c r="AD530" s="146" t="str">
        <f>IF(AC530&lt;&gt;"", SUMIF(Bets!$D:$D, AC530, Bets!AG:AG), "")</f>
        <v/>
      </c>
      <c r="AE530" s="162"/>
      <c r="AF530" s="148"/>
    </row>
    <row r="531">
      <c r="A531" s="161"/>
      <c r="B531" s="146" t="str">
        <f>IF(A531&lt;&gt;"", SUMIF(Bets!$D:$D, A531, Bets!Z:Z), "")</f>
        <v/>
      </c>
      <c r="C531" s="162"/>
      <c r="D531" s="148"/>
      <c r="E531" s="161"/>
      <c r="F531" s="146" t="str">
        <f>IF(E531&lt;&gt;"", SUMIF(Bets!$D:$D, E531, Bets!AB:AB), "")</f>
        <v/>
      </c>
      <c r="G531" s="162"/>
      <c r="H531" s="148"/>
      <c r="I531" s="161"/>
      <c r="J531" s="146" t="str">
        <f>IF(I531&lt;&gt;"", SUMIF(Bets!$D:$D, I531, Bets!AA:AA), "")</f>
        <v/>
      </c>
      <c r="K531" s="162"/>
      <c r="L531" s="148"/>
      <c r="M531" s="161"/>
      <c r="N531" s="146"/>
      <c r="O531" s="162"/>
      <c r="P531" s="148"/>
      <c r="Q531" s="161"/>
      <c r="R531" s="146" t="str">
        <f>IF(Q531&lt;&gt;"", SUMIF(Bets!$D:$D, Q531, Bets!AD:AD), "")</f>
        <v/>
      </c>
      <c r="S531" s="162"/>
      <c r="T531" s="148"/>
      <c r="U531" s="161"/>
      <c r="V531" s="146" t="str">
        <f>IF(U531&lt;&gt;"", SUMIF(Bets!$D:$D, U531, Bets!AE:AE), "")</f>
        <v/>
      </c>
      <c r="W531" s="162"/>
      <c r="X531" s="148"/>
      <c r="Y531" s="161"/>
      <c r="Z531" s="146" t="str">
        <f>IF(Y531&lt;&gt;"", SUMIF(Bets!$D:$D, Y531, Bets!AF:AF), "")</f>
        <v/>
      </c>
      <c r="AA531" s="162"/>
      <c r="AB531" s="148"/>
      <c r="AC531" s="161"/>
      <c r="AD531" s="146" t="str">
        <f>IF(AC531&lt;&gt;"", SUMIF(Bets!$D:$D, AC531, Bets!AG:AG), "")</f>
        <v/>
      </c>
      <c r="AE531" s="162"/>
      <c r="AF531" s="148"/>
    </row>
    <row r="532">
      <c r="A532" s="161"/>
      <c r="B532" s="146" t="str">
        <f>IF(A532&lt;&gt;"", SUMIF(Bets!$D:$D, A532, Bets!Z:Z), "")</f>
        <v/>
      </c>
      <c r="C532" s="162"/>
      <c r="D532" s="148"/>
      <c r="E532" s="161"/>
      <c r="F532" s="146" t="str">
        <f>IF(E532&lt;&gt;"", SUMIF(Bets!$D:$D, E532, Bets!AB:AB), "")</f>
        <v/>
      </c>
      <c r="G532" s="162"/>
      <c r="H532" s="148"/>
      <c r="I532" s="161"/>
      <c r="J532" s="146" t="str">
        <f>IF(I532&lt;&gt;"", SUMIF(Bets!$D:$D, I532, Bets!AA:AA), "")</f>
        <v/>
      </c>
      <c r="K532" s="162"/>
      <c r="L532" s="148"/>
      <c r="M532" s="161"/>
      <c r="N532" s="146"/>
      <c r="O532" s="162"/>
      <c r="P532" s="148"/>
      <c r="Q532" s="161"/>
      <c r="R532" s="146" t="str">
        <f>IF(Q532&lt;&gt;"", SUMIF(Bets!$D:$D, Q532, Bets!AD:AD), "")</f>
        <v/>
      </c>
      <c r="S532" s="162"/>
      <c r="T532" s="148"/>
      <c r="U532" s="161"/>
      <c r="V532" s="146" t="str">
        <f>IF(U532&lt;&gt;"", SUMIF(Bets!$D:$D, U532, Bets!AE:AE), "")</f>
        <v/>
      </c>
      <c r="W532" s="162"/>
      <c r="X532" s="148"/>
      <c r="Y532" s="161"/>
      <c r="Z532" s="146" t="str">
        <f>IF(Y532&lt;&gt;"", SUMIF(Bets!$D:$D, Y532, Bets!AF:AF), "")</f>
        <v/>
      </c>
      <c r="AA532" s="162"/>
      <c r="AB532" s="148"/>
      <c r="AC532" s="161"/>
      <c r="AD532" s="146" t="str">
        <f>IF(AC532&lt;&gt;"", SUMIF(Bets!$D:$D, AC532, Bets!AG:AG), "")</f>
        <v/>
      </c>
      <c r="AE532" s="162"/>
      <c r="AF532" s="148"/>
    </row>
    <row r="533">
      <c r="A533" s="161"/>
      <c r="B533" s="146" t="str">
        <f>IF(A533&lt;&gt;"", SUMIF(Bets!$D:$D, A533, Bets!Z:Z), "")</f>
        <v/>
      </c>
      <c r="C533" s="162"/>
      <c r="D533" s="148"/>
      <c r="E533" s="161"/>
      <c r="F533" s="146" t="str">
        <f>IF(E533&lt;&gt;"", SUMIF(Bets!$D:$D, E533, Bets!AB:AB), "")</f>
        <v/>
      </c>
      <c r="G533" s="162"/>
      <c r="H533" s="148"/>
      <c r="I533" s="161"/>
      <c r="J533" s="146" t="str">
        <f>IF(I533&lt;&gt;"", SUMIF(Bets!$D:$D, I533, Bets!AA:AA), "")</f>
        <v/>
      </c>
      <c r="K533" s="162"/>
      <c r="L533" s="148"/>
      <c r="M533" s="161"/>
      <c r="N533" s="146"/>
      <c r="O533" s="162"/>
      <c r="P533" s="148"/>
      <c r="Q533" s="161"/>
      <c r="R533" s="146" t="str">
        <f>IF(Q533&lt;&gt;"", SUMIF(Bets!$D:$D, Q533, Bets!AD:AD), "")</f>
        <v/>
      </c>
      <c r="S533" s="162"/>
      <c r="T533" s="148"/>
      <c r="U533" s="161"/>
      <c r="V533" s="146" t="str">
        <f>IF(U533&lt;&gt;"", SUMIF(Bets!$D:$D, U533, Bets!AE:AE), "")</f>
        <v/>
      </c>
      <c r="W533" s="162"/>
      <c r="X533" s="148"/>
      <c r="Y533" s="161"/>
      <c r="Z533" s="146" t="str">
        <f>IF(Y533&lt;&gt;"", SUMIF(Bets!$D:$D, Y533, Bets!AF:AF), "")</f>
        <v/>
      </c>
      <c r="AA533" s="162"/>
      <c r="AB533" s="148"/>
      <c r="AC533" s="161"/>
      <c r="AD533" s="146" t="str">
        <f>IF(AC533&lt;&gt;"", SUMIF(Bets!$D:$D, AC533, Bets!AG:AG), "")</f>
        <v/>
      </c>
      <c r="AE533" s="162"/>
      <c r="AF533" s="148"/>
    </row>
    <row r="534">
      <c r="A534" s="161"/>
      <c r="B534" s="146" t="str">
        <f>IF(A534&lt;&gt;"", SUMIF(Bets!$D:$D, A534, Bets!Z:Z), "")</f>
        <v/>
      </c>
      <c r="C534" s="162"/>
      <c r="D534" s="148"/>
      <c r="E534" s="161"/>
      <c r="F534" s="146" t="str">
        <f>IF(E534&lt;&gt;"", SUMIF(Bets!$D:$D, E534, Bets!AB:AB), "")</f>
        <v/>
      </c>
      <c r="G534" s="162"/>
      <c r="H534" s="148"/>
      <c r="I534" s="161"/>
      <c r="J534" s="146" t="str">
        <f>IF(I534&lt;&gt;"", SUMIF(Bets!$D:$D, I534, Bets!AA:AA), "")</f>
        <v/>
      </c>
      <c r="K534" s="162"/>
      <c r="L534" s="148"/>
      <c r="M534" s="161"/>
      <c r="N534" s="146"/>
      <c r="O534" s="162"/>
      <c r="P534" s="148"/>
      <c r="Q534" s="161"/>
      <c r="R534" s="146" t="str">
        <f>IF(Q534&lt;&gt;"", SUMIF(Bets!$D:$D, Q534, Bets!AD:AD), "")</f>
        <v/>
      </c>
      <c r="S534" s="162"/>
      <c r="T534" s="148"/>
      <c r="U534" s="161"/>
      <c r="V534" s="146" t="str">
        <f>IF(U534&lt;&gt;"", SUMIF(Bets!$D:$D, U534, Bets!AE:AE), "")</f>
        <v/>
      </c>
      <c r="W534" s="162"/>
      <c r="X534" s="148"/>
      <c r="Y534" s="161"/>
      <c r="Z534" s="146" t="str">
        <f>IF(Y534&lt;&gt;"", SUMIF(Bets!$D:$D, Y534, Bets!AF:AF), "")</f>
        <v/>
      </c>
      <c r="AA534" s="162"/>
      <c r="AB534" s="148"/>
      <c r="AC534" s="161"/>
      <c r="AD534" s="146" t="str">
        <f>IF(AC534&lt;&gt;"", SUMIF(Bets!$D:$D, AC534, Bets!AG:AG), "")</f>
        <v/>
      </c>
      <c r="AE534" s="162"/>
      <c r="AF534" s="148"/>
    </row>
    <row r="535">
      <c r="A535" s="161"/>
      <c r="B535" s="146" t="str">
        <f>IF(A535&lt;&gt;"", SUMIF(Bets!$D:$D, A535, Bets!Z:Z), "")</f>
        <v/>
      </c>
      <c r="C535" s="162"/>
      <c r="D535" s="148"/>
      <c r="E535" s="161"/>
      <c r="F535" s="146" t="str">
        <f>IF(E535&lt;&gt;"", SUMIF(Bets!$D:$D, E535, Bets!AB:AB), "")</f>
        <v/>
      </c>
      <c r="G535" s="162"/>
      <c r="H535" s="148"/>
      <c r="I535" s="161"/>
      <c r="J535" s="146" t="str">
        <f>IF(I535&lt;&gt;"", SUMIF(Bets!$D:$D, I535, Bets!AA:AA), "")</f>
        <v/>
      </c>
      <c r="K535" s="162"/>
      <c r="L535" s="148"/>
      <c r="M535" s="161"/>
      <c r="N535" s="146"/>
      <c r="O535" s="162"/>
      <c r="P535" s="148"/>
      <c r="Q535" s="161"/>
      <c r="R535" s="146" t="str">
        <f>IF(Q535&lt;&gt;"", SUMIF(Bets!$D:$D, Q535, Bets!AD:AD), "")</f>
        <v/>
      </c>
      <c r="S535" s="162"/>
      <c r="T535" s="148"/>
      <c r="U535" s="161"/>
      <c r="V535" s="146" t="str">
        <f>IF(U535&lt;&gt;"", SUMIF(Bets!$D:$D, U535, Bets!AE:AE), "")</f>
        <v/>
      </c>
      <c r="W535" s="162"/>
      <c r="X535" s="148"/>
      <c r="Y535" s="161"/>
      <c r="Z535" s="146" t="str">
        <f>IF(Y535&lt;&gt;"", SUMIF(Bets!$D:$D, Y535, Bets!AF:AF), "")</f>
        <v/>
      </c>
      <c r="AA535" s="162"/>
      <c r="AB535" s="148"/>
      <c r="AC535" s="161"/>
      <c r="AD535" s="146" t="str">
        <f>IF(AC535&lt;&gt;"", SUMIF(Bets!$D:$D, AC535, Bets!AG:AG), "")</f>
        <v/>
      </c>
      <c r="AE535" s="162"/>
      <c r="AF535" s="148"/>
    </row>
    <row r="536">
      <c r="A536" s="161"/>
      <c r="B536" s="146" t="str">
        <f>IF(A536&lt;&gt;"", SUMIF(Bets!$D:$D, A536, Bets!Z:Z), "")</f>
        <v/>
      </c>
      <c r="C536" s="162"/>
      <c r="D536" s="148"/>
      <c r="E536" s="161"/>
      <c r="F536" s="146" t="str">
        <f>IF(E536&lt;&gt;"", SUMIF(Bets!$D:$D, E536, Bets!AB:AB), "")</f>
        <v/>
      </c>
      <c r="G536" s="162"/>
      <c r="H536" s="148"/>
      <c r="I536" s="161"/>
      <c r="J536" s="146" t="str">
        <f>IF(I536&lt;&gt;"", SUMIF(Bets!$D:$D, I536, Bets!AA:AA), "")</f>
        <v/>
      </c>
      <c r="K536" s="162"/>
      <c r="L536" s="148"/>
      <c r="M536" s="161"/>
      <c r="N536" s="146"/>
      <c r="O536" s="162"/>
      <c r="P536" s="148"/>
      <c r="Q536" s="161"/>
      <c r="R536" s="146" t="str">
        <f>IF(Q536&lt;&gt;"", SUMIF(Bets!$D:$D, Q536, Bets!AD:AD), "")</f>
        <v/>
      </c>
      <c r="S536" s="162"/>
      <c r="T536" s="148"/>
      <c r="U536" s="161"/>
      <c r="V536" s="146" t="str">
        <f>IF(U536&lt;&gt;"", SUMIF(Bets!$D:$D, U536, Bets!AE:AE), "")</f>
        <v/>
      </c>
      <c r="W536" s="162"/>
      <c r="X536" s="148"/>
      <c r="Y536" s="161"/>
      <c r="Z536" s="146" t="str">
        <f>IF(Y536&lt;&gt;"", SUMIF(Bets!$D:$D, Y536, Bets!AF:AF), "")</f>
        <v/>
      </c>
      <c r="AA536" s="162"/>
      <c r="AB536" s="148"/>
      <c r="AC536" s="161"/>
      <c r="AD536" s="146" t="str">
        <f>IF(AC536&lt;&gt;"", SUMIF(Bets!$D:$D, AC536, Bets!AG:AG), "")</f>
        <v/>
      </c>
      <c r="AE536" s="162"/>
      <c r="AF536" s="148"/>
    </row>
    <row r="537">
      <c r="A537" s="161"/>
      <c r="B537" s="146" t="str">
        <f>IF(A537&lt;&gt;"", SUMIF(Bets!$D:$D, A537, Bets!Z:Z), "")</f>
        <v/>
      </c>
      <c r="C537" s="162"/>
      <c r="D537" s="148"/>
      <c r="E537" s="161"/>
      <c r="F537" s="146" t="str">
        <f>IF(E537&lt;&gt;"", SUMIF(Bets!$D:$D, E537, Bets!AB:AB), "")</f>
        <v/>
      </c>
      <c r="G537" s="162"/>
      <c r="H537" s="148"/>
      <c r="I537" s="161"/>
      <c r="J537" s="146" t="str">
        <f>IF(I537&lt;&gt;"", SUMIF(Bets!$D:$D, I537, Bets!AA:AA), "")</f>
        <v/>
      </c>
      <c r="K537" s="162"/>
      <c r="L537" s="148"/>
      <c r="M537" s="161"/>
      <c r="N537" s="146"/>
      <c r="O537" s="162"/>
      <c r="P537" s="148"/>
      <c r="Q537" s="161"/>
      <c r="R537" s="146" t="str">
        <f>IF(Q537&lt;&gt;"", SUMIF(Bets!$D:$D, Q537, Bets!AD:AD), "")</f>
        <v/>
      </c>
      <c r="S537" s="162"/>
      <c r="T537" s="148"/>
      <c r="U537" s="161"/>
      <c r="V537" s="146" t="str">
        <f>IF(U537&lt;&gt;"", SUMIF(Bets!$D:$D, U537, Bets!AE:AE), "")</f>
        <v/>
      </c>
      <c r="W537" s="162"/>
      <c r="X537" s="148"/>
      <c r="Y537" s="161"/>
      <c r="Z537" s="146" t="str">
        <f>IF(Y537&lt;&gt;"", SUMIF(Bets!$D:$D, Y537, Bets!AF:AF), "")</f>
        <v/>
      </c>
      <c r="AA537" s="162"/>
      <c r="AB537" s="148"/>
      <c r="AC537" s="161"/>
      <c r="AD537" s="146" t="str">
        <f>IF(AC537&lt;&gt;"", SUMIF(Bets!$D:$D, AC537, Bets!AG:AG), "")</f>
        <v/>
      </c>
      <c r="AE537" s="162"/>
      <c r="AF537" s="148"/>
    </row>
    <row r="538">
      <c r="A538" s="161"/>
      <c r="B538" s="146" t="str">
        <f>IF(A538&lt;&gt;"", SUMIF(Bets!$D:$D, A538, Bets!Z:Z), "")</f>
        <v/>
      </c>
      <c r="C538" s="162"/>
      <c r="D538" s="148"/>
      <c r="E538" s="161"/>
      <c r="F538" s="146" t="str">
        <f>IF(E538&lt;&gt;"", SUMIF(Bets!$D:$D, E538, Bets!AB:AB), "")</f>
        <v/>
      </c>
      <c r="G538" s="162"/>
      <c r="H538" s="148"/>
      <c r="I538" s="161"/>
      <c r="J538" s="146" t="str">
        <f>IF(I538&lt;&gt;"", SUMIF(Bets!$D:$D, I538, Bets!AA:AA), "")</f>
        <v/>
      </c>
      <c r="K538" s="162"/>
      <c r="L538" s="148"/>
      <c r="M538" s="161"/>
      <c r="N538" s="146"/>
      <c r="O538" s="162"/>
      <c r="P538" s="148"/>
      <c r="Q538" s="161"/>
      <c r="R538" s="146" t="str">
        <f>IF(Q538&lt;&gt;"", SUMIF(Bets!$D:$D, Q538, Bets!AD:AD), "")</f>
        <v/>
      </c>
      <c r="S538" s="162"/>
      <c r="T538" s="148"/>
      <c r="U538" s="161"/>
      <c r="V538" s="146" t="str">
        <f>IF(U538&lt;&gt;"", SUMIF(Bets!$D:$D, U538, Bets!AE:AE), "")</f>
        <v/>
      </c>
      <c r="W538" s="162"/>
      <c r="X538" s="148"/>
      <c r="Y538" s="161"/>
      <c r="Z538" s="146" t="str">
        <f>IF(Y538&lt;&gt;"", SUMIF(Bets!$D:$D, Y538, Bets!AF:AF), "")</f>
        <v/>
      </c>
      <c r="AA538" s="162"/>
      <c r="AB538" s="148"/>
      <c r="AC538" s="161"/>
      <c r="AD538" s="146" t="str">
        <f>IF(AC538&lt;&gt;"", SUMIF(Bets!$D:$D, AC538, Bets!AG:AG), "")</f>
        <v/>
      </c>
      <c r="AE538" s="162"/>
      <c r="AF538" s="148"/>
    </row>
    <row r="539">
      <c r="A539" s="161"/>
      <c r="B539" s="146" t="str">
        <f>IF(A539&lt;&gt;"", SUMIF(Bets!$D:$D, A539, Bets!Z:Z), "")</f>
        <v/>
      </c>
      <c r="C539" s="162"/>
      <c r="D539" s="148"/>
      <c r="E539" s="161"/>
      <c r="F539" s="146" t="str">
        <f>IF(E539&lt;&gt;"", SUMIF(Bets!$D:$D, E539, Bets!AB:AB), "")</f>
        <v/>
      </c>
      <c r="G539" s="162"/>
      <c r="H539" s="148"/>
      <c r="I539" s="161"/>
      <c r="J539" s="146" t="str">
        <f>IF(I539&lt;&gt;"", SUMIF(Bets!$D:$D, I539, Bets!AA:AA), "")</f>
        <v/>
      </c>
      <c r="K539" s="162"/>
      <c r="L539" s="148"/>
      <c r="M539" s="161"/>
      <c r="N539" s="146"/>
      <c r="O539" s="162"/>
      <c r="P539" s="148"/>
      <c r="Q539" s="161"/>
      <c r="R539" s="146" t="str">
        <f>IF(Q539&lt;&gt;"", SUMIF(Bets!$D:$D, Q539, Bets!AD:AD), "")</f>
        <v/>
      </c>
      <c r="S539" s="162"/>
      <c r="T539" s="148"/>
      <c r="U539" s="161"/>
      <c r="V539" s="146" t="str">
        <f>IF(U539&lt;&gt;"", SUMIF(Bets!$D:$D, U539, Bets!AE:AE), "")</f>
        <v/>
      </c>
      <c r="W539" s="162"/>
      <c r="X539" s="148"/>
      <c r="Y539" s="161"/>
      <c r="Z539" s="146" t="str">
        <f>IF(Y539&lt;&gt;"", SUMIF(Bets!$D:$D, Y539, Bets!AF:AF), "")</f>
        <v/>
      </c>
      <c r="AA539" s="162"/>
      <c r="AB539" s="148"/>
      <c r="AC539" s="161"/>
      <c r="AD539" s="146" t="str">
        <f>IF(AC539&lt;&gt;"", SUMIF(Bets!$D:$D, AC539, Bets!AG:AG), "")</f>
        <v/>
      </c>
      <c r="AE539" s="162"/>
      <c r="AF539" s="148"/>
    </row>
    <row r="540">
      <c r="A540" s="161"/>
      <c r="B540" s="146" t="str">
        <f>IF(A540&lt;&gt;"", SUMIF(Bets!$D:$D, A540, Bets!Z:Z), "")</f>
        <v/>
      </c>
      <c r="C540" s="162"/>
      <c r="D540" s="148"/>
      <c r="E540" s="161"/>
      <c r="F540" s="146" t="str">
        <f>IF(E540&lt;&gt;"", SUMIF(Bets!$D:$D, E540, Bets!AB:AB), "")</f>
        <v/>
      </c>
      <c r="G540" s="162"/>
      <c r="H540" s="148"/>
      <c r="I540" s="161"/>
      <c r="J540" s="146" t="str">
        <f>IF(I540&lt;&gt;"", SUMIF(Bets!$D:$D, I540, Bets!AA:AA), "")</f>
        <v/>
      </c>
      <c r="K540" s="162"/>
      <c r="L540" s="148"/>
      <c r="M540" s="161"/>
      <c r="N540" s="146"/>
      <c r="O540" s="162"/>
      <c r="P540" s="148"/>
      <c r="Q540" s="161"/>
      <c r="R540" s="146" t="str">
        <f>IF(Q540&lt;&gt;"", SUMIF(Bets!$D:$D, Q540, Bets!AD:AD), "")</f>
        <v/>
      </c>
      <c r="S540" s="162"/>
      <c r="T540" s="148"/>
      <c r="U540" s="161"/>
      <c r="V540" s="146" t="str">
        <f>IF(U540&lt;&gt;"", SUMIF(Bets!$D:$D, U540, Bets!AE:AE), "")</f>
        <v/>
      </c>
      <c r="W540" s="162"/>
      <c r="X540" s="148"/>
      <c r="Y540" s="161"/>
      <c r="Z540" s="146" t="str">
        <f>IF(Y540&lt;&gt;"", SUMIF(Bets!$D:$D, Y540, Bets!AF:AF), "")</f>
        <v/>
      </c>
      <c r="AA540" s="162"/>
      <c r="AB540" s="148"/>
      <c r="AC540" s="161"/>
      <c r="AD540" s="146" t="str">
        <f>IF(AC540&lt;&gt;"", SUMIF(Bets!$D:$D, AC540, Bets!AG:AG), "")</f>
        <v/>
      </c>
      <c r="AE540" s="162"/>
      <c r="AF540" s="148"/>
    </row>
    <row r="541">
      <c r="A541" s="161"/>
      <c r="B541" s="146" t="str">
        <f>IF(A541&lt;&gt;"", SUMIF(Bets!$D:$D, A541, Bets!Z:Z), "")</f>
        <v/>
      </c>
      <c r="C541" s="162"/>
      <c r="D541" s="148"/>
      <c r="E541" s="161"/>
      <c r="F541" s="146" t="str">
        <f>IF(E541&lt;&gt;"", SUMIF(Bets!$D:$D, E541, Bets!AB:AB), "")</f>
        <v/>
      </c>
      <c r="G541" s="162"/>
      <c r="H541" s="148"/>
      <c r="I541" s="161"/>
      <c r="J541" s="146" t="str">
        <f>IF(I541&lt;&gt;"", SUMIF(Bets!$D:$D, I541, Bets!AA:AA), "")</f>
        <v/>
      </c>
      <c r="K541" s="162"/>
      <c r="L541" s="148"/>
      <c r="M541" s="161"/>
      <c r="N541" s="146"/>
      <c r="O541" s="162"/>
      <c r="P541" s="148"/>
      <c r="Q541" s="161"/>
      <c r="R541" s="146" t="str">
        <f>IF(Q541&lt;&gt;"", SUMIF(Bets!$D:$D, Q541, Bets!AD:AD), "")</f>
        <v/>
      </c>
      <c r="S541" s="162"/>
      <c r="T541" s="148"/>
      <c r="U541" s="161"/>
      <c r="V541" s="146" t="str">
        <f>IF(U541&lt;&gt;"", SUMIF(Bets!$D:$D, U541, Bets!AE:AE), "")</f>
        <v/>
      </c>
      <c r="W541" s="162"/>
      <c r="X541" s="148"/>
      <c r="Y541" s="161"/>
      <c r="Z541" s="146" t="str">
        <f>IF(Y541&lt;&gt;"", SUMIF(Bets!$D:$D, Y541, Bets!AF:AF), "")</f>
        <v/>
      </c>
      <c r="AA541" s="162"/>
      <c r="AB541" s="148"/>
      <c r="AC541" s="161"/>
      <c r="AD541" s="146" t="str">
        <f>IF(AC541&lt;&gt;"", SUMIF(Bets!$D:$D, AC541, Bets!AG:AG), "")</f>
        <v/>
      </c>
      <c r="AE541" s="162"/>
      <c r="AF541" s="148"/>
    </row>
    <row r="542">
      <c r="A542" s="161"/>
      <c r="B542" s="146" t="str">
        <f>IF(A542&lt;&gt;"", SUMIF(Bets!$D:$D, A542, Bets!Z:Z), "")</f>
        <v/>
      </c>
      <c r="C542" s="162"/>
      <c r="D542" s="148"/>
      <c r="E542" s="161"/>
      <c r="F542" s="146" t="str">
        <f>IF(E542&lt;&gt;"", SUMIF(Bets!$D:$D, E542, Bets!AB:AB), "")</f>
        <v/>
      </c>
      <c r="G542" s="162"/>
      <c r="H542" s="148"/>
      <c r="I542" s="161"/>
      <c r="J542" s="146" t="str">
        <f>IF(I542&lt;&gt;"", SUMIF(Bets!$D:$D, I542, Bets!AA:AA), "")</f>
        <v/>
      </c>
      <c r="K542" s="162"/>
      <c r="L542" s="148"/>
      <c r="M542" s="161"/>
      <c r="N542" s="146"/>
      <c r="O542" s="162"/>
      <c r="P542" s="148"/>
      <c r="Q542" s="161"/>
      <c r="R542" s="146" t="str">
        <f>IF(Q542&lt;&gt;"", SUMIF(Bets!$D:$D, Q542, Bets!AD:AD), "")</f>
        <v/>
      </c>
      <c r="S542" s="162"/>
      <c r="T542" s="148"/>
      <c r="U542" s="161"/>
      <c r="V542" s="146" t="str">
        <f>IF(U542&lt;&gt;"", SUMIF(Bets!$D:$D, U542, Bets!AE:AE), "")</f>
        <v/>
      </c>
      <c r="W542" s="162"/>
      <c r="X542" s="148"/>
      <c r="Y542" s="161"/>
      <c r="Z542" s="146" t="str">
        <f>IF(Y542&lt;&gt;"", SUMIF(Bets!$D:$D, Y542, Bets!AF:AF), "")</f>
        <v/>
      </c>
      <c r="AA542" s="162"/>
      <c r="AB542" s="148"/>
      <c r="AC542" s="161"/>
      <c r="AD542" s="146" t="str">
        <f>IF(AC542&lt;&gt;"", SUMIF(Bets!$D:$D, AC542, Bets!AG:AG), "")</f>
        <v/>
      </c>
      <c r="AE542" s="162"/>
      <c r="AF542" s="148"/>
    </row>
    <row r="543">
      <c r="A543" s="161"/>
      <c r="B543" s="146" t="str">
        <f>IF(A543&lt;&gt;"", SUMIF(Bets!$D:$D, A543, Bets!Z:Z), "")</f>
        <v/>
      </c>
      <c r="C543" s="162"/>
      <c r="D543" s="148"/>
      <c r="E543" s="161"/>
      <c r="F543" s="146" t="str">
        <f>IF(E543&lt;&gt;"", SUMIF(Bets!$D:$D, E543, Bets!AB:AB), "")</f>
        <v/>
      </c>
      <c r="G543" s="162"/>
      <c r="H543" s="148"/>
      <c r="I543" s="161"/>
      <c r="J543" s="146" t="str">
        <f>IF(I543&lt;&gt;"", SUMIF(Bets!$D:$D, I543, Bets!AA:AA), "")</f>
        <v/>
      </c>
      <c r="K543" s="162"/>
      <c r="L543" s="148"/>
      <c r="M543" s="161"/>
      <c r="N543" s="146"/>
      <c r="O543" s="162"/>
      <c r="P543" s="148"/>
      <c r="Q543" s="161"/>
      <c r="R543" s="146" t="str">
        <f>IF(Q543&lt;&gt;"", SUMIF(Bets!$D:$D, Q543, Bets!AD:AD), "")</f>
        <v/>
      </c>
      <c r="S543" s="162"/>
      <c r="T543" s="148"/>
      <c r="U543" s="161"/>
      <c r="V543" s="146" t="str">
        <f>IF(U543&lt;&gt;"", SUMIF(Bets!$D:$D, U543, Bets!AE:AE), "")</f>
        <v/>
      </c>
      <c r="W543" s="162"/>
      <c r="X543" s="148"/>
      <c r="Y543" s="161"/>
      <c r="Z543" s="146" t="str">
        <f>IF(Y543&lt;&gt;"", SUMIF(Bets!$D:$D, Y543, Bets!AF:AF), "")</f>
        <v/>
      </c>
      <c r="AA543" s="162"/>
      <c r="AB543" s="148"/>
      <c r="AC543" s="161"/>
      <c r="AD543" s="146" t="str">
        <f>IF(AC543&lt;&gt;"", SUMIF(Bets!$D:$D, AC543, Bets!AG:AG), "")</f>
        <v/>
      </c>
      <c r="AE543" s="162"/>
      <c r="AF543" s="148"/>
    </row>
    <row r="544">
      <c r="A544" s="161"/>
      <c r="B544" s="146" t="str">
        <f>IF(A544&lt;&gt;"", SUMIF(Bets!$D:$D, A544, Bets!Z:Z), "")</f>
        <v/>
      </c>
      <c r="C544" s="162"/>
      <c r="D544" s="148"/>
      <c r="E544" s="161"/>
      <c r="F544" s="146" t="str">
        <f>IF(E544&lt;&gt;"", SUMIF(Bets!$D:$D, E544, Bets!AB:AB), "")</f>
        <v/>
      </c>
      <c r="G544" s="162"/>
      <c r="H544" s="148"/>
      <c r="I544" s="161"/>
      <c r="J544" s="146" t="str">
        <f>IF(I544&lt;&gt;"", SUMIF(Bets!$D:$D, I544, Bets!AA:AA), "")</f>
        <v/>
      </c>
      <c r="K544" s="162"/>
      <c r="L544" s="148"/>
      <c r="M544" s="161"/>
      <c r="N544" s="146"/>
      <c r="O544" s="162"/>
      <c r="P544" s="148"/>
      <c r="Q544" s="161"/>
      <c r="R544" s="146" t="str">
        <f>IF(Q544&lt;&gt;"", SUMIF(Bets!$D:$D, Q544, Bets!AD:AD), "")</f>
        <v/>
      </c>
      <c r="S544" s="162"/>
      <c r="T544" s="148"/>
      <c r="U544" s="161"/>
      <c r="V544" s="146" t="str">
        <f>IF(U544&lt;&gt;"", SUMIF(Bets!$D:$D, U544, Bets!AE:AE), "")</f>
        <v/>
      </c>
      <c r="W544" s="162"/>
      <c r="X544" s="148"/>
      <c r="Y544" s="161"/>
      <c r="Z544" s="146" t="str">
        <f>IF(Y544&lt;&gt;"", SUMIF(Bets!$D:$D, Y544, Bets!AF:AF), "")</f>
        <v/>
      </c>
      <c r="AA544" s="162"/>
      <c r="AB544" s="148"/>
      <c r="AC544" s="161"/>
      <c r="AD544" s="146" t="str">
        <f>IF(AC544&lt;&gt;"", SUMIF(Bets!$D:$D, AC544, Bets!AG:AG), "")</f>
        <v/>
      </c>
      <c r="AE544" s="162"/>
      <c r="AF544" s="148"/>
    </row>
    <row r="545">
      <c r="A545" s="161"/>
      <c r="B545" s="146" t="str">
        <f>IF(A545&lt;&gt;"", SUMIF(Bets!$D:$D, A545, Bets!Z:Z), "")</f>
        <v/>
      </c>
      <c r="C545" s="162"/>
      <c r="D545" s="148"/>
      <c r="E545" s="161"/>
      <c r="F545" s="146" t="str">
        <f>IF(E545&lt;&gt;"", SUMIF(Bets!$D:$D, E545, Bets!AB:AB), "")</f>
        <v/>
      </c>
      <c r="G545" s="162"/>
      <c r="H545" s="148"/>
      <c r="I545" s="161"/>
      <c r="J545" s="146" t="str">
        <f>IF(I545&lt;&gt;"", SUMIF(Bets!$D:$D, I545, Bets!AA:AA), "")</f>
        <v/>
      </c>
      <c r="K545" s="162"/>
      <c r="L545" s="148"/>
      <c r="M545" s="161"/>
      <c r="N545" s="146"/>
      <c r="O545" s="162"/>
      <c r="P545" s="148"/>
      <c r="Q545" s="161"/>
      <c r="R545" s="146" t="str">
        <f>IF(Q545&lt;&gt;"", SUMIF(Bets!$D:$D, Q545, Bets!AD:AD), "")</f>
        <v/>
      </c>
      <c r="S545" s="162"/>
      <c r="T545" s="148"/>
      <c r="U545" s="161"/>
      <c r="V545" s="146" t="str">
        <f>IF(U545&lt;&gt;"", SUMIF(Bets!$D:$D, U545, Bets!AE:AE), "")</f>
        <v/>
      </c>
      <c r="W545" s="162"/>
      <c r="X545" s="148"/>
      <c r="Y545" s="161"/>
      <c r="Z545" s="146" t="str">
        <f>IF(Y545&lt;&gt;"", SUMIF(Bets!$D:$D, Y545, Bets!AF:AF), "")</f>
        <v/>
      </c>
      <c r="AA545" s="162"/>
      <c r="AB545" s="148"/>
      <c r="AC545" s="161"/>
      <c r="AD545" s="146" t="str">
        <f>IF(AC545&lt;&gt;"", SUMIF(Bets!$D:$D, AC545, Bets!AG:AG), "")</f>
        <v/>
      </c>
      <c r="AE545" s="162"/>
      <c r="AF545" s="148"/>
    </row>
    <row r="546">
      <c r="A546" s="161"/>
      <c r="B546" s="146" t="str">
        <f>IF(A546&lt;&gt;"", SUMIF(Bets!$D:$D, A546, Bets!Z:Z), "")</f>
        <v/>
      </c>
      <c r="C546" s="162"/>
      <c r="D546" s="148"/>
      <c r="E546" s="161"/>
      <c r="F546" s="146" t="str">
        <f>IF(E546&lt;&gt;"", SUMIF(Bets!$D:$D, E546, Bets!AB:AB), "")</f>
        <v/>
      </c>
      <c r="G546" s="162"/>
      <c r="H546" s="148"/>
      <c r="I546" s="161"/>
      <c r="J546" s="146" t="str">
        <f>IF(I546&lt;&gt;"", SUMIF(Bets!$D:$D, I546, Bets!AA:AA), "")</f>
        <v/>
      </c>
      <c r="K546" s="162"/>
      <c r="L546" s="148"/>
      <c r="M546" s="161"/>
      <c r="N546" s="146"/>
      <c r="O546" s="162"/>
      <c r="P546" s="148"/>
      <c r="Q546" s="161"/>
      <c r="R546" s="146" t="str">
        <f>IF(Q546&lt;&gt;"", SUMIF(Bets!$D:$D, Q546, Bets!AD:AD), "")</f>
        <v/>
      </c>
      <c r="S546" s="162"/>
      <c r="T546" s="148"/>
      <c r="U546" s="161"/>
      <c r="V546" s="146" t="str">
        <f>IF(U546&lt;&gt;"", SUMIF(Bets!$D:$D, U546, Bets!AE:AE), "")</f>
        <v/>
      </c>
      <c r="W546" s="162"/>
      <c r="X546" s="148"/>
      <c r="Y546" s="161"/>
      <c r="Z546" s="146" t="str">
        <f>IF(Y546&lt;&gt;"", SUMIF(Bets!$D:$D, Y546, Bets!AF:AF), "")</f>
        <v/>
      </c>
      <c r="AA546" s="162"/>
      <c r="AB546" s="148"/>
      <c r="AC546" s="161"/>
      <c r="AD546" s="146" t="str">
        <f>IF(AC546&lt;&gt;"", SUMIF(Bets!$D:$D, AC546, Bets!AG:AG), "")</f>
        <v/>
      </c>
      <c r="AE546" s="162"/>
      <c r="AF546" s="148"/>
    </row>
    <row r="547">
      <c r="A547" s="161"/>
      <c r="B547" s="146" t="str">
        <f>IF(A547&lt;&gt;"", SUMIF(Bets!$D:$D, A547, Bets!Z:Z), "")</f>
        <v/>
      </c>
      <c r="C547" s="162"/>
      <c r="D547" s="148"/>
      <c r="E547" s="161"/>
      <c r="F547" s="146" t="str">
        <f>IF(E547&lt;&gt;"", SUMIF(Bets!$D:$D, E547, Bets!AB:AB), "")</f>
        <v/>
      </c>
      <c r="G547" s="162"/>
      <c r="H547" s="148"/>
      <c r="I547" s="161"/>
      <c r="J547" s="146" t="str">
        <f>IF(I547&lt;&gt;"", SUMIF(Bets!$D:$D, I547, Bets!AA:AA), "")</f>
        <v/>
      </c>
      <c r="K547" s="162"/>
      <c r="L547" s="148"/>
      <c r="M547" s="161"/>
      <c r="N547" s="146"/>
      <c r="O547" s="162"/>
      <c r="P547" s="148"/>
      <c r="Q547" s="161"/>
      <c r="R547" s="146" t="str">
        <f>IF(Q547&lt;&gt;"", SUMIF(Bets!$D:$D, Q547, Bets!AD:AD), "")</f>
        <v/>
      </c>
      <c r="S547" s="162"/>
      <c r="T547" s="148"/>
      <c r="U547" s="161"/>
      <c r="V547" s="146" t="str">
        <f>IF(U547&lt;&gt;"", SUMIF(Bets!$D:$D, U547, Bets!AE:AE), "")</f>
        <v/>
      </c>
      <c r="W547" s="162"/>
      <c r="X547" s="148"/>
      <c r="Y547" s="161"/>
      <c r="Z547" s="146" t="str">
        <f>IF(Y547&lt;&gt;"", SUMIF(Bets!$D:$D, Y547, Bets!AF:AF), "")</f>
        <v/>
      </c>
      <c r="AA547" s="162"/>
      <c r="AB547" s="148"/>
      <c r="AC547" s="161"/>
      <c r="AD547" s="146" t="str">
        <f>IF(AC547&lt;&gt;"", SUMIF(Bets!$D:$D, AC547, Bets!AG:AG), "")</f>
        <v/>
      </c>
      <c r="AE547" s="162"/>
      <c r="AF547" s="148"/>
    </row>
    <row r="548">
      <c r="A548" s="161"/>
      <c r="B548" s="146" t="str">
        <f>IF(A548&lt;&gt;"", SUMIF(Bets!$D:$D, A548, Bets!Z:Z), "")</f>
        <v/>
      </c>
      <c r="C548" s="162"/>
      <c r="D548" s="148"/>
      <c r="E548" s="161"/>
      <c r="F548" s="146" t="str">
        <f>IF(E548&lt;&gt;"", SUMIF(Bets!$D:$D, E548, Bets!AB:AB), "")</f>
        <v/>
      </c>
      <c r="G548" s="162"/>
      <c r="H548" s="148"/>
      <c r="I548" s="161"/>
      <c r="J548" s="146" t="str">
        <f>IF(I548&lt;&gt;"", SUMIF(Bets!$D:$D, I548, Bets!AA:AA), "")</f>
        <v/>
      </c>
      <c r="K548" s="162"/>
      <c r="L548" s="148"/>
      <c r="M548" s="161"/>
      <c r="N548" s="146"/>
      <c r="O548" s="162"/>
      <c r="P548" s="148"/>
      <c r="Q548" s="161"/>
      <c r="R548" s="146" t="str">
        <f>IF(Q548&lt;&gt;"", SUMIF(Bets!$D:$D, Q548, Bets!AD:AD), "")</f>
        <v/>
      </c>
      <c r="S548" s="162"/>
      <c r="T548" s="148"/>
      <c r="U548" s="161"/>
      <c r="V548" s="146" t="str">
        <f>IF(U548&lt;&gt;"", SUMIF(Bets!$D:$D, U548, Bets!AE:AE), "")</f>
        <v/>
      </c>
      <c r="W548" s="162"/>
      <c r="X548" s="148"/>
      <c r="Y548" s="161"/>
      <c r="Z548" s="146" t="str">
        <f>IF(Y548&lt;&gt;"", SUMIF(Bets!$D:$D, Y548, Bets!AF:AF), "")</f>
        <v/>
      </c>
      <c r="AA548" s="162"/>
      <c r="AB548" s="148"/>
      <c r="AC548" s="161"/>
      <c r="AD548" s="146" t="str">
        <f>IF(AC548&lt;&gt;"", SUMIF(Bets!$D:$D, AC548, Bets!AG:AG), "")</f>
        <v/>
      </c>
      <c r="AE548" s="162"/>
      <c r="AF548" s="148"/>
    </row>
    <row r="549">
      <c r="A549" s="161"/>
      <c r="B549" s="146" t="str">
        <f>IF(A549&lt;&gt;"", SUMIF(Bets!$D:$D, A549, Bets!Z:Z), "")</f>
        <v/>
      </c>
      <c r="C549" s="162"/>
      <c r="D549" s="148"/>
      <c r="E549" s="161"/>
      <c r="F549" s="146" t="str">
        <f>IF(E549&lt;&gt;"", SUMIF(Bets!$D:$D, E549, Bets!AB:AB), "")</f>
        <v/>
      </c>
      <c r="G549" s="162"/>
      <c r="H549" s="148"/>
      <c r="I549" s="161"/>
      <c r="J549" s="146" t="str">
        <f>IF(I549&lt;&gt;"", SUMIF(Bets!$D:$D, I549, Bets!AA:AA), "")</f>
        <v/>
      </c>
      <c r="K549" s="162"/>
      <c r="L549" s="148"/>
      <c r="M549" s="161"/>
      <c r="N549" s="146"/>
      <c r="O549" s="162"/>
      <c r="P549" s="148"/>
      <c r="Q549" s="161"/>
      <c r="R549" s="146" t="str">
        <f>IF(Q549&lt;&gt;"", SUMIF(Bets!$D:$D, Q549, Bets!AD:AD), "")</f>
        <v/>
      </c>
      <c r="S549" s="162"/>
      <c r="T549" s="148"/>
      <c r="U549" s="161"/>
      <c r="V549" s="146" t="str">
        <f>IF(U549&lt;&gt;"", SUMIF(Bets!$D:$D, U549, Bets!AE:AE), "")</f>
        <v/>
      </c>
      <c r="W549" s="162"/>
      <c r="X549" s="148"/>
      <c r="Y549" s="161"/>
      <c r="Z549" s="146" t="str">
        <f>IF(Y549&lt;&gt;"", SUMIF(Bets!$D:$D, Y549, Bets!AF:AF), "")</f>
        <v/>
      </c>
      <c r="AA549" s="162"/>
      <c r="AB549" s="148"/>
      <c r="AC549" s="161"/>
      <c r="AD549" s="146" t="str">
        <f>IF(AC549&lt;&gt;"", SUMIF(Bets!$D:$D, AC549, Bets!AG:AG), "")</f>
        <v/>
      </c>
      <c r="AE549" s="162"/>
      <c r="AF549" s="148"/>
    </row>
    <row r="550">
      <c r="A550" s="161"/>
      <c r="B550" s="146" t="str">
        <f>IF(A550&lt;&gt;"", SUMIF(Bets!$D:$D, A550, Bets!Z:Z), "")</f>
        <v/>
      </c>
      <c r="C550" s="162"/>
      <c r="D550" s="148"/>
      <c r="E550" s="161"/>
      <c r="F550" s="146" t="str">
        <f>IF(E550&lt;&gt;"", SUMIF(Bets!$D:$D, E550, Bets!AB:AB), "")</f>
        <v/>
      </c>
      <c r="G550" s="162"/>
      <c r="H550" s="148"/>
      <c r="I550" s="161"/>
      <c r="J550" s="146" t="str">
        <f>IF(I550&lt;&gt;"", SUMIF(Bets!$D:$D, I550, Bets!AA:AA), "")</f>
        <v/>
      </c>
      <c r="K550" s="162"/>
      <c r="L550" s="148"/>
      <c r="M550" s="161"/>
      <c r="N550" s="146"/>
      <c r="O550" s="162"/>
      <c r="P550" s="148"/>
      <c r="Q550" s="161"/>
      <c r="R550" s="146" t="str">
        <f>IF(Q550&lt;&gt;"", SUMIF(Bets!$D:$D, Q550, Bets!AD:AD), "")</f>
        <v/>
      </c>
      <c r="S550" s="162"/>
      <c r="T550" s="148"/>
      <c r="U550" s="161"/>
      <c r="V550" s="146" t="str">
        <f>IF(U550&lt;&gt;"", SUMIF(Bets!$D:$D, U550, Bets!AE:AE), "")</f>
        <v/>
      </c>
      <c r="W550" s="162"/>
      <c r="X550" s="148"/>
      <c r="Y550" s="161"/>
      <c r="Z550" s="146" t="str">
        <f>IF(Y550&lt;&gt;"", SUMIF(Bets!$D:$D, Y550, Bets!AF:AF), "")</f>
        <v/>
      </c>
      <c r="AA550" s="162"/>
      <c r="AB550" s="148"/>
      <c r="AC550" s="161"/>
      <c r="AD550" s="146" t="str">
        <f>IF(AC550&lt;&gt;"", SUMIF(Bets!$D:$D, AC550, Bets!AG:AG), "")</f>
        <v/>
      </c>
      <c r="AE550" s="162"/>
      <c r="AF550" s="148"/>
    </row>
    <row r="551">
      <c r="A551" s="161"/>
      <c r="B551" s="146" t="str">
        <f>IF(A551&lt;&gt;"", SUMIF(Bets!$D:$D, A551, Bets!Z:Z), "")</f>
        <v/>
      </c>
      <c r="C551" s="162"/>
      <c r="D551" s="148"/>
      <c r="E551" s="161"/>
      <c r="F551" s="146" t="str">
        <f>IF(E551&lt;&gt;"", SUMIF(Bets!$D:$D, E551, Bets!AB:AB), "")</f>
        <v/>
      </c>
      <c r="G551" s="162"/>
      <c r="H551" s="148"/>
      <c r="I551" s="161"/>
      <c r="J551" s="146" t="str">
        <f>IF(I551&lt;&gt;"", SUMIF(Bets!$D:$D, I551, Bets!AA:AA), "")</f>
        <v/>
      </c>
      <c r="K551" s="162"/>
      <c r="L551" s="148"/>
      <c r="M551" s="161"/>
      <c r="N551" s="146"/>
      <c r="O551" s="162"/>
      <c r="P551" s="148"/>
      <c r="Q551" s="161"/>
      <c r="R551" s="146" t="str">
        <f>IF(Q551&lt;&gt;"", SUMIF(Bets!$D:$D, Q551, Bets!AD:AD), "")</f>
        <v/>
      </c>
      <c r="S551" s="162"/>
      <c r="T551" s="148"/>
      <c r="U551" s="161"/>
      <c r="V551" s="146" t="str">
        <f>IF(U551&lt;&gt;"", SUMIF(Bets!$D:$D, U551, Bets!AE:AE), "")</f>
        <v/>
      </c>
      <c r="W551" s="162"/>
      <c r="X551" s="148"/>
      <c r="Y551" s="161"/>
      <c r="Z551" s="146" t="str">
        <f>IF(Y551&lt;&gt;"", SUMIF(Bets!$D:$D, Y551, Bets!AF:AF), "")</f>
        <v/>
      </c>
      <c r="AA551" s="162"/>
      <c r="AB551" s="148"/>
      <c r="AC551" s="161"/>
      <c r="AD551" s="146" t="str">
        <f>IF(AC551&lt;&gt;"", SUMIF(Bets!$D:$D, AC551, Bets!AG:AG), "")</f>
        <v/>
      </c>
      <c r="AE551" s="162"/>
      <c r="AF551" s="148"/>
    </row>
    <row r="552">
      <c r="A552" s="161"/>
      <c r="B552" s="146" t="str">
        <f>IF(A552&lt;&gt;"", SUMIF(Bets!$D:$D, A552, Bets!Z:Z), "")</f>
        <v/>
      </c>
      <c r="C552" s="162"/>
      <c r="D552" s="148"/>
      <c r="E552" s="161"/>
      <c r="F552" s="146" t="str">
        <f>IF(E552&lt;&gt;"", SUMIF(Bets!$D:$D, E552, Bets!AB:AB), "")</f>
        <v/>
      </c>
      <c r="G552" s="162"/>
      <c r="H552" s="148"/>
      <c r="I552" s="161"/>
      <c r="J552" s="146" t="str">
        <f>IF(I552&lt;&gt;"", SUMIF(Bets!$D:$D, I552, Bets!AA:AA), "")</f>
        <v/>
      </c>
      <c r="K552" s="162"/>
      <c r="L552" s="148"/>
      <c r="M552" s="161"/>
      <c r="N552" s="146"/>
      <c r="O552" s="162"/>
      <c r="P552" s="148"/>
      <c r="Q552" s="161"/>
      <c r="R552" s="146" t="str">
        <f>IF(Q552&lt;&gt;"", SUMIF(Bets!$D:$D, Q552, Bets!AD:AD), "")</f>
        <v/>
      </c>
      <c r="S552" s="162"/>
      <c r="T552" s="148"/>
      <c r="U552" s="161"/>
      <c r="V552" s="146" t="str">
        <f>IF(U552&lt;&gt;"", SUMIF(Bets!$D:$D, U552, Bets!AE:AE), "")</f>
        <v/>
      </c>
      <c r="W552" s="162"/>
      <c r="X552" s="148"/>
      <c r="Y552" s="161"/>
      <c r="Z552" s="146" t="str">
        <f>IF(Y552&lt;&gt;"", SUMIF(Bets!$D:$D, Y552, Bets!AF:AF), "")</f>
        <v/>
      </c>
      <c r="AA552" s="162"/>
      <c r="AB552" s="148"/>
      <c r="AC552" s="161"/>
      <c r="AD552" s="146" t="str">
        <f>IF(AC552&lt;&gt;"", SUMIF(Bets!$D:$D, AC552, Bets!AG:AG), "")</f>
        <v/>
      </c>
      <c r="AE552" s="162"/>
      <c r="AF552" s="148"/>
    </row>
    <row r="553">
      <c r="A553" s="161"/>
      <c r="B553" s="146" t="str">
        <f>IF(A553&lt;&gt;"", SUMIF(Bets!$D:$D, A553, Bets!Z:Z), "")</f>
        <v/>
      </c>
      <c r="C553" s="162"/>
      <c r="D553" s="148"/>
      <c r="E553" s="161"/>
      <c r="F553" s="146" t="str">
        <f>IF(E553&lt;&gt;"", SUMIF(Bets!$D:$D, E553, Bets!AB:AB), "")</f>
        <v/>
      </c>
      <c r="G553" s="162"/>
      <c r="H553" s="148"/>
      <c r="I553" s="161"/>
      <c r="J553" s="146" t="str">
        <f>IF(I553&lt;&gt;"", SUMIF(Bets!$D:$D, I553, Bets!AA:AA), "")</f>
        <v/>
      </c>
      <c r="K553" s="162"/>
      <c r="L553" s="148"/>
      <c r="M553" s="161"/>
      <c r="N553" s="146"/>
      <c r="O553" s="162"/>
      <c r="P553" s="148"/>
      <c r="Q553" s="161"/>
      <c r="R553" s="146" t="str">
        <f>IF(Q553&lt;&gt;"", SUMIF(Bets!$D:$D, Q553, Bets!AD:AD), "")</f>
        <v/>
      </c>
      <c r="S553" s="162"/>
      <c r="T553" s="148"/>
      <c r="U553" s="161"/>
      <c r="V553" s="146" t="str">
        <f>IF(U553&lt;&gt;"", SUMIF(Bets!$D:$D, U553, Bets!AE:AE), "")</f>
        <v/>
      </c>
      <c r="W553" s="162"/>
      <c r="X553" s="148"/>
      <c r="Y553" s="161"/>
      <c r="Z553" s="146" t="str">
        <f>IF(Y553&lt;&gt;"", SUMIF(Bets!$D:$D, Y553, Bets!AF:AF), "")</f>
        <v/>
      </c>
      <c r="AA553" s="162"/>
      <c r="AB553" s="148"/>
      <c r="AC553" s="161"/>
      <c r="AD553" s="146" t="str">
        <f>IF(AC553&lt;&gt;"", SUMIF(Bets!$D:$D, AC553, Bets!AG:AG), "")</f>
        <v/>
      </c>
      <c r="AE553" s="162"/>
      <c r="AF553" s="148"/>
    </row>
    <row r="554">
      <c r="A554" s="161"/>
      <c r="B554" s="146" t="str">
        <f>IF(A554&lt;&gt;"", SUMIF(Bets!$D:$D, A554, Bets!Z:Z), "")</f>
        <v/>
      </c>
      <c r="C554" s="162"/>
      <c r="D554" s="148"/>
      <c r="E554" s="161"/>
      <c r="F554" s="146" t="str">
        <f>IF(E554&lt;&gt;"", SUMIF(Bets!$D:$D, E554, Bets!AB:AB), "")</f>
        <v/>
      </c>
      <c r="G554" s="162"/>
      <c r="H554" s="148"/>
      <c r="I554" s="161"/>
      <c r="J554" s="146" t="str">
        <f>IF(I554&lt;&gt;"", SUMIF(Bets!$D:$D, I554, Bets!AA:AA), "")</f>
        <v/>
      </c>
      <c r="K554" s="162"/>
      <c r="L554" s="148"/>
      <c r="M554" s="161"/>
      <c r="N554" s="146"/>
      <c r="O554" s="162"/>
      <c r="P554" s="148"/>
      <c r="Q554" s="161"/>
      <c r="R554" s="146" t="str">
        <f>IF(Q554&lt;&gt;"", SUMIF(Bets!$D:$D, Q554, Bets!AD:AD), "")</f>
        <v/>
      </c>
      <c r="S554" s="162"/>
      <c r="T554" s="148"/>
      <c r="U554" s="161"/>
      <c r="V554" s="146" t="str">
        <f>IF(U554&lt;&gt;"", SUMIF(Bets!$D:$D, U554, Bets!AE:AE), "")</f>
        <v/>
      </c>
      <c r="W554" s="162"/>
      <c r="X554" s="148"/>
      <c r="Y554" s="161"/>
      <c r="Z554" s="146" t="str">
        <f>IF(Y554&lt;&gt;"", SUMIF(Bets!$D:$D, Y554, Bets!AF:AF), "")</f>
        <v/>
      </c>
      <c r="AA554" s="162"/>
      <c r="AB554" s="148"/>
      <c r="AC554" s="161"/>
      <c r="AD554" s="146" t="str">
        <f>IF(AC554&lt;&gt;"", SUMIF(Bets!$D:$D, AC554, Bets!AG:AG), "")</f>
        <v/>
      </c>
      <c r="AE554" s="162"/>
      <c r="AF554" s="148"/>
    </row>
    <row r="555">
      <c r="A555" s="161"/>
      <c r="B555" s="146" t="str">
        <f>IF(A555&lt;&gt;"", SUMIF(Bets!$D:$D, A555, Bets!Z:Z), "")</f>
        <v/>
      </c>
      <c r="C555" s="162"/>
      <c r="D555" s="148"/>
      <c r="E555" s="161"/>
      <c r="F555" s="146" t="str">
        <f>IF(E555&lt;&gt;"", SUMIF(Bets!$D:$D, E555, Bets!AB:AB), "")</f>
        <v/>
      </c>
      <c r="G555" s="162"/>
      <c r="H555" s="148"/>
      <c r="I555" s="161"/>
      <c r="J555" s="146" t="str">
        <f>IF(I555&lt;&gt;"", SUMIF(Bets!$D:$D, I555, Bets!AA:AA), "")</f>
        <v/>
      </c>
      <c r="K555" s="162"/>
      <c r="L555" s="148"/>
      <c r="M555" s="161"/>
      <c r="N555" s="146"/>
      <c r="O555" s="162"/>
      <c r="P555" s="148"/>
      <c r="Q555" s="161"/>
      <c r="R555" s="146" t="str">
        <f>IF(Q555&lt;&gt;"", SUMIF(Bets!$D:$D, Q555, Bets!AD:AD), "")</f>
        <v/>
      </c>
      <c r="S555" s="162"/>
      <c r="T555" s="148"/>
      <c r="U555" s="161"/>
      <c r="V555" s="146" t="str">
        <f>IF(U555&lt;&gt;"", SUMIF(Bets!$D:$D, U555, Bets!AE:AE), "")</f>
        <v/>
      </c>
      <c r="W555" s="162"/>
      <c r="X555" s="148"/>
      <c r="Y555" s="161"/>
      <c r="Z555" s="146" t="str">
        <f>IF(Y555&lt;&gt;"", SUMIF(Bets!$D:$D, Y555, Bets!AF:AF), "")</f>
        <v/>
      </c>
      <c r="AA555" s="162"/>
      <c r="AB555" s="148"/>
      <c r="AC555" s="161"/>
      <c r="AD555" s="146" t="str">
        <f>IF(AC555&lt;&gt;"", SUMIF(Bets!$D:$D, AC555, Bets!AG:AG), "")</f>
        <v/>
      </c>
      <c r="AE555" s="162"/>
      <c r="AF555" s="148"/>
    </row>
    <row r="556">
      <c r="A556" s="161"/>
      <c r="B556" s="146" t="str">
        <f>IF(A556&lt;&gt;"", SUMIF(Bets!$D:$D, A556, Bets!Z:Z), "")</f>
        <v/>
      </c>
      <c r="C556" s="162"/>
      <c r="D556" s="148"/>
      <c r="E556" s="161"/>
      <c r="F556" s="146" t="str">
        <f>IF(E556&lt;&gt;"", SUMIF(Bets!$D:$D, E556, Bets!AB:AB), "")</f>
        <v/>
      </c>
      <c r="G556" s="162"/>
      <c r="H556" s="148"/>
      <c r="I556" s="161"/>
      <c r="J556" s="146" t="str">
        <f>IF(I556&lt;&gt;"", SUMIF(Bets!$D:$D, I556, Bets!AA:AA), "")</f>
        <v/>
      </c>
      <c r="K556" s="162"/>
      <c r="L556" s="148"/>
      <c r="M556" s="161"/>
      <c r="N556" s="146"/>
      <c r="O556" s="162"/>
      <c r="P556" s="148"/>
      <c r="Q556" s="161"/>
      <c r="R556" s="146" t="str">
        <f>IF(Q556&lt;&gt;"", SUMIF(Bets!$D:$D, Q556, Bets!AD:AD), "")</f>
        <v/>
      </c>
      <c r="S556" s="162"/>
      <c r="T556" s="148"/>
      <c r="U556" s="161"/>
      <c r="V556" s="146" t="str">
        <f>IF(U556&lt;&gt;"", SUMIF(Bets!$D:$D, U556, Bets!AE:AE), "")</f>
        <v/>
      </c>
      <c r="W556" s="162"/>
      <c r="X556" s="148"/>
      <c r="Y556" s="161"/>
      <c r="Z556" s="146" t="str">
        <f>IF(Y556&lt;&gt;"", SUMIF(Bets!$D:$D, Y556, Bets!AF:AF), "")</f>
        <v/>
      </c>
      <c r="AA556" s="162"/>
      <c r="AB556" s="148"/>
      <c r="AC556" s="161"/>
      <c r="AD556" s="146" t="str">
        <f>IF(AC556&lt;&gt;"", SUMIF(Bets!$D:$D, AC556, Bets!AG:AG), "")</f>
        <v/>
      </c>
      <c r="AE556" s="162"/>
      <c r="AF556" s="148"/>
    </row>
    <row r="557">
      <c r="A557" s="161"/>
      <c r="B557" s="146" t="str">
        <f>IF(A557&lt;&gt;"", SUMIF(Bets!$D:$D, A557, Bets!Z:Z), "")</f>
        <v/>
      </c>
      <c r="C557" s="162"/>
      <c r="D557" s="148"/>
      <c r="E557" s="161"/>
      <c r="F557" s="146" t="str">
        <f>IF(E557&lt;&gt;"", SUMIF(Bets!$D:$D, E557, Bets!AB:AB), "")</f>
        <v/>
      </c>
      <c r="G557" s="162"/>
      <c r="H557" s="148"/>
      <c r="I557" s="161"/>
      <c r="J557" s="146" t="str">
        <f>IF(I557&lt;&gt;"", SUMIF(Bets!$D:$D, I557, Bets!AA:AA), "")</f>
        <v/>
      </c>
      <c r="K557" s="162"/>
      <c r="L557" s="148"/>
      <c r="M557" s="161"/>
      <c r="N557" s="146"/>
      <c r="O557" s="162"/>
      <c r="P557" s="148"/>
      <c r="Q557" s="161"/>
      <c r="R557" s="146" t="str">
        <f>IF(Q557&lt;&gt;"", SUMIF(Bets!$D:$D, Q557, Bets!AD:AD), "")</f>
        <v/>
      </c>
      <c r="S557" s="162"/>
      <c r="T557" s="148"/>
      <c r="U557" s="161"/>
      <c r="V557" s="146" t="str">
        <f>IF(U557&lt;&gt;"", SUMIF(Bets!$D:$D, U557, Bets!AE:AE), "")</f>
        <v/>
      </c>
      <c r="W557" s="162"/>
      <c r="X557" s="148"/>
      <c r="Y557" s="161"/>
      <c r="Z557" s="146" t="str">
        <f>IF(Y557&lt;&gt;"", SUMIF(Bets!$D:$D, Y557, Bets!AF:AF), "")</f>
        <v/>
      </c>
      <c r="AA557" s="162"/>
      <c r="AB557" s="148"/>
      <c r="AC557" s="161"/>
      <c r="AD557" s="146" t="str">
        <f>IF(AC557&lt;&gt;"", SUMIF(Bets!$D:$D, AC557, Bets!AG:AG), "")</f>
        <v/>
      </c>
      <c r="AE557" s="162"/>
      <c r="AF557" s="148"/>
    </row>
    <row r="558">
      <c r="A558" s="161"/>
      <c r="B558" s="146" t="str">
        <f>IF(A558&lt;&gt;"", SUMIF(Bets!$D:$D, A558, Bets!Z:Z), "")</f>
        <v/>
      </c>
      <c r="C558" s="162"/>
      <c r="D558" s="148"/>
      <c r="E558" s="161"/>
      <c r="F558" s="146" t="str">
        <f>IF(E558&lt;&gt;"", SUMIF(Bets!$D:$D, E558, Bets!AB:AB), "")</f>
        <v/>
      </c>
      <c r="G558" s="162"/>
      <c r="H558" s="148"/>
      <c r="I558" s="161"/>
      <c r="J558" s="146" t="str">
        <f>IF(I558&lt;&gt;"", SUMIF(Bets!$D:$D, I558, Bets!AA:AA), "")</f>
        <v/>
      </c>
      <c r="K558" s="162"/>
      <c r="L558" s="148"/>
      <c r="M558" s="161"/>
      <c r="N558" s="146"/>
      <c r="O558" s="162"/>
      <c r="P558" s="148"/>
      <c r="Q558" s="161"/>
      <c r="R558" s="146" t="str">
        <f>IF(Q558&lt;&gt;"", SUMIF(Bets!$D:$D, Q558, Bets!AD:AD), "")</f>
        <v/>
      </c>
      <c r="S558" s="162"/>
      <c r="T558" s="148"/>
      <c r="U558" s="161"/>
      <c r="V558" s="146" t="str">
        <f>IF(U558&lt;&gt;"", SUMIF(Bets!$D:$D, U558, Bets!AE:AE), "")</f>
        <v/>
      </c>
      <c r="W558" s="162"/>
      <c r="X558" s="148"/>
      <c r="Y558" s="161"/>
      <c r="Z558" s="146" t="str">
        <f>IF(Y558&lt;&gt;"", SUMIF(Bets!$D:$D, Y558, Bets!AF:AF), "")</f>
        <v/>
      </c>
      <c r="AA558" s="162"/>
      <c r="AB558" s="148"/>
      <c r="AC558" s="161"/>
      <c r="AD558" s="146" t="str">
        <f>IF(AC558&lt;&gt;"", SUMIF(Bets!$D:$D, AC558, Bets!AG:AG), "")</f>
        <v/>
      </c>
      <c r="AE558" s="162"/>
      <c r="AF558" s="148"/>
    </row>
    <row r="559">
      <c r="A559" s="161"/>
      <c r="B559" s="146" t="str">
        <f>IF(A559&lt;&gt;"", SUMIF(Bets!$D:$D, A559, Bets!Z:Z), "")</f>
        <v/>
      </c>
      <c r="C559" s="162"/>
      <c r="D559" s="148"/>
      <c r="E559" s="161"/>
      <c r="F559" s="146" t="str">
        <f>IF(E559&lt;&gt;"", SUMIF(Bets!$D:$D, E559, Bets!AB:AB), "")</f>
        <v/>
      </c>
      <c r="G559" s="162"/>
      <c r="H559" s="148"/>
      <c r="I559" s="161"/>
      <c r="J559" s="146" t="str">
        <f>IF(I559&lt;&gt;"", SUMIF(Bets!$D:$D, I559, Bets!AA:AA), "")</f>
        <v/>
      </c>
      <c r="K559" s="162"/>
      <c r="L559" s="148"/>
      <c r="M559" s="161"/>
      <c r="N559" s="146"/>
      <c r="O559" s="162"/>
      <c r="P559" s="148"/>
      <c r="Q559" s="161"/>
      <c r="R559" s="146" t="str">
        <f>IF(Q559&lt;&gt;"", SUMIF(Bets!$D:$D, Q559, Bets!AD:AD), "")</f>
        <v/>
      </c>
      <c r="S559" s="162"/>
      <c r="T559" s="148"/>
      <c r="U559" s="161"/>
      <c r="V559" s="146" t="str">
        <f>IF(U559&lt;&gt;"", SUMIF(Bets!$D:$D, U559, Bets!AE:AE), "")</f>
        <v/>
      </c>
      <c r="W559" s="162"/>
      <c r="X559" s="148"/>
      <c r="Y559" s="161"/>
      <c r="Z559" s="146" t="str">
        <f>IF(Y559&lt;&gt;"", SUMIF(Bets!$D:$D, Y559, Bets!AF:AF), "")</f>
        <v/>
      </c>
      <c r="AA559" s="162"/>
      <c r="AB559" s="148"/>
      <c r="AC559" s="161"/>
      <c r="AD559" s="146" t="str">
        <f>IF(AC559&lt;&gt;"", SUMIF(Bets!$D:$D, AC559, Bets!AG:AG), "")</f>
        <v/>
      </c>
      <c r="AE559" s="162"/>
      <c r="AF559" s="148"/>
    </row>
    <row r="560">
      <c r="A560" s="161"/>
      <c r="B560" s="146" t="str">
        <f>IF(A560&lt;&gt;"", SUMIF(Bets!$D:$D, A560, Bets!Z:Z), "")</f>
        <v/>
      </c>
      <c r="C560" s="162"/>
      <c r="D560" s="148"/>
      <c r="E560" s="161"/>
      <c r="F560" s="146" t="str">
        <f>IF(E560&lt;&gt;"", SUMIF(Bets!$D:$D, E560, Bets!AB:AB), "")</f>
        <v/>
      </c>
      <c r="G560" s="162"/>
      <c r="H560" s="148"/>
      <c r="I560" s="161"/>
      <c r="J560" s="146" t="str">
        <f>IF(I560&lt;&gt;"", SUMIF(Bets!$D:$D, I560, Bets!AA:AA), "")</f>
        <v/>
      </c>
      <c r="K560" s="162"/>
      <c r="L560" s="148"/>
      <c r="M560" s="161"/>
      <c r="N560" s="146"/>
      <c r="O560" s="162"/>
      <c r="P560" s="148"/>
      <c r="Q560" s="161"/>
      <c r="R560" s="146" t="str">
        <f>IF(Q560&lt;&gt;"", SUMIF(Bets!$D:$D, Q560, Bets!AD:AD), "")</f>
        <v/>
      </c>
      <c r="S560" s="162"/>
      <c r="T560" s="148"/>
      <c r="U560" s="161"/>
      <c r="V560" s="146" t="str">
        <f>IF(U560&lt;&gt;"", SUMIF(Bets!$D:$D, U560, Bets!AE:AE), "")</f>
        <v/>
      </c>
      <c r="W560" s="162"/>
      <c r="X560" s="148"/>
      <c r="Y560" s="161"/>
      <c r="Z560" s="146" t="str">
        <f>IF(Y560&lt;&gt;"", SUMIF(Bets!$D:$D, Y560, Bets!AF:AF), "")</f>
        <v/>
      </c>
      <c r="AA560" s="162"/>
      <c r="AB560" s="148"/>
      <c r="AC560" s="161"/>
      <c r="AD560" s="146" t="str">
        <f>IF(AC560&lt;&gt;"", SUMIF(Bets!$D:$D, AC560, Bets!AG:AG), "")</f>
        <v/>
      </c>
      <c r="AE560" s="162"/>
      <c r="AF560" s="148"/>
    </row>
    <row r="561">
      <c r="A561" s="161"/>
      <c r="B561" s="146" t="str">
        <f>IF(A561&lt;&gt;"", SUMIF(Bets!$D:$D, A561, Bets!Z:Z), "")</f>
        <v/>
      </c>
      <c r="C561" s="162"/>
      <c r="D561" s="148"/>
      <c r="E561" s="161"/>
      <c r="F561" s="146" t="str">
        <f>IF(E561&lt;&gt;"", SUMIF(Bets!$D:$D, E561, Bets!AB:AB), "")</f>
        <v/>
      </c>
      <c r="G561" s="162"/>
      <c r="H561" s="148"/>
      <c r="I561" s="161"/>
      <c r="J561" s="146" t="str">
        <f>IF(I561&lt;&gt;"", SUMIF(Bets!$D:$D, I561, Bets!AA:AA), "")</f>
        <v/>
      </c>
      <c r="K561" s="162"/>
      <c r="L561" s="148"/>
      <c r="M561" s="161"/>
      <c r="N561" s="146"/>
      <c r="O561" s="162"/>
      <c r="P561" s="148"/>
      <c r="Q561" s="161"/>
      <c r="R561" s="146" t="str">
        <f>IF(Q561&lt;&gt;"", SUMIF(Bets!$D:$D, Q561, Bets!AD:AD), "")</f>
        <v/>
      </c>
      <c r="S561" s="162"/>
      <c r="T561" s="148"/>
      <c r="U561" s="161"/>
      <c r="V561" s="146" t="str">
        <f>IF(U561&lt;&gt;"", SUMIF(Bets!$D:$D, U561, Bets!AE:AE), "")</f>
        <v/>
      </c>
      <c r="W561" s="162"/>
      <c r="X561" s="148"/>
      <c r="Y561" s="161"/>
      <c r="Z561" s="146" t="str">
        <f>IF(Y561&lt;&gt;"", SUMIF(Bets!$D:$D, Y561, Bets!AF:AF), "")</f>
        <v/>
      </c>
      <c r="AA561" s="162"/>
      <c r="AB561" s="148"/>
      <c r="AC561" s="161"/>
      <c r="AD561" s="146" t="str">
        <f>IF(AC561&lt;&gt;"", SUMIF(Bets!$D:$D, AC561, Bets!AG:AG), "")</f>
        <v/>
      </c>
      <c r="AE561" s="162"/>
      <c r="AF561" s="148"/>
    </row>
    <row r="562">
      <c r="A562" s="161"/>
      <c r="B562" s="146" t="str">
        <f>IF(A562&lt;&gt;"", SUMIF(Bets!$D:$D, A562, Bets!Z:Z), "")</f>
        <v/>
      </c>
      <c r="C562" s="162"/>
      <c r="D562" s="148"/>
      <c r="E562" s="161"/>
      <c r="F562" s="146" t="str">
        <f>IF(E562&lt;&gt;"", SUMIF(Bets!$D:$D, E562, Bets!AB:AB), "")</f>
        <v/>
      </c>
      <c r="G562" s="162"/>
      <c r="H562" s="148"/>
      <c r="I562" s="161"/>
      <c r="J562" s="146" t="str">
        <f>IF(I562&lt;&gt;"", SUMIF(Bets!$D:$D, I562, Bets!AA:AA), "")</f>
        <v/>
      </c>
      <c r="K562" s="162"/>
      <c r="L562" s="148"/>
      <c r="M562" s="161"/>
      <c r="N562" s="146"/>
      <c r="O562" s="162"/>
      <c r="P562" s="148"/>
      <c r="Q562" s="161"/>
      <c r="R562" s="146" t="str">
        <f>IF(Q562&lt;&gt;"", SUMIF(Bets!$D:$D, Q562, Bets!AD:AD), "")</f>
        <v/>
      </c>
      <c r="S562" s="162"/>
      <c r="T562" s="148"/>
      <c r="U562" s="161"/>
      <c r="V562" s="146" t="str">
        <f>IF(U562&lt;&gt;"", SUMIF(Bets!$D:$D, U562, Bets!AE:AE), "")</f>
        <v/>
      </c>
      <c r="W562" s="162"/>
      <c r="X562" s="148"/>
      <c r="Y562" s="161"/>
      <c r="Z562" s="146" t="str">
        <f>IF(Y562&lt;&gt;"", SUMIF(Bets!$D:$D, Y562, Bets!AF:AF), "")</f>
        <v/>
      </c>
      <c r="AA562" s="162"/>
      <c r="AB562" s="148"/>
      <c r="AC562" s="161"/>
      <c r="AD562" s="146" t="str">
        <f>IF(AC562&lt;&gt;"", SUMIF(Bets!$D:$D, AC562, Bets!AG:AG), "")</f>
        <v/>
      </c>
      <c r="AE562" s="162"/>
      <c r="AF562" s="148"/>
    </row>
    <row r="563">
      <c r="A563" s="161"/>
      <c r="B563" s="146" t="str">
        <f>IF(A563&lt;&gt;"", SUMIF(Bets!$D:$D, A563, Bets!Z:Z), "")</f>
        <v/>
      </c>
      <c r="C563" s="162"/>
      <c r="D563" s="148"/>
      <c r="E563" s="161"/>
      <c r="F563" s="146" t="str">
        <f>IF(E563&lt;&gt;"", SUMIF(Bets!$D:$D, E563, Bets!AB:AB), "")</f>
        <v/>
      </c>
      <c r="G563" s="162"/>
      <c r="H563" s="148"/>
      <c r="I563" s="161"/>
      <c r="J563" s="146" t="str">
        <f>IF(I563&lt;&gt;"", SUMIF(Bets!$D:$D, I563, Bets!AA:AA), "")</f>
        <v/>
      </c>
      <c r="K563" s="162"/>
      <c r="L563" s="148"/>
      <c r="M563" s="161"/>
      <c r="N563" s="146"/>
      <c r="O563" s="162"/>
      <c r="P563" s="148"/>
      <c r="Q563" s="161"/>
      <c r="R563" s="146" t="str">
        <f>IF(Q563&lt;&gt;"", SUMIF(Bets!$D:$D, Q563, Bets!AD:AD), "")</f>
        <v/>
      </c>
      <c r="S563" s="162"/>
      <c r="T563" s="148"/>
      <c r="U563" s="161"/>
      <c r="V563" s="146" t="str">
        <f>IF(U563&lt;&gt;"", SUMIF(Bets!$D:$D, U563, Bets!AE:AE), "")</f>
        <v/>
      </c>
      <c r="W563" s="162"/>
      <c r="X563" s="148"/>
      <c r="Y563" s="161"/>
      <c r="Z563" s="146" t="str">
        <f>IF(Y563&lt;&gt;"", SUMIF(Bets!$D:$D, Y563, Bets!AF:AF), "")</f>
        <v/>
      </c>
      <c r="AA563" s="162"/>
      <c r="AB563" s="148"/>
      <c r="AC563" s="161"/>
      <c r="AD563" s="146" t="str">
        <f>IF(AC563&lt;&gt;"", SUMIF(Bets!$D:$D, AC563, Bets!AG:AG), "")</f>
        <v/>
      </c>
      <c r="AE563" s="162"/>
      <c r="AF563" s="148"/>
    </row>
    <row r="564">
      <c r="A564" s="161"/>
      <c r="B564" s="146" t="str">
        <f>IF(A564&lt;&gt;"", SUMIF(Bets!$D:$D, A564, Bets!Z:Z), "")</f>
        <v/>
      </c>
      <c r="C564" s="162"/>
      <c r="D564" s="148"/>
      <c r="E564" s="161"/>
      <c r="F564" s="146" t="str">
        <f>IF(E564&lt;&gt;"", SUMIF(Bets!$D:$D, E564, Bets!AB:AB), "")</f>
        <v/>
      </c>
      <c r="G564" s="162"/>
      <c r="H564" s="148"/>
      <c r="I564" s="161"/>
      <c r="J564" s="146" t="str">
        <f>IF(I564&lt;&gt;"", SUMIF(Bets!$D:$D, I564, Bets!AA:AA), "")</f>
        <v/>
      </c>
      <c r="K564" s="162"/>
      <c r="L564" s="148"/>
      <c r="M564" s="161"/>
      <c r="N564" s="146"/>
      <c r="O564" s="162"/>
      <c r="P564" s="148"/>
      <c r="Q564" s="161"/>
      <c r="R564" s="146" t="str">
        <f>IF(Q564&lt;&gt;"", SUMIF(Bets!$D:$D, Q564, Bets!AD:AD), "")</f>
        <v/>
      </c>
      <c r="S564" s="162"/>
      <c r="T564" s="148"/>
      <c r="U564" s="161"/>
      <c r="V564" s="146" t="str">
        <f>IF(U564&lt;&gt;"", SUMIF(Bets!$D:$D, U564, Bets!AE:AE), "")</f>
        <v/>
      </c>
      <c r="W564" s="162"/>
      <c r="X564" s="148"/>
      <c r="Y564" s="161"/>
      <c r="Z564" s="146" t="str">
        <f>IF(Y564&lt;&gt;"", SUMIF(Bets!$D:$D, Y564, Bets!AF:AF), "")</f>
        <v/>
      </c>
      <c r="AA564" s="162"/>
      <c r="AB564" s="148"/>
      <c r="AC564" s="161"/>
      <c r="AD564" s="146" t="str">
        <f>IF(AC564&lt;&gt;"", SUMIF(Bets!$D:$D, AC564, Bets!AG:AG), "")</f>
        <v/>
      </c>
      <c r="AE564" s="162"/>
      <c r="AF564" s="148"/>
    </row>
    <row r="565">
      <c r="A565" s="161"/>
      <c r="B565" s="146" t="str">
        <f>IF(A565&lt;&gt;"", SUMIF(Bets!$D:$D, A565, Bets!Z:Z), "")</f>
        <v/>
      </c>
      <c r="C565" s="162"/>
      <c r="D565" s="148"/>
      <c r="E565" s="161"/>
      <c r="F565" s="146" t="str">
        <f>IF(E565&lt;&gt;"", SUMIF(Bets!$D:$D, E565, Bets!AB:AB), "")</f>
        <v/>
      </c>
      <c r="G565" s="162"/>
      <c r="H565" s="148"/>
      <c r="I565" s="161"/>
      <c r="J565" s="146" t="str">
        <f>IF(I565&lt;&gt;"", SUMIF(Bets!$D:$D, I565, Bets!AA:AA), "")</f>
        <v/>
      </c>
      <c r="K565" s="162"/>
      <c r="L565" s="148"/>
      <c r="M565" s="161"/>
      <c r="N565" s="146"/>
      <c r="O565" s="162"/>
      <c r="P565" s="148"/>
      <c r="Q565" s="161"/>
      <c r="R565" s="146" t="str">
        <f>IF(Q565&lt;&gt;"", SUMIF(Bets!$D:$D, Q565, Bets!AD:AD), "")</f>
        <v/>
      </c>
      <c r="S565" s="162"/>
      <c r="T565" s="148"/>
      <c r="U565" s="161"/>
      <c r="V565" s="146" t="str">
        <f>IF(U565&lt;&gt;"", SUMIF(Bets!$D:$D, U565, Bets!AE:AE), "")</f>
        <v/>
      </c>
      <c r="W565" s="162"/>
      <c r="X565" s="148"/>
      <c r="Y565" s="161"/>
      <c r="Z565" s="146" t="str">
        <f>IF(Y565&lt;&gt;"", SUMIF(Bets!$D:$D, Y565, Bets!AF:AF), "")</f>
        <v/>
      </c>
      <c r="AA565" s="162"/>
      <c r="AB565" s="148"/>
      <c r="AC565" s="161"/>
      <c r="AD565" s="146" t="str">
        <f>IF(AC565&lt;&gt;"", SUMIF(Bets!$D:$D, AC565, Bets!AG:AG), "")</f>
        <v/>
      </c>
      <c r="AE565" s="162"/>
      <c r="AF565" s="148"/>
    </row>
    <row r="566">
      <c r="A566" s="161"/>
      <c r="B566" s="146" t="str">
        <f>IF(A566&lt;&gt;"", SUMIF(Bets!$D:$D, A566, Bets!Z:Z), "")</f>
        <v/>
      </c>
      <c r="C566" s="162"/>
      <c r="D566" s="148"/>
      <c r="E566" s="161"/>
      <c r="F566" s="146" t="str">
        <f>IF(E566&lt;&gt;"", SUMIF(Bets!$D:$D, E566, Bets!AB:AB), "")</f>
        <v/>
      </c>
      <c r="G566" s="162"/>
      <c r="H566" s="148"/>
      <c r="I566" s="161"/>
      <c r="J566" s="146" t="str">
        <f>IF(I566&lt;&gt;"", SUMIF(Bets!$D:$D, I566, Bets!AA:AA), "")</f>
        <v/>
      </c>
      <c r="K566" s="162"/>
      <c r="L566" s="148"/>
      <c r="M566" s="161"/>
      <c r="N566" s="146"/>
      <c r="O566" s="162"/>
      <c r="P566" s="148"/>
      <c r="Q566" s="161"/>
      <c r="R566" s="146" t="str">
        <f>IF(Q566&lt;&gt;"", SUMIF(Bets!$D:$D, Q566, Bets!AD:AD), "")</f>
        <v/>
      </c>
      <c r="S566" s="162"/>
      <c r="T566" s="148"/>
      <c r="U566" s="161"/>
      <c r="V566" s="146" t="str">
        <f>IF(U566&lt;&gt;"", SUMIF(Bets!$D:$D, U566, Bets!AE:AE), "")</f>
        <v/>
      </c>
      <c r="W566" s="162"/>
      <c r="X566" s="148"/>
      <c r="Y566" s="161"/>
      <c r="Z566" s="146" t="str">
        <f>IF(Y566&lt;&gt;"", SUMIF(Bets!$D:$D, Y566, Bets!AF:AF), "")</f>
        <v/>
      </c>
      <c r="AA566" s="162"/>
      <c r="AB566" s="148"/>
      <c r="AC566" s="161"/>
      <c r="AD566" s="146" t="str">
        <f>IF(AC566&lt;&gt;"", SUMIF(Bets!$D:$D, AC566, Bets!AG:AG), "")</f>
        <v/>
      </c>
      <c r="AE566" s="162"/>
      <c r="AF566" s="148"/>
    </row>
    <row r="567">
      <c r="A567" s="161"/>
      <c r="B567" s="146" t="str">
        <f>IF(A567&lt;&gt;"", SUMIF(Bets!$D:$D, A567, Bets!Z:Z), "")</f>
        <v/>
      </c>
      <c r="C567" s="162"/>
      <c r="D567" s="148"/>
      <c r="E567" s="161"/>
      <c r="F567" s="146" t="str">
        <f>IF(E567&lt;&gt;"", SUMIF(Bets!$D:$D, E567, Bets!AB:AB), "")</f>
        <v/>
      </c>
      <c r="G567" s="162"/>
      <c r="H567" s="148"/>
      <c r="I567" s="161"/>
      <c r="J567" s="146" t="str">
        <f>IF(I567&lt;&gt;"", SUMIF(Bets!$D:$D, I567, Bets!AA:AA), "")</f>
        <v/>
      </c>
      <c r="K567" s="162"/>
      <c r="L567" s="148"/>
      <c r="M567" s="161"/>
      <c r="N567" s="146"/>
      <c r="O567" s="162"/>
      <c r="P567" s="148"/>
      <c r="Q567" s="161"/>
      <c r="R567" s="146" t="str">
        <f>IF(Q567&lt;&gt;"", SUMIF(Bets!$D:$D, Q567, Bets!AD:AD), "")</f>
        <v/>
      </c>
      <c r="S567" s="162"/>
      <c r="T567" s="148"/>
      <c r="U567" s="161"/>
      <c r="V567" s="146" t="str">
        <f>IF(U567&lt;&gt;"", SUMIF(Bets!$D:$D, U567, Bets!AE:AE), "")</f>
        <v/>
      </c>
      <c r="W567" s="162"/>
      <c r="X567" s="148"/>
      <c r="Y567" s="161"/>
      <c r="Z567" s="146" t="str">
        <f>IF(Y567&lt;&gt;"", SUMIF(Bets!$D:$D, Y567, Bets!AF:AF), "")</f>
        <v/>
      </c>
      <c r="AA567" s="162"/>
      <c r="AB567" s="148"/>
      <c r="AC567" s="161"/>
      <c r="AD567" s="146" t="str">
        <f>IF(AC567&lt;&gt;"", SUMIF(Bets!$D:$D, AC567, Bets!AG:AG), "")</f>
        <v/>
      </c>
      <c r="AE567" s="162"/>
      <c r="AF567" s="148"/>
    </row>
    <row r="568">
      <c r="A568" s="161"/>
      <c r="B568" s="146" t="str">
        <f>IF(A568&lt;&gt;"", SUMIF(Bets!$D:$D, A568, Bets!Z:Z), "")</f>
        <v/>
      </c>
      <c r="C568" s="162"/>
      <c r="D568" s="148"/>
      <c r="E568" s="161"/>
      <c r="F568" s="146" t="str">
        <f>IF(E568&lt;&gt;"", SUMIF(Bets!$D:$D, E568, Bets!AB:AB), "")</f>
        <v/>
      </c>
      <c r="G568" s="162"/>
      <c r="H568" s="148"/>
      <c r="I568" s="161"/>
      <c r="J568" s="146" t="str">
        <f>IF(I568&lt;&gt;"", SUMIF(Bets!$D:$D, I568, Bets!AA:AA), "")</f>
        <v/>
      </c>
      <c r="K568" s="162"/>
      <c r="L568" s="148"/>
      <c r="M568" s="161"/>
      <c r="N568" s="146"/>
      <c r="O568" s="162"/>
      <c r="P568" s="148"/>
      <c r="Q568" s="161"/>
      <c r="R568" s="146" t="str">
        <f>IF(Q568&lt;&gt;"", SUMIF(Bets!$D:$D, Q568, Bets!AD:AD), "")</f>
        <v/>
      </c>
      <c r="S568" s="162"/>
      <c r="T568" s="148"/>
      <c r="U568" s="161"/>
      <c r="V568" s="146" t="str">
        <f>IF(U568&lt;&gt;"", SUMIF(Bets!$D:$D, U568, Bets!AE:AE), "")</f>
        <v/>
      </c>
      <c r="W568" s="162"/>
      <c r="X568" s="148"/>
      <c r="Y568" s="161"/>
      <c r="Z568" s="146" t="str">
        <f>IF(Y568&lt;&gt;"", SUMIF(Bets!$D:$D, Y568, Bets!AF:AF), "")</f>
        <v/>
      </c>
      <c r="AA568" s="162"/>
      <c r="AB568" s="148"/>
      <c r="AC568" s="161"/>
      <c r="AD568" s="146" t="str">
        <f>IF(AC568&lt;&gt;"", SUMIF(Bets!$D:$D, AC568, Bets!AG:AG), "")</f>
        <v/>
      </c>
      <c r="AE568" s="162"/>
      <c r="AF568" s="148"/>
    </row>
    <row r="569">
      <c r="A569" s="161"/>
      <c r="B569" s="146" t="str">
        <f>IF(A569&lt;&gt;"", SUMIF(Bets!$D:$D, A569, Bets!Z:Z), "")</f>
        <v/>
      </c>
      <c r="C569" s="162"/>
      <c r="D569" s="148"/>
      <c r="E569" s="161"/>
      <c r="F569" s="146" t="str">
        <f>IF(E569&lt;&gt;"", SUMIF(Bets!$D:$D, E569, Bets!AB:AB), "")</f>
        <v/>
      </c>
      <c r="G569" s="162"/>
      <c r="H569" s="148"/>
      <c r="I569" s="161"/>
      <c r="J569" s="146" t="str">
        <f>IF(I569&lt;&gt;"", SUMIF(Bets!$D:$D, I569, Bets!AA:AA), "")</f>
        <v/>
      </c>
      <c r="K569" s="162"/>
      <c r="L569" s="148"/>
      <c r="M569" s="161"/>
      <c r="N569" s="146"/>
      <c r="O569" s="162"/>
      <c r="P569" s="148"/>
      <c r="Q569" s="161"/>
      <c r="R569" s="146" t="str">
        <f>IF(Q569&lt;&gt;"", SUMIF(Bets!$D:$D, Q569, Bets!AD:AD), "")</f>
        <v/>
      </c>
      <c r="S569" s="162"/>
      <c r="T569" s="148"/>
      <c r="U569" s="161"/>
      <c r="V569" s="146" t="str">
        <f>IF(U569&lt;&gt;"", SUMIF(Bets!$D:$D, U569, Bets!AE:AE), "")</f>
        <v/>
      </c>
      <c r="W569" s="162"/>
      <c r="X569" s="148"/>
      <c r="Y569" s="161"/>
      <c r="Z569" s="146" t="str">
        <f>IF(Y569&lt;&gt;"", SUMIF(Bets!$D:$D, Y569, Bets!AF:AF), "")</f>
        <v/>
      </c>
      <c r="AA569" s="162"/>
      <c r="AB569" s="148"/>
      <c r="AC569" s="161"/>
      <c r="AD569" s="146" t="str">
        <f>IF(AC569&lt;&gt;"", SUMIF(Bets!$D:$D, AC569, Bets!AG:AG), "")</f>
        <v/>
      </c>
      <c r="AE569" s="162"/>
      <c r="AF569" s="148"/>
    </row>
    <row r="570">
      <c r="A570" s="161"/>
      <c r="B570" s="146" t="str">
        <f>IF(A570&lt;&gt;"", SUMIF(Bets!$D:$D, A570, Bets!Z:Z), "")</f>
        <v/>
      </c>
      <c r="C570" s="162"/>
      <c r="D570" s="148"/>
      <c r="E570" s="161"/>
      <c r="F570" s="146" t="str">
        <f>IF(E570&lt;&gt;"", SUMIF(Bets!$D:$D, E570, Bets!AB:AB), "")</f>
        <v/>
      </c>
      <c r="G570" s="162"/>
      <c r="H570" s="148"/>
      <c r="I570" s="161"/>
      <c r="J570" s="146" t="str">
        <f>IF(I570&lt;&gt;"", SUMIF(Bets!$D:$D, I570, Bets!AA:AA), "")</f>
        <v/>
      </c>
      <c r="K570" s="162"/>
      <c r="L570" s="148"/>
      <c r="M570" s="161"/>
      <c r="N570" s="146"/>
      <c r="O570" s="162"/>
      <c r="P570" s="148"/>
      <c r="Q570" s="161"/>
      <c r="R570" s="146" t="str">
        <f>IF(Q570&lt;&gt;"", SUMIF(Bets!$D:$D, Q570, Bets!AD:AD), "")</f>
        <v/>
      </c>
      <c r="S570" s="162"/>
      <c r="T570" s="148"/>
      <c r="U570" s="161"/>
      <c r="V570" s="146" t="str">
        <f>IF(U570&lt;&gt;"", SUMIF(Bets!$D:$D, U570, Bets!AE:AE), "")</f>
        <v/>
      </c>
      <c r="W570" s="162"/>
      <c r="X570" s="148"/>
      <c r="Y570" s="161"/>
      <c r="Z570" s="146" t="str">
        <f>IF(Y570&lt;&gt;"", SUMIF(Bets!$D:$D, Y570, Bets!AF:AF), "")</f>
        <v/>
      </c>
      <c r="AA570" s="162"/>
      <c r="AB570" s="148"/>
      <c r="AC570" s="161"/>
      <c r="AD570" s="146" t="str">
        <f>IF(AC570&lt;&gt;"", SUMIF(Bets!$D:$D, AC570, Bets!AG:AG), "")</f>
        <v/>
      </c>
      <c r="AE570" s="162"/>
      <c r="AF570" s="148"/>
    </row>
    <row r="571">
      <c r="A571" s="161"/>
      <c r="B571" s="146" t="str">
        <f>IF(A571&lt;&gt;"", SUMIF(Bets!$D:$D, A571, Bets!Z:Z), "")</f>
        <v/>
      </c>
      <c r="C571" s="162"/>
      <c r="D571" s="148"/>
      <c r="E571" s="161"/>
      <c r="F571" s="146" t="str">
        <f>IF(E571&lt;&gt;"", SUMIF(Bets!$D:$D, E571, Bets!AB:AB), "")</f>
        <v/>
      </c>
      <c r="G571" s="162"/>
      <c r="H571" s="148"/>
      <c r="I571" s="161"/>
      <c r="J571" s="146" t="str">
        <f>IF(I571&lt;&gt;"", SUMIF(Bets!$D:$D, I571, Bets!AA:AA), "")</f>
        <v/>
      </c>
      <c r="K571" s="162"/>
      <c r="L571" s="148"/>
      <c r="M571" s="161"/>
      <c r="N571" s="146"/>
      <c r="O571" s="162"/>
      <c r="P571" s="148"/>
      <c r="Q571" s="161"/>
      <c r="R571" s="146" t="str">
        <f>IF(Q571&lt;&gt;"", SUMIF(Bets!$D:$D, Q571, Bets!AD:AD), "")</f>
        <v/>
      </c>
      <c r="S571" s="162"/>
      <c r="T571" s="148"/>
      <c r="U571" s="161"/>
      <c r="V571" s="146" t="str">
        <f>IF(U571&lt;&gt;"", SUMIF(Bets!$D:$D, U571, Bets!AE:AE), "")</f>
        <v/>
      </c>
      <c r="W571" s="162"/>
      <c r="X571" s="148"/>
      <c r="Y571" s="161"/>
      <c r="Z571" s="146" t="str">
        <f>IF(Y571&lt;&gt;"", SUMIF(Bets!$D:$D, Y571, Bets!AF:AF), "")</f>
        <v/>
      </c>
      <c r="AA571" s="162"/>
      <c r="AB571" s="148"/>
      <c r="AC571" s="161"/>
      <c r="AD571" s="146" t="str">
        <f>IF(AC571&lt;&gt;"", SUMIF(Bets!$D:$D, AC571, Bets!AG:AG), "")</f>
        <v/>
      </c>
      <c r="AE571" s="162"/>
      <c r="AF571" s="148"/>
    </row>
    <row r="572">
      <c r="A572" s="161"/>
      <c r="B572" s="146" t="str">
        <f>IF(A572&lt;&gt;"", SUMIF(Bets!$D:$D, A572, Bets!Z:Z), "")</f>
        <v/>
      </c>
      <c r="C572" s="162"/>
      <c r="D572" s="148"/>
      <c r="E572" s="161"/>
      <c r="F572" s="146" t="str">
        <f>IF(E572&lt;&gt;"", SUMIF(Bets!$D:$D, E572, Bets!AB:AB), "")</f>
        <v/>
      </c>
      <c r="G572" s="162"/>
      <c r="H572" s="148"/>
      <c r="I572" s="161"/>
      <c r="J572" s="146" t="str">
        <f>IF(I572&lt;&gt;"", SUMIF(Bets!$D:$D, I572, Bets!AA:AA), "")</f>
        <v/>
      </c>
      <c r="K572" s="162"/>
      <c r="L572" s="148"/>
      <c r="M572" s="161"/>
      <c r="N572" s="146"/>
      <c r="O572" s="162"/>
      <c r="P572" s="148"/>
      <c r="Q572" s="161"/>
      <c r="R572" s="146" t="str">
        <f>IF(Q572&lt;&gt;"", SUMIF(Bets!$D:$D, Q572, Bets!AD:AD), "")</f>
        <v/>
      </c>
      <c r="S572" s="162"/>
      <c r="T572" s="148"/>
      <c r="U572" s="161"/>
      <c r="V572" s="146" t="str">
        <f>IF(U572&lt;&gt;"", SUMIF(Bets!$D:$D, U572, Bets!AE:AE), "")</f>
        <v/>
      </c>
      <c r="W572" s="162"/>
      <c r="X572" s="148"/>
      <c r="Y572" s="161"/>
      <c r="Z572" s="146" t="str">
        <f>IF(Y572&lt;&gt;"", SUMIF(Bets!$D:$D, Y572, Bets!AF:AF), "")</f>
        <v/>
      </c>
      <c r="AA572" s="162"/>
      <c r="AB572" s="148"/>
      <c r="AC572" s="161"/>
      <c r="AD572" s="146" t="str">
        <f>IF(AC572&lt;&gt;"", SUMIF(Bets!$D:$D, AC572, Bets!AG:AG), "")</f>
        <v/>
      </c>
      <c r="AE572" s="162"/>
      <c r="AF572" s="148"/>
    </row>
    <row r="573">
      <c r="A573" s="161"/>
      <c r="B573" s="146" t="str">
        <f>IF(A573&lt;&gt;"", SUMIF(Bets!$D:$D, A573, Bets!Z:Z), "")</f>
        <v/>
      </c>
      <c r="C573" s="162"/>
      <c r="D573" s="148"/>
      <c r="E573" s="161"/>
      <c r="F573" s="146" t="str">
        <f>IF(E573&lt;&gt;"", SUMIF(Bets!$D:$D, E573, Bets!AB:AB), "")</f>
        <v/>
      </c>
      <c r="G573" s="162"/>
      <c r="H573" s="148"/>
      <c r="I573" s="161"/>
      <c r="J573" s="146" t="str">
        <f>IF(I573&lt;&gt;"", SUMIF(Bets!$D:$D, I573, Bets!AA:AA), "")</f>
        <v/>
      </c>
      <c r="K573" s="162"/>
      <c r="L573" s="148"/>
      <c r="M573" s="161"/>
      <c r="N573" s="146"/>
      <c r="O573" s="162"/>
      <c r="P573" s="148"/>
      <c r="Q573" s="161"/>
      <c r="R573" s="146" t="str">
        <f>IF(Q573&lt;&gt;"", SUMIF(Bets!$D:$D, Q573, Bets!AD:AD), "")</f>
        <v/>
      </c>
      <c r="S573" s="162"/>
      <c r="T573" s="148"/>
      <c r="U573" s="161"/>
      <c r="V573" s="146" t="str">
        <f>IF(U573&lt;&gt;"", SUMIF(Bets!$D:$D, U573, Bets!AE:AE), "")</f>
        <v/>
      </c>
      <c r="W573" s="162"/>
      <c r="X573" s="148"/>
      <c r="Y573" s="161"/>
      <c r="Z573" s="146" t="str">
        <f>IF(Y573&lt;&gt;"", SUMIF(Bets!$D:$D, Y573, Bets!AF:AF), "")</f>
        <v/>
      </c>
      <c r="AA573" s="162"/>
      <c r="AB573" s="148"/>
      <c r="AC573" s="161"/>
      <c r="AD573" s="146" t="str">
        <f>IF(AC573&lt;&gt;"", SUMIF(Bets!$D:$D, AC573, Bets!AG:AG), "")</f>
        <v/>
      </c>
      <c r="AE573" s="162"/>
      <c r="AF573" s="148"/>
    </row>
    <row r="574">
      <c r="A574" s="161"/>
      <c r="B574" s="146" t="str">
        <f>IF(A574&lt;&gt;"", SUMIF(Bets!$D:$D, A574, Bets!Z:Z), "")</f>
        <v/>
      </c>
      <c r="C574" s="162"/>
      <c r="D574" s="148"/>
      <c r="E574" s="161"/>
      <c r="F574" s="146" t="str">
        <f>IF(E574&lt;&gt;"", SUMIF(Bets!$D:$D, E574, Bets!AB:AB), "")</f>
        <v/>
      </c>
      <c r="G574" s="162"/>
      <c r="H574" s="148"/>
      <c r="I574" s="161"/>
      <c r="J574" s="146" t="str">
        <f>IF(I574&lt;&gt;"", SUMIF(Bets!$D:$D, I574, Bets!AA:AA), "")</f>
        <v/>
      </c>
      <c r="K574" s="162"/>
      <c r="L574" s="148"/>
      <c r="M574" s="161"/>
      <c r="N574" s="146"/>
      <c r="O574" s="162"/>
      <c r="P574" s="148"/>
      <c r="Q574" s="161"/>
      <c r="R574" s="146" t="str">
        <f>IF(Q574&lt;&gt;"", SUMIF(Bets!$D:$D, Q574, Bets!AD:AD), "")</f>
        <v/>
      </c>
      <c r="S574" s="162"/>
      <c r="T574" s="148"/>
      <c r="U574" s="161"/>
      <c r="V574" s="146" t="str">
        <f>IF(U574&lt;&gt;"", SUMIF(Bets!$D:$D, U574, Bets!AE:AE), "")</f>
        <v/>
      </c>
      <c r="W574" s="162"/>
      <c r="X574" s="148"/>
      <c r="Y574" s="161"/>
      <c r="Z574" s="146" t="str">
        <f>IF(Y574&lt;&gt;"", SUMIF(Bets!$D:$D, Y574, Bets!AF:AF), "")</f>
        <v/>
      </c>
      <c r="AA574" s="162"/>
      <c r="AB574" s="148"/>
      <c r="AC574" s="161"/>
      <c r="AD574" s="146" t="str">
        <f>IF(AC574&lt;&gt;"", SUMIF(Bets!$D:$D, AC574, Bets!AG:AG), "")</f>
        <v/>
      </c>
      <c r="AE574" s="162"/>
      <c r="AF574" s="148"/>
    </row>
    <row r="575">
      <c r="A575" s="161"/>
      <c r="B575" s="146" t="str">
        <f>IF(A575&lt;&gt;"", SUMIF(Bets!$D:$D, A575, Bets!Z:Z), "")</f>
        <v/>
      </c>
      <c r="C575" s="162"/>
      <c r="D575" s="148"/>
      <c r="E575" s="161"/>
      <c r="F575" s="146" t="str">
        <f>IF(E575&lt;&gt;"", SUMIF(Bets!$D:$D, E575, Bets!AB:AB), "")</f>
        <v/>
      </c>
      <c r="G575" s="162"/>
      <c r="H575" s="148"/>
      <c r="I575" s="161"/>
      <c r="J575" s="146" t="str">
        <f>IF(I575&lt;&gt;"", SUMIF(Bets!$D:$D, I575, Bets!AA:AA), "")</f>
        <v/>
      </c>
      <c r="K575" s="162"/>
      <c r="L575" s="148"/>
      <c r="M575" s="161"/>
      <c r="N575" s="146"/>
      <c r="O575" s="162"/>
      <c r="P575" s="148"/>
      <c r="Q575" s="161"/>
      <c r="R575" s="146" t="str">
        <f>IF(Q575&lt;&gt;"", SUMIF(Bets!$D:$D, Q575, Bets!AD:AD), "")</f>
        <v/>
      </c>
      <c r="S575" s="162"/>
      <c r="T575" s="148"/>
      <c r="U575" s="161"/>
      <c r="V575" s="146" t="str">
        <f>IF(U575&lt;&gt;"", SUMIF(Bets!$D:$D, U575, Bets!AE:AE), "")</f>
        <v/>
      </c>
      <c r="W575" s="162"/>
      <c r="X575" s="148"/>
      <c r="Y575" s="161"/>
      <c r="Z575" s="146" t="str">
        <f>IF(Y575&lt;&gt;"", SUMIF(Bets!$D:$D, Y575, Bets!AF:AF), "")</f>
        <v/>
      </c>
      <c r="AA575" s="162"/>
      <c r="AB575" s="148"/>
      <c r="AC575" s="161"/>
      <c r="AD575" s="146" t="str">
        <f>IF(AC575&lt;&gt;"", SUMIF(Bets!$D:$D, AC575, Bets!AG:AG), "")</f>
        <v/>
      </c>
      <c r="AE575" s="162"/>
      <c r="AF575" s="148"/>
    </row>
    <row r="576">
      <c r="A576" s="161"/>
      <c r="B576" s="146" t="str">
        <f>IF(A576&lt;&gt;"", SUMIF(Bets!$D:$D, A576, Bets!Z:Z), "")</f>
        <v/>
      </c>
      <c r="C576" s="162"/>
      <c r="D576" s="148"/>
      <c r="E576" s="161"/>
      <c r="F576" s="146" t="str">
        <f>IF(E576&lt;&gt;"", SUMIF(Bets!$D:$D, E576, Bets!AB:AB), "")</f>
        <v/>
      </c>
      <c r="G576" s="162"/>
      <c r="H576" s="148"/>
      <c r="I576" s="161"/>
      <c r="J576" s="146" t="str">
        <f>IF(I576&lt;&gt;"", SUMIF(Bets!$D:$D, I576, Bets!AA:AA), "")</f>
        <v/>
      </c>
      <c r="K576" s="162"/>
      <c r="L576" s="148"/>
      <c r="M576" s="161"/>
      <c r="N576" s="146"/>
      <c r="O576" s="162"/>
      <c r="P576" s="148"/>
      <c r="Q576" s="161"/>
      <c r="R576" s="146" t="str">
        <f>IF(Q576&lt;&gt;"", SUMIF(Bets!$D:$D, Q576, Bets!AD:AD), "")</f>
        <v/>
      </c>
      <c r="S576" s="162"/>
      <c r="T576" s="148"/>
      <c r="U576" s="161"/>
      <c r="V576" s="146" t="str">
        <f>IF(U576&lt;&gt;"", SUMIF(Bets!$D:$D, U576, Bets!AE:AE), "")</f>
        <v/>
      </c>
      <c r="W576" s="162"/>
      <c r="X576" s="148"/>
      <c r="Y576" s="161"/>
      <c r="Z576" s="146" t="str">
        <f>IF(Y576&lt;&gt;"", SUMIF(Bets!$D:$D, Y576, Bets!AF:AF), "")</f>
        <v/>
      </c>
      <c r="AA576" s="162"/>
      <c r="AB576" s="148"/>
      <c r="AC576" s="161"/>
      <c r="AD576" s="146" t="str">
        <f>IF(AC576&lt;&gt;"", SUMIF(Bets!$D:$D, AC576, Bets!AG:AG), "")</f>
        <v/>
      </c>
      <c r="AE576" s="162"/>
      <c r="AF576" s="148"/>
    </row>
    <row r="577">
      <c r="A577" s="161"/>
      <c r="B577" s="146" t="str">
        <f>IF(A577&lt;&gt;"", SUMIF(Bets!$D:$D, A577, Bets!Z:Z), "")</f>
        <v/>
      </c>
      <c r="C577" s="162"/>
      <c r="D577" s="148"/>
      <c r="E577" s="161"/>
      <c r="F577" s="146" t="str">
        <f>IF(E577&lt;&gt;"", SUMIF(Bets!$D:$D, E577, Bets!AB:AB), "")</f>
        <v/>
      </c>
      <c r="G577" s="162"/>
      <c r="H577" s="148"/>
      <c r="I577" s="161"/>
      <c r="J577" s="146" t="str">
        <f>IF(I577&lt;&gt;"", SUMIF(Bets!$D:$D, I577, Bets!AA:AA), "")</f>
        <v/>
      </c>
      <c r="K577" s="162"/>
      <c r="L577" s="148"/>
      <c r="M577" s="161"/>
      <c r="N577" s="146"/>
      <c r="O577" s="162"/>
      <c r="P577" s="148"/>
      <c r="Q577" s="161"/>
      <c r="R577" s="146" t="str">
        <f>IF(Q577&lt;&gt;"", SUMIF(Bets!$D:$D, Q577, Bets!AD:AD), "")</f>
        <v/>
      </c>
      <c r="S577" s="162"/>
      <c r="T577" s="148"/>
      <c r="U577" s="161"/>
      <c r="V577" s="146" t="str">
        <f>IF(U577&lt;&gt;"", SUMIF(Bets!$D:$D, U577, Bets!AE:AE), "")</f>
        <v/>
      </c>
      <c r="W577" s="162"/>
      <c r="X577" s="148"/>
      <c r="Y577" s="161"/>
      <c r="Z577" s="146" t="str">
        <f>IF(Y577&lt;&gt;"", SUMIF(Bets!$D:$D, Y577, Bets!AF:AF), "")</f>
        <v/>
      </c>
      <c r="AA577" s="162"/>
      <c r="AB577" s="148"/>
      <c r="AC577" s="161"/>
      <c r="AD577" s="146" t="str">
        <f>IF(AC577&lt;&gt;"", SUMIF(Bets!$D:$D, AC577, Bets!AG:AG), "")</f>
        <v/>
      </c>
      <c r="AE577" s="162"/>
      <c r="AF577" s="148"/>
    </row>
    <row r="578">
      <c r="A578" s="161"/>
      <c r="B578" s="146" t="str">
        <f>IF(A578&lt;&gt;"", SUMIF(Bets!$D:$D, A578, Bets!Z:Z), "")</f>
        <v/>
      </c>
      <c r="C578" s="162"/>
      <c r="D578" s="148"/>
      <c r="E578" s="161"/>
      <c r="F578" s="146" t="str">
        <f>IF(E578&lt;&gt;"", SUMIF(Bets!$D:$D, E578, Bets!AB:AB), "")</f>
        <v/>
      </c>
      <c r="G578" s="162"/>
      <c r="H578" s="148"/>
      <c r="I578" s="161"/>
      <c r="J578" s="146" t="str">
        <f>IF(I578&lt;&gt;"", SUMIF(Bets!$D:$D, I578, Bets!AA:AA), "")</f>
        <v/>
      </c>
      <c r="K578" s="162"/>
      <c r="L578" s="148"/>
      <c r="M578" s="161"/>
      <c r="N578" s="146"/>
      <c r="O578" s="162"/>
      <c r="P578" s="148"/>
      <c r="Q578" s="161"/>
      <c r="R578" s="146" t="str">
        <f>IF(Q578&lt;&gt;"", SUMIF(Bets!$D:$D, Q578, Bets!AD:AD), "")</f>
        <v/>
      </c>
      <c r="S578" s="162"/>
      <c r="T578" s="148"/>
      <c r="U578" s="161"/>
      <c r="V578" s="146" t="str">
        <f>IF(U578&lt;&gt;"", SUMIF(Bets!$D:$D, U578, Bets!AE:AE), "")</f>
        <v/>
      </c>
      <c r="W578" s="162"/>
      <c r="X578" s="148"/>
      <c r="Y578" s="161"/>
      <c r="Z578" s="146" t="str">
        <f>IF(Y578&lt;&gt;"", SUMIF(Bets!$D:$D, Y578, Bets!AF:AF), "")</f>
        <v/>
      </c>
      <c r="AA578" s="162"/>
      <c r="AB578" s="148"/>
      <c r="AC578" s="161"/>
      <c r="AD578" s="146" t="str">
        <f>IF(AC578&lt;&gt;"", SUMIF(Bets!$D:$D, AC578, Bets!AG:AG), "")</f>
        <v/>
      </c>
      <c r="AE578" s="162"/>
      <c r="AF578" s="148"/>
    </row>
    <row r="579">
      <c r="A579" s="161"/>
      <c r="B579" s="146" t="str">
        <f>IF(A579&lt;&gt;"", SUMIF(Bets!$D:$D, A579, Bets!Z:Z), "")</f>
        <v/>
      </c>
      <c r="C579" s="162"/>
      <c r="D579" s="148"/>
      <c r="E579" s="161"/>
      <c r="F579" s="146" t="str">
        <f>IF(E579&lt;&gt;"", SUMIF(Bets!$D:$D, E579, Bets!AB:AB), "")</f>
        <v/>
      </c>
      <c r="G579" s="162"/>
      <c r="H579" s="148"/>
      <c r="I579" s="161"/>
      <c r="J579" s="146" t="str">
        <f>IF(I579&lt;&gt;"", SUMIF(Bets!$D:$D, I579, Bets!AA:AA), "")</f>
        <v/>
      </c>
      <c r="K579" s="162"/>
      <c r="L579" s="148"/>
      <c r="M579" s="161"/>
      <c r="N579" s="146"/>
      <c r="O579" s="162"/>
      <c r="P579" s="148"/>
      <c r="Q579" s="161"/>
      <c r="R579" s="146" t="str">
        <f>IF(Q579&lt;&gt;"", SUMIF(Bets!$D:$D, Q579, Bets!AD:AD), "")</f>
        <v/>
      </c>
      <c r="S579" s="162"/>
      <c r="T579" s="148"/>
      <c r="U579" s="161"/>
      <c r="V579" s="146" t="str">
        <f>IF(U579&lt;&gt;"", SUMIF(Bets!$D:$D, U579, Bets!AE:AE), "")</f>
        <v/>
      </c>
      <c r="W579" s="162"/>
      <c r="X579" s="148"/>
      <c r="Y579" s="161"/>
      <c r="Z579" s="146" t="str">
        <f>IF(Y579&lt;&gt;"", SUMIF(Bets!$D:$D, Y579, Bets!AF:AF), "")</f>
        <v/>
      </c>
      <c r="AA579" s="162"/>
      <c r="AB579" s="148"/>
      <c r="AC579" s="161"/>
      <c r="AD579" s="146" t="str">
        <f>IF(AC579&lt;&gt;"", SUMIF(Bets!$D:$D, AC579, Bets!AG:AG), "")</f>
        <v/>
      </c>
      <c r="AE579" s="162"/>
      <c r="AF579" s="148"/>
    </row>
    <row r="580">
      <c r="A580" s="161"/>
      <c r="B580" s="146" t="str">
        <f>IF(A580&lt;&gt;"", SUMIF(Bets!$D:$D, A580, Bets!Z:Z), "")</f>
        <v/>
      </c>
      <c r="C580" s="162"/>
      <c r="D580" s="148"/>
      <c r="E580" s="161"/>
      <c r="F580" s="146" t="str">
        <f>IF(E580&lt;&gt;"", SUMIF(Bets!$D:$D, E580, Bets!AB:AB), "")</f>
        <v/>
      </c>
      <c r="G580" s="162"/>
      <c r="H580" s="148"/>
      <c r="I580" s="161"/>
      <c r="J580" s="146" t="str">
        <f>IF(I580&lt;&gt;"", SUMIF(Bets!$D:$D, I580, Bets!AA:AA), "")</f>
        <v/>
      </c>
      <c r="K580" s="162"/>
      <c r="L580" s="148"/>
      <c r="M580" s="161"/>
      <c r="N580" s="146"/>
      <c r="O580" s="162"/>
      <c r="P580" s="148"/>
      <c r="Q580" s="161"/>
      <c r="R580" s="146" t="str">
        <f>IF(Q580&lt;&gt;"", SUMIF(Bets!$D:$D, Q580, Bets!AD:AD), "")</f>
        <v/>
      </c>
      <c r="S580" s="162"/>
      <c r="T580" s="148"/>
      <c r="U580" s="161"/>
      <c r="V580" s="146" t="str">
        <f>IF(U580&lt;&gt;"", SUMIF(Bets!$D:$D, U580, Bets!AE:AE), "")</f>
        <v/>
      </c>
      <c r="W580" s="162"/>
      <c r="X580" s="148"/>
      <c r="Y580" s="161"/>
      <c r="Z580" s="146" t="str">
        <f>IF(Y580&lt;&gt;"", SUMIF(Bets!$D:$D, Y580, Bets!AF:AF), "")</f>
        <v/>
      </c>
      <c r="AA580" s="162"/>
      <c r="AB580" s="148"/>
      <c r="AC580" s="161"/>
      <c r="AD580" s="146" t="str">
        <f>IF(AC580&lt;&gt;"", SUMIF(Bets!$D:$D, AC580, Bets!AG:AG), "")</f>
        <v/>
      </c>
      <c r="AE580" s="162"/>
      <c r="AF580" s="148"/>
    </row>
    <row r="581">
      <c r="A581" s="161"/>
      <c r="B581" s="146" t="str">
        <f>IF(A581&lt;&gt;"", SUMIF(Bets!$D:$D, A581, Bets!Z:Z), "")</f>
        <v/>
      </c>
      <c r="C581" s="162"/>
      <c r="D581" s="148"/>
      <c r="E581" s="161"/>
      <c r="F581" s="146" t="str">
        <f>IF(E581&lt;&gt;"", SUMIF(Bets!$D:$D, E581, Bets!AB:AB), "")</f>
        <v/>
      </c>
      <c r="G581" s="162"/>
      <c r="H581" s="148"/>
      <c r="I581" s="161"/>
      <c r="J581" s="146" t="str">
        <f>IF(I581&lt;&gt;"", SUMIF(Bets!$D:$D, I581, Bets!AA:AA), "")</f>
        <v/>
      </c>
      <c r="K581" s="162"/>
      <c r="L581" s="148"/>
      <c r="M581" s="161"/>
      <c r="N581" s="146"/>
      <c r="O581" s="162"/>
      <c r="P581" s="148"/>
      <c r="Q581" s="161"/>
      <c r="R581" s="146" t="str">
        <f>IF(Q581&lt;&gt;"", SUMIF(Bets!$D:$D, Q581, Bets!AD:AD), "")</f>
        <v/>
      </c>
      <c r="S581" s="162"/>
      <c r="T581" s="148"/>
      <c r="U581" s="161"/>
      <c r="V581" s="146" t="str">
        <f>IF(U581&lt;&gt;"", SUMIF(Bets!$D:$D, U581, Bets!AE:AE), "")</f>
        <v/>
      </c>
      <c r="W581" s="162"/>
      <c r="X581" s="148"/>
      <c r="Y581" s="161"/>
      <c r="Z581" s="146" t="str">
        <f>IF(Y581&lt;&gt;"", SUMIF(Bets!$D:$D, Y581, Bets!AF:AF), "")</f>
        <v/>
      </c>
      <c r="AA581" s="162"/>
      <c r="AB581" s="148"/>
      <c r="AC581" s="161"/>
      <c r="AD581" s="146" t="str">
        <f>IF(AC581&lt;&gt;"", SUMIF(Bets!$D:$D, AC581, Bets!AG:AG), "")</f>
        <v/>
      </c>
      <c r="AE581" s="162"/>
      <c r="AF581" s="148"/>
    </row>
    <row r="582">
      <c r="A582" s="161"/>
      <c r="B582" s="146" t="str">
        <f>IF(A582&lt;&gt;"", SUMIF(Bets!$D:$D, A582, Bets!Z:Z), "")</f>
        <v/>
      </c>
      <c r="C582" s="162"/>
      <c r="D582" s="148"/>
      <c r="E582" s="161"/>
      <c r="F582" s="146" t="str">
        <f>IF(E582&lt;&gt;"", SUMIF(Bets!$D:$D, E582, Bets!AB:AB), "")</f>
        <v/>
      </c>
      <c r="G582" s="162"/>
      <c r="H582" s="148"/>
      <c r="I582" s="161"/>
      <c r="J582" s="146" t="str">
        <f>IF(I582&lt;&gt;"", SUMIF(Bets!$D:$D, I582, Bets!AA:AA), "")</f>
        <v/>
      </c>
      <c r="K582" s="162"/>
      <c r="L582" s="148"/>
      <c r="M582" s="161"/>
      <c r="N582" s="146"/>
      <c r="O582" s="162"/>
      <c r="P582" s="148"/>
      <c r="Q582" s="161"/>
      <c r="R582" s="146" t="str">
        <f>IF(Q582&lt;&gt;"", SUMIF(Bets!$D:$D, Q582, Bets!AD:AD), "")</f>
        <v/>
      </c>
      <c r="S582" s="162"/>
      <c r="T582" s="148"/>
      <c r="U582" s="161"/>
      <c r="V582" s="146" t="str">
        <f>IF(U582&lt;&gt;"", SUMIF(Bets!$D:$D, U582, Bets!AE:AE), "")</f>
        <v/>
      </c>
      <c r="W582" s="162"/>
      <c r="X582" s="148"/>
      <c r="Y582" s="161"/>
      <c r="Z582" s="146" t="str">
        <f>IF(Y582&lt;&gt;"", SUMIF(Bets!$D:$D, Y582, Bets!AF:AF), "")</f>
        <v/>
      </c>
      <c r="AA582" s="162"/>
      <c r="AB582" s="148"/>
      <c r="AC582" s="161"/>
      <c r="AD582" s="146" t="str">
        <f>IF(AC582&lt;&gt;"", SUMIF(Bets!$D:$D, AC582, Bets!AG:AG), "")</f>
        <v/>
      </c>
      <c r="AE582" s="162"/>
      <c r="AF582" s="148"/>
    </row>
    <row r="583">
      <c r="A583" s="161"/>
      <c r="B583" s="146" t="str">
        <f>IF(A583&lt;&gt;"", SUMIF(Bets!$D:$D, A583, Bets!Z:Z), "")</f>
        <v/>
      </c>
      <c r="C583" s="162"/>
      <c r="D583" s="148"/>
      <c r="E583" s="161"/>
      <c r="F583" s="146" t="str">
        <f>IF(E583&lt;&gt;"", SUMIF(Bets!$D:$D, E583, Bets!AB:AB), "")</f>
        <v/>
      </c>
      <c r="G583" s="162"/>
      <c r="H583" s="148"/>
      <c r="I583" s="161"/>
      <c r="J583" s="146" t="str">
        <f>IF(I583&lt;&gt;"", SUMIF(Bets!$D:$D, I583, Bets!AA:AA), "")</f>
        <v/>
      </c>
      <c r="K583" s="162"/>
      <c r="L583" s="148"/>
      <c r="M583" s="161"/>
      <c r="N583" s="146"/>
      <c r="O583" s="162"/>
      <c r="P583" s="148"/>
      <c r="Q583" s="161"/>
      <c r="R583" s="146" t="str">
        <f>IF(Q583&lt;&gt;"", SUMIF(Bets!$D:$D, Q583, Bets!AD:AD), "")</f>
        <v/>
      </c>
      <c r="S583" s="162"/>
      <c r="T583" s="148"/>
      <c r="U583" s="161"/>
      <c r="V583" s="146" t="str">
        <f>IF(U583&lt;&gt;"", SUMIF(Bets!$D:$D, U583, Bets!AE:AE), "")</f>
        <v/>
      </c>
      <c r="W583" s="162"/>
      <c r="X583" s="148"/>
      <c r="Y583" s="161"/>
      <c r="Z583" s="146" t="str">
        <f>IF(Y583&lt;&gt;"", SUMIF(Bets!$D:$D, Y583, Bets!AF:AF), "")</f>
        <v/>
      </c>
      <c r="AA583" s="162"/>
      <c r="AB583" s="148"/>
      <c r="AC583" s="161"/>
      <c r="AD583" s="146" t="str">
        <f>IF(AC583&lt;&gt;"", SUMIF(Bets!$D:$D, AC583, Bets!AG:AG), "")</f>
        <v/>
      </c>
      <c r="AE583" s="162"/>
      <c r="AF583" s="148"/>
    </row>
    <row r="584">
      <c r="A584" s="161"/>
      <c r="B584" s="146" t="str">
        <f>IF(A584&lt;&gt;"", SUMIF(Bets!$D:$D, A584, Bets!Z:Z), "")</f>
        <v/>
      </c>
      <c r="C584" s="162"/>
      <c r="D584" s="148"/>
      <c r="E584" s="161"/>
      <c r="F584" s="146" t="str">
        <f>IF(E584&lt;&gt;"", SUMIF(Bets!$D:$D, E584, Bets!AB:AB), "")</f>
        <v/>
      </c>
      <c r="G584" s="162"/>
      <c r="H584" s="148"/>
      <c r="I584" s="161"/>
      <c r="J584" s="146" t="str">
        <f>IF(I584&lt;&gt;"", SUMIF(Bets!$D:$D, I584, Bets!AA:AA), "")</f>
        <v/>
      </c>
      <c r="K584" s="162"/>
      <c r="L584" s="148"/>
      <c r="M584" s="161"/>
      <c r="N584" s="146"/>
      <c r="O584" s="162"/>
      <c r="P584" s="148"/>
      <c r="Q584" s="161"/>
      <c r="R584" s="146" t="str">
        <f>IF(Q584&lt;&gt;"", SUMIF(Bets!$D:$D, Q584, Bets!AD:AD), "")</f>
        <v/>
      </c>
      <c r="S584" s="162"/>
      <c r="T584" s="148"/>
      <c r="U584" s="161"/>
      <c r="V584" s="146" t="str">
        <f>IF(U584&lt;&gt;"", SUMIF(Bets!$D:$D, U584, Bets!AE:AE), "")</f>
        <v/>
      </c>
      <c r="W584" s="162"/>
      <c r="X584" s="148"/>
      <c r="Y584" s="161"/>
      <c r="Z584" s="146" t="str">
        <f>IF(Y584&lt;&gt;"", SUMIF(Bets!$D:$D, Y584, Bets!AF:AF), "")</f>
        <v/>
      </c>
      <c r="AA584" s="162"/>
      <c r="AB584" s="148"/>
      <c r="AC584" s="161"/>
      <c r="AD584" s="146" t="str">
        <f>IF(AC584&lt;&gt;"", SUMIF(Bets!$D:$D, AC584, Bets!AG:AG), "")</f>
        <v/>
      </c>
      <c r="AE584" s="162"/>
      <c r="AF584" s="148"/>
    </row>
    <row r="585">
      <c r="A585" s="161"/>
      <c r="B585" s="146" t="str">
        <f>IF(A585&lt;&gt;"", SUMIF(Bets!$D:$D, A585, Bets!Z:Z), "")</f>
        <v/>
      </c>
      <c r="C585" s="162"/>
      <c r="D585" s="148"/>
      <c r="E585" s="161"/>
      <c r="F585" s="146" t="str">
        <f>IF(E585&lt;&gt;"", SUMIF(Bets!$D:$D, E585, Bets!AB:AB), "")</f>
        <v/>
      </c>
      <c r="G585" s="162"/>
      <c r="H585" s="148"/>
      <c r="I585" s="161"/>
      <c r="J585" s="146" t="str">
        <f>IF(I585&lt;&gt;"", SUMIF(Bets!$D:$D, I585, Bets!AA:AA), "")</f>
        <v/>
      </c>
      <c r="K585" s="162"/>
      <c r="L585" s="148"/>
      <c r="M585" s="161"/>
      <c r="N585" s="146"/>
      <c r="O585" s="162"/>
      <c r="P585" s="148"/>
      <c r="Q585" s="161"/>
      <c r="R585" s="146" t="str">
        <f>IF(Q585&lt;&gt;"", SUMIF(Bets!$D:$D, Q585, Bets!AD:AD), "")</f>
        <v/>
      </c>
      <c r="S585" s="162"/>
      <c r="T585" s="148"/>
      <c r="U585" s="161"/>
      <c r="V585" s="146" t="str">
        <f>IF(U585&lt;&gt;"", SUMIF(Bets!$D:$D, U585, Bets!AE:AE), "")</f>
        <v/>
      </c>
      <c r="W585" s="162"/>
      <c r="X585" s="148"/>
      <c r="Y585" s="161"/>
      <c r="Z585" s="146" t="str">
        <f>IF(Y585&lt;&gt;"", SUMIF(Bets!$D:$D, Y585, Bets!AF:AF), "")</f>
        <v/>
      </c>
      <c r="AA585" s="162"/>
      <c r="AB585" s="148"/>
      <c r="AC585" s="161"/>
      <c r="AD585" s="146" t="str">
        <f>IF(AC585&lt;&gt;"", SUMIF(Bets!$D:$D, AC585, Bets!AG:AG), "")</f>
        <v/>
      </c>
      <c r="AE585" s="162"/>
      <c r="AF585" s="148"/>
    </row>
    <row r="586">
      <c r="A586" s="161"/>
      <c r="B586" s="146" t="str">
        <f>IF(A586&lt;&gt;"", SUMIF(Bets!$D:$D, A586, Bets!Z:Z), "")</f>
        <v/>
      </c>
      <c r="C586" s="162"/>
      <c r="D586" s="148"/>
      <c r="E586" s="161"/>
      <c r="F586" s="146" t="str">
        <f>IF(E586&lt;&gt;"", SUMIF(Bets!$D:$D, E586, Bets!AB:AB), "")</f>
        <v/>
      </c>
      <c r="G586" s="162"/>
      <c r="H586" s="148"/>
      <c r="I586" s="161"/>
      <c r="J586" s="146" t="str">
        <f>IF(I586&lt;&gt;"", SUMIF(Bets!$D:$D, I586, Bets!AA:AA), "")</f>
        <v/>
      </c>
      <c r="K586" s="162"/>
      <c r="L586" s="148"/>
      <c r="M586" s="161"/>
      <c r="N586" s="146"/>
      <c r="O586" s="162"/>
      <c r="P586" s="148"/>
      <c r="Q586" s="161"/>
      <c r="R586" s="146" t="str">
        <f>IF(Q586&lt;&gt;"", SUMIF(Bets!$D:$D, Q586, Bets!AD:AD), "")</f>
        <v/>
      </c>
      <c r="S586" s="162"/>
      <c r="T586" s="148"/>
      <c r="U586" s="161"/>
      <c r="V586" s="146" t="str">
        <f>IF(U586&lt;&gt;"", SUMIF(Bets!$D:$D, U586, Bets!AE:AE), "")</f>
        <v/>
      </c>
      <c r="W586" s="162"/>
      <c r="X586" s="148"/>
      <c r="Y586" s="161"/>
      <c r="Z586" s="146" t="str">
        <f>IF(Y586&lt;&gt;"", SUMIF(Bets!$D:$D, Y586, Bets!AF:AF), "")</f>
        <v/>
      </c>
      <c r="AA586" s="162"/>
      <c r="AB586" s="148"/>
      <c r="AC586" s="161"/>
      <c r="AD586" s="146" t="str">
        <f>IF(AC586&lt;&gt;"", SUMIF(Bets!$D:$D, AC586, Bets!AG:AG), "")</f>
        <v/>
      </c>
      <c r="AE586" s="162"/>
      <c r="AF586" s="148"/>
    </row>
    <row r="587">
      <c r="A587" s="161"/>
      <c r="B587" s="146" t="str">
        <f>IF(A587&lt;&gt;"", SUMIF(Bets!$D:$D, A587, Bets!Z:Z), "")</f>
        <v/>
      </c>
      <c r="C587" s="162"/>
      <c r="D587" s="148"/>
      <c r="E587" s="161"/>
      <c r="F587" s="146" t="str">
        <f>IF(E587&lt;&gt;"", SUMIF(Bets!$D:$D, E587, Bets!AB:AB), "")</f>
        <v/>
      </c>
      <c r="G587" s="162"/>
      <c r="H587" s="148"/>
      <c r="I587" s="161"/>
      <c r="J587" s="146" t="str">
        <f>IF(I587&lt;&gt;"", SUMIF(Bets!$D:$D, I587, Bets!AA:AA), "")</f>
        <v/>
      </c>
      <c r="K587" s="162"/>
      <c r="L587" s="148"/>
      <c r="M587" s="161"/>
      <c r="N587" s="146"/>
      <c r="O587" s="162"/>
      <c r="P587" s="148"/>
      <c r="Q587" s="161"/>
      <c r="R587" s="146" t="str">
        <f>IF(Q587&lt;&gt;"", SUMIF(Bets!$D:$D, Q587, Bets!AD:AD), "")</f>
        <v/>
      </c>
      <c r="S587" s="162"/>
      <c r="T587" s="148"/>
      <c r="U587" s="161"/>
      <c r="V587" s="146" t="str">
        <f>IF(U587&lt;&gt;"", SUMIF(Bets!$D:$D, U587, Bets!AE:AE), "")</f>
        <v/>
      </c>
      <c r="W587" s="162"/>
      <c r="X587" s="148"/>
      <c r="Y587" s="161"/>
      <c r="Z587" s="146" t="str">
        <f>IF(Y587&lt;&gt;"", SUMIF(Bets!$D:$D, Y587, Bets!AF:AF), "")</f>
        <v/>
      </c>
      <c r="AA587" s="162"/>
      <c r="AB587" s="148"/>
      <c r="AC587" s="161"/>
      <c r="AD587" s="146" t="str">
        <f>IF(AC587&lt;&gt;"", SUMIF(Bets!$D:$D, AC587, Bets!AG:AG), "")</f>
        <v/>
      </c>
      <c r="AE587" s="162"/>
      <c r="AF587" s="148"/>
    </row>
    <row r="588">
      <c r="A588" s="161"/>
      <c r="B588" s="146" t="str">
        <f>IF(A588&lt;&gt;"", SUMIF(Bets!$D:$D, A588, Bets!Z:Z), "")</f>
        <v/>
      </c>
      <c r="C588" s="162"/>
      <c r="D588" s="148"/>
      <c r="E588" s="161"/>
      <c r="F588" s="146" t="str">
        <f>IF(E588&lt;&gt;"", SUMIF(Bets!$D:$D, E588, Bets!AB:AB), "")</f>
        <v/>
      </c>
      <c r="G588" s="162"/>
      <c r="H588" s="148"/>
      <c r="I588" s="161"/>
      <c r="J588" s="146" t="str">
        <f>IF(I588&lt;&gt;"", SUMIF(Bets!$D:$D, I588, Bets!AA:AA), "")</f>
        <v/>
      </c>
      <c r="K588" s="162"/>
      <c r="L588" s="148"/>
      <c r="M588" s="161"/>
      <c r="N588" s="146"/>
      <c r="O588" s="162"/>
      <c r="P588" s="148"/>
      <c r="Q588" s="161"/>
      <c r="R588" s="146" t="str">
        <f>IF(Q588&lt;&gt;"", SUMIF(Bets!$D:$D, Q588, Bets!AD:AD), "")</f>
        <v/>
      </c>
      <c r="S588" s="162"/>
      <c r="T588" s="148"/>
      <c r="U588" s="161"/>
      <c r="V588" s="146" t="str">
        <f>IF(U588&lt;&gt;"", SUMIF(Bets!$D:$D, U588, Bets!AE:AE), "")</f>
        <v/>
      </c>
      <c r="W588" s="162"/>
      <c r="X588" s="148"/>
      <c r="Y588" s="161"/>
      <c r="Z588" s="146" t="str">
        <f>IF(Y588&lt;&gt;"", SUMIF(Bets!$D:$D, Y588, Bets!AF:AF), "")</f>
        <v/>
      </c>
      <c r="AA588" s="162"/>
      <c r="AB588" s="148"/>
      <c r="AC588" s="161"/>
      <c r="AD588" s="146" t="str">
        <f>IF(AC588&lt;&gt;"", SUMIF(Bets!$D:$D, AC588, Bets!AG:AG), "")</f>
        <v/>
      </c>
      <c r="AE588" s="162"/>
      <c r="AF588" s="148"/>
    </row>
    <row r="589">
      <c r="A589" s="161"/>
      <c r="B589" s="146" t="str">
        <f>IF(A589&lt;&gt;"", SUMIF(Bets!$D:$D, A589, Bets!Z:Z), "")</f>
        <v/>
      </c>
      <c r="C589" s="162"/>
      <c r="D589" s="148"/>
      <c r="E589" s="161"/>
      <c r="F589" s="146" t="str">
        <f>IF(E589&lt;&gt;"", SUMIF(Bets!$D:$D, E589, Bets!AB:AB), "")</f>
        <v/>
      </c>
      <c r="G589" s="162"/>
      <c r="H589" s="148"/>
      <c r="I589" s="161"/>
      <c r="J589" s="146" t="str">
        <f>IF(I589&lt;&gt;"", SUMIF(Bets!$D:$D, I589, Bets!AA:AA), "")</f>
        <v/>
      </c>
      <c r="K589" s="162"/>
      <c r="L589" s="148"/>
      <c r="M589" s="161"/>
      <c r="N589" s="146"/>
      <c r="O589" s="162"/>
      <c r="P589" s="148"/>
      <c r="Q589" s="161"/>
      <c r="R589" s="146" t="str">
        <f>IF(Q589&lt;&gt;"", SUMIF(Bets!$D:$D, Q589, Bets!AD:AD), "")</f>
        <v/>
      </c>
      <c r="S589" s="162"/>
      <c r="T589" s="148"/>
      <c r="U589" s="161"/>
      <c r="V589" s="146" t="str">
        <f>IF(U589&lt;&gt;"", SUMIF(Bets!$D:$D, U589, Bets!AE:AE), "")</f>
        <v/>
      </c>
      <c r="W589" s="162"/>
      <c r="X589" s="148"/>
      <c r="Y589" s="161"/>
      <c r="Z589" s="146" t="str">
        <f>IF(Y589&lt;&gt;"", SUMIF(Bets!$D:$D, Y589, Bets!AF:AF), "")</f>
        <v/>
      </c>
      <c r="AA589" s="162"/>
      <c r="AB589" s="148"/>
      <c r="AC589" s="161"/>
      <c r="AD589" s="146" t="str">
        <f>IF(AC589&lt;&gt;"", SUMIF(Bets!$D:$D, AC589, Bets!AG:AG), "")</f>
        <v/>
      </c>
      <c r="AE589" s="162"/>
      <c r="AF589" s="148"/>
    </row>
    <row r="590">
      <c r="A590" s="161"/>
      <c r="B590" s="146" t="str">
        <f>IF(A590&lt;&gt;"", SUMIF(Bets!$D:$D, A590, Bets!Z:Z), "")</f>
        <v/>
      </c>
      <c r="C590" s="162"/>
      <c r="D590" s="148"/>
      <c r="E590" s="161"/>
      <c r="F590" s="146" t="str">
        <f>IF(E590&lt;&gt;"", SUMIF(Bets!$D:$D, E590, Bets!AB:AB), "")</f>
        <v/>
      </c>
      <c r="G590" s="162"/>
      <c r="H590" s="148"/>
      <c r="I590" s="161"/>
      <c r="J590" s="146" t="str">
        <f>IF(I590&lt;&gt;"", SUMIF(Bets!$D:$D, I590, Bets!AA:AA), "")</f>
        <v/>
      </c>
      <c r="K590" s="162"/>
      <c r="L590" s="148"/>
      <c r="M590" s="161"/>
      <c r="N590" s="146"/>
      <c r="O590" s="162"/>
      <c r="P590" s="148"/>
      <c r="Q590" s="161"/>
      <c r="R590" s="146" t="str">
        <f>IF(Q590&lt;&gt;"", SUMIF(Bets!$D:$D, Q590, Bets!AD:AD), "")</f>
        <v/>
      </c>
      <c r="S590" s="162"/>
      <c r="T590" s="148"/>
      <c r="U590" s="161"/>
      <c r="V590" s="146" t="str">
        <f>IF(U590&lt;&gt;"", SUMIF(Bets!$D:$D, U590, Bets!AE:AE), "")</f>
        <v/>
      </c>
      <c r="W590" s="162"/>
      <c r="X590" s="148"/>
      <c r="Y590" s="161"/>
      <c r="Z590" s="146" t="str">
        <f>IF(Y590&lt;&gt;"", SUMIF(Bets!$D:$D, Y590, Bets!AF:AF), "")</f>
        <v/>
      </c>
      <c r="AA590" s="162"/>
      <c r="AB590" s="148"/>
      <c r="AC590" s="161"/>
      <c r="AD590" s="146" t="str">
        <f>IF(AC590&lt;&gt;"", SUMIF(Bets!$D:$D, AC590, Bets!AG:AG), "")</f>
        <v/>
      </c>
      <c r="AE590" s="162"/>
      <c r="AF590" s="148"/>
    </row>
    <row r="591">
      <c r="A591" s="161"/>
      <c r="B591" s="146" t="str">
        <f>IF(A591&lt;&gt;"", SUMIF(Bets!$D:$D, A591, Bets!Z:Z), "")</f>
        <v/>
      </c>
      <c r="C591" s="162"/>
      <c r="D591" s="148"/>
      <c r="E591" s="161"/>
      <c r="F591" s="146" t="str">
        <f>IF(E591&lt;&gt;"", SUMIF(Bets!$D:$D, E591, Bets!AB:AB), "")</f>
        <v/>
      </c>
      <c r="G591" s="162"/>
      <c r="H591" s="148"/>
      <c r="I591" s="161"/>
      <c r="J591" s="146" t="str">
        <f>IF(I591&lt;&gt;"", SUMIF(Bets!$D:$D, I591, Bets!AA:AA), "")</f>
        <v/>
      </c>
      <c r="K591" s="162"/>
      <c r="L591" s="148"/>
      <c r="M591" s="161"/>
      <c r="N591" s="146"/>
      <c r="O591" s="162"/>
      <c r="P591" s="148"/>
      <c r="Q591" s="161"/>
      <c r="R591" s="146" t="str">
        <f>IF(Q591&lt;&gt;"", SUMIF(Bets!$D:$D, Q591, Bets!AD:AD), "")</f>
        <v/>
      </c>
      <c r="S591" s="162"/>
      <c r="T591" s="148"/>
      <c r="U591" s="161"/>
      <c r="V591" s="146" t="str">
        <f>IF(U591&lt;&gt;"", SUMIF(Bets!$D:$D, U591, Bets!AE:AE), "")</f>
        <v/>
      </c>
      <c r="W591" s="162"/>
      <c r="X591" s="148"/>
      <c r="Y591" s="161"/>
      <c r="Z591" s="146" t="str">
        <f>IF(Y591&lt;&gt;"", SUMIF(Bets!$D:$D, Y591, Bets!AF:AF), "")</f>
        <v/>
      </c>
      <c r="AA591" s="162"/>
      <c r="AB591" s="148"/>
      <c r="AC591" s="161"/>
      <c r="AD591" s="146" t="str">
        <f>IF(AC591&lt;&gt;"", SUMIF(Bets!$D:$D, AC591, Bets!AG:AG), "")</f>
        <v/>
      </c>
      <c r="AE591" s="162"/>
      <c r="AF591" s="148"/>
    </row>
    <row r="592">
      <c r="A592" s="161"/>
      <c r="B592" s="146" t="str">
        <f>IF(A592&lt;&gt;"", SUMIF(Bets!$D:$D, A592, Bets!Z:Z), "")</f>
        <v/>
      </c>
      <c r="C592" s="162"/>
      <c r="D592" s="148"/>
      <c r="E592" s="161"/>
      <c r="F592" s="146" t="str">
        <f>IF(E592&lt;&gt;"", SUMIF(Bets!$D:$D, E592, Bets!AB:AB), "")</f>
        <v/>
      </c>
      <c r="G592" s="162"/>
      <c r="H592" s="148"/>
      <c r="I592" s="161"/>
      <c r="J592" s="146" t="str">
        <f>IF(I592&lt;&gt;"", SUMIF(Bets!$D:$D, I592, Bets!AA:AA), "")</f>
        <v/>
      </c>
      <c r="K592" s="162"/>
      <c r="L592" s="148"/>
      <c r="M592" s="161"/>
      <c r="N592" s="146"/>
      <c r="O592" s="162"/>
      <c r="P592" s="148"/>
      <c r="Q592" s="161"/>
      <c r="R592" s="146" t="str">
        <f>IF(Q592&lt;&gt;"", SUMIF(Bets!$D:$D, Q592, Bets!AD:AD), "")</f>
        <v/>
      </c>
      <c r="S592" s="162"/>
      <c r="T592" s="148"/>
      <c r="U592" s="161"/>
      <c r="V592" s="146" t="str">
        <f>IF(U592&lt;&gt;"", SUMIF(Bets!$D:$D, U592, Bets!AE:AE), "")</f>
        <v/>
      </c>
      <c r="W592" s="162"/>
      <c r="X592" s="148"/>
      <c r="Y592" s="161"/>
      <c r="Z592" s="146" t="str">
        <f>IF(Y592&lt;&gt;"", SUMIF(Bets!$D:$D, Y592, Bets!AF:AF), "")</f>
        <v/>
      </c>
      <c r="AA592" s="162"/>
      <c r="AB592" s="148"/>
      <c r="AC592" s="161"/>
      <c r="AD592" s="146" t="str">
        <f>IF(AC592&lt;&gt;"", SUMIF(Bets!$D:$D, AC592, Bets!AG:AG), "")</f>
        <v/>
      </c>
      <c r="AE592" s="162"/>
      <c r="AF592" s="148"/>
    </row>
    <row r="593">
      <c r="A593" s="161"/>
      <c r="B593" s="146" t="str">
        <f>IF(A593&lt;&gt;"", SUMIF(Bets!$D:$D, A593, Bets!Z:Z), "")</f>
        <v/>
      </c>
      <c r="C593" s="162"/>
      <c r="D593" s="148"/>
      <c r="E593" s="161"/>
      <c r="F593" s="146" t="str">
        <f>IF(E593&lt;&gt;"", SUMIF(Bets!$D:$D, E593, Bets!AB:AB), "")</f>
        <v/>
      </c>
      <c r="G593" s="162"/>
      <c r="H593" s="148"/>
      <c r="I593" s="161"/>
      <c r="J593" s="146" t="str">
        <f>IF(I593&lt;&gt;"", SUMIF(Bets!$D:$D, I593, Bets!AA:AA), "")</f>
        <v/>
      </c>
      <c r="K593" s="162"/>
      <c r="L593" s="148"/>
      <c r="M593" s="161"/>
      <c r="N593" s="146"/>
      <c r="O593" s="162"/>
      <c r="P593" s="148"/>
      <c r="Q593" s="161"/>
      <c r="R593" s="146" t="str">
        <f>IF(Q593&lt;&gt;"", SUMIF(Bets!$D:$D, Q593, Bets!AD:AD), "")</f>
        <v/>
      </c>
      <c r="S593" s="162"/>
      <c r="T593" s="148"/>
      <c r="U593" s="161"/>
      <c r="V593" s="146" t="str">
        <f>IF(U593&lt;&gt;"", SUMIF(Bets!$D:$D, U593, Bets!AE:AE), "")</f>
        <v/>
      </c>
      <c r="W593" s="162"/>
      <c r="X593" s="148"/>
      <c r="Y593" s="161"/>
      <c r="Z593" s="146" t="str">
        <f>IF(Y593&lt;&gt;"", SUMIF(Bets!$D:$D, Y593, Bets!AF:AF), "")</f>
        <v/>
      </c>
      <c r="AA593" s="162"/>
      <c r="AB593" s="148"/>
      <c r="AC593" s="161"/>
      <c r="AD593" s="146" t="str">
        <f>IF(AC593&lt;&gt;"", SUMIF(Bets!$D:$D, AC593, Bets!AG:AG), "")</f>
        <v/>
      </c>
      <c r="AE593" s="162"/>
      <c r="AF593" s="148"/>
    </row>
    <row r="594">
      <c r="A594" s="161"/>
      <c r="B594" s="146" t="str">
        <f>IF(A594&lt;&gt;"", SUMIF(Bets!$D:$D, A594, Bets!Z:Z), "")</f>
        <v/>
      </c>
      <c r="C594" s="162"/>
      <c r="D594" s="148"/>
      <c r="E594" s="161"/>
      <c r="F594" s="146" t="str">
        <f>IF(E594&lt;&gt;"", SUMIF(Bets!$D:$D, E594, Bets!AB:AB), "")</f>
        <v/>
      </c>
      <c r="G594" s="162"/>
      <c r="H594" s="148"/>
      <c r="I594" s="161"/>
      <c r="J594" s="146" t="str">
        <f>IF(I594&lt;&gt;"", SUMIF(Bets!$D:$D, I594, Bets!AA:AA), "")</f>
        <v/>
      </c>
      <c r="K594" s="162"/>
      <c r="L594" s="148"/>
      <c r="M594" s="161"/>
      <c r="N594" s="146"/>
      <c r="O594" s="162"/>
      <c r="P594" s="148"/>
      <c r="Q594" s="161"/>
      <c r="R594" s="146" t="str">
        <f>IF(Q594&lt;&gt;"", SUMIF(Bets!$D:$D, Q594, Bets!AD:AD), "")</f>
        <v/>
      </c>
      <c r="S594" s="162"/>
      <c r="T594" s="148"/>
      <c r="U594" s="161"/>
      <c r="V594" s="146" t="str">
        <f>IF(U594&lt;&gt;"", SUMIF(Bets!$D:$D, U594, Bets!AE:AE), "")</f>
        <v/>
      </c>
      <c r="W594" s="162"/>
      <c r="X594" s="148"/>
      <c r="Y594" s="161"/>
      <c r="Z594" s="146" t="str">
        <f>IF(Y594&lt;&gt;"", SUMIF(Bets!$D:$D, Y594, Bets!AF:AF), "")</f>
        <v/>
      </c>
      <c r="AA594" s="162"/>
      <c r="AB594" s="148"/>
      <c r="AC594" s="161"/>
      <c r="AD594" s="146" t="str">
        <f>IF(AC594&lt;&gt;"", SUMIF(Bets!$D:$D, AC594, Bets!AG:AG), "")</f>
        <v/>
      </c>
      <c r="AE594" s="162"/>
      <c r="AF594" s="148"/>
    </row>
    <row r="595">
      <c r="A595" s="161"/>
      <c r="B595" s="146" t="str">
        <f>IF(A595&lt;&gt;"", SUMIF(Bets!$D:$D, A595, Bets!Z:Z), "")</f>
        <v/>
      </c>
      <c r="C595" s="162"/>
      <c r="D595" s="148"/>
      <c r="E595" s="161"/>
      <c r="F595" s="146" t="str">
        <f>IF(E595&lt;&gt;"", SUMIF(Bets!$D:$D, E595, Bets!AB:AB), "")</f>
        <v/>
      </c>
      <c r="G595" s="162"/>
      <c r="H595" s="148"/>
      <c r="I595" s="161"/>
      <c r="J595" s="146" t="str">
        <f>IF(I595&lt;&gt;"", SUMIF(Bets!$D:$D, I595, Bets!AA:AA), "")</f>
        <v/>
      </c>
      <c r="K595" s="162"/>
      <c r="L595" s="148"/>
      <c r="M595" s="161"/>
      <c r="N595" s="146"/>
      <c r="O595" s="162"/>
      <c r="P595" s="148"/>
      <c r="Q595" s="161"/>
      <c r="R595" s="146" t="str">
        <f>IF(Q595&lt;&gt;"", SUMIF(Bets!$D:$D, Q595, Bets!AD:AD), "")</f>
        <v/>
      </c>
      <c r="S595" s="162"/>
      <c r="T595" s="148"/>
      <c r="U595" s="161"/>
      <c r="V595" s="146" t="str">
        <f>IF(U595&lt;&gt;"", SUMIF(Bets!$D:$D, U595, Bets!AE:AE), "")</f>
        <v/>
      </c>
      <c r="W595" s="162"/>
      <c r="X595" s="148"/>
      <c r="Y595" s="161"/>
      <c r="Z595" s="146" t="str">
        <f>IF(Y595&lt;&gt;"", SUMIF(Bets!$D:$D, Y595, Bets!AF:AF), "")</f>
        <v/>
      </c>
      <c r="AA595" s="162"/>
      <c r="AB595" s="148"/>
      <c r="AC595" s="161"/>
      <c r="AD595" s="146" t="str">
        <f>IF(AC595&lt;&gt;"", SUMIF(Bets!$D:$D, AC595, Bets!AG:AG), "")</f>
        <v/>
      </c>
      <c r="AE595" s="162"/>
      <c r="AF595" s="148"/>
    </row>
    <row r="596">
      <c r="A596" s="161"/>
      <c r="B596" s="146" t="str">
        <f>IF(A596&lt;&gt;"", SUMIF(Bets!$D:$D, A596, Bets!Z:Z), "")</f>
        <v/>
      </c>
      <c r="C596" s="162"/>
      <c r="D596" s="148"/>
      <c r="E596" s="161"/>
      <c r="F596" s="146" t="str">
        <f>IF(E596&lt;&gt;"", SUMIF(Bets!$D:$D, E596, Bets!AB:AB), "")</f>
        <v/>
      </c>
      <c r="G596" s="162"/>
      <c r="H596" s="148"/>
      <c r="I596" s="161"/>
      <c r="J596" s="146" t="str">
        <f>IF(I596&lt;&gt;"", SUMIF(Bets!$D:$D, I596, Bets!AA:AA), "")</f>
        <v/>
      </c>
      <c r="K596" s="162"/>
      <c r="L596" s="148"/>
      <c r="M596" s="161"/>
      <c r="N596" s="146"/>
      <c r="O596" s="162"/>
      <c r="P596" s="148"/>
      <c r="Q596" s="161"/>
      <c r="R596" s="146" t="str">
        <f>IF(Q596&lt;&gt;"", SUMIF(Bets!$D:$D, Q596, Bets!AD:AD), "")</f>
        <v/>
      </c>
      <c r="S596" s="162"/>
      <c r="T596" s="148"/>
      <c r="U596" s="161"/>
      <c r="V596" s="146" t="str">
        <f>IF(U596&lt;&gt;"", SUMIF(Bets!$D:$D, U596, Bets!AE:AE), "")</f>
        <v/>
      </c>
      <c r="W596" s="162"/>
      <c r="X596" s="148"/>
      <c r="Y596" s="161"/>
      <c r="Z596" s="146" t="str">
        <f>IF(Y596&lt;&gt;"", SUMIF(Bets!$D:$D, Y596, Bets!AF:AF), "")</f>
        <v/>
      </c>
      <c r="AA596" s="162"/>
      <c r="AB596" s="148"/>
      <c r="AC596" s="161"/>
      <c r="AD596" s="146" t="str">
        <f>IF(AC596&lt;&gt;"", SUMIF(Bets!$D:$D, AC596, Bets!AG:AG), "")</f>
        <v/>
      </c>
      <c r="AE596" s="162"/>
      <c r="AF596" s="148"/>
    </row>
    <row r="597">
      <c r="A597" s="161"/>
      <c r="B597" s="146" t="str">
        <f>IF(A597&lt;&gt;"", SUMIF(Bets!$D:$D, A597, Bets!Z:Z), "")</f>
        <v/>
      </c>
      <c r="C597" s="162"/>
      <c r="D597" s="148"/>
      <c r="E597" s="161"/>
      <c r="F597" s="146" t="str">
        <f>IF(E597&lt;&gt;"", SUMIF(Bets!$D:$D, E597, Bets!AB:AB), "")</f>
        <v/>
      </c>
      <c r="G597" s="162"/>
      <c r="H597" s="148"/>
      <c r="I597" s="161"/>
      <c r="J597" s="146" t="str">
        <f>IF(I597&lt;&gt;"", SUMIF(Bets!$D:$D, I597, Bets!AA:AA), "")</f>
        <v/>
      </c>
      <c r="K597" s="162"/>
      <c r="L597" s="148"/>
      <c r="M597" s="161"/>
      <c r="N597" s="146"/>
      <c r="O597" s="162"/>
      <c r="P597" s="148"/>
      <c r="Q597" s="161"/>
      <c r="R597" s="146" t="str">
        <f>IF(Q597&lt;&gt;"", SUMIF(Bets!$D:$D, Q597, Bets!AD:AD), "")</f>
        <v/>
      </c>
      <c r="S597" s="162"/>
      <c r="T597" s="148"/>
      <c r="U597" s="161"/>
      <c r="V597" s="146" t="str">
        <f>IF(U597&lt;&gt;"", SUMIF(Bets!$D:$D, U597, Bets!AE:AE), "")</f>
        <v/>
      </c>
      <c r="W597" s="162"/>
      <c r="X597" s="148"/>
      <c r="Y597" s="161"/>
      <c r="Z597" s="146" t="str">
        <f>IF(Y597&lt;&gt;"", SUMIF(Bets!$D:$D, Y597, Bets!AF:AF), "")</f>
        <v/>
      </c>
      <c r="AA597" s="162"/>
      <c r="AB597" s="148"/>
      <c r="AC597" s="161"/>
      <c r="AD597" s="146" t="str">
        <f>IF(AC597&lt;&gt;"", SUMIF(Bets!$D:$D, AC597, Bets!AG:AG), "")</f>
        <v/>
      </c>
      <c r="AE597" s="162"/>
      <c r="AF597" s="148"/>
    </row>
    <row r="598">
      <c r="A598" s="161"/>
      <c r="B598" s="146" t="str">
        <f>IF(A598&lt;&gt;"", SUMIF(Bets!$D:$D, A598, Bets!Z:Z), "")</f>
        <v/>
      </c>
      <c r="C598" s="162"/>
      <c r="D598" s="148"/>
      <c r="E598" s="161"/>
      <c r="F598" s="146" t="str">
        <f>IF(E598&lt;&gt;"", SUMIF(Bets!$D:$D, E598, Bets!AB:AB), "")</f>
        <v/>
      </c>
      <c r="G598" s="162"/>
      <c r="H598" s="148"/>
      <c r="I598" s="161"/>
      <c r="J598" s="146" t="str">
        <f>IF(I598&lt;&gt;"", SUMIF(Bets!$D:$D, I598, Bets!AA:AA), "")</f>
        <v/>
      </c>
      <c r="K598" s="162"/>
      <c r="L598" s="148"/>
      <c r="M598" s="161"/>
      <c r="N598" s="146"/>
      <c r="O598" s="162"/>
      <c r="P598" s="148"/>
      <c r="Q598" s="161"/>
      <c r="R598" s="146" t="str">
        <f>IF(Q598&lt;&gt;"", SUMIF(Bets!$D:$D, Q598, Bets!AD:AD), "")</f>
        <v/>
      </c>
      <c r="S598" s="162"/>
      <c r="T598" s="148"/>
      <c r="U598" s="161"/>
      <c r="V598" s="146" t="str">
        <f>IF(U598&lt;&gt;"", SUMIF(Bets!$D:$D, U598, Bets!AE:AE), "")</f>
        <v/>
      </c>
      <c r="W598" s="162"/>
      <c r="X598" s="148"/>
      <c r="Y598" s="161"/>
      <c r="Z598" s="146" t="str">
        <f>IF(Y598&lt;&gt;"", SUMIF(Bets!$D:$D, Y598, Bets!AF:AF), "")</f>
        <v/>
      </c>
      <c r="AA598" s="162"/>
      <c r="AB598" s="148"/>
      <c r="AC598" s="161"/>
      <c r="AD598" s="146" t="str">
        <f>IF(AC598&lt;&gt;"", SUMIF(Bets!$D:$D, AC598, Bets!AG:AG), "")</f>
        <v/>
      </c>
      <c r="AE598" s="162"/>
      <c r="AF598" s="148"/>
    </row>
    <row r="599">
      <c r="A599" s="161"/>
      <c r="B599" s="146" t="str">
        <f>IF(A599&lt;&gt;"", SUMIF(Bets!$D:$D, A599, Bets!Z:Z), "")</f>
        <v/>
      </c>
      <c r="C599" s="162"/>
      <c r="D599" s="148"/>
      <c r="E599" s="161"/>
      <c r="F599" s="146" t="str">
        <f>IF(E599&lt;&gt;"", SUMIF(Bets!$D:$D, E599, Bets!AB:AB), "")</f>
        <v/>
      </c>
      <c r="G599" s="162"/>
      <c r="H599" s="148"/>
      <c r="I599" s="161"/>
      <c r="J599" s="146" t="str">
        <f>IF(I599&lt;&gt;"", SUMIF(Bets!$D:$D, I599, Bets!AA:AA), "")</f>
        <v/>
      </c>
      <c r="K599" s="162"/>
      <c r="L599" s="148"/>
      <c r="M599" s="161"/>
      <c r="N599" s="146"/>
      <c r="O599" s="162"/>
      <c r="P599" s="148"/>
      <c r="Q599" s="161"/>
      <c r="R599" s="146" t="str">
        <f>IF(Q599&lt;&gt;"", SUMIF(Bets!$D:$D, Q599, Bets!AD:AD), "")</f>
        <v/>
      </c>
      <c r="S599" s="162"/>
      <c r="T599" s="148"/>
      <c r="U599" s="161"/>
      <c r="V599" s="146" t="str">
        <f>IF(U599&lt;&gt;"", SUMIF(Bets!$D:$D, U599, Bets!AE:AE), "")</f>
        <v/>
      </c>
      <c r="W599" s="162"/>
      <c r="X599" s="148"/>
      <c r="Y599" s="161"/>
      <c r="Z599" s="146" t="str">
        <f>IF(Y599&lt;&gt;"", SUMIF(Bets!$D:$D, Y599, Bets!AF:AF), "")</f>
        <v/>
      </c>
      <c r="AA599" s="162"/>
      <c r="AB599" s="148"/>
      <c r="AC599" s="161"/>
      <c r="AD599" s="146" t="str">
        <f>IF(AC599&lt;&gt;"", SUMIF(Bets!$D:$D, AC599, Bets!AG:AG), "")</f>
        <v/>
      </c>
      <c r="AE599" s="162"/>
      <c r="AF599" s="148"/>
    </row>
    <row r="600">
      <c r="A600" s="161"/>
      <c r="B600" s="146" t="str">
        <f>IF(A600&lt;&gt;"", SUMIF(Bets!$D:$D, A600, Bets!Z:Z), "")</f>
        <v/>
      </c>
      <c r="C600" s="162"/>
      <c r="D600" s="148"/>
      <c r="E600" s="161"/>
      <c r="F600" s="146" t="str">
        <f>IF(E600&lt;&gt;"", SUMIF(Bets!$D:$D, E600, Bets!AB:AB), "")</f>
        <v/>
      </c>
      <c r="G600" s="162"/>
      <c r="H600" s="148"/>
      <c r="I600" s="161"/>
      <c r="J600" s="146" t="str">
        <f>IF(I600&lt;&gt;"", SUMIF(Bets!$D:$D, I600, Bets!AA:AA), "")</f>
        <v/>
      </c>
      <c r="K600" s="162"/>
      <c r="L600" s="148"/>
      <c r="M600" s="161"/>
      <c r="N600" s="146"/>
      <c r="O600" s="162"/>
      <c r="P600" s="148"/>
      <c r="Q600" s="161"/>
      <c r="R600" s="146" t="str">
        <f>IF(Q600&lt;&gt;"", SUMIF(Bets!$D:$D, Q600, Bets!AD:AD), "")</f>
        <v/>
      </c>
      <c r="S600" s="162"/>
      <c r="T600" s="148"/>
      <c r="U600" s="161"/>
      <c r="V600" s="146" t="str">
        <f>IF(U600&lt;&gt;"", SUMIF(Bets!$D:$D, U600, Bets!AE:AE), "")</f>
        <v/>
      </c>
      <c r="W600" s="162"/>
      <c r="X600" s="148"/>
      <c r="Y600" s="161"/>
      <c r="Z600" s="146" t="str">
        <f>IF(Y600&lt;&gt;"", SUMIF(Bets!$D:$D, Y600, Bets!AF:AF), "")</f>
        <v/>
      </c>
      <c r="AA600" s="162"/>
      <c r="AB600" s="148"/>
      <c r="AC600" s="161"/>
      <c r="AD600" s="146" t="str">
        <f>IF(AC600&lt;&gt;"", SUMIF(Bets!$D:$D, AC600, Bets!AG:AG), "")</f>
        <v/>
      </c>
      <c r="AE600" s="162"/>
      <c r="AF600" s="148"/>
    </row>
    <row r="601">
      <c r="A601" s="161"/>
      <c r="B601" s="146" t="str">
        <f>IF(A601&lt;&gt;"", SUMIF(Bets!$D:$D, A601, Bets!Z:Z), "")</f>
        <v/>
      </c>
      <c r="C601" s="162"/>
      <c r="D601" s="148"/>
      <c r="E601" s="161"/>
      <c r="F601" s="146" t="str">
        <f>IF(E601&lt;&gt;"", SUMIF(Bets!$D:$D, E601, Bets!AB:AB), "")</f>
        <v/>
      </c>
      <c r="G601" s="162"/>
      <c r="H601" s="148"/>
      <c r="I601" s="161"/>
      <c r="J601" s="146" t="str">
        <f>IF(I601&lt;&gt;"", SUMIF(Bets!$D:$D, I601, Bets!AA:AA), "")</f>
        <v/>
      </c>
      <c r="K601" s="162"/>
      <c r="L601" s="148"/>
      <c r="M601" s="161"/>
      <c r="N601" s="146"/>
      <c r="O601" s="162"/>
      <c r="P601" s="148"/>
      <c r="Q601" s="161"/>
      <c r="R601" s="146" t="str">
        <f>IF(Q601&lt;&gt;"", SUMIF(Bets!$D:$D, Q601, Bets!AD:AD), "")</f>
        <v/>
      </c>
      <c r="S601" s="162"/>
      <c r="T601" s="148"/>
      <c r="U601" s="161"/>
      <c r="V601" s="146" t="str">
        <f>IF(U601&lt;&gt;"", SUMIF(Bets!$D:$D, U601, Bets!AE:AE), "")</f>
        <v/>
      </c>
      <c r="W601" s="162"/>
      <c r="X601" s="148"/>
      <c r="Y601" s="161"/>
      <c r="Z601" s="146" t="str">
        <f>IF(Y601&lt;&gt;"", SUMIF(Bets!$D:$D, Y601, Bets!AF:AF), "")</f>
        <v/>
      </c>
      <c r="AA601" s="162"/>
      <c r="AB601" s="148"/>
      <c r="AC601" s="161"/>
      <c r="AD601" s="146" t="str">
        <f>IF(AC601&lt;&gt;"", SUMIF(Bets!$D:$D, AC601, Bets!AG:AG), "")</f>
        <v/>
      </c>
      <c r="AE601" s="162"/>
      <c r="AF601" s="148"/>
    </row>
    <row r="602">
      <c r="A602" s="161"/>
      <c r="B602" s="146" t="str">
        <f>IF(A602&lt;&gt;"", SUMIF(Bets!$D:$D, A602, Bets!Z:Z), "")</f>
        <v/>
      </c>
      <c r="C602" s="162"/>
      <c r="D602" s="148"/>
      <c r="E602" s="161"/>
      <c r="F602" s="146" t="str">
        <f>IF(E602&lt;&gt;"", SUMIF(Bets!$D:$D, E602, Bets!AB:AB), "")</f>
        <v/>
      </c>
      <c r="G602" s="162"/>
      <c r="H602" s="148"/>
      <c r="I602" s="161"/>
      <c r="J602" s="146" t="str">
        <f>IF(I602&lt;&gt;"", SUMIF(Bets!$D:$D, I602, Bets!AA:AA), "")</f>
        <v/>
      </c>
      <c r="K602" s="162"/>
      <c r="L602" s="148"/>
      <c r="M602" s="161"/>
      <c r="N602" s="146"/>
      <c r="O602" s="162"/>
      <c r="P602" s="148"/>
      <c r="Q602" s="161"/>
      <c r="R602" s="146" t="str">
        <f>IF(Q602&lt;&gt;"", SUMIF(Bets!$D:$D, Q602, Bets!AD:AD), "")</f>
        <v/>
      </c>
      <c r="S602" s="162"/>
      <c r="T602" s="148"/>
      <c r="U602" s="161"/>
      <c r="V602" s="146" t="str">
        <f>IF(U602&lt;&gt;"", SUMIF(Bets!$D:$D, U602, Bets!AE:AE), "")</f>
        <v/>
      </c>
      <c r="W602" s="162"/>
      <c r="X602" s="148"/>
      <c r="Y602" s="161"/>
      <c r="Z602" s="146" t="str">
        <f>IF(Y602&lt;&gt;"", SUMIF(Bets!$D:$D, Y602, Bets!AF:AF), "")</f>
        <v/>
      </c>
      <c r="AA602" s="162"/>
      <c r="AB602" s="148"/>
      <c r="AC602" s="161"/>
      <c r="AD602" s="146" t="str">
        <f>IF(AC602&lt;&gt;"", SUMIF(Bets!$D:$D, AC602, Bets!AG:AG), "")</f>
        <v/>
      </c>
      <c r="AE602" s="162"/>
      <c r="AF602" s="148"/>
    </row>
    <row r="603">
      <c r="A603" s="161"/>
      <c r="B603" s="146" t="str">
        <f>IF(A603&lt;&gt;"", SUMIF(Bets!$D:$D, A603, Bets!Z:Z), "")</f>
        <v/>
      </c>
      <c r="C603" s="162"/>
      <c r="D603" s="148"/>
      <c r="E603" s="161"/>
      <c r="F603" s="146" t="str">
        <f>IF(E603&lt;&gt;"", SUMIF(Bets!$D:$D, E603, Bets!AB:AB), "")</f>
        <v/>
      </c>
      <c r="G603" s="162"/>
      <c r="H603" s="148"/>
      <c r="I603" s="161"/>
      <c r="J603" s="146" t="str">
        <f>IF(I603&lt;&gt;"", SUMIF(Bets!$D:$D, I603, Bets!AA:AA), "")</f>
        <v/>
      </c>
      <c r="K603" s="162"/>
      <c r="L603" s="148"/>
      <c r="M603" s="161"/>
      <c r="N603" s="146"/>
      <c r="O603" s="162"/>
      <c r="P603" s="148"/>
      <c r="Q603" s="161"/>
      <c r="R603" s="146" t="str">
        <f>IF(Q603&lt;&gt;"", SUMIF(Bets!$D:$D, Q603, Bets!AD:AD), "")</f>
        <v/>
      </c>
      <c r="S603" s="162"/>
      <c r="T603" s="148"/>
      <c r="U603" s="161"/>
      <c r="V603" s="146" t="str">
        <f>IF(U603&lt;&gt;"", SUMIF(Bets!$D:$D, U603, Bets!AE:AE), "")</f>
        <v/>
      </c>
      <c r="W603" s="162"/>
      <c r="X603" s="148"/>
      <c r="Y603" s="161"/>
      <c r="Z603" s="146" t="str">
        <f>IF(Y603&lt;&gt;"", SUMIF(Bets!$D:$D, Y603, Bets!AF:AF), "")</f>
        <v/>
      </c>
      <c r="AA603" s="162"/>
      <c r="AB603" s="148"/>
      <c r="AC603" s="161"/>
      <c r="AD603" s="146" t="str">
        <f>IF(AC603&lt;&gt;"", SUMIF(Bets!$D:$D, AC603, Bets!AG:AG), "")</f>
        <v/>
      </c>
      <c r="AE603" s="162"/>
      <c r="AF603" s="148"/>
    </row>
    <row r="604">
      <c r="A604" s="161"/>
      <c r="B604" s="146" t="str">
        <f>IF(A604&lt;&gt;"", SUMIF(Bets!$D:$D, A604, Bets!Z:Z), "")</f>
        <v/>
      </c>
      <c r="C604" s="162"/>
      <c r="D604" s="148"/>
      <c r="E604" s="161"/>
      <c r="F604" s="146" t="str">
        <f>IF(E604&lt;&gt;"", SUMIF(Bets!$D:$D, E604, Bets!AB:AB), "")</f>
        <v/>
      </c>
      <c r="G604" s="162"/>
      <c r="H604" s="148"/>
      <c r="I604" s="161"/>
      <c r="J604" s="146" t="str">
        <f>IF(I604&lt;&gt;"", SUMIF(Bets!$D:$D, I604, Bets!AA:AA), "")</f>
        <v/>
      </c>
      <c r="K604" s="162"/>
      <c r="L604" s="148"/>
      <c r="M604" s="161"/>
      <c r="N604" s="146"/>
      <c r="O604" s="162"/>
      <c r="P604" s="148"/>
      <c r="Q604" s="161"/>
      <c r="R604" s="146" t="str">
        <f>IF(Q604&lt;&gt;"", SUMIF(Bets!$D:$D, Q604, Bets!AD:AD), "")</f>
        <v/>
      </c>
      <c r="S604" s="162"/>
      <c r="T604" s="148"/>
      <c r="U604" s="161"/>
      <c r="V604" s="146" t="str">
        <f>IF(U604&lt;&gt;"", SUMIF(Bets!$D:$D, U604, Bets!AE:AE), "")</f>
        <v/>
      </c>
      <c r="W604" s="162"/>
      <c r="X604" s="148"/>
      <c r="Y604" s="161"/>
      <c r="Z604" s="146" t="str">
        <f>IF(Y604&lt;&gt;"", SUMIF(Bets!$D:$D, Y604, Bets!AF:AF), "")</f>
        <v/>
      </c>
      <c r="AA604" s="162"/>
      <c r="AB604" s="148"/>
      <c r="AC604" s="161"/>
      <c r="AD604" s="146" t="str">
        <f>IF(AC604&lt;&gt;"", SUMIF(Bets!$D:$D, AC604, Bets!AG:AG), "")</f>
        <v/>
      </c>
      <c r="AE604" s="162"/>
      <c r="AF604" s="148"/>
    </row>
    <row r="605">
      <c r="A605" s="161"/>
      <c r="B605" s="146" t="str">
        <f>IF(A605&lt;&gt;"", SUMIF(Bets!$D:$D, A605, Bets!Z:Z), "")</f>
        <v/>
      </c>
      <c r="C605" s="162"/>
      <c r="D605" s="148"/>
      <c r="E605" s="161"/>
      <c r="F605" s="146" t="str">
        <f>IF(E605&lt;&gt;"", SUMIF(Bets!$D:$D, E605, Bets!AB:AB), "")</f>
        <v/>
      </c>
      <c r="G605" s="162"/>
      <c r="H605" s="148"/>
      <c r="I605" s="161"/>
      <c r="J605" s="146" t="str">
        <f>IF(I605&lt;&gt;"", SUMIF(Bets!$D:$D, I605, Bets!AA:AA), "")</f>
        <v/>
      </c>
      <c r="K605" s="162"/>
      <c r="L605" s="148"/>
      <c r="M605" s="161"/>
      <c r="N605" s="146"/>
      <c r="O605" s="162"/>
      <c r="P605" s="148"/>
      <c r="Q605" s="161"/>
      <c r="R605" s="146" t="str">
        <f>IF(Q605&lt;&gt;"", SUMIF(Bets!$D:$D, Q605, Bets!AD:AD), "")</f>
        <v/>
      </c>
      <c r="S605" s="162"/>
      <c r="T605" s="148"/>
      <c r="U605" s="161"/>
      <c r="V605" s="146" t="str">
        <f>IF(U605&lt;&gt;"", SUMIF(Bets!$D:$D, U605, Bets!AE:AE), "")</f>
        <v/>
      </c>
      <c r="W605" s="162"/>
      <c r="X605" s="148"/>
      <c r="Y605" s="161"/>
      <c r="Z605" s="146" t="str">
        <f>IF(Y605&lt;&gt;"", SUMIF(Bets!$D:$D, Y605, Bets!AF:AF), "")</f>
        <v/>
      </c>
      <c r="AA605" s="162"/>
      <c r="AB605" s="148"/>
      <c r="AC605" s="161"/>
      <c r="AD605" s="146" t="str">
        <f>IF(AC605&lt;&gt;"", SUMIF(Bets!$D:$D, AC605, Bets!AG:AG), "")</f>
        <v/>
      </c>
      <c r="AE605" s="162"/>
      <c r="AF605" s="148"/>
    </row>
    <row r="606">
      <c r="A606" s="161"/>
      <c r="B606" s="146" t="str">
        <f>IF(A606&lt;&gt;"", SUMIF(Bets!$D:$D, A606, Bets!Z:Z), "")</f>
        <v/>
      </c>
      <c r="C606" s="162"/>
      <c r="D606" s="148"/>
      <c r="E606" s="161"/>
      <c r="F606" s="146" t="str">
        <f>IF(E606&lt;&gt;"", SUMIF(Bets!$D:$D, E606, Bets!AB:AB), "")</f>
        <v/>
      </c>
      <c r="G606" s="162"/>
      <c r="H606" s="148"/>
      <c r="I606" s="161"/>
      <c r="J606" s="146" t="str">
        <f>IF(I606&lt;&gt;"", SUMIF(Bets!$D:$D, I606, Bets!AA:AA), "")</f>
        <v/>
      </c>
      <c r="K606" s="162"/>
      <c r="L606" s="148"/>
      <c r="M606" s="161"/>
      <c r="N606" s="146"/>
      <c r="O606" s="162"/>
      <c r="P606" s="148"/>
      <c r="Q606" s="161"/>
      <c r="R606" s="146" t="str">
        <f>IF(Q606&lt;&gt;"", SUMIF(Bets!$D:$D, Q606, Bets!AD:AD), "")</f>
        <v/>
      </c>
      <c r="S606" s="162"/>
      <c r="T606" s="148"/>
      <c r="U606" s="161"/>
      <c r="V606" s="146" t="str">
        <f>IF(U606&lt;&gt;"", SUMIF(Bets!$D:$D, U606, Bets!AE:AE), "")</f>
        <v/>
      </c>
      <c r="W606" s="162"/>
      <c r="X606" s="148"/>
      <c r="Y606" s="161"/>
      <c r="Z606" s="146" t="str">
        <f>IF(Y606&lt;&gt;"", SUMIF(Bets!$D:$D, Y606, Bets!AF:AF), "")</f>
        <v/>
      </c>
      <c r="AA606" s="162"/>
      <c r="AB606" s="148"/>
      <c r="AC606" s="161"/>
      <c r="AD606" s="146" t="str">
        <f>IF(AC606&lt;&gt;"", SUMIF(Bets!$D:$D, AC606, Bets!AG:AG), "")</f>
        <v/>
      </c>
      <c r="AE606" s="162"/>
      <c r="AF606" s="148"/>
    </row>
    <row r="607">
      <c r="A607" s="161"/>
      <c r="B607" s="146" t="str">
        <f>IF(A607&lt;&gt;"", SUMIF(Bets!$D:$D, A607, Bets!Z:Z), "")</f>
        <v/>
      </c>
      <c r="C607" s="162"/>
      <c r="D607" s="148"/>
      <c r="E607" s="161"/>
      <c r="F607" s="146" t="str">
        <f>IF(E607&lt;&gt;"", SUMIF(Bets!$D:$D, E607, Bets!AB:AB), "")</f>
        <v/>
      </c>
      <c r="G607" s="162"/>
      <c r="H607" s="148"/>
      <c r="I607" s="161"/>
      <c r="J607" s="146" t="str">
        <f>IF(I607&lt;&gt;"", SUMIF(Bets!$D:$D, I607, Bets!AA:AA), "")</f>
        <v/>
      </c>
      <c r="K607" s="162"/>
      <c r="L607" s="148"/>
      <c r="M607" s="161"/>
      <c r="N607" s="146"/>
      <c r="O607" s="162"/>
      <c r="P607" s="148"/>
      <c r="Q607" s="161"/>
      <c r="R607" s="146" t="str">
        <f>IF(Q607&lt;&gt;"", SUMIF(Bets!$D:$D, Q607, Bets!AD:AD), "")</f>
        <v/>
      </c>
      <c r="S607" s="162"/>
      <c r="T607" s="148"/>
      <c r="U607" s="161"/>
      <c r="V607" s="146" t="str">
        <f>IF(U607&lt;&gt;"", SUMIF(Bets!$D:$D, U607, Bets!AE:AE), "")</f>
        <v/>
      </c>
      <c r="W607" s="162"/>
      <c r="X607" s="148"/>
      <c r="Y607" s="161"/>
      <c r="Z607" s="146" t="str">
        <f>IF(Y607&lt;&gt;"", SUMIF(Bets!$D:$D, Y607, Bets!AF:AF), "")</f>
        <v/>
      </c>
      <c r="AA607" s="162"/>
      <c r="AB607" s="148"/>
      <c r="AC607" s="161"/>
      <c r="AD607" s="146" t="str">
        <f>IF(AC607&lt;&gt;"", SUMIF(Bets!$D:$D, AC607, Bets!AG:AG), "")</f>
        <v/>
      </c>
      <c r="AE607" s="162"/>
      <c r="AF607" s="148"/>
    </row>
    <row r="608">
      <c r="A608" s="161"/>
      <c r="B608" s="146" t="str">
        <f>IF(A608&lt;&gt;"", SUMIF(Bets!$D:$D, A608, Bets!Z:Z), "")</f>
        <v/>
      </c>
      <c r="C608" s="162"/>
      <c r="D608" s="148"/>
      <c r="E608" s="161"/>
      <c r="F608" s="146" t="str">
        <f>IF(E608&lt;&gt;"", SUMIF(Bets!$D:$D, E608, Bets!AB:AB), "")</f>
        <v/>
      </c>
      <c r="G608" s="162"/>
      <c r="H608" s="148"/>
      <c r="I608" s="161"/>
      <c r="J608" s="146" t="str">
        <f>IF(I608&lt;&gt;"", SUMIF(Bets!$D:$D, I608, Bets!AA:AA), "")</f>
        <v/>
      </c>
      <c r="K608" s="162"/>
      <c r="L608" s="148"/>
      <c r="M608" s="161"/>
      <c r="N608" s="146"/>
      <c r="O608" s="162"/>
      <c r="P608" s="148"/>
      <c r="Q608" s="161"/>
      <c r="R608" s="146" t="str">
        <f>IF(Q608&lt;&gt;"", SUMIF(Bets!$D:$D, Q608, Bets!AD:AD), "")</f>
        <v/>
      </c>
      <c r="S608" s="162"/>
      <c r="T608" s="148"/>
      <c r="U608" s="161"/>
      <c r="V608" s="146" t="str">
        <f>IF(U608&lt;&gt;"", SUMIF(Bets!$D:$D, U608, Bets!AE:AE), "")</f>
        <v/>
      </c>
      <c r="W608" s="162"/>
      <c r="X608" s="148"/>
      <c r="Y608" s="161"/>
      <c r="Z608" s="146" t="str">
        <f>IF(Y608&lt;&gt;"", SUMIF(Bets!$D:$D, Y608, Bets!AF:AF), "")</f>
        <v/>
      </c>
      <c r="AA608" s="162"/>
      <c r="AB608" s="148"/>
      <c r="AC608" s="161"/>
      <c r="AD608" s="146" t="str">
        <f>IF(AC608&lt;&gt;"", SUMIF(Bets!$D:$D, AC608, Bets!AG:AG), "")</f>
        <v/>
      </c>
      <c r="AE608" s="162"/>
      <c r="AF608" s="148"/>
    </row>
    <row r="609">
      <c r="A609" s="161"/>
      <c r="B609" s="146" t="str">
        <f>IF(A609&lt;&gt;"", SUMIF(Bets!$D:$D, A609, Bets!Z:Z), "")</f>
        <v/>
      </c>
      <c r="C609" s="162"/>
      <c r="D609" s="148"/>
      <c r="E609" s="161"/>
      <c r="F609" s="146" t="str">
        <f>IF(E609&lt;&gt;"", SUMIF(Bets!$D:$D, E609, Bets!AB:AB), "")</f>
        <v/>
      </c>
      <c r="G609" s="162"/>
      <c r="H609" s="148"/>
      <c r="I609" s="161"/>
      <c r="J609" s="146" t="str">
        <f>IF(I609&lt;&gt;"", SUMIF(Bets!$D:$D, I609, Bets!AA:AA), "")</f>
        <v/>
      </c>
      <c r="K609" s="162"/>
      <c r="L609" s="148"/>
      <c r="M609" s="161"/>
      <c r="N609" s="146"/>
      <c r="O609" s="162"/>
      <c r="P609" s="148"/>
      <c r="Q609" s="161"/>
      <c r="R609" s="146" t="str">
        <f>IF(Q609&lt;&gt;"", SUMIF(Bets!$D:$D, Q609, Bets!AD:AD), "")</f>
        <v/>
      </c>
      <c r="S609" s="162"/>
      <c r="T609" s="148"/>
      <c r="U609" s="161"/>
      <c r="V609" s="146" t="str">
        <f>IF(U609&lt;&gt;"", SUMIF(Bets!$D:$D, U609, Bets!AE:AE), "")</f>
        <v/>
      </c>
      <c r="W609" s="162"/>
      <c r="X609" s="148"/>
      <c r="Y609" s="161"/>
      <c r="Z609" s="146" t="str">
        <f>IF(Y609&lt;&gt;"", SUMIF(Bets!$D:$D, Y609, Bets!AF:AF), "")</f>
        <v/>
      </c>
      <c r="AA609" s="162"/>
      <c r="AB609" s="148"/>
      <c r="AC609" s="161"/>
      <c r="AD609" s="146" t="str">
        <f>IF(AC609&lt;&gt;"", SUMIF(Bets!$D:$D, AC609, Bets!AG:AG), "")</f>
        <v/>
      </c>
      <c r="AE609" s="162"/>
      <c r="AF609" s="148"/>
    </row>
    <row r="610">
      <c r="A610" s="161"/>
      <c r="B610" s="146" t="str">
        <f>IF(A610&lt;&gt;"", SUMIF(Bets!$D:$D, A610, Bets!Z:Z), "")</f>
        <v/>
      </c>
      <c r="C610" s="162"/>
      <c r="D610" s="148"/>
      <c r="E610" s="161"/>
      <c r="F610" s="146" t="str">
        <f>IF(E610&lt;&gt;"", SUMIF(Bets!$D:$D, E610, Bets!AB:AB), "")</f>
        <v/>
      </c>
      <c r="G610" s="162"/>
      <c r="H610" s="148"/>
      <c r="I610" s="161"/>
      <c r="J610" s="146" t="str">
        <f>IF(I610&lt;&gt;"", SUMIF(Bets!$D:$D, I610, Bets!AA:AA), "")</f>
        <v/>
      </c>
      <c r="K610" s="162"/>
      <c r="L610" s="148"/>
      <c r="M610" s="161"/>
      <c r="N610" s="146"/>
      <c r="O610" s="162"/>
      <c r="P610" s="148"/>
      <c r="Q610" s="161"/>
      <c r="R610" s="146" t="str">
        <f>IF(Q610&lt;&gt;"", SUMIF(Bets!$D:$D, Q610, Bets!AD:AD), "")</f>
        <v/>
      </c>
      <c r="S610" s="162"/>
      <c r="T610" s="148"/>
      <c r="U610" s="161"/>
      <c r="V610" s="146" t="str">
        <f>IF(U610&lt;&gt;"", SUMIF(Bets!$D:$D, U610, Bets!AE:AE), "")</f>
        <v/>
      </c>
      <c r="W610" s="162"/>
      <c r="X610" s="148"/>
      <c r="Y610" s="161"/>
      <c r="Z610" s="146" t="str">
        <f>IF(Y610&lt;&gt;"", SUMIF(Bets!$D:$D, Y610, Bets!AF:AF), "")</f>
        <v/>
      </c>
      <c r="AA610" s="162"/>
      <c r="AB610" s="148"/>
      <c r="AC610" s="161"/>
      <c r="AD610" s="146" t="str">
        <f>IF(AC610&lt;&gt;"", SUMIF(Bets!$D:$D, AC610, Bets!AG:AG), "")</f>
        <v/>
      </c>
      <c r="AE610" s="162"/>
      <c r="AF610" s="148"/>
    </row>
    <row r="611">
      <c r="A611" s="161"/>
      <c r="B611" s="146" t="str">
        <f>IF(A611&lt;&gt;"", SUMIF(Bets!$D:$D, A611, Bets!Z:Z), "")</f>
        <v/>
      </c>
      <c r="C611" s="162"/>
      <c r="D611" s="148"/>
      <c r="E611" s="161"/>
      <c r="F611" s="146" t="str">
        <f>IF(E611&lt;&gt;"", SUMIF(Bets!$D:$D, E611, Bets!AB:AB), "")</f>
        <v/>
      </c>
      <c r="G611" s="162"/>
      <c r="H611" s="148"/>
      <c r="I611" s="161"/>
      <c r="J611" s="146" t="str">
        <f>IF(I611&lt;&gt;"", SUMIF(Bets!$D:$D, I611, Bets!AA:AA), "")</f>
        <v/>
      </c>
      <c r="K611" s="162"/>
      <c r="L611" s="148"/>
      <c r="M611" s="161"/>
      <c r="N611" s="146"/>
      <c r="O611" s="162"/>
      <c r="P611" s="148"/>
      <c r="Q611" s="161"/>
      <c r="R611" s="146" t="str">
        <f>IF(Q611&lt;&gt;"", SUMIF(Bets!$D:$D, Q611, Bets!AD:AD), "")</f>
        <v/>
      </c>
      <c r="S611" s="162"/>
      <c r="T611" s="148"/>
      <c r="U611" s="161"/>
      <c r="V611" s="146" t="str">
        <f>IF(U611&lt;&gt;"", SUMIF(Bets!$D:$D, U611, Bets!AE:AE), "")</f>
        <v/>
      </c>
      <c r="W611" s="162"/>
      <c r="X611" s="148"/>
      <c r="Y611" s="161"/>
      <c r="Z611" s="146" t="str">
        <f>IF(Y611&lt;&gt;"", SUMIF(Bets!$D:$D, Y611, Bets!AF:AF), "")</f>
        <v/>
      </c>
      <c r="AA611" s="162"/>
      <c r="AB611" s="148"/>
      <c r="AC611" s="161"/>
      <c r="AD611" s="146" t="str">
        <f>IF(AC611&lt;&gt;"", SUMIF(Bets!$D:$D, AC611, Bets!AG:AG), "")</f>
        <v/>
      </c>
      <c r="AE611" s="162"/>
      <c r="AF611" s="148"/>
    </row>
    <row r="612">
      <c r="A612" s="161"/>
      <c r="B612" s="146" t="str">
        <f>IF(A612&lt;&gt;"", SUMIF(Bets!$D:$D, A612, Bets!Z:Z), "")</f>
        <v/>
      </c>
      <c r="C612" s="162"/>
      <c r="D612" s="148"/>
      <c r="E612" s="161"/>
      <c r="F612" s="146" t="str">
        <f>IF(E612&lt;&gt;"", SUMIF(Bets!$D:$D, E612, Bets!AB:AB), "")</f>
        <v/>
      </c>
      <c r="G612" s="162"/>
      <c r="H612" s="148"/>
      <c r="I612" s="161"/>
      <c r="J612" s="146" t="str">
        <f>IF(I612&lt;&gt;"", SUMIF(Bets!$D:$D, I612, Bets!AA:AA), "")</f>
        <v/>
      </c>
      <c r="K612" s="162"/>
      <c r="L612" s="148"/>
      <c r="M612" s="161"/>
      <c r="N612" s="146"/>
      <c r="O612" s="162"/>
      <c r="P612" s="148"/>
      <c r="Q612" s="161"/>
      <c r="R612" s="146" t="str">
        <f>IF(Q612&lt;&gt;"", SUMIF(Bets!$D:$D, Q612, Bets!AD:AD), "")</f>
        <v/>
      </c>
      <c r="S612" s="162"/>
      <c r="T612" s="148"/>
      <c r="U612" s="161"/>
      <c r="V612" s="146" t="str">
        <f>IF(U612&lt;&gt;"", SUMIF(Bets!$D:$D, U612, Bets!AE:AE), "")</f>
        <v/>
      </c>
      <c r="W612" s="162"/>
      <c r="X612" s="148"/>
      <c r="Y612" s="161"/>
      <c r="Z612" s="146" t="str">
        <f>IF(Y612&lt;&gt;"", SUMIF(Bets!$D:$D, Y612, Bets!AF:AF), "")</f>
        <v/>
      </c>
      <c r="AA612" s="162"/>
      <c r="AB612" s="148"/>
      <c r="AC612" s="161"/>
      <c r="AD612" s="146" t="str">
        <f>IF(AC612&lt;&gt;"", SUMIF(Bets!$D:$D, AC612, Bets!AG:AG), "")</f>
        <v/>
      </c>
      <c r="AE612" s="162"/>
      <c r="AF612" s="148"/>
    </row>
    <row r="613">
      <c r="A613" s="161"/>
      <c r="B613" s="146" t="str">
        <f>IF(A613&lt;&gt;"", SUMIF(Bets!$D:$D, A613, Bets!Z:Z), "")</f>
        <v/>
      </c>
      <c r="C613" s="162"/>
      <c r="D613" s="148"/>
      <c r="E613" s="161"/>
      <c r="F613" s="146" t="str">
        <f>IF(E613&lt;&gt;"", SUMIF(Bets!$D:$D, E613, Bets!AB:AB), "")</f>
        <v/>
      </c>
      <c r="G613" s="162"/>
      <c r="H613" s="148"/>
      <c r="I613" s="161"/>
      <c r="J613" s="146" t="str">
        <f>IF(I613&lt;&gt;"", SUMIF(Bets!$D:$D, I613, Bets!AA:AA), "")</f>
        <v/>
      </c>
      <c r="K613" s="162"/>
      <c r="L613" s="148"/>
      <c r="M613" s="161"/>
      <c r="N613" s="146"/>
      <c r="O613" s="162"/>
      <c r="P613" s="148"/>
      <c r="Q613" s="161"/>
      <c r="R613" s="146" t="str">
        <f>IF(Q613&lt;&gt;"", SUMIF(Bets!$D:$D, Q613, Bets!AD:AD), "")</f>
        <v/>
      </c>
      <c r="S613" s="162"/>
      <c r="T613" s="148"/>
      <c r="U613" s="161"/>
      <c r="V613" s="146" t="str">
        <f>IF(U613&lt;&gt;"", SUMIF(Bets!$D:$D, U613, Bets!AE:AE), "")</f>
        <v/>
      </c>
      <c r="W613" s="162"/>
      <c r="X613" s="148"/>
      <c r="Y613" s="161"/>
      <c r="Z613" s="146" t="str">
        <f>IF(Y613&lt;&gt;"", SUMIF(Bets!$D:$D, Y613, Bets!AF:AF), "")</f>
        <v/>
      </c>
      <c r="AA613" s="162"/>
      <c r="AB613" s="148"/>
      <c r="AC613" s="161"/>
      <c r="AD613" s="146" t="str">
        <f>IF(AC613&lt;&gt;"", SUMIF(Bets!$D:$D, AC613, Bets!AG:AG), "")</f>
        <v/>
      </c>
      <c r="AE613" s="162"/>
      <c r="AF613" s="148"/>
    </row>
    <row r="614">
      <c r="A614" s="161"/>
      <c r="B614" s="146" t="str">
        <f>IF(A614&lt;&gt;"", SUMIF(Bets!$D:$D, A614, Bets!Z:Z), "")</f>
        <v/>
      </c>
      <c r="C614" s="162"/>
      <c r="D614" s="148"/>
      <c r="E614" s="161"/>
      <c r="F614" s="146" t="str">
        <f>IF(E614&lt;&gt;"", SUMIF(Bets!$D:$D, E614, Bets!AB:AB), "")</f>
        <v/>
      </c>
      <c r="G614" s="162"/>
      <c r="H614" s="148"/>
      <c r="I614" s="161"/>
      <c r="J614" s="146" t="str">
        <f>IF(I614&lt;&gt;"", SUMIF(Bets!$D:$D, I614, Bets!AA:AA), "")</f>
        <v/>
      </c>
      <c r="K614" s="162"/>
      <c r="L614" s="148"/>
      <c r="M614" s="161"/>
      <c r="N614" s="146"/>
      <c r="O614" s="162"/>
      <c r="P614" s="148"/>
      <c r="Q614" s="161"/>
      <c r="R614" s="146" t="str">
        <f>IF(Q614&lt;&gt;"", SUMIF(Bets!$D:$D, Q614, Bets!AD:AD), "")</f>
        <v/>
      </c>
      <c r="S614" s="162"/>
      <c r="T614" s="148"/>
      <c r="U614" s="161"/>
      <c r="V614" s="146" t="str">
        <f>IF(U614&lt;&gt;"", SUMIF(Bets!$D:$D, U614, Bets!AE:AE), "")</f>
        <v/>
      </c>
      <c r="W614" s="162"/>
      <c r="X614" s="148"/>
      <c r="Y614" s="161"/>
      <c r="Z614" s="146" t="str">
        <f>IF(Y614&lt;&gt;"", SUMIF(Bets!$D:$D, Y614, Bets!AF:AF), "")</f>
        <v/>
      </c>
      <c r="AA614" s="162"/>
      <c r="AB614" s="148"/>
      <c r="AC614" s="161"/>
      <c r="AD614" s="146" t="str">
        <f>IF(AC614&lt;&gt;"", SUMIF(Bets!$D:$D, AC614, Bets!AG:AG), "")</f>
        <v/>
      </c>
      <c r="AE614" s="162"/>
      <c r="AF614" s="148"/>
    </row>
    <row r="615">
      <c r="A615" s="161"/>
      <c r="B615" s="146" t="str">
        <f>IF(A615&lt;&gt;"", SUMIF(Bets!$D:$D, A615, Bets!Z:Z), "")</f>
        <v/>
      </c>
      <c r="C615" s="162"/>
      <c r="D615" s="148"/>
      <c r="E615" s="161"/>
      <c r="F615" s="146" t="str">
        <f>IF(E615&lt;&gt;"", SUMIF(Bets!$D:$D, E615, Bets!AB:AB), "")</f>
        <v/>
      </c>
      <c r="G615" s="162"/>
      <c r="H615" s="148"/>
      <c r="I615" s="161"/>
      <c r="J615" s="146" t="str">
        <f>IF(I615&lt;&gt;"", SUMIF(Bets!$D:$D, I615, Bets!AA:AA), "")</f>
        <v/>
      </c>
      <c r="K615" s="162"/>
      <c r="L615" s="148"/>
      <c r="M615" s="161"/>
      <c r="N615" s="146"/>
      <c r="O615" s="162"/>
      <c r="P615" s="148"/>
      <c r="Q615" s="161"/>
      <c r="R615" s="146" t="str">
        <f>IF(Q615&lt;&gt;"", SUMIF(Bets!$D:$D, Q615, Bets!AD:AD), "")</f>
        <v/>
      </c>
      <c r="S615" s="162"/>
      <c r="T615" s="148"/>
      <c r="U615" s="161"/>
      <c r="V615" s="146" t="str">
        <f>IF(U615&lt;&gt;"", SUMIF(Bets!$D:$D, U615, Bets!AE:AE), "")</f>
        <v/>
      </c>
      <c r="W615" s="162"/>
      <c r="X615" s="148"/>
      <c r="Y615" s="161"/>
      <c r="Z615" s="146" t="str">
        <f>IF(Y615&lt;&gt;"", SUMIF(Bets!$D:$D, Y615, Bets!AF:AF), "")</f>
        <v/>
      </c>
      <c r="AA615" s="162"/>
      <c r="AB615" s="148"/>
      <c r="AC615" s="161"/>
      <c r="AD615" s="146" t="str">
        <f>IF(AC615&lt;&gt;"", SUMIF(Bets!$D:$D, AC615, Bets!AG:AG), "")</f>
        <v/>
      </c>
      <c r="AE615" s="162"/>
      <c r="AF615" s="148"/>
    </row>
    <row r="616">
      <c r="A616" s="161"/>
      <c r="B616" s="146" t="str">
        <f>IF(A616&lt;&gt;"", SUMIF(Bets!$D:$D, A616, Bets!Z:Z), "")</f>
        <v/>
      </c>
      <c r="C616" s="162"/>
      <c r="D616" s="148"/>
      <c r="E616" s="161"/>
      <c r="F616" s="146" t="str">
        <f>IF(E616&lt;&gt;"", SUMIF(Bets!$D:$D, E616, Bets!AB:AB), "")</f>
        <v/>
      </c>
      <c r="G616" s="162"/>
      <c r="H616" s="148"/>
      <c r="I616" s="161"/>
      <c r="J616" s="146" t="str">
        <f>IF(I616&lt;&gt;"", SUMIF(Bets!$D:$D, I616, Bets!AA:AA), "")</f>
        <v/>
      </c>
      <c r="K616" s="162"/>
      <c r="L616" s="148"/>
      <c r="M616" s="161"/>
      <c r="N616" s="146"/>
      <c r="O616" s="162"/>
      <c r="P616" s="148"/>
      <c r="Q616" s="161"/>
      <c r="R616" s="146" t="str">
        <f>IF(Q616&lt;&gt;"", SUMIF(Bets!$D:$D, Q616, Bets!AD:AD), "")</f>
        <v/>
      </c>
      <c r="S616" s="162"/>
      <c r="T616" s="148"/>
      <c r="U616" s="161"/>
      <c r="V616" s="146" t="str">
        <f>IF(U616&lt;&gt;"", SUMIF(Bets!$D:$D, U616, Bets!AE:AE), "")</f>
        <v/>
      </c>
      <c r="W616" s="162"/>
      <c r="X616" s="148"/>
      <c r="Y616" s="161"/>
      <c r="Z616" s="146" t="str">
        <f>IF(Y616&lt;&gt;"", SUMIF(Bets!$D:$D, Y616, Bets!AF:AF), "")</f>
        <v/>
      </c>
      <c r="AA616" s="162"/>
      <c r="AB616" s="148"/>
      <c r="AC616" s="161"/>
      <c r="AD616" s="146" t="str">
        <f>IF(AC616&lt;&gt;"", SUMIF(Bets!$D:$D, AC616, Bets!AG:AG), "")</f>
        <v/>
      </c>
      <c r="AE616" s="162"/>
      <c r="AF616" s="148"/>
    </row>
    <row r="617">
      <c r="A617" s="161"/>
      <c r="B617" s="146" t="str">
        <f>IF(A617&lt;&gt;"", SUMIF(Bets!$D:$D, A617, Bets!Z:Z), "")</f>
        <v/>
      </c>
      <c r="C617" s="162"/>
      <c r="D617" s="148"/>
      <c r="E617" s="161"/>
      <c r="F617" s="146" t="str">
        <f>IF(E617&lt;&gt;"", SUMIF(Bets!$D:$D, E617, Bets!AB:AB), "")</f>
        <v/>
      </c>
      <c r="G617" s="162"/>
      <c r="H617" s="148"/>
      <c r="I617" s="161"/>
      <c r="J617" s="146" t="str">
        <f>IF(I617&lt;&gt;"", SUMIF(Bets!$D:$D, I617, Bets!AA:AA), "")</f>
        <v/>
      </c>
      <c r="K617" s="162"/>
      <c r="L617" s="148"/>
      <c r="M617" s="161"/>
      <c r="N617" s="146"/>
      <c r="O617" s="162"/>
      <c r="P617" s="148"/>
      <c r="Q617" s="161"/>
      <c r="R617" s="146" t="str">
        <f>IF(Q617&lt;&gt;"", SUMIF(Bets!$D:$D, Q617, Bets!AD:AD), "")</f>
        <v/>
      </c>
      <c r="S617" s="162"/>
      <c r="T617" s="148"/>
      <c r="U617" s="161"/>
      <c r="V617" s="146" t="str">
        <f>IF(U617&lt;&gt;"", SUMIF(Bets!$D:$D, U617, Bets!AE:AE), "")</f>
        <v/>
      </c>
      <c r="W617" s="162"/>
      <c r="X617" s="148"/>
      <c r="Y617" s="161"/>
      <c r="Z617" s="146" t="str">
        <f>IF(Y617&lt;&gt;"", SUMIF(Bets!$D:$D, Y617, Bets!AF:AF), "")</f>
        <v/>
      </c>
      <c r="AA617" s="162"/>
      <c r="AB617" s="148"/>
      <c r="AC617" s="161"/>
      <c r="AD617" s="146" t="str">
        <f>IF(AC617&lt;&gt;"", SUMIF(Bets!$D:$D, AC617, Bets!AG:AG), "")</f>
        <v/>
      </c>
      <c r="AE617" s="162"/>
      <c r="AF617" s="148"/>
    </row>
    <row r="618">
      <c r="A618" s="161"/>
      <c r="B618" s="146" t="str">
        <f>IF(A618&lt;&gt;"", SUMIF(Bets!$D:$D, A618, Bets!Z:Z), "")</f>
        <v/>
      </c>
      <c r="C618" s="162"/>
      <c r="D618" s="148"/>
      <c r="E618" s="161"/>
      <c r="F618" s="146" t="str">
        <f>IF(E618&lt;&gt;"", SUMIF(Bets!$D:$D, E618, Bets!AB:AB), "")</f>
        <v/>
      </c>
      <c r="G618" s="162"/>
      <c r="H618" s="148"/>
      <c r="I618" s="161"/>
      <c r="J618" s="146" t="str">
        <f>IF(I618&lt;&gt;"", SUMIF(Bets!$D:$D, I618, Bets!AA:AA), "")</f>
        <v/>
      </c>
      <c r="K618" s="162"/>
      <c r="L618" s="148"/>
      <c r="M618" s="161"/>
      <c r="N618" s="146"/>
      <c r="O618" s="162"/>
      <c r="P618" s="148"/>
      <c r="Q618" s="161"/>
      <c r="R618" s="146" t="str">
        <f>IF(Q618&lt;&gt;"", SUMIF(Bets!$D:$D, Q618, Bets!AD:AD), "")</f>
        <v/>
      </c>
      <c r="S618" s="162"/>
      <c r="T618" s="148"/>
      <c r="U618" s="161"/>
      <c r="V618" s="146" t="str">
        <f>IF(U618&lt;&gt;"", SUMIF(Bets!$D:$D, U618, Bets!AE:AE), "")</f>
        <v/>
      </c>
      <c r="W618" s="162"/>
      <c r="X618" s="148"/>
      <c r="Y618" s="161"/>
      <c r="Z618" s="146" t="str">
        <f>IF(Y618&lt;&gt;"", SUMIF(Bets!$D:$D, Y618, Bets!AF:AF), "")</f>
        <v/>
      </c>
      <c r="AA618" s="162"/>
      <c r="AB618" s="148"/>
      <c r="AC618" s="161"/>
      <c r="AD618" s="146" t="str">
        <f>IF(AC618&lt;&gt;"", SUMIF(Bets!$D:$D, AC618, Bets!AG:AG), "")</f>
        <v/>
      </c>
      <c r="AE618" s="162"/>
      <c r="AF618" s="148"/>
    </row>
    <row r="619">
      <c r="A619" s="161"/>
      <c r="B619" s="146" t="str">
        <f>IF(A619&lt;&gt;"", SUMIF(Bets!$D:$D, A619, Bets!Z:Z), "")</f>
        <v/>
      </c>
      <c r="C619" s="162"/>
      <c r="D619" s="148"/>
      <c r="E619" s="161"/>
      <c r="F619" s="146" t="str">
        <f>IF(E619&lt;&gt;"", SUMIF(Bets!$D:$D, E619, Bets!AB:AB), "")</f>
        <v/>
      </c>
      <c r="G619" s="162"/>
      <c r="H619" s="148"/>
      <c r="I619" s="161"/>
      <c r="J619" s="146" t="str">
        <f>IF(I619&lt;&gt;"", SUMIF(Bets!$D:$D, I619, Bets!AA:AA), "")</f>
        <v/>
      </c>
      <c r="K619" s="162"/>
      <c r="L619" s="148"/>
      <c r="M619" s="161"/>
      <c r="N619" s="146"/>
      <c r="O619" s="162"/>
      <c r="P619" s="148"/>
      <c r="Q619" s="161"/>
      <c r="R619" s="146" t="str">
        <f>IF(Q619&lt;&gt;"", SUMIF(Bets!$D:$D, Q619, Bets!AD:AD), "")</f>
        <v/>
      </c>
      <c r="S619" s="162"/>
      <c r="T619" s="148"/>
      <c r="U619" s="161"/>
      <c r="V619" s="146" t="str">
        <f>IF(U619&lt;&gt;"", SUMIF(Bets!$D:$D, U619, Bets!AE:AE), "")</f>
        <v/>
      </c>
      <c r="W619" s="162"/>
      <c r="X619" s="148"/>
      <c r="Y619" s="161"/>
      <c r="Z619" s="146" t="str">
        <f>IF(Y619&lt;&gt;"", SUMIF(Bets!$D:$D, Y619, Bets!AF:AF), "")</f>
        <v/>
      </c>
      <c r="AA619" s="162"/>
      <c r="AB619" s="148"/>
      <c r="AC619" s="161"/>
      <c r="AD619" s="146" t="str">
        <f>IF(AC619&lt;&gt;"", SUMIF(Bets!$D:$D, AC619, Bets!AG:AG), "")</f>
        <v/>
      </c>
      <c r="AE619" s="162"/>
      <c r="AF619" s="148"/>
    </row>
    <row r="620">
      <c r="A620" s="161"/>
      <c r="B620" s="146" t="str">
        <f>IF(A620&lt;&gt;"", SUMIF(Bets!$D:$D, A620, Bets!Z:Z), "")</f>
        <v/>
      </c>
      <c r="C620" s="162"/>
      <c r="D620" s="148"/>
      <c r="E620" s="161"/>
      <c r="F620" s="146" t="str">
        <f>IF(E620&lt;&gt;"", SUMIF(Bets!$D:$D, E620, Bets!AB:AB), "")</f>
        <v/>
      </c>
      <c r="G620" s="162"/>
      <c r="H620" s="148"/>
      <c r="I620" s="161"/>
      <c r="J620" s="146" t="str">
        <f>IF(I620&lt;&gt;"", SUMIF(Bets!$D:$D, I620, Bets!AA:AA), "")</f>
        <v/>
      </c>
      <c r="K620" s="162"/>
      <c r="L620" s="148"/>
      <c r="M620" s="161"/>
      <c r="N620" s="146"/>
      <c r="O620" s="162"/>
      <c r="P620" s="148"/>
      <c r="Q620" s="161"/>
      <c r="R620" s="146" t="str">
        <f>IF(Q620&lt;&gt;"", SUMIF(Bets!$D:$D, Q620, Bets!AD:AD), "")</f>
        <v/>
      </c>
      <c r="S620" s="162"/>
      <c r="T620" s="148"/>
      <c r="U620" s="161"/>
      <c r="V620" s="146" t="str">
        <f>IF(U620&lt;&gt;"", SUMIF(Bets!$D:$D, U620, Bets!AE:AE), "")</f>
        <v/>
      </c>
      <c r="W620" s="162"/>
      <c r="X620" s="148"/>
      <c r="Y620" s="161"/>
      <c r="Z620" s="146" t="str">
        <f>IF(Y620&lt;&gt;"", SUMIF(Bets!$D:$D, Y620, Bets!AF:AF), "")</f>
        <v/>
      </c>
      <c r="AA620" s="162"/>
      <c r="AB620" s="148"/>
      <c r="AC620" s="161"/>
      <c r="AD620" s="146" t="str">
        <f>IF(AC620&lt;&gt;"", SUMIF(Bets!$D:$D, AC620, Bets!AG:AG), "")</f>
        <v/>
      </c>
      <c r="AE620" s="162"/>
      <c r="AF620" s="148"/>
    </row>
    <row r="621">
      <c r="A621" s="161"/>
      <c r="B621" s="146" t="str">
        <f>IF(A621&lt;&gt;"", SUMIF(Bets!$D:$D, A621, Bets!Z:Z), "")</f>
        <v/>
      </c>
      <c r="C621" s="162"/>
      <c r="D621" s="148"/>
      <c r="E621" s="161"/>
      <c r="F621" s="146" t="str">
        <f>IF(E621&lt;&gt;"", SUMIF(Bets!$D:$D, E621, Bets!AB:AB), "")</f>
        <v/>
      </c>
      <c r="G621" s="162"/>
      <c r="H621" s="148"/>
      <c r="I621" s="161"/>
      <c r="J621" s="146" t="str">
        <f>IF(I621&lt;&gt;"", SUMIF(Bets!$D:$D, I621, Bets!AA:AA), "")</f>
        <v/>
      </c>
      <c r="K621" s="162"/>
      <c r="L621" s="148"/>
      <c r="M621" s="161"/>
      <c r="N621" s="146"/>
      <c r="O621" s="162"/>
      <c r="P621" s="148"/>
      <c r="Q621" s="161"/>
      <c r="R621" s="146" t="str">
        <f>IF(Q621&lt;&gt;"", SUMIF(Bets!$D:$D, Q621, Bets!AD:AD), "")</f>
        <v/>
      </c>
      <c r="S621" s="162"/>
      <c r="T621" s="148"/>
      <c r="U621" s="161"/>
      <c r="V621" s="146" t="str">
        <f>IF(U621&lt;&gt;"", SUMIF(Bets!$D:$D, U621, Bets!AE:AE), "")</f>
        <v/>
      </c>
      <c r="W621" s="162"/>
      <c r="X621" s="148"/>
      <c r="Y621" s="161"/>
      <c r="Z621" s="146" t="str">
        <f>IF(Y621&lt;&gt;"", SUMIF(Bets!$D:$D, Y621, Bets!AF:AF), "")</f>
        <v/>
      </c>
      <c r="AA621" s="162"/>
      <c r="AB621" s="148"/>
      <c r="AC621" s="161"/>
      <c r="AD621" s="146" t="str">
        <f>IF(AC621&lt;&gt;"", SUMIF(Bets!$D:$D, AC621, Bets!AG:AG), "")</f>
        <v/>
      </c>
      <c r="AE621" s="162"/>
      <c r="AF621" s="148"/>
    </row>
    <row r="622">
      <c r="A622" s="161"/>
      <c r="B622" s="146" t="str">
        <f>IF(A622&lt;&gt;"", SUMIF(Bets!$D:$D, A622, Bets!Z:Z), "")</f>
        <v/>
      </c>
      <c r="C622" s="162"/>
      <c r="D622" s="148"/>
      <c r="E622" s="161"/>
      <c r="F622" s="146" t="str">
        <f>IF(E622&lt;&gt;"", SUMIF(Bets!$D:$D, E622, Bets!AB:AB), "")</f>
        <v/>
      </c>
      <c r="G622" s="162"/>
      <c r="H622" s="148"/>
      <c r="I622" s="161"/>
      <c r="J622" s="146" t="str">
        <f>IF(I622&lt;&gt;"", SUMIF(Bets!$D:$D, I622, Bets!AA:AA), "")</f>
        <v/>
      </c>
      <c r="K622" s="162"/>
      <c r="L622" s="148"/>
      <c r="M622" s="161"/>
      <c r="N622" s="146"/>
      <c r="O622" s="162"/>
      <c r="P622" s="148"/>
      <c r="Q622" s="161"/>
      <c r="R622" s="146" t="str">
        <f>IF(Q622&lt;&gt;"", SUMIF(Bets!$D:$D, Q622, Bets!AD:AD), "")</f>
        <v/>
      </c>
      <c r="S622" s="162"/>
      <c r="T622" s="148"/>
      <c r="U622" s="161"/>
      <c r="V622" s="146" t="str">
        <f>IF(U622&lt;&gt;"", SUMIF(Bets!$D:$D, U622, Bets!AE:AE), "")</f>
        <v/>
      </c>
      <c r="W622" s="162"/>
      <c r="X622" s="148"/>
      <c r="Y622" s="161"/>
      <c r="Z622" s="146" t="str">
        <f>IF(Y622&lt;&gt;"", SUMIF(Bets!$D:$D, Y622, Bets!AF:AF), "")</f>
        <v/>
      </c>
      <c r="AA622" s="162"/>
      <c r="AB622" s="148"/>
      <c r="AC622" s="161"/>
      <c r="AD622" s="146" t="str">
        <f>IF(AC622&lt;&gt;"", SUMIF(Bets!$D:$D, AC622, Bets!AG:AG), "")</f>
        <v/>
      </c>
      <c r="AE622" s="162"/>
      <c r="AF622" s="148"/>
    </row>
    <row r="623">
      <c r="A623" s="161"/>
      <c r="B623" s="146" t="str">
        <f>IF(A623&lt;&gt;"", SUMIF(Bets!$D:$D, A623, Bets!Z:Z), "")</f>
        <v/>
      </c>
      <c r="C623" s="162"/>
      <c r="D623" s="148"/>
      <c r="E623" s="161"/>
      <c r="F623" s="146" t="str">
        <f>IF(E623&lt;&gt;"", SUMIF(Bets!$D:$D, E623, Bets!AB:AB), "")</f>
        <v/>
      </c>
      <c r="G623" s="162"/>
      <c r="H623" s="148"/>
      <c r="I623" s="161"/>
      <c r="J623" s="146" t="str">
        <f>IF(I623&lt;&gt;"", SUMIF(Bets!$D:$D, I623, Bets!AA:AA), "")</f>
        <v/>
      </c>
      <c r="K623" s="162"/>
      <c r="L623" s="148"/>
      <c r="M623" s="161"/>
      <c r="N623" s="146"/>
      <c r="O623" s="162"/>
      <c r="P623" s="148"/>
      <c r="Q623" s="161"/>
      <c r="R623" s="146" t="str">
        <f>IF(Q623&lt;&gt;"", SUMIF(Bets!$D:$D, Q623, Bets!AD:AD), "")</f>
        <v/>
      </c>
      <c r="S623" s="162"/>
      <c r="T623" s="148"/>
      <c r="U623" s="161"/>
      <c r="V623" s="146" t="str">
        <f>IF(U623&lt;&gt;"", SUMIF(Bets!$D:$D, U623, Bets!AE:AE), "")</f>
        <v/>
      </c>
      <c r="W623" s="162"/>
      <c r="X623" s="148"/>
      <c r="Y623" s="161"/>
      <c r="Z623" s="146" t="str">
        <f>IF(Y623&lt;&gt;"", SUMIF(Bets!$D:$D, Y623, Bets!AF:AF), "")</f>
        <v/>
      </c>
      <c r="AA623" s="162"/>
      <c r="AB623" s="148"/>
      <c r="AC623" s="161"/>
      <c r="AD623" s="146" t="str">
        <f>IF(AC623&lt;&gt;"", SUMIF(Bets!$D:$D, AC623, Bets!AG:AG), "")</f>
        <v/>
      </c>
      <c r="AE623" s="162"/>
      <c r="AF623" s="148"/>
    </row>
    <row r="624">
      <c r="A624" s="161"/>
      <c r="B624" s="146" t="str">
        <f>IF(A624&lt;&gt;"", SUMIF(Bets!$D:$D, A624, Bets!Z:Z), "")</f>
        <v/>
      </c>
      <c r="C624" s="162"/>
      <c r="D624" s="148"/>
      <c r="E624" s="161"/>
      <c r="F624" s="146" t="str">
        <f>IF(E624&lt;&gt;"", SUMIF(Bets!$D:$D, E624, Bets!AB:AB), "")</f>
        <v/>
      </c>
      <c r="G624" s="162"/>
      <c r="H624" s="148"/>
      <c r="I624" s="161"/>
      <c r="J624" s="146" t="str">
        <f>IF(I624&lt;&gt;"", SUMIF(Bets!$D:$D, I624, Bets!AA:AA), "")</f>
        <v/>
      </c>
      <c r="K624" s="162"/>
      <c r="L624" s="148"/>
      <c r="M624" s="161"/>
      <c r="N624" s="146"/>
      <c r="O624" s="162"/>
      <c r="P624" s="148"/>
      <c r="Q624" s="161"/>
      <c r="R624" s="146" t="str">
        <f>IF(Q624&lt;&gt;"", SUMIF(Bets!$D:$D, Q624, Bets!AD:AD), "")</f>
        <v/>
      </c>
      <c r="S624" s="162"/>
      <c r="T624" s="148"/>
      <c r="U624" s="161"/>
      <c r="V624" s="146" t="str">
        <f>IF(U624&lt;&gt;"", SUMIF(Bets!$D:$D, U624, Bets!AE:AE), "")</f>
        <v/>
      </c>
      <c r="W624" s="162"/>
      <c r="X624" s="148"/>
      <c r="Y624" s="161"/>
      <c r="Z624" s="146" t="str">
        <f>IF(Y624&lt;&gt;"", SUMIF(Bets!$D:$D, Y624, Bets!AF:AF), "")</f>
        <v/>
      </c>
      <c r="AA624" s="162"/>
      <c r="AB624" s="148"/>
      <c r="AC624" s="161"/>
      <c r="AD624" s="146" t="str">
        <f>IF(AC624&lt;&gt;"", SUMIF(Bets!$D:$D, AC624, Bets!AG:AG), "")</f>
        <v/>
      </c>
      <c r="AE624" s="162"/>
      <c r="AF624" s="148"/>
    </row>
    <row r="625">
      <c r="A625" s="161"/>
      <c r="B625" s="146" t="str">
        <f>IF(A625&lt;&gt;"", SUMIF(Bets!$D:$D, A625, Bets!Z:Z), "")</f>
        <v/>
      </c>
      <c r="C625" s="162"/>
      <c r="D625" s="148"/>
      <c r="E625" s="161"/>
      <c r="F625" s="146" t="str">
        <f>IF(E625&lt;&gt;"", SUMIF(Bets!$D:$D, E625, Bets!AB:AB), "")</f>
        <v/>
      </c>
      <c r="G625" s="162"/>
      <c r="H625" s="148"/>
      <c r="I625" s="161"/>
      <c r="J625" s="146" t="str">
        <f>IF(I625&lt;&gt;"", SUMIF(Bets!$D:$D, I625, Bets!AA:AA), "")</f>
        <v/>
      </c>
      <c r="K625" s="162"/>
      <c r="L625" s="148"/>
      <c r="M625" s="161"/>
      <c r="N625" s="146"/>
      <c r="O625" s="162"/>
      <c r="P625" s="148"/>
      <c r="Q625" s="161"/>
      <c r="R625" s="146" t="str">
        <f>IF(Q625&lt;&gt;"", SUMIF(Bets!$D:$D, Q625, Bets!AD:AD), "")</f>
        <v/>
      </c>
      <c r="S625" s="162"/>
      <c r="T625" s="148"/>
      <c r="U625" s="161"/>
      <c r="V625" s="146" t="str">
        <f>IF(U625&lt;&gt;"", SUMIF(Bets!$D:$D, U625, Bets!AE:AE), "")</f>
        <v/>
      </c>
      <c r="W625" s="162"/>
      <c r="X625" s="148"/>
      <c r="Y625" s="161"/>
      <c r="Z625" s="146" t="str">
        <f>IF(Y625&lt;&gt;"", SUMIF(Bets!$D:$D, Y625, Bets!AF:AF), "")</f>
        <v/>
      </c>
      <c r="AA625" s="162"/>
      <c r="AB625" s="148"/>
      <c r="AC625" s="161"/>
      <c r="AD625" s="146" t="str">
        <f>IF(AC625&lt;&gt;"", SUMIF(Bets!$D:$D, AC625, Bets!AG:AG), "")</f>
        <v/>
      </c>
      <c r="AE625" s="162"/>
      <c r="AF625" s="148"/>
    </row>
    <row r="626">
      <c r="A626" s="161"/>
      <c r="B626" s="146" t="str">
        <f>IF(A626&lt;&gt;"", SUMIF(Bets!$D:$D, A626, Bets!Z:Z), "")</f>
        <v/>
      </c>
      <c r="C626" s="162"/>
      <c r="D626" s="148"/>
      <c r="E626" s="161"/>
      <c r="F626" s="146" t="str">
        <f>IF(E626&lt;&gt;"", SUMIF(Bets!$D:$D, E626, Bets!AB:AB), "")</f>
        <v/>
      </c>
      <c r="G626" s="162"/>
      <c r="H626" s="148"/>
      <c r="I626" s="161"/>
      <c r="J626" s="146" t="str">
        <f>IF(I626&lt;&gt;"", SUMIF(Bets!$D:$D, I626, Bets!AA:AA), "")</f>
        <v/>
      </c>
      <c r="K626" s="162"/>
      <c r="L626" s="148"/>
      <c r="M626" s="161"/>
      <c r="N626" s="146"/>
      <c r="O626" s="162"/>
      <c r="P626" s="148"/>
      <c r="Q626" s="161"/>
      <c r="R626" s="146" t="str">
        <f>IF(Q626&lt;&gt;"", SUMIF(Bets!$D:$D, Q626, Bets!AD:AD), "")</f>
        <v/>
      </c>
      <c r="S626" s="162"/>
      <c r="T626" s="148"/>
      <c r="U626" s="161"/>
      <c r="V626" s="146" t="str">
        <f>IF(U626&lt;&gt;"", SUMIF(Bets!$D:$D, U626, Bets!AE:AE), "")</f>
        <v/>
      </c>
      <c r="W626" s="162"/>
      <c r="X626" s="148"/>
      <c r="Y626" s="161"/>
      <c r="Z626" s="146" t="str">
        <f>IF(Y626&lt;&gt;"", SUMIF(Bets!$D:$D, Y626, Bets!AF:AF), "")</f>
        <v/>
      </c>
      <c r="AA626" s="162"/>
      <c r="AB626" s="148"/>
      <c r="AC626" s="161"/>
      <c r="AD626" s="146" t="str">
        <f>IF(AC626&lt;&gt;"", SUMIF(Bets!$D:$D, AC626, Bets!AG:AG), "")</f>
        <v/>
      </c>
      <c r="AE626" s="162"/>
      <c r="AF626" s="148"/>
    </row>
    <row r="627">
      <c r="A627" s="161"/>
      <c r="B627" s="146" t="str">
        <f>IF(A627&lt;&gt;"", SUMIF(Bets!$D:$D, A627, Bets!Z:Z), "")</f>
        <v/>
      </c>
      <c r="C627" s="162"/>
      <c r="D627" s="148"/>
      <c r="E627" s="161"/>
      <c r="F627" s="146" t="str">
        <f>IF(E627&lt;&gt;"", SUMIF(Bets!$D:$D, E627, Bets!AB:AB), "")</f>
        <v/>
      </c>
      <c r="G627" s="162"/>
      <c r="H627" s="148"/>
      <c r="I627" s="161"/>
      <c r="J627" s="146" t="str">
        <f>IF(I627&lt;&gt;"", SUMIF(Bets!$D:$D, I627, Bets!AA:AA), "")</f>
        <v/>
      </c>
      <c r="K627" s="162"/>
      <c r="L627" s="148"/>
      <c r="M627" s="161"/>
      <c r="N627" s="146"/>
      <c r="O627" s="162"/>
      <c r="P627" s="148"/>
      <c r="Q627" s="161"/>
      <c r="R627" s="146" t="str">
        <f>IF(Q627&lt;&gt;"", SUMIF(Bets!$D:$D, Q627, Bets!AD:AD), "")</f>
        <v/>
      </c>
      <c r="S627" s="162"/>
      <c r="T627" s="148"/>
      <c r="U627" s="161"/>
      <c r="V627" s="146" t="str">
        <f>IF(U627&lt;&gt;"", SUMIF(Bets!$D:$D, U627, Bets!AE:AE), "")</f>
        <v/>
      </c>
      <c r="W627" s="162"/>
      <c r="X627" s="148"/>
      <c r="Y627" s="161"/>
      <c r="Z627" s="146" t="str">
        <f>IF(Y627&lt;&gt;"", SUMIF(Bets!$D:$D, Y627, Bets!AF:AF), "")</f>
        <v/>
      </c>
      <c r="AA627" s="162"/>
      <c r="AB627" s="148"/>
      <c r="AC627" s="161"/>
      <c r="AD627" s="146" t="str">
        <f>IF(AC627&lt;&gt;"", SUMIF(Bets!$D:$D, AC627, Bets!AG:AG), "")</f>
        <v/>
      </c>
      <c r="AE627" s="162"/>
      <c r="AF627" s="148"/>
    </row>
    <row r="628">
      <c r="A628" s="161"/>
      <c r="B628" s="146" t="str">
        <f>IF(A628&lt;&gt;"", SUMIF(Bets!$D:$D, A628, Bets!Z:Z), "")</f>
        <v/>
      </c>
      <c r="C628" s="162"/>
      <c r="D628" s="148"/>
      <c r="E628" s="161"/>
      <c r="F628" s="146" t="str">
        <f>IF(E628&lt;&gt;"", SUMIF(Bets!$D:$D, E628, Bets!AB:AB), "")</f>
        <v/>
      </c>
      <c r="G628" s="162"/>
      <c r="H628" s="148"/>
      <c r="I628" s="161"/>
      <c r="J628" s="146" t="str">
        <f>IF(I628&lt;&gt;"", SUMIF(Bets!$D:$D, I628, Bets!AA:AA), "")</f>
        <v/>
      </c>
      <c r="K628" s="162"/>
      <c r="L628" s="148"/>
      <c r="M628" s="161"/>
      <c r="N628" s="146"/>
      <c r="O628" s="162"/>
      <c r="P628" s="148"/>
      <c r="Q628" s="161"/>
      <c r="R628" s="146" t="str">
        <f>IF(Q628&lt;&gt;"", SUMIF(Bets!$D:$D, Q628, Bets!AD:AD), "")</f>
        <v/>
      </c>
      <c r="S628" s="162"/>
      <c r="T628" s="148"/>
      <c r="U628" s="161"/>
      <c r="V628" s="146" t="str">
        <f>IF(U628&lt;&gt;"", SUMIF(Bets!$D:$D, U628, Bets!AE:AE), "")</f>
        <v/>
      </c>
      <c r="W628" s="162"/>
      <c r="X628" s="148"/>
      <c r="Y628" s="161"/>
      <c r="Z628" s="146" t="str">
        <f>IF(Y628&lt;&gt;"", SUMIF(Bets!$D:$D, Y628, Bets!AF:AF), "")</f>
        <v/>
      </c>
      <c r="AA628" s="162"/>
      <c r="AB628" s="148"/>
      <c r="AC628" s="161"/>
      <c r="AD628" s="146" t="str">
        <f>IF(AC628&lt;&gt;"", SUMIF(Bets!$D:$D, AC628, Bets!AG:AG), "")</f>
        <v/>
      </c>
      <c r="AE628" s="162"/>
      <c r="AF628" s="148"/>
    </row>
    <row r="629">
      <c r="A629" s="161"/>
      <c r="B629" s="146" t="str">
        <f>IF(A629&lt;&gt;"", SUMIF(Bets!$D:$D, A629, Bets!Z:Z), "")</f>
        <v/>
      </c>
      <c r="C629" s="162"/>
      <c r="D629" s="148"/>
      <c r="E629" s="161"/>
      <c r="F629" s="146" t="str">
        <f>IF(E629&lt;&gt;"", SUMIF(Bets!$D:$D, E629, Bets!AB:AB), "")</f>
        <v/>
      </c>
      <c r="G629" s="162"/>
      <c r="H629" s="148"/>
      <c r="I629" s="161"/>
      <c r="J629" s="146" t="str">
        <f>IF(I629&lt;&gt;"", SUMIF(Bets!$D:$D, I629, Bets!AA:AA), "")</f>
        <v/>
      </c>
      <c r="K629" s="162"/>
      <c r="L629" s="148"/>
      <c r="M629" s="161"/>
      <c r="N629" s="146"/>
      <c r="O629" s="162"/>
      <c r="P629" s="148"/>
      <c r="Q629" s="161"/>
      <c r="R629" s="146" t="str">
        <f>IF(Q629&lt;&gt;"", SUMIF(Bets!$D:$D, Q629, Bets!AD:AD), "")</f>
        <v/>
      </c>
      <c r="S629" s="162"/>
      <c r="T629" s="148"/>
      <c r="U629" s="161"/>
      <c r="V629" s="146" t="str">
        <f>IF(U629&lt;&gt;"", SUMIF(Bets!$D:$D, U629, Bets!AE:AE), "")</f>
        <v/>
      </c>
      <c r="W629" s="162"/>
      <c r="X629" s="148"/>
      <c r="Y629" s="161"/>
      <c r="Z629" s="146" t="str">
        <f>IF(Y629&lt;&gt;"", SUMIF(Bets!$D:$D, Y629, Bets!AF:AF), "")</f>
        <v/>
      </c>
      <c r="AA629" s="162"/>
      <c r="AB629" s="148"/>
      <c r="AC629" s="161"/>
      <c r="AD629" s="146" t="str">
        <f>IF(AC629&lt;&gt;"", SUMIF(Bets!$D:$D, AC629, Bets!AG:AG), "")</f>
        <v/>
      </c>
      <c r="AE629" s="162"/>
      <c r="AF629" s="148"/>
    </row>
    <row r="630">
      <c r="A630" s="161"/>
      <c r="B630" s="146" t="str">
        <f>IF(A630&lt;&gt;"", SUMIF(Bets!$D:$D, A630, Bets!Z:Z), "")</f>
        <v/>
      </c>
      <c r="C630" s="162"/>
      <c r="D630" s="148"/>
      <c r="E630" s="161"/>
      <c r="F630" s="146" t="str">
        <f>IF(E630&lt;&gt;"", SUMIF(Bets!$D:$D, E630, Bets!AB:AB), "")</f>
        <v/>
      </c>
      <c r="G630" s="162"/>
      <c r="H630" s="148"/>
      <c r="I630" s="161"/>
      <c r="J630" s="146" t="str">
        <f>IF(I630&lt;&gt;"", SUMIF(Bets!$D:$D, I630, Bets!AA:AA), "")</f>
        <v/>
      </c>
      <c r="K630" s="162"/>
      <c r="L630" s="148"/>
      <c r="M630" s="161"/>
      <c r="N630" s="146"/>
      <c r="O630" s="162"/>
      <c r="P630" s="148"/>
      <c r="Q630" s="161"/>
      <c r="R630" s="146" t="str">
        <f>IF(Q630&lt;&gt;"", SUMIF(Bets!$D:$D, Q630, Bets!AD:AD), "")</f>
        <v/>
      </c>
      <c r="S630" s="162"/>
      <c r="T630" s="148"/>
      <c r="U630" s="161"/>
      <c r="V630" s="146" t="str">
        <f>IF(U630&lt;&gt;"", SUMIF(Bets!$D:$D, U630, Bets!AE:AE), "")</f>
        <v/>
      </c>
      <c r="W630" s="162"/>
      <c r="X630" s="148"/>
      <c r="Y630" s="161"/>
      <c r="Z630" s="146" t="str">
        <f>IF(Y630&lt;&gt;"", SUMIF(Bets!$D:$D, Y630, Bets!AF:AF), "")</f>
        <v/>
      </c>
      <c r="AA630" s="162"/>
      <c r="AB630" s="148"/>
      <c r="AC630" s="161"/>
      <c r="AD630" s="146" t="str">
        <f>IF(AC630&lt;&gt;"", SUMIF(Bets!$D:$D, AC630, Bets!AG:AG), "")</f>
        <v/>
      </c>
      <c r="AE630" s="162"/>
      <c r="AF630" s="148"/>
    </row>
    <row r="631">
      <c r="A631" s="161"/>
      <c r="B631" s="146" t="str">
        <f>IF(A631&lt;&gt;"", SUMIF(Bets!$D:$D, A631, Bets!Z:Z), "")</f>
        <v/>
      </c>
      <c r="C631" s="162"/>
      <c r="D631" s="148"/>
      <c r="E631" s="161"/>
      <c r="F631" s="146" t="str">
        <f>IF(E631&lt;&gt;"", SUMIF(Bets!$D:$D, E631, Bets!AB:AB), "")</f>
        <v/>
      </c>
      <c r="G631" s="162"/>
      <c r="H631" s="148"/>
      <c r="I631" s="161"/>
      <c r="J631" s="146" t="str">
        <f>IF(I631&lt;&gt;"", SUMIF(Bets!$D:$D, I631, Bets!AA:AA), "")</f>
        <v/>
      </c>
      <c r="K631" s="162"/>
      <c r="L631" s="148"/>
      <c r="M631" s="161"/>
      <c r="N631" s="146"/>
      <c r="O631" s="162"/>
      <c r="P631" s="148"/>
      <c r="Q631" s="161"/>
      <c r="R631" s="146" t="str">
        <f>IF(Q631&lt;&gt;"", SUMIF(Bets!$D:$D, Q631, Bets!AD:AD), "")</f>
        <v/>
      </c>
      <c r="S631" s="162"/>
      <c r="T631" s="148"/>
      <c r="U631" s="161"/>
      <c r="V631" s="146" t="str">
        <f>IF(U631&lt;&gt;"", SUMIF(Bets!$D:$D, U631, Bets!AE:AE), "")</f>
        <v/>
      </c>
      <c r="W631" s="162"/>
      <c r="X631" s="148"/>
      <c r="Y631" s="161"/>
      <c r="Z631" s="146" t="str">
        <f>IF(Y631&lt;&gt;"", SUMIF(Bets!$D:$D, Y631, Bets!AF:AF), "")</f>
        <v/>
      </c>
      <c r="AA631" s="162"/>
      <c r="AB631" s="148"/>
      <c r="AC631" s="161"/>
      <c r="AD631" s="146" t="str">
        <f>IF(AC631&lt;&gt;"", SUMIF(Bets!$D:$D, AC631, Bets!AG:AG), "")</f>
        <v/>
      </c>
      <c r="AE631" s="162"/>
      <c r="AF631" s="148"/>
    </row>
    <row r="632">
      <c r="A632" s="161"/>
      <c r="B632" s="146" t="str">
        <f>IF(A632&lt;&gt;"", SUMIF(Bets!$D:$D, A632, Bets!Z:Z), "")</f>
        <v/>
      </c>
      <c r="C632" s="162"/>
      <c r="D632" s="148"/>
      <c r="E632" s="161"/>
      <c r="F632" s="146" t="str">
        <f>IF(E632&lt;&gt;"", SUMIF(Bets!$D:$D, E632, Bets!AB:AB), "")</f>
        <v/>
      </c>
      <c r="G632" s="162"/>
      <c r="H632" s="148"/>
      <c r="I632" s="161"/>
      <c r="J632" s="146" t="str">
        <f>IF(I632&lt;&gt;"", SUMIF(Bets!$D:$D, I632, Bets!AA:AA), "")</f>
        <v/>
      </c>
      <c r="K632" s="162"/>
      <c r="L632" s="148"/>
      <c r="M632" s="161"/>
      <c r="N632" s="146"/>
      <c r="O632" s="162"/>
      <c r="P632" s="148"/>
      <c r="Q632" s="161"/>
      <c r="R632" s="146" t="str">
        <f>IF(Q632&lt;&gt;"", SUMIF(Bets!$D:$D, Q632, Bets!AD:AD), "")</f>
        <v/>
      </c>
      <c r="S632" s="162"/>
      <c r="T632" s="148"/>
      <c r="U632" s="161"/>
      <c r="V632" s="146" t="str">
        <f>IF(U632&lt;&gt;"", SUMIF(Bets!$D:$D, U632, Bets!AE:AE), "")</f>
        <v/>
      </c>
      <c r="W632" s="162"/>
      <c r="X632" s="148"/>
      <c r="Y632" s="161"/>
      <c r="Z632" s="146" t="str">
        <f>IF(Y632&lt;&gt;"", SUMIF(Bets!$D:$D, Y632, Bets!AF:AF), "")</f>
        <v/>
      </c>
      <c r="AA632" s="162"/>
      <c r="AB632" s="148"/>
      <c r="AC632" s="161"/>
      <c r="AD632" s="146" t="str">
        <f>IF(AC632&lt;&gt;"", SUMIF(Bets!$D:$D, AC632, Bets!AG:AG), "")</f>
        <v/>
      </c>
      <c r="AE632" s="162"/>
      <c r="AF632" s="148"/>
    </row>
    <row r="633">
      <c r="A633" s="161"/>
      <c r="B633" s="146" t="str">
        <f>IF(A633&lt;&gt;"", SUMIF(Bets!$D:$D, A633, Bets!Z:Z), "")</f>
        <v/>
      </c>
      <c r="C633" s="162"/>
      <c r="D633" s="148"/>
      <c r="E633" s="161"/>
      <c r="F633" s="146" t="str">
        <f>IF(E633&lt;&gt;"", SUMIF(Bets!$D:$D, E633, Bets!AB:AB), "")</f>
        <v/>
      </c>
      <c r="G633" s="162"/>
      <c r="H633" s="148"/>
      <c r="I633" s="161"/>
      <c r="J633" s="146" t="str">
        <f>IF(I633&lt;&gt;"", SUMIF(Bets!$D:$D, I633, Bets!AA:AA), "")</f>
        <v/>
      </c>
      <c r="K633" s="162"/>
      <c r="L633" s="148"/>
      <c r="M633" s="161"/>
      <c r="N633" s="146"/>
      <c r="O633" s="162"/>
      <c r="P633" s="148"/>
      <c r="Q633" s="161"/>
      <c r="R633" s="146" t="str">
        <f>IF(Q633&lt;&gt;"", SUMIF(Bets!$D:$D, Q633, Bets!AD:AD), "")</f>
        <v/>
      </c>
      <c r="S633" s="162"/>
      <c r="T633" s="148"/>
      <c r="U633" s="161"/>
      <c r="V633" s="146" t="str">
        <f>IF(U633&lt;&gt;"", SUMIF(Bets!$D:$D, U633, Bets!AE:AE), "")</f>
        <v/>
      </c>
      <c r="W633" s="162"/>
      <c r="X633" s="148"/>
      <c r="Y633" s="161"/>
      <c r="Z633" s="146" t="str">
        <f>IF(Y633&lt;&gt;"", SUMIF(Bets!$D:$D, Y633, Bets!AF:AF), "")</f>
        <v/>
      </c>
      <c r="AA633" s="162"/>
      <c r="AB633" s="148"/>
      <c r="AC633" s="161"/>
      <c r="AD633" s="146" t="str">
        <f>IF(AC633&lt;&gt;"", SUMIF(Bets!$D:$D, AC633, Bets!AG:AG), "")</f>
        <v/>
      </c>
      <c r="AE633" s="162"/>
      <c r="AF633" s="148"/>
    </row>
    <row r="634">
      <c r="A634" s="161"/>
      <c r="B634" s="146" t="str">
        <f>IF(A634&lt;&gt;"", SUMIF(Bets!$D:$D, A634, Bets!Z:Z), "")</f>
        <v/>
      </c>
      <c r="C634" s="162"/>
      <c r="D634" s="148"/>
      <c r="E634" s="161"/>
      <c r="F634" s="146" t="str">
        <f>IF(E634&lt;&gt;"", SUMIF(Bets!$D:$D, E634, Bets!AB:AB), "")</f>
        <v/>
      </c>
      <c r="G634" s="162"/>
      <c r="H634" s="148"/>
      <c r="I634" s="161"/>
      <c r="J634" s="146" t="str">
        <f>IF(I634&lt;&gt;"", SUMIF(Bets!$D:$D, I634, Bets!AA:AA), "")</f>
        <v/>
      </c>
      <c r="K634" s="162"/>
      <c r="L634" s="148"/>
      <c r="M634" s="161"/>
      <c r="N634" s="146"/>
      <c r="O634" s="162"/>
      <c r="P634" s="148"/>
      <c r="Q634" s="161"/>
      <c r="R634" s="146" t="str">
        <f>IF(Q634&lt;&gt;"", SUMIF(Bets!$D:$D, Q634, Bets!AD:AD), "")</f>
        <v/>
      </c>
      <c r="S634" s="162"/>
      <c r="T634" s="148"/>
      <c r="U634" s="161"/>
      <c r="V634" s="146" t="str">
        <f>IF(U634&lt;&gt;"", SUMIF(Bets!$D:$D, U634, Bets!AE:AE), "")</f>
        <v/>
      </c>
      <c r="W634" s="162"/>
      <c r="X634" s="148"/>
      <c r="Y634" s="161"/>
      <c r="Z634" s="146" t="str">
        <f>IF(Y634&lt;&gt;"", SUMIF(Bets!$D:$D, Y634, Bets!AF:AF), "")</f>
        <v/>
      </c>
      <c r="AA634" s="162"/>
      <c r="AB634" s="148"/>
      <c r="AC634" s="161"/>
      <c r="AD634" s="146" t="str">
        <f>IF(AC634&lt;&gt;"", SUMIF(Bets!$D:$D, AC634, Bets!AG:AG), "")</f>
        <v/>
      </c>
      <c r="AE634" s="162"/>
      <c r="AF634" s="148"/>
    </row>
    <row r="635">
      <c r="A635" s="161"/>
      <c r="B635" s="146" t="str">
        <f>IF(A635&lt;&gt;"", SUMIF(Bets!$D:$D, A635, Bets!Z:Z), "")</f>
        <v/>
      </c>
      <c r="C635" s="162"/>
      <c r="D635" s="148"/>
      <c r="E635" s="161"/>
      <c r="F635" s="146" t="str">
        <f>IF(E635&lt;&gt;"", SUMIF(Bets!$D:$D, E635, Bets!AB:AB), "")</f>
        <v/>
      </c>
      <c r="G635" s="162"/>
      <c r="H635" s="148"/>
      <c r="I635" s="161"/>
      <c r="J635" s="146" t="str">
        <f>IF(I635&lt;&gt;"", SUMIF(Bets!$D:$D, I635, Bets!AA:AA), "")</f>
        <v/>
      </c>
      <c r="K635" s="162"/>
      <c r="L635" s="148"/>
      <c r="M635" s="161"/>
      <c r="N635" s="146"/>
      <c r="O635" s="162"/>
      <c r="P635" s="148"/>
      <c r="Q635" s="161"/>
      <c r="R635" s="146" t="str">
        <f>IF(Q635&lt;&gt;"", SUMIF(Bets!$D:$D, Q635, Bets!AD:AD), "")</f>
        <v/>
      </c>
      <c r="S635" s="162"/>
      <c r="T635" s="148"/>
      <c r="U635" s="161"/>
      <c r="V635" s="146" t="str">
        <f>IF(U635&lt;&gt;"", SUMIF(Bets!$D:$D, U635, Bets!AE:AE), "")</f>
        <v/>
      </c>
      <c r="W635" s="162"/>
      <c r="X635" s="148"/>
      <c r="Y635" s="161"/>
      <c r="Z635" s="146" t="str">
        <f>IF(Y635&lt;&gt;"", SUMIF(Bets!$D:$D, Y635, Bets!AF:AF), "")</f>
        <v/>
      </c>
      <c r="AA635" s="162"/>
      <c r="AB635" s="148"/>
      <c r="AC635" s="161"/>
      <c r="AD635" s="146" t="str">
        <f>IF(AC635&lt;&gt;"", SUMIF(Bets!$D:$D, AC635, Bets!AG:AG), "")</f>
        <v/>
      </c>
      <c r="AE635" s="162"/>
      <c r="AF635" s="148"/>
    </row>
    <row r="636">
      <c r="A636" s="161"/>
      <c r="B636" s="146" t="str">
        <f>IF(A636&lt;&gt;"", SUMIF(Bets!$D:$D, A636, Bets!Z:Z), "")</f>
        <v/>
      </c>
      <c r="C636" s="162"/>
      <c r="D636" s="148"/>
      <c r="E636" s="161"/>
      <c r="F636" s="146" t="str">
        <f>IF(E636&lt;&gt;"", SUMIF(Bets!$D:$D, E636, Bets!AB:AB), "")</f>
        <v/>
      </c>
      <c r="G636" s="162"/>
      <c r="H636" s="148"/>
      <c r="I636" s="161"/>
      <c r="J636" s="146" t="str">
        <f>IF(I636&lt;&gt;"", SUMIF(Bets!$D:$D, I636, Bets!AA:AA), "")</f>
        <v/>
      </c>
      <c r="K636" s="162"/>
      <c r="L636" s="148"/>
      <c r="M636" s="161"/>
      <c r="N636" s="146"/>
      <c r="O636" s="162"/>
      <c r="P636" s="148"/>
      <c r="Q636" s="161"/>
      <c r="R636" s="146" t="str">
        <f>IF(Q636&lt;&gt;"", SUMIF(Bets!$D:$D, Q636, Bets!AD:AD), "")</f>
        <v/>
      </c>
      <c r="S636" s="162"/>
      <c r="T636" s="148"/>
      <c r="U636" s="161"/>
      <c r="V636" s="146" t="str">
        <f>IF(U636&lt;&gt;"", SUMIF(Bets!$D:$D, U636, Bets!AE:AE), "")</f>
        <v/>
      </c>
      <c r="W636" s="162"/>
      <c r="X636" s="148"/>
      <c r="Y636" s="161"/>
      <c r="Z636" s="146" t="str">
        <f>IF(Y636&lt;&gt;"", SUMIF(Bets!$D:$D, Y636, Bets!AF:AF), "")</f>
        <v/>
      </c>
      <c r="AA636" s="162"/>
      <c r="AB636" s="148"/>
      <c r="AC636" s="161"/>
      <c r="AD636" s="146" t="str">
        <f>IF(AC636&lt;&gt;"", SUMIF(Bets!$D:$D, AC636, Bets!AG:AG), "")</f>
        <v/>
      </c>
      <c r="AE636" s="162"/>
      <c r="AF636" s="148"/>
    </row>
    <row r="637">
      <c r="A637" s="161"/>
      <c r="B637" s="146" t="str">
        <f>IF(A637&lt;&gt;"", SUMIF(Bets!$D:$D, A637, Bets!Z:Z), "")</f>
        <v/>
      </c>
      <c r="C637" s="162"/>
      <c r="D637" s="148"/>
      <c r="E637" s="161"/>
      <c r="F637" s="146" t="str">
        <f>IF(E637&lt;&gt;"", SUMIF(Bets!$D:$D, E637, Bets!AB:AB), "")</f>
        <v/>
      </c>
      <c r="G637" s="162"/>
      <c r="H637" s="148"/>
      <c r="I637" s="161"/>
      <c r="J637" s="146" t="str">
        <f>IF(I637&lt;&gt;"", SUMIF(Bets!$D:$D, I637, Bets!AA:AA), "")</f>
        <v/>
      </c>
      <c r="K637" s="162"/>
      <c r="L637" s="148"/>
      <c r="M637" s="161"/>
      <c r="N637" s="146"/>
      <c r="O637" s="162"/>
      <c r="P637" s="148"/>
      <c r="Q637" s="161"/>
      <c r="R637" s="146" t="str">
        <f>IF(Q637&lt;&gt;"", SUMIF(Bets!$D:$D, Q637, Bets!AD:AD), "")</f>
        <v/>
      </c>
      <c r="S637" s="162"/>
      <c r="T637" s="148"/>
      <c r="U637" s="161"/>
      <c r="V637" s="146" t="str">
        <f>IF(U637&lt;&gt;"", SUMIF(Bets!$D:$D, U637, Bets!AE:AE), "")</f>
        <v/>
      </c>
      <c r="W637" s="162"/>
      <c r="X637" s="148"/>
      <c r="Y637" s="161"/>
      <c r="Z637" s="146" t="str">
        <f>IF(Y637&lt;&gt;"", SUMIF(Bets!$D:$D, Y637, Bets!AF:AF), "")</f>
        <v/>
      </c>
      <c r="AA637" s="162"/>
      <c r="AB637" s="148"/>
      <c r="AC637" s="161"/>
      <c r="AD637" s="146" t="str">
        <f>IF(AC637&lt;&gt;"", SUMIF(Bets!$D:$D, AC637, Bets!AG:AG), "")</f>
        <v/>
      </c>
      <c r="AE637" s="162"/>
      <c r="AF637" s="148"/>
    </row>
    <row r="638">
      <c r="A638" s="161"/>
      <c r="B638" s="146" t="str">
        <f>IF(A638&lt;&gt;"", SUMIF(Bets!$D:$D, A638, Bets!Z:Z), "")</f>
        <v/>
      </c>
      <c r="C638" s="162"/>
      <c r="D638" s="148"/>
      <c r="E638" s="161"/>
      <c r="F638" s="146" t="str">
        <f>IF(E638&lt;&gt;"", SUMIF(Bets!$D:$D, E638, Bets!AB:AB), "")</f>
        <v/>
      </c>
      <c r="G638" s="162"/>
      <c r="H638" s="148"/>
      <c r="I638" s="161"/>
      <c r="J638" s="146" t="str">
        <f>IF(I638&lt;&gt;"", SUMIF(Bets!$D:$D, I638, Bets!AA:AA), "")</f>
        <v/>
      </c>
      <c r="K638" s="162"/>
      <c r="L638" s="148"/>
      <c r="M638" s="161"/>
      <c r="N638" s="146"/>
      <c r="O638" s="162"/>
      <c r="P638" s="148"/>
      <c r="Q638" s="161"/>
      <c r="R638" s="146" t="str">
        <f>IF(Q638&lt;&gt;"", SUMIF(Bets!$D:$D, Q638, Bets!AD:AD), "")</f>
        <v/>
      </c>
      <c r="S638" s="162"/>
      <c r="T638" s="148"/>
      <c r="U638" s="161"/>
      <c r="V638" s="146" t="str">
        <f>IF(U638&lt;&gt;"", SUMIF(Bets!$D:$D, U638, Bets!AE:AE), "")</f>
        <v/>
      </c>
      <c r="W638" s="162"/>
      <c r="X638" s="148"/>
      <c r="Y638" s="161"/>
      <c r="Z638" s="146" t="str">
        <f>IF(Y638&lt;&gt;"", SUMIF(Bets!$D:$D, Y638, Bets!AF:AF), "")</f>
        <v/>
      </c>
      <c r="AA638" s="162"/>
      <c r="AB638" s="148"/>
      <c r="AC638" s="161"/>
      <c r="AD638" s="146" t="str">
        <f>IF(AC638&lt;&gt;"", SUMIF(Bets!$D:$D, AC638, Bets!AG:AG), "")</f>
        <v/>
      </c>
      <c r="AE638" s="162"/>
      <c r="AF638" s="148"/>
    </row>
    <row r="639">
      <c r="A639" s="161"/>
      <c r="B639" s="146" t="str">
        <f>IF(A639&lt;&gt;"", SUMIF(Bets!$D:$D, A639, Bets!Z:Z), "")</f>
        <v/>
      </c>
      <c r="C639" s="162"/>
      <c r="D639" s="148"/>
      <c r="E639" s="161"/>
      <c r="F639" s="146" t="str">
        <f>IF(E639&lt;&gt;"", SUMIF(Bets!$D:$D, E639, Bets!AB:AB), "")</f>
        <v/>
      </c>
      <c r="G639" s="162"/>
      <c r="H639" s="148"/>
      <c r="I639" s="161"/>
      <c r="J639" s="146" t="str">
        <f>IF(I639&lt;&gt;"", SUMIF(Bets!$D:$D, I639, Bets!AA:AA), "")</f>
        <v/>
      </c>
      <c r="K639" s="162"/>
      <c r="L639" s="148"/>
      <c r="M639" s="161"/>
      <c r="N639" s="146"/>
      <c r="O639" s="162"/>
      <c r="P639" s="148"/>
      <c r="Q639" s="161"/>
      <c r="R639" s="146" t="str">
        <f>IF(Q639&lt;&gt;"", SUMIF(Bets!$D:$D, Q639, Bets!AD:AD), "")</f>
        <v/>
      </c>
      <c r="S639" s="162"/>
      <c r="T639" s="148"/>
      <c r="U639" s="161"/>
      <c r="V639" s="146" t="str">
        <f>IF(U639&lt;&gt;"", SUMIF(Bets!$D:$D, U639, Bets!AE:AE), "")</f>
        <v/>
      </c>
      <c r="W639" s="162"/>
      <c r="X639" s="148"/>
      <c r="Y639" s="161"/>
      <c r="Z639" s="146" t="str">
        <f>IF(Y639&lt;&gt;"", SUMIF(Bets!$D:$D, Y639, Bets!AF:AF), "")</f>
        <v/>
      </c>
      <c r="AA639" s="162"/>
      <c r="AB639" s="148"/>
      <c r="AC639" s="161"/>
      <c r="AD639" s="146" t="str">
        <f>IF(AC639&lt;&gt;"", SUMIF(Bets!$D:$D, AC639, Bets!AG:AG), "")</f>
        <v/>
      </c>
      <c r="AE639" s="162"/>
      <c r="AF639" s="148"/>
    </row>
    <row r="640">
      <c r="A640" s="161"/>
      <c r="B640" s="146" t="str">
        <f>IF(A640&lt;&gt;"", SUMIF(Bets!$D:$D, A640, Bets!Z:Z), "")</f>
        <v/>
      </c>
      <c r="C640" s="162"/>
      <c r="D640" s="148"/>
      <c r="E640" s="161"/>
      <c r="F640" s="146" t="str">
        <f>IF(E640&lt;&gt;"", SUMIF(Bets!$D:$D, E640, Bets!AB:AB), "")</f>
        <v/>
      </c>
      <c r="G640" s="162"/>
      <c r="H640" s="148"/>
      <c r="I640" s="161"/>
      <c r="J640" s="146" t="str">
        <f>IF(I640&lt;&gt;"", SUMIF(Bets!$D:$D, I640, Bets!AA:AA), "")</f>
        <v/>
      </c>
      <c r="K640" s="162"/>
      <c r="L640" s="148"/>
      <c r="M640" s="161"/>
      <c r="N640" s="146"/>
      <c r="O640" s="162"/>
      <c r="P640" s="148"/>
      <c r="Q640" s="161"/>
      <c r="R640" s="146" t="str">
        <f>IF(Q640&lt;&gt;"", SUMIF(Bets!$D:$D, Q640, Bets!AD:AD), "")</f>
        <v/>
      </c>
      <c r="S640" s="162"/>
      <c r="T640" s="148"/>
      <c r="U640" s="161"/>
      <c r="V640" s="146" t="str">
        <f>IF(U640&lt;&gt;"", SUMIF(Bets!$D:$D, U640, Bets!AE:AE), "")</f>
        <v/>
      </c>
      <c r="W640" s="162"/>
      <c r="X640" s="148"/>
      <c r="Y640" s="161"/>
      <c r="Z640" s="146" t="str">
        <f>IF(Y640&lt;&gt;"", SUMIF(Bets!$D:$D, Y640, Bets!AF:AF), "")</f>
        <v/>
      </c>
      <c r="AA640" s="162"/>
      <c r="AB640" s="148"/>
      <c r="AC640" s="161"/>
      <c r="AD640" s="146" t="str">
        <f>IF(AC640&lt;&gt;"", SUMIF(Bets!$D:$D, AC640, Bets!AG:AG), "")</f>
        <v/>
      </c>
      <c r="AE640" s="162"/>
      <c r="AF640" s="148"/>
    </row>
    <row r="641">
      <c r="A641" s="161"/>
      <c r="B641" s="146" t="str">
        <f>IF(A641&lt;&gt;"", SUMIF(Bets!$D:$D, A641, Bets!Z:Z), "")</f>
        <v/>
      </c>
      <c r="C641" s="162"/>
      <c r="D641" s="148"/>
      <c r="E641" s="161"/>
      <c r="F641" s="146" t="str">
        <f>IF(E641&lt;&gt;"", SUMIF(Bets!$D:$D, E641, Bets!AB:AB), "")</f>
        <v/>
      </c>
      <c r="G641" s="162"/>
      <c r="H641" s="148"/>
      <c r="I641" s="161"/>
      <c r="J641" s="146" t="str">
        <f>IF(I641&lt;&gt;"", SUMIF(Bets!$D:$D, I641, Bets!AA:AA), "")</f>
        <v/>
      </c>
      <c r="K641" s="162"/>
      <c r="L641" s="148"/>
      <c r="M641" s="161"/>
      <c r="N641" s="146"/>
      <c r="O641" s="162"/>
      <c r="P641" s="148"/>
      <c r="Q641" s="161"/>
      <c r="R641" s="146" t="str">
        <f>IF(Q641&lt;&gt;"", SUMIF(Bets!$D:$D, Q641, Bets!AD:AD), "")</f>
        <v/>
      </c>
      <c r="S641" s="162"/>
      <c r="T641" s="148"/>
      <c r="U641" s="161"/>
      <c r="V641" s="146" t="str">
        <f>IF(U641&lt;&gt;"", SUMIF(Bets!$D:$D, U641, Bets!AE:AE), "")</f>
        <v/>
      </c>
      <c r="W641" s="162"/>
      <c r="X641" s="148"/>
      <c r="Y641" s="161"/>
      <c r="Z641" s="146" t="str">
        <f>IF(Y641&lt;&gt;"", SUMIF(Bets!$D:$D, Y641, Bets!AF:AF), "")</f>
        <v/>
      </c>
      <c r="AA641" s="162"/>
      <c r="AB641" s="148"/>
      <c r="AC641" s="161"/>
      <c r="AD641" s="146" t="str">
        <f>IF(AC641&lt;&gt;"", SUMIF(Bets!$D:$D, AC641, Bets!AG:AG), "")</f>
        <v/>
      </c>
      <c r="AE641" s="162"/>
      <c r="AF641" s="148"/>
    </row>
    <row r="642">
      <c r="A642" s="161"/>
      <c r="B642" s="146" t="str">
        <f>IF(A642&lt;&gt;"", SUMIF(Bets!$D:$D, A642, Bets!Z:Z), "")</f>
        <v/>
      </c>
      <c r="C642" s="162"/>
      <c r="D642" s="148"/>
      <c r="E642" s="161"/>
      <c r="F642" s="146" t="str">
        <f>IF(E642&lt;&gt;"", SUMIF(Bets!$D:$D, E642, Bets!AB:AB), "")</f>
        <v/>
      </c>
      <c r="G642" s="162"/>
      <c r="H642" s="148"/>
      <c r="I642" s="161"/>
      <c r="J642" s="146" t="str">
        <f>IF(I642&lt;&gt;"", SUMIF(Bets!$D:$D, I642, Bets!AA:AA), "")</f>
        <v/>
      </c>
      <c r="K642" s="162"/>
      <c r="L642" s="148"/>
      <c r="M642" s="161"/>
      <c r="N642" s="146"/>
      <c r="O642" s="162"/>
      <c r="P642" s="148"/>
      <c r="Q642" s="161"/>
      <c r="R642" s="146" t="str">
        <f>IF(Q642&lt;&gt;"", SUMIF(Bets!$D:$D, Q642, Bets!AD:AD), "")</f>
        <v/>
      </c>
      <c r="S642" s="162"/>
      <c r="T642" s="148"/>
      <c r="U642" s="161"/>
      <c r="V642" s="146" t="str">
        <f>IF(U642&lt;&gt;"", SUMIF(Bets!$D:$D, U642, Bets!AE:AE), "")</f>
        <v/>
      </c>
      <c r="W642" s="162"/>
      <c r="X642" s="148"/>
      <c r="Y642" s="161"/>
      <c r="Z642" s="146" t="str">
        <f>IF(Y642&lt;&gt;"", SUMIF(Bets!$D:$D, Y642, Bets!AF:AF), "")</f>
        <v/>
      </c>
      <c r="AA642" s="162"/>
      <c r="AB642" s="148"/>
      <c r="AC642" s="161"/>
      <c r="AD642" s="146" t="str">
        <f>IF(AC642&lt;&gt;"", SUMIF(Bets!$D:$D, AC642, Bets!AG:AG), "")</f>
        <v/>
      </c>
      <c r="AE642" s="162"/>
      <c r="AF642" s="148"/>
    </row>
    <row r="643">
      <c r="A643" s="161"/>
      <c r="B643" s="146" t="str">
        <f>IF(A643&lt;&gt;"", SUMIF(Bets!$D:$D, A643, Bets!Z:Z), "")</f>
        <v/>
      </c>
      <c r="C643" s="162"/>
      <c r="D643" s="148"/>
      <c r="E643" s="161"/>
      <c r="F643" s="146" t="str">
        <f>IF(E643&lt;&gt;"", SUMIF(Bets!$D:$D, E643, Bets!AB:AB), "")</f>
        <v/>
      </c>
      <c r="G643" s="162"/>
      <c r="H643" s="148"/>
      <c r="I643" s="161"/>
      <c r="J643" s="146" t="str">
        <f>IF(I643&lt;&gt;"", SUMIF(Bets!$D:$D, I643, Bets!AA:AA), "")</f>
        <v/>
      </c>
      <c r="K643" s="162"/>
      <c r="L643" s="148"/>
      <c r="M643" s="161"/>
      <c r="N643" s="146"/>
      <c r="O643" s="162"/>
      <c r="P643" s="148"/>
      <c r="Q643" s="161"/>
      <c r="R643" s="146" t="str">
        <f>IF(Q643&lt;&gt;"", SUMIF(Bets!$D:$D, Q643, Bets!AD:AD), "")</f>
        <v/>
      </c>
      <c r="S643" s="162"/>
      <c r="T643" s="148"/>
      <c r="U643" s="161"/>
      <c r="V643" s="146" t="str">
        <f>IF(U643&lt;&gt;"", SUMIF(Bets!$D:$D, U643, Bets!AE:AE), "")</f>
        <v/>
      </c>
      <c r="W643" s="162"/>
      <c r="X643" s="148"/>
      <c r="Y643" s="161"/>
      <c r="Z643" s="146" t="str">
        <f>IF(Y643&lt;&gt;"", SUMIF(Bets!$D:$D, Y643, Bets!AF:AF), "")</f>
        <v/>
      </c>
      <c r="AA643" s="162"/>
      <c r="AB643" s="148"/>
      <c r="AC643" s="161"/>
      <c r="AD643" s="146" t="str">
        <f>IF(AC643&lt;&gt;"", SUMIF(Bets!$D:$D, AC643, Bets!AG:AG), "")</f>
        <v/>
      </c>
      <c r="AE643" s="162"/>
      <c r="AF643" s="148"/>
    </row>
    <row r="644">
      <c r="A644" s="161"/>
      <c r="B644" s="146" t="str">
        <f>IF(A644&lt;&gt;"", SUMIF(Bets!$D:$D, A644, Bets!Z:Z), "")</f>
        <v/>
      </c>
      <c r="C644" s="162"/>
      <c r="D644" s="148"/>
      <c r="E644" s="161"/>
      <c r="F644" s="146" t="str">
        <f>IF(E644&lt;&gt;"", SUMIF(Bets!$D:$D, E644, Bets!AB:AB), "")</f>
        <v/>
      </c>
      <c r="G644" s="162"/>
      <c r="H644" s="148"/>
      <c r="I644" s="161"/>
      <c r="J644" s="146" t="str">
        <f>IF(I644&lt;&gt;"", SUMIF(Bets!$D:$D, I644, Bets!AA:AA), "")</f>
        <v/>
      </c>
      <c r="K644" s="162"/>
      <c r="L644" s="148"/>
      <c r="M644" s="161"/>
      <c r="N644" s="146"/>
      <c r="O644" s="162"/>
      <c r="P644" s="148"/>
      <c r="Q644" s="161"/>
      <c r="R644" s="146" t="str">
        <f>IF(Q644&lt;&gt;"", SUMIF(Bets!$D:$D, Q644, Bets!AD:AD), "")</f>
        <v/>
      </c>
      <c r="S644" s="162"/>
      <c r="T644" s="148"/>
      <c r="U644" s="161"/>
      <c r="V644" s="146" t="str">
        <f>IF(U644&lt;&gt;"", SUMIF(Bets!$D:$D, U644, Bets!AE:AE), "")</f>
        <v/>
      </c>
      <c r="W644" s="162"/>
      <c r="X644" s="148"/>
      <c r="Y644" s="161"/>
      <c r="Z644" s="146" t="str">
        <f>IF(Y644&lt;&gt;"", SUMIF(Bets!$D:$D, Y644, Bets!AF:AF), "")</f>
        <v/>
      </c>
      <c r="AA644" s="162"/>
      <c r="AB644" s="148"/>
      <c r="AC644" s="161"/>
      <c r="AD644" s="146" t="str">
        <f>IF(AC644&lt;&gt;"", SUMIF(Bets!$D:$D, AC644, Bets!AG:AG), "")</f>
        <v/>
      </c>
      <c r="AE644" s="162"/>
      <c r="AF644" s="148"/>
    </row>
    <row r="645">
      <c r="A645" s="161"/>
      <c r="B645" s="146" t="str">
        <f>IF(A645&lt;&gt;"", SUMIF(Bets!$D:$D, A645, Bets!Z:Z), "")</f>
        <v/>
      </c>
      <c r="C645" s="162"/>
      <c r="D645" s="148"/>
      <c r="E645" s="161"/>
      <c r="F645" s="146" t="str">
        <f>IF(E645&lt;&gt;"", SUMIF(Bets!$D:$D, E645, Bets!AB:AB), "")</f>
        <v/>
      </c>
      <c r="G645" s="162"/>
      <c r="H645" s="148"/>
      <c r="I645" s="161"/>
      <c r="J645" s="146" t="str">
        <f>IF(I645&lt;&gt;"", SUMIF(Bets!$D:$D, I645, Bets!AA:AA), "")</f>
        <v/>
      </c>
      <c r="K645" s="162"/>
      <c r="L645" s="148"/>
      <c r="M645" s="161"/>
      <c r="N645" s="146"/>
      <c r="O645" s="162"/>
      <c r="P645" s="148"/>
      <c r="Q645" s="161"/>
      <c r="R645" s="146" t="str">
        <f>IF(Q645&lt;&gt;"", SUMIF(Bets!$D:$D, Q645, Bets!AD:AD), "")</f>
        <v/>
      </c>
      <c r="S645" s="162"/>
      <c r="T645" s="148"/>
      <c r="U645" s="161"/>
      <c r="V645" s="146" t="str">
        <f>IF(U645&lt;&gt;"", SUMIF(Bets!$D:$D, U645, Bets!AE:AE), "")</f>
        <v/>
      </c>
      <c r="W645" s="162"/>
      <c r="X645" s="148"/>
      <c r="Y645" s="161"/>
      <c r="Z645" s="146" t="str">
        <f>IF(Y645&lt;&gt;"", SUMIF(Bets!$D:$D, Y645, Bets!AF:AF), "")</f>
        <v/>
      </c>
      <c r="AA645" s="162"/>
      <c r="AB645" s="148"/>
      <c r="AC645" s="161"/>
      <c r="AD645" s="146" t="str">
        <f>IF(AC645&lt;&gt;"", SUMIF(Bets!$D:$D, AC645, Bets!AG:AG), "")</f>
        <v/>
      </c>
      <c r="AE645" s="162"/>
      <c r="AF645" s="148"/>
    </row>
    <row r="646">
      <c r="A646" s="161"/>
      <c r="B646" s="146" t="str">
        <f>IF(A646&lt;&gt;"", SUMIF(Bets!$D:$D, A646, Bets!Z:Z), "")</f>
        <v/>
      </c>
      <c r="C646" s="162"/>
      <c r="D646" s="148"/>
      <c r="E646" s="161"/>
      <c r="F646" s="146" t="str">
        <f>IF(E646&lt;&gt;"", SUMIF(Bets!$D:$D, E646, Bets!AB:AB), "")</f>
        <v/>
      </c>
      <c r="G646" s="162"/>
      <c r="H646" s="148"/>
      <c r="I646" s="161"/>
      <c r="J646" s="146" t="str">
        <f>IF(I646&lt;&gt;"", SUMIF(Bets!$D:$D, I646, Bets!AA:AA), "")</f>
        <v/>
      </c>
      <c r="K646" s="162"/>
      <c r="L646" s="148"/>
      <c r="M646" s="161"/>
      <c r="N646" s="146"/>
      <c r="O646" s="162"/>
      <c r="P646" s="148"/>
      <c r="Q646" s="161"/>
      <c r="R646" s="146" t="str">
        <f>IF(Q646&lt;&gt;"", SUMIF(Bets!$D:$D, Q646, Bets!AD:AD), "")</f>
        <v/>
      </c>
      <c r="S646" s="162"/>
      <c r="T646" s="148"/>
      <c r="U646" s="161"/>
      <c r="V646" s="146" t="str">
        <f>IF(U646&lt;&gt;"", SUMIF(Bets!$D:$D, U646, Bets!AE:AE), "")</f>
        <v/>
      </c>
      <c r="W646" s="162"/>
      <c r="X646" s="148"/>
      <c r="Y646" s="161"/>
      <c r="Z646" s="146" t="str">
        <f>IF(Y646&lt;&gt;"", SUMIF(Bets!$D:$D, Y646, Bets!AF:AF), "")</f>
        <v/>
      </c>
      <c r="AA646" s="162"/>
      <c r="AB646" s="148"/>
      <c r="AC646" s="161"/>
      <c r="AD646" s="146" t="str">
        <f>IF(AC646&lt;&gt;"", SUMIF(Bets!$D:$D, AC646, Bets!AG:AG), "")</f>
        <v/>
      </c>
      <c r="AE646" s="162"/>
      <c r="AF646" s="148"/>
    </row>
    <row r="647">
      <c r="A647" s="161"/>
      <c r="B647" s="146" t="str">
        <f>IF(A647&lt;&gt;"", SUMIF(Bets!$D:$D, A647, Bets!Z:Z), "")</f>
        <v/>
      </c>
      <c r="C647" s="162"/>
      <c r="D647" s="148"/>
      <c r="E647" s="161"/>
      <c r="F647" s="146" t="str">
        <f>IF(E647&lt;&gt;"", SUMIF(Bets!$D:$D, E647, Bets!AB:AB), "")</f>
        <v/>
      </c>
      <c r="G647" s="162"/>
      <c r="H647" s="148"/>
      <c r="I647" s="161"/>
      <c r="J647" s="146" t="str">
        <f>IF(I647&lt;&gt;"", SUMIF(Bets!$D:$D, I647, Bets!AA:AA), "")</f>
        <v/>
      </c>
      <c r="K647" s="162"/>
      <c r="L647" s="148"/>
      <c r="M647" s="161"/>
      <c r="N647" s="146"/>
      <c r="O647" s="162"/>
      <c r="P647" s="148"/>
      <c r="Q647" s="161"/>
      <c r="R647" s="146" t="str">
        <f>IF(Q647&lt;&gt;"", SUMIF(Bets!$D:$D, Q647, Bets!AD:AD), "")</f>
        <v/>
      </c>
      <c r="S647" s="162"/>
      <c r="T647" s="148"/>
      <c r="U647" s="161"/>
      <c r="V647" s="146" t="str">
        <f>IF(U647&lt;&gt;"", SUMIF(Bets!$D:$D, U647, Bets!AE:AE), "")</f>
        <v/>
      </c>
      <c r="W647" s="162"/>
      <c r="X647" s="148"/>
      <c r="Y647" s="161"/>
      <c r="Z647" s="146" t="str">
        <f>IF(Y647&lt;&gt;"", SUMIF(Bets!$D:$D, Y647, Bets!AF:AF), "")</f>
        <v/>
      </c>
      <c r="AA647" s="162"/>
      <c r="AB647" s="148"/>
      <c r="AC647" s="161"/>
      <c r="AD647" s="146" t="str">
        <f>IF(AC647&lt;&gt;"", SUMIF(Bets!$D:$D, AC647, Bets!AG:AG), "")</f>
        <v/>
      </c>
      <c r="AE647" s="162"/>
      <c r="AF647" s="148"/>
    </row>
    <row r="648">
      <c r="A648" s="161"/>
      <c r="B648" s="146" t="str">
        <f>IF(A648&lt;&gt;"", SUMIF(Bets!$D:$D, A648, Bets!Z:Z), "")</f>
        <v/>
      </c>
      <c r="C648" s="162"/>
      <c r="D648" s="148"/>
      <c r="E648" s="161"/>
      <c r="F648" s="146" t="str">
        <f>IF(E648&lt;&gt;"", SUMIF(Bets!$D:$D, E648, Bets!AB:AB), "")</f>
        <v/>
      </c>
      <c r="G648" s="162"/>
      <c r="H648" s="148"/>
      <c r="I648" s="161"/>
      <c r="J648" s="146" t="str">
        <f>IF(I648&lt;&gt;"", SUMIF(Bets!$D:$D, I648, Bets!AA:AA), "")</f>
        <v/>
      </c>
      <c r="K648" s="162"/>
      <c r="L648" s="148"/>
      <c r="M648" s="161"/>
      <c r="N648" s="146"/>
      <c r="O648" s="162"/>
      <c r="P648" s="148"/>
      <c r="Q648" s="161"/>
      <c r="R648" s="146" t="str">
        <f>IF(Q648&lt;&gt;"", SUMIF(Bets!$D:$D, Q648, Bets!AD:AD), "")</f>
        <v/>
      </c>
      <c r="S648" s="162"/>
      <c r="T648" s="148"/>
      <c r="U648" s="161"/>
      <c r="V648" s="146" t="str">
        <f>IF(U648&lt;&gt;"", SUMIF(Bets!$D:$D, U648, Bets!AE:AE), "")</f>
        <v/>
      </c>
      <c r="W648" s="162"/>
      <c r="X648" s="148"/>
      <c r="Y648" s="161"/>
      <c r="Z648" s="146" t="str">
        <f>IF(Y648&lt;&gt;"", SUMIF(Bets!$D:$D, Y648, Bets!AF:AF), "")</f>
        <v/>
      </c>
      <c r="AA648" s="162"/>
      <c r="AB648" s="148"/>
      <c r="AC648" s="161"/>
      <c r="AD648" s="146" t="str">
        <f>IF(AC648&lt;&gt;"", SUMIF(Bets!$D:$D, AC648, Bets!AG:AG), "")</f>
        <v/>
      </c>
      <c r="AE648" s="162"/>
      <c r="AF648" s="148"/>
    </row>
    <row r="649">
      <c r="A649" s="161"/>
      <c r="B649" s="146" t="str">
        <f>IF(A649&lt;&gt;"", SUMIF(Bets!$D:$D, A649, Bets!Z:Z), "")</f>
        <v/>
      </c>
      <c r="C649" s="162"/>
      <c r="D649" s="148"/>
      <c r="E649" s="161"/>
      <c r="F649" s="146" t="str">
        <f>IF(E649&lt;&gt;"", SUMIF(Bets!$D:$D, E649, Bets!AB:AB), "")</f>
        <v/>
      </c>
      <c r="G649" s="162"/>
      <c r="H649" s="148"/>
      <c r="I649" s="161"/>
      <c r="J649" s="146" t="str">
        <f>IF(I649&lt;&gt;"", SUMIF(Bets!$D:$D, I649, Bets!AA:AA), "")</f>
        <v/>
      </c>
      <c r="K649" s="162"/>
      <c r="L649" s="148"/>
      <c r="M649" s="161"/>
      <c r="N649" s="146"/>
      <c r="O649" s="162"/>
      <c r="P649" s="148"/>
      <c r="Q649" s="161"/>
      <c r="R649" s="146" t="str">
        <f>IF(Q649&lt;&gt;"", SUMIF(Bets!$D:$D, Q649, Bets!AD:AD), "")</f>
        <v/>
      </c>
      <c r="S649" s="162"/>
      <c r="T649" s="148"/>
      <c r="U649" s="161"/>
      <c r="V649" s="146" t="str">
        <f>IF(U649&lt;&gt;"", SUMIF(Bets!$D:$D, U649, Bets!AE:AE), "")</f>
        <v/>
      </c>
      <c r="W649" s="162"/>
      <c r="X649" s="148"/>
      <c r="Y649" s="161"/>
      <c r="Z649" s="146" t="str">
        <f>IF(Y649&lt;&gt;"", SUMIF(Bets!$D:$D, Y649, Bets!AF:AF), "")</f>
        <v/>
      </c>
      <c r="AA649" s="162"/>
      <c r="AB649" s="148"/>
      <c r="AC649" s="161"/>
      <c r="AD649" s="146" t="str">
        <f>IF(AC649&lt;&gt;"", SUMIF(Bets!$D:$D, AC649, Bets!AG:AG), "")</f>
        <v/>
      </c>
      <c r="AE649" s="162"/>
      <c r="AF649" s="148"/>
    </row>
    <row r="650">
      <c r="A650" s="161"/>
      <c r="B650" s="146" t="str">
        <f>IF(A650&lt;&gt;"", SUMIF(Bets!$D:$D, A650, Bets!Z:Z), "")</f>
        <v/>
      </c>
      <c r="C650" s="162"/>
      <c r="D650" s="148"/>
      <c r="E650" s="161"/>
      <c r="F650" s="146" t="str">
        <f>IF(E650&lt;&gt;"", SUMIF(Bets!$D:$D, E650, Bets!AB:AB), "")</f>
        <v/>
      </c>
      <c r="G650" s="162"/>
      <c r="H650" s="148"/>
      <c r="I650" s="161"/>
      <c r="J650" s="146" t="str">
        <f>IF(I650&lt;&gt;"", SUMIF(Bets!$D:$D, I650, Bets!AA:AA), "")</f>
        <v/>
      </c>
      <c r="K650" s="162"/>
      <c r="L650" s="148"/>
      <c r="M650" s="161"/>
      <c r="N650" s="146"/>
      <c r="O650" s="162"/>
      <c r="P650" s="148"/>
      <c r="Q650" s="161"/>
      <c r="R650" s="146" t="str">
        <f>IF(Q650&lt;&gt;"", SUMIF(Bets!$D:$D, Q650, Bets!AD:AD), "")</f>
        <v/>
      </c>
      <c r="S650" s="162"/>
      <c r="T650" s="148"/>
      <c r="U650" s="161"/>
      <c r="V650" s="146" t="str">
        <f>IF(U650&lt;&gt;"", SUMIF(Bets!$D:$D, U650, Bets!AE:AE), "")</f>
        <v/>
      </c>
      <c r="W650" s="162"/>
      <c r="X650" s="148"/>
      <c r="Y650" s="161"/>
      <c r="Z650" s="146" t="str">
        <f>IF(Y650&lt;&gt;"", SUMIF(Bets!$D:$D, Y650, Bets!AF:AF), "")</f>
        <v/>
      </c>
      <c r="AA650" s="162"/>
      <c r="AB650" s="148"/>
      <c r="AC650" s="161"/>
      <c r="AD650" s="146" t="str">
        <f>IF(AC650&lt;&gt;"", SUMIF(Bets!$D:$D, AC650, Bets!AG:AG), "")</f>
        <v/>
      </c>
      <c r="AE650" s="162"/>
      <c r="AF650" s="148"/>
    </row>
    <row r="651">
      <c r="A651" s="161"/>
      <c r="B651" s="146" t="str">
        <f>IF(A651&lt;&gt;"", SUMIF(Bets!$D:$D, A651, Bets!Z:Z), "")</f>
        <v/>
      </c>
      <c r="C651" s="162"/>
      <c r="D651" s="148"/>
      <c r="E651" s="161"/>
      <c r="F651" s="146" t="str">
        <f>IF(E651&lt;&gt;"", SUMIF(Bets!$D:$D, E651, Bets!AB:AB), "")</f>
        <v/>
      </c>
      <c r="G651" s="162"/>
      <c r="H651" s="148"/>
      <c r="I651" s="161"/>
      <c r="J651" s="146" t="str">
        <f>IF(I651&lt;&gt;"", SUMIF(Bets!$D:$D, I651, Bets!AA:AA), "")</f>
        <v/>
      </c>
      <c r="K651" s="162"/>
      <c r="L651" s="148"/>
      <c r="M651" s="161"/>
      <c r="N651" s="146"/>
      <c r="O651" s="162"/>
      <c r="P651" s="148"/>
      <c r="Q651" s="161"/>
      <c r="R651" s="146" t="str">
        <f>IF(Q651&lt;&gt;"", SUMIF(Bets!$D:$D, Q651, Bets!AD:AD), "")</f>
        <v/>
      </c>
      <c r="S651" s="162"/>
      <c r="T651" s="148"/>
      <c r="U651" s="161"/>
      <c r="V651" s="146" t="str">
        <f>IF(U651&lt;&gt;"", SUMIF(Bets!$D:$D, U651, Bets!AE:AE), "")</f>
        <v/>
      </c>
      <c r="W651" s="162"/>
      <c r="X651" s="148"/>
      <c r="Y651" s="161"/>
      <c r="Z651" s="146" t="str">
        <f>IF(Y651&lt;&gt;"", SUMIF(Bets!$D:$D, Y651, Bets!AF:AF), "")</f>
        <v/>
      </c>
      <c r="AA651" s="162"/>
      <c r="AB651" s="148"/>
      <c r="AC651" s="161"/>
      <c r="AD651" s="146" t="str">
        <f>IF(AC651&lt;&gt;"", SUMIF(Bets!$D:$D, AC651, Bets!AG:AG), "")</f>
        <v/>
      </c>
      <c r="AE651" s="162"/>
      <c r="AF651" s="148"/>
    </row>
    <row r="652">
      <c r="A652" s="161"/>
      <c r="B652" s="146" t="str">
        <f>IF(A652&lt;&gt;"", SUMIF(Bets!$D:$D, A652, Bets!Z:Z), "")</f>
        <v/>
      </c>
      <c r="C652" s="162"/>
      <c r="D652" s="148"/>
      <c r="E652" s="161"/>
      <c r="F652" s="146" t="str">
        <f>IF(E652&lt;&gt;"", SUMIF(Bets!$D:$D, E652, Bets!AB:AB), "")</f>
        <v/>
      </c>
      <c r="G652" s="162"/>
      <c r="H652" s="148"/>
      <c r="I652" s="161"/>
      <c r="J652" s="146" t="str">
        <f>IF(I652&lt;&gt;"", SUMIF(Bets!$D:$D, I652, Bets!AA:AA), "")</f>
        <v/>
      </c>
      <c r="K652" s="162"/>
      <c r="L652" s="148"/>
      <c r="M652" s="161"/>
      <c r="N652" s="146"/>
      <c r="O652" s="162"/>
      <c r="P652" s="148"/>
      <c r="Q652" s="161"/>
      <c r="R652" s="146" t="str">
        <f>IF(Q652&lt;&gt;"", SUMIF(Bets!$D:$D, Q652, Bets!AD:AD), "")</f>
        <v/>
      </c>
      <c r="S652" s="162"/>
      <c r="T652" s="148"/>
      <c r="U652" s="161"/>
      <c r="V652" s="146" t="str">
        <f>IF(U652&lt;&gt;"", SUMIF(Bets!$D:$D, U652, Bets!AE:AE), "")</f>
        <v/>
      </c>
      <c r="W652" s="162"/>
      <c r="X652" s="148"/>
      <c r="Y652" s="161"/>
      <c r="Z652" s="146" t="str">
        <f>IF(Y652&lt;&gt;"", SUMIF(Bets!$D:$D, Y652, Bets!AF:AF), "")</f>
        <v/>
      </c>
      <c r="AA652" s="162"/>
      <c r="AB652" s="148"/>
      <c r="AC652" s="161"/>
      <c r="AD652" s="146" t="str">
        <f>IF(AC652&lt;&gt;"", SUMIF(Bets!$D:$D, AC652, Bets!AG:AG), "")</f>
        <v/>
      </c>
      <c r="AE652" s="162"/>
      <c r="AF652" s="148"/>
    </row>
    <row r="653">
      <c r="A653" s="161"/>
      <c r="B653" s="146" t="str">
        <f>IF(A653&lt;&gt;"", SUMIF(Bets!$D:$D, A653, Bets!Z:Z), "")</f>
        <v/>
      </c>
      <c r="C653" s="162"/>
      <c r="D653" s="148"/>
      <c r="E653" s="161"/>
      <c r="F653" s="146" t="str">
        <f>IF(E653&lt;&gt;"", SUMIF(Bets!$D:$D, E653, Bets!AB:AB), "")</f>
        <v/>
      </c>
      <c r="G653" s="162"/>
      <c r="H653" s="148"/>
      <c r="I653" s="161"/>
      <c r="J653" s="146" t="str">
        <f>IF(I653&lt;&gt;"", SUMIF(Bets!$D:$D, I653, Bets!AA:AA), "")</f>
        <v/>
      </c>
      <c r="K653" s="162"/>
      <c r="L653" s="148"/>
      <c r="M653" s="161"/>
      <c r="N653" s="146"/>
      <c r="O653" s="162"/>
      <c r="P653" s="148"/>
      <c r="Q653" s="161"/>
      <c r="R653" s="146" t="str">
        <f>IF(Q653&lt;&gt;"", SUMIF(Bets!$D:$D, Q653, Bets!AD:AD), "")</f>
        <v/>
      </c>
      <c r="S653" s="162"/>
      <c r="T653" s="148"/>
      <c r="U653" s="161"/>
      <c r="V653" s="146" t="str">
        <f>IF(U653&lt;&gt;"", SUMIF(Bets!$D:$D, U653, Bets!AE:AE), "")</f>
        <v/>
      </c>
      <c r="W653" s="162"/>
      <c r="X653" s="148"/>
      <c r="Y653" s="161"/>
      <c r="Z653" s="146" t="str">
        <f>IF(Y653&lt;&gt;"", SUMIF(Bets!$D:$D, Y653, Bets!AF:AF), "")</f>
        <v/>
      </c>
      <c r="AA653" s="162"/>
      <c r="AB653" s="148"/>
      <c r="AC653" s="161"/>
      <c r="AD653" s="146" t="str">
        <f>IF(AC653&lt;&gt;"", SUMIF(Bets!$D:$D, AC653, Bets!AG:AG), "")</f>
        <v/>
      </c>
      <c r="AE653" s="162"/>
      <c r="AF653" s="148"/>
    </row>
    <row r="654">
      <c r="A654" s="161"/>
      <c r="B654" s="146" t="str">
        <f>IF(A654&lt;&gt;"", SUMIF(Bets!$D:$D, A654, Bets!Z:Z), "")</f>
        <v/>
      </c>
      <c r="C654" s="162"/>
      <c r="D654" s="148"/>
      <c r="E654" s="161"/>
      <c r="F654" s="146" t="str">
        <f>IF(E654&lt;&gt;"", SUMIF(Bets!$D:$D, E654, Bets!AB:AB), "")</f>
        <v/>
      </c>
      <c r="G654" s="162"/>
      <c r="H654" s="148"/>
      <c r="I654" s="161"/>
      <c r="J654" s="146" t="str">
        <f>IF(I654&lt;&gt;"", SUMIF(Bets!$D:$D, I654, Bets!AA:AA), "")</f>
        <v/>
      </c>
      <c r="K654" s="162"/>
      <c r="L654" s="148"/>
      <c r="M654" s="161"/>
      <c r="N654" s="146"/>
      <c r="O654" s="162"/>
      <c r="P654" s="148"/>
      <c r="Q654" s="161"/>
      <c r="R654" s="146" t="str">
        <f>IF(Q654&lt;&gt;"", SUMIF(Bets!$D:$D, Q654, Bets!AD:AD), "")</f>
        <v/>
      </c>
      <c r="S654" s="162"/>
      <c r="T654" s="148"/>
      <c r="U654" s="161"/>
      <c r="V654" s="146" t="str">
        <f>IF(U654&lt;&gt;"", SUMIF(Bets!$D:$D, U654, Bets!AE:AE), "")</f>
        <v/>
      </c>
      <c r="W654" s="162"/>
      <c r="X654" s="148"/>
      <c r="Y654" s="161"/>
      <c r="Z654" s="146" t="str">
        <f>IF(Y654&lt;&gt;"", SUMIF(Bets!$D:$D, Y654, Bets!AF:AF), "")</f>
        <v/>
      </c>
      <c r="AA654" s="162"/>
      <c r="AB654" s="148"/>
      <c r="AC654" s="161"/>
      <c r="AD654" s="146" t="str">
        <f>IF(AC654&lt;&gt;"", SUMIF(Bets!$D:$D, AC654, Bets!AG:AG), "")</f>
        <v/>
      </c>
      <c r="AE654" s="162"/>
      <c r="AF654" s="148"/>
    </row>
    <row r="655">
      <c r="A655" s="161"/>
      <c r="B655" s="146" t="str">
        <f>IF(A655&lt;&gt;"", SUMIF(Bets!$D:$D, A655, Bets!Z:Z), "")</f>
        <v/>
      </c>
      <c r="C655" s="162"/>
      <c r="D655" s="148"/>
      <c r="E655" s="161"/>
      <c r="F655" s="146" t="str">
        <f>IF(E655&lt;&gt;"", SUMIF(Bets!$D:$D, E655, Bets!AB:AB), "")</f>
        <v/>
      </c>
      <c r="G655" s="162"/>
      <c r="H655" s="148"/>
      <c r="I655" s="161"/>
      <c r="J655" s="146" t="str">
        <f>IF(I655&lt;&gt;"", SUMIF(Bets!$D:$D, I655, Bets!AA:AA), "")</f>
        <v/>
      </c>
      <c r="K655" s="162"/>
      <c r="L655" s="148"/>
      <c r="M655" s="161"/>
      <c r="N655" s="146"/>
      <c r="O655" s="162"/>
      <c r="P655" s="148"/>
      <c r="Q655" s="161"/>
      <c r="R655" s="146" t="str">
        <f>IF(Q655&lt;&gt;"", SUMIF(Bets!$D:$D, Q655, Bets!AD:AD), "")</f>
        <v/>
      </c>
      <c r="S655" s="162"/>
      <c r="T655" s="148"/>
      <c r="U655" s="161"/>
      <c r="V655" s="146" t="str">
        <f>IF(U655&lt;&gt;"", SUMIF(Bets!$D:$D, U655, Bets!AE:AE), "")</f>
        <v/>
      </c>
      <c r="W655" s="162"/>
      <c r="X655" s="148"/>
      <c r="Y655" s="161"/>
      <c r="Z655" s="146" t="str">
        <f>IF(Y655&lt;&gt;"", SUMIF(Bets!$D:$D, Y655, Bets!AF:AF), "")</f>
        <v/>
      </c>
      <c r="AA655" s="162"/>
      <c r="AB655" s="148"/>
      <c r="AC655" s="161"/>
      <c r="AD655" s="146" t="str">
        <f>IF(AC655&lt;&gt;"", SUMIF(Bets!$D:$D, AC655, Bets!AG:AG), "")</f>
        <v/>
      </c>
      <c r="AE655" s="162"/>
      <c r="AF655" s="148"/>
    </row>
    <row r="656">
      <c r="A656" s="161"/>
      <c r="B656" s="146" t="str">
        <f>IF(A656&lt;&gt;"", SUMIF(Bets!$D:$D, A656, Bets!Z:Z), "")</f>
        <v/>
      </c>
      <c r="C656" s="162"/>
      <c r="D656" s="148"/>
      <c r="E656" s="161"/>
      <c r="F656" s="146" t="str">
        <f>IF(E656&lt;&gt;"", SUMIF(Bets!$D:$D, E656, Bets!AB:AB), "")</f>
        <v/>
      </c>
      <c r="G656" s="162"/>
      <c r="H656" s="148"/>
      <c r="I656" s="161"/>
      <c r="J656" s="146" t="str">
        <f>IF(I656&lt;&gt;"", SUMIF(Bets!$D:$D, I656, Bets!AA:AA), "")</f>
        <v/>
      </c>
      <c r="K656" s="162"/>
      <c r="L656" s="148"/>
      <c r="M656" s="161"/>
      <c r="N656" s="146"/>
      <c r="O656" s="162"/>
      <c r="P656" s="148"/>
      <c r="Q656" s="161"/>
      <c r="R656" s="146" t="str">
        <f>IF(Q656&lt;&gt;"", SUMIF(Bets!$D:$D, Q656, Bets!AD:AD), "")</f>
        <v/>
      </c>
      <c r="S656" s="162"/>
      <c r="T656" s="148"/>
      <c r="U656" s="161"/>
      <c r="V656" s="146" t="str">
        <f>IF(U656&lt;&gt;"", SUMIF(Bets!$D:$D, U656, Bets!AE:AE), "")</f>
        <v/>
      </c>
      <c r="W656" s="162"/>
      <c r="X656" s="148"/>
      <c r="Y656" s="161"/>
      <c r="Z656" s="146" t="str">
        <f>IF(Y656&lt;&gt;"", SUMIF(Bets!$D:$D, Y656, Bets!AF:AF), "")</f>
        <v/>
      </c>
      <c r="AA656" s="162"/>
      <c r="AB656" s="148"/>
      <c r="AC656" s="161"/>
      <c r="AD656" s="146" t="str">
        <f>IF(AC656&lt;&gt;"", SUMIF(Bets!$D:$D, AC656, Bets!AG:AG), "")</f>
        <v/>
      </c>
      <c r="AE656" s="162"/>
      <c r="AF656" s="148"/>
    </row>
    <row r="657">
      <c r="A657" s="161"/>
      <c r="B657" s="146" t="str">
        <f>IF(A657&lt;&gt;"", SUMIF(Bets!$D:$D, A657, Bets!Z:Z), "")</f>
        <v/>
      </c>
      <c r="C657" s="162"/>
      <c r="D657" s="148"/>
      <c r="E657" s="161"/>
      <c r="F657" s="146" t="str">
        <f>IF(E657&lt;&gt;"", SUMIF(Bets!$D:$D, E657, Bets!AB:AB), "")</f>
        <v/>
      </c>
      <c r="G657" s="162"/>
      <c r="H657" s="148"/>
      <c r="I657" s="161"/>
      <c r="J657" s="146" t="str">
        <f>IF(I657&lt;&gt;"", SUMIF(Bets!$D:$D, I657, Bets!AA:AA), "")</f>
        <v/>
      </c>
      <c r="K657" s="162"/>
      <c r="L657" s="148"/>
      <c r="M657" s="161"/>
      <c r="N657" s="146"/>
      <c r="O657" s="162"/>
      <c r="P657" s="148"/>
      <c r="Q657" s="161"/>
      <c r="R657" s="146" t="str">
        <f>IF(Q657&lt;&gt;"", SUMIF(Bets!$D:$D, Q657, Bets!AD:AD), "")</f>
        <v/>
      </c>
      <c r="S657" s="162"/>
      <c r="T657" s="148"/>
      <c r="U657" s="161"/>
      <c r="V657" s="146" t="str">
        <f>IF(U657&lt;&gt;"", SUMIF(Bets!$D:$D, U657, Bets!AE:AE), "")</f>
        <v/>
      </c>
      <c r="W657" s="162"/>
      <c r="X657" s="148"/>
      <c r="Y657" s="161"/>
      <c r="Z657" s="146" t="str">
        <f>IF(Y657&lt;&gt;"", SUMIF(Bets!$D:$D, Y657, Bets!AF:AF), "")</f>
        <v/>
      </c>
      <c r="AA657" s="162"/>
      <c r="AB657" s="148"/>
      <c r="AC657" s="161"/>
      <c r="AD657" s="146" t="str">
        <f>IF(AC657&lt;&gt;"", SUMIF(Bets!$D:$D, AC657, Bets!AG:AG), "")</f>
        <v/>
      </c>
      <c r="AE657" s="162"/>
      <c r="AF657" s="148"/>
    </row>
    <row r="658">
      <c r="A658" s="161"/>
      <c r="B658" s="146" t="str">
        <f>IF(A658&lt;&gt;"", SUMIF(Bets!$D:$D, A658, Bets!Z:Z), "")</f>
        <v/>
      </c>
      <c r="C658" s="162"/>
      <c r="D658" s="148"/>
      <c r="E658" s="161"/>
      <c r="F658" s="146" t="str">
        <f>IF(E658&lt;&gt;"", SUMIF(Bets!$D:$D, E658, Bets!AB:AB), "")</f>
        <v/>
      </c>
      <c r="G658" s="162"/>
      <c r="H658" s="148"/>
      <c r="I658" s="161"/>
      <c r="J658" s="146" t="str">
        <f>IF(I658&lt;&gt;"", SUMIF(Bets!$D:$D, I658, Bets!AA:AA), "")</f>
        <v/>
      </c>
      <c r="K658" s="162"/>
      <c r="L658" s="148"/>
      <c r="M658" s="161"/>
      <c r="N658" s="146"/>
      <c r="O658" s="162"/>
      <c r="P658" s="148"/>
      <c r="Q658" s="161"/>
      <c r="R658" s="146" t="str">
        <f>IF(Q658&lt;&gt;"", SUMIF(Bets!$D:$D, Q658, Bets!AD:AD), "")</f>
        <v/>
      </c>
      <c r="S658" s="162"/>
      <c r="T658" s="148"/>
      <c r="U658" s="161"/>
      <c r="V658" s="146" t="str">
        <f>IF(U658&lt;&gt;"", SUMIF(Bets!$D:$D, U658, Bets!AE:AE), "")</f>
        <v/>
      </c>
      <c r="W658" s="162"/>
      <c r="X658" s="148"/>
      <c r="Y658" s="161"/>
      <c r="Z658" s="146" t="str">
        <f>IF(Y658&lt;&gt;"", SUMIF(Bets!$D:$D, Y658, Bets!AF:AF), "")</f>
        <v/>
      </c>
      <c r="AA658" s="162"/>
      <c r="AB658" s="148"/>
      <c r="AC658" s="161"/>
      <c r="AD658" s="146" t="str">
        <f>IF(AC658&lt;&gt;"", SUMIF(Bets!$D:$D, AC658, Bets!AG:AG), "")</f>
        <v/>
      </c>
      <c r="AE658" s="162"/>
      <c r="AF658" s="148"/>
    </row>
    <row r="659">
      <c r="A659" s="161"/>
      <c r="B659" s="146" t="str">
        <f>IF(A659&lt;&gt;"", SUMIF(Bets!$D:$D, A659, Bets!Z:Z), "")</f>
        <v/>
      </c>
      <c r="C659" s="162"/>
      <c r="D659" s="148"/>
      <c r="E659" s="161"/>
      <c r="F659" s="146" t="str">
        <f>IF(E659&lt;&gt;"", SUMIF(Bets!$D:$D, E659, Bets!AB:AB), "")</f>
        <v/>
      </c>
      <c r="G659" s="162"/>
      <c r="H659" s="148"/>
      <c r="I659" s="161"/>
      <c r="J659" s="146" t="str">
        <f>IF(I659&lt;&gt;"", SUMIF(Bets!$D:$D, I659, Bets!AA:AA), "")</f>
        <v/>
      </c>
      <c r="K659" s="162"/>
      <c r="L659" s="148"/>
      <c r="M659" s="161"/>
      <c r="N659" s="146"/>
      <c r="O659" s="162"/>
      <c r="P659" s="148"/>
      <c r="Q659" s="161"/>
      <c r="R659" s="146" t="str">
        <f>IF(Q659&lt;&gt;"", SUMIF(Bets!$D:$D, Q659, Bets!AD:AD), "")</f>
        <v/>
      </c>
      <c r="S659" s="162"/>
      <c r="T659" s="148"/>
      <c r="U659" s="161"/>
      <c r="V659" s="146" t="str">
        <f>IF(U659&lt;&gt;"", SUMIF(Bets!$D:$D, U659, Bets!AE:AE), "")</f>
        <v/>
      </c>
      <c r="W659" s="162"/>
      <c r="X659" s="148"/>
      <c r="Y659" s="161"/>
      <c r="Z659" s="146" t="str">
        <f>IF(Y659&lt;&gt;"", SUMIF(Bets!$D:$D, Y659, Bets!AF:AF), "")</f>
        <v/>
      </c>
      <c r="AA659" s="162"/>
      <c r="AB659" s="148"/>
      <c r="AC659" s="161"/>
      <c r="AD659" s="146" t="str">
        <f>IF(AC659&lt;&gt;"", SUMIF(Bets!$D:$D, AC659, Bets!AG:AG), "")</f>
        <v/>
      </c>
      <c r="AE659" s="162"/>
      <c r="AF659" s="148"/>
    </row>
    <row r="660">
      <c r="A660" s="161"/>
      <c r="B660" s="146" t="str">
        <f>IF(A660&lt;&gt;"", SUMIF(Bets!$D:$D, A660, Bets!Z:Z), "")</f>
        <v/>
      </c>
      <c r="C660" s="162"/>
      <c r="D660" s="148"/>
      <c r="E660" s="161"/>
      <c r="F660" s="146" t="str">
        <f>IF(E660&lt;&gt;"", SUMIF(Bets!$D:$D, E660, Bets!AB:AB), "")</f>
        <v/>
      </c>
      <c r="G660" s="162"/>
      <c r="H660" s="148"/>
      <c r="I660" s="161"/>
      <c r="J660" s="146" t="str">
        <f>IF(I660&lt;&gt;"", SUMIF(Bets!$D:$D, I660, Bets!AA:AA), "")</f>
        <v/>
      </c>
      <c r="K660" s="162"/>
      <c r="L660" s="148"/>
      <c r="M660" s="161"/>
      <c r="N660" s="146"/>
      <c r="O660" s="162"/>
      <c r="P660" s="148"/>
      <c r="Q660" s="161"/>
      <c r="R660" s="146" t="str">
        <f>IF(Q660&lt;&gt;"", SUMIF(Bets!$D:$D, Q660, Bets!AD:AD), "")</f>
        <v/>
      </c>
      <c r="S660" s="162"/>
      <c r="T660" s="148"/>
      <c r="U660" s="161"/>
      <c r="V660" s="146" t="str">
        <f>IF(U660&lt;&gt;"", SUMIF(Bets!$D:$D, U660, Bets!AE:AE), "")</f>
        <v/>
      </c>
      <c r="W660" s="162"/>
      <c r="X660" s="148"/>
      <c r="Y660" s="161"/>
      <c r="Z660" s="146" t="str">
        <f>IF(Y660&lt;&gt;"", SUMIF(Bets!$D:$D, Y660, Bets!AF:AF), "")</f>
        <v/>
      </c>
      <c r="AA660" s="162"/>
      <c r="AB660" s="148"/>
      <c r="AC660" s="161"/>
      <c r="AD660" s="146" t="str">
        <f>IF(AC660&lt;&gt;"", SUMIF(Bets!$D:$D, AC660, Bets!AG:AG), "")</f>
        <v/>
      </c>
      <c r="AE660" s="162"/>
      <c r="AF660" s="148"/>
    </row>
    <row r="661">
      <c r="A661" s="161"/>
      <c r="B661" s="146" t="str">
        <f>IF(A661&lt;&gt;"", SUMIF(Bets!$D:$D, A661, Bets!Z:Z), "")</f>
        <v/>
      </c>
      <c r="C661" s="162"/>
      <c r="D661" s="148"/>
      <c r="E661" s="161"/>
      <c r="F661" s="146" t="str">
        <f>IF(E661&lt;&gt;"", SUMIF(Bets!$D:$D, E661, Bets!AB:AB), "")</f>
        <v/>
      </c>
      <c r="G661" s="162"/>
      <c r="H661" s="148"/>
      <c r="I661" s="161"/>
      <c r="J661" s="146" t="str">
        <f>IF(I661&lt;&gt;"", SUMIF(Bets!$D:$D, I661, Bets!AA:AA), "")</f>
        <v/>
      </c>
      <c r="K661" s="162"/>
      <c r="L661" s="148"/>
      <c r="M661" s="161"/>
      <c r="N661" s="146"/>
      <c r="O661" s="162"/>
      <c r="P661" s="148"/>
      <c r="Q661" s="161"/>
      <c r="R661" s="146" t="str">
        <f>IF(Q661&lt;&gt;"", SUMIF(Bets!$D:$D, Q661, Bets!AD:AD), "")</f>
        <v/>
      </c>
      <c r="S661" s="162"/>
      <c r="T661" s="148"/>
      <c r="U661" s="161"/>
      <c r="V661" s="146" t="str">
        <f>IF(U661&lt;&gt;"", SUMIF(Bets!$D:$D, U661, Bets!AE:AE), "")</f>
        <v/>
      </c>
      <c r="W661" s="162"/>
      <c r="X661" s="148"/>
      <c r="Y661" s="161"/>
      <c r="Z661" s="146" t="str">
        <f>IF(Y661&lt;&gt;"", SUMIF(Bets!$D:$D, Y661, Bets!AF:AF), "")</f>
        <v/>
      </c>
      <c r="AA661" s="162"/>
      <c r="AB661" s="148"/>
      <c r="AC661" s="161"/>
      <c r="AD661" s="146" t="str">
        <f>IF(AC661&lt;&gt;"", SUMIF(Bets!$D:$D, AC661, Bets!AG:AG), "")</f>
        <v/>
      </c>
      <c r="AE661" s="162"/>
      <c r="AF661" s="148"/>
    </row>
    <row r="662">
      <c r="A662" s="161"/>
      <c r="B662" s="146" t="str">
        <f>IF(A662&lt;&gt;"", SUMIF(Bets!$D:$D, A662, Bets!Z:Z), "")</f>
        <v/>
      </c>
      <c r="C662" s="162"/>
      <c r="D662" s="148"/>
      <c r="E662" s="161"/>
      <c r="F662" s="146" t="str">
        <f>IF(E662&lt;&gt;"", SUMIF(Bets!$D:$D, E662, Bets!AB:AB), "")</f>
        <v/>
      </c>
      <c r="G662" s="162"/>
      <c r="H662" s="148"/>
      <c r="I662" s="161"/>
      <c r="J662" s="146" t="str">
        <f>IF(I662&lt;&gt;"", SUMIF(Bets!$D:$D, I662, Bets!AA:AA), "")</f>
        <v/>
      </c>
      <c r="K662" s="162"/>
      <c r="L662" s="148"/>
      <c r="M662" s="161"/>
      <c r="N662" s="146"/>
      <c r="O662" s="162"/>
      <c r="P662" s="148"/>
      <c r="Q662" s="161"/>
      <c r="R662" s="146" t="str">
        <f>IF(Q662&lt;&gt;"", SUMIF(Bets!$D:$D, Q662, Bets!AD:AD), "")</f>
        <v/>
      </c>
      <c r="S662" s="162"/>
      <c r="T662" s="148"/>
      <c r="U662" s="161"/>
      <c r="V662" s="146" t="str">
        <f>IF(U662&lt;&gt;"", SUMIF(Bets!$D:$D, U662, Bets!AE:AE), "")</f>
        <v/>
      </c>
      <c r="W662" s="162"/>
      <c r="X662" s="148"/>
      <c r="Y662" s="161"/>
      <c r="Z662" s="146" t="str">
        <f>IF(Y662&lt;&gt;"", SUMIF(Bets!$D:$D, Y662, Bets!AF:AF), "")</f>
        <v/>
      </c>
      <c r="AA662" s="162"/>
      <c r="AB662" s="148"/>
      <c r="AC662" s="161"/>
      <c r="AD662" s="146" t="str">
        <f>IF(AC662&lt;&gt;"", SUMIF(Bets!$D:$D, AC662, Bets!AG:AG), "")</f>
        <v/>
      </c>
      <c r="AE662" s="162"/>
      <c r="AF662" s="148"/>
    </row>
    <row r="663">
      <c r="A663" s="161"/>
      <c r="B663" s="146" t="str">
        <f>IF(A663&lt;&gt;"", SUMIF(Bets!$D:$D, A663, Bets!Z:Z), "")</f>
        <v/>
      </c>
      <c r="C663" s="162"/>
      <c r="D663" s="148"/>
      <c r="E663" s="161"/>
      <c r="F663" s="146" t="str">
        <f>IF(E663&lt;&gt;"", SUMIF(Bets!$D:$D, E663, Bets!AB:AB), "")</f>
        <v/>
      </c>
      <c r="G663" s="162"/>
      <c r="H663" s="148"/>
      <c r="I663" s="161"/>
      <c r="J663" s="146" t="str">
        <f>IF(I663&lt;&gt;"", SUMIF(Bets!$D:$D, I663, Bets!AA:AA), "")</f>
        <v/>
      </c>
      <c r="K663" s="162"/>
      <c r="L663" s="148"/>
      <c r="M663" s="161"/>
      <c r="N663" s="146"/>
      <c r="O663" s="162"/>
      <c r="P663" s="148"/>
      <c r="Q663" s="161"/>
      <c r="R663" s="146" t="str">
        <f>IF(Q663&lt;&gt;"", SUMIF(Bets!$D:$D, Q663, Bets!AD:AD), "")</f>
        <v/>
      </c>
      <c r="S663" s="162"/>
      <c r="T663" s="148"/>
      <c r="U663" s="161"/>
      <c r="V663" s="146" t="str">
        <f>IF(U663&lt;&gt;"", SUMIF(Bets!$D:$D, U663, Bets!AE:AE), "")</f>
        <v/>
      </c>
      <c r="W663" s="162"/>
      <c r="X663" s="148"/>
      <c r="Y663" s="161"/>
      <c r="Z663" s="146" t="str">
        <f>IF(Y663&lt;&gt;"", SUMIF(Bets!$D:$D, Y663, Bets!AF:AF), "")</f>
        <v/>
      </c>
      <c r="AA663" s="162"/>
      <c r="AB663" s="148"/>
      <c r="AC663" s="161"/>
      <c r="AD663" s="146" t="str">
        <f>IF(AC663&lt;&gt;"", SUMIF(Bets!$D:$D, AC663, Bets!AG:AG), "")</f>
        <v/>
      </c>
      <c r="AE663" s="162"/>
      <c r="AF663" s="148"/>
    </row>
    <row r="664">
      <c r="A664" s="161"/>
      <c r="B664" s="146" t="str">
        <f>IF(A664&lt;&gt;"", SUMIF(Bets!$D:$D, A664, Bets!Z:Z), "")</f>
        <v/>
      </c>
      <c r="C664" s="162"/>
      <c r="D664" s="148"/>
      <c r="E664" s="161"/>
      <c r="F664" s="146" t="str">
        <f>IF(E664&lt;&gt;"", SUMIF(Bets!$D:$D, E664, Bets!AB:AB), "")</f>
        <v/>
      </c>
      <c r="G664" s="162"/>
      <c r="H664" s="148"/>
      <c r="I664" s="161"/>
      <c r="J664" s="146" t="str">
        <f>IF(I664&lt;&gt;"", SUMIF(Bets!$D:$D, I664, Bets!AA:AA), "")</f>
        <v/>
      </c>
      <c r="K664" s="162"/>
      <c r="L664" s="148"/>
      <c r="M664" s="161"/>
      <c r="N664" s="146"/>
      <c r="O664" s="162"/>
      <c r="P664" s="148"/>
      <c r="Q664" s="161"/>
      <c r="R664" s="146" t="str">
        <f>IF(Q664&lt;&gt;"", SUMIF(Bets!$D:$D, Q664, Bets!AD:AD), "")</f>
        <v/>
      </c>
      <c r="S664" s="162"/>
      <c r="T664" s="148"/>
      <c r="U664" s="161"/>
      <c r="V664" s="146" t="str">
        <f>IF(U664&lt;&gt;"", SUMIF(Bets!$D:$D, U664, Bets!AE:AE), "")</f>
        <v/>
      </c>
      <c r="W664" s="162"/>
      <c r="X664" s="148"/>
      <c r="Y664" s="161"/>
      <c r="Z664" s="146" t="str">
        <f>IF(Y664&lt;&gt;"", SUMIF(Bets!$D:$D, Y664, Bets!AF:AF), "")</f>
        <v/>
      </c>
      <c r="AA664" s="162"/>
      <c r="AB664" s="148"/>
      <c r="AC664" s="161"/>
      <c r="AD664" s="146" t="str">
        <f>IF(AC664&lt;&gt;"", SUMIF(Bets!$D:$D, AC664, Bets!AG:AG), "")</f>
        <v/>
      </c>
      <c r="AE664" s="162"/>
      <c r="AF664" s="148"/>
    </row>
    <row r="665">
      <c r="A665" s="161"/>
      <c r="B665" s="146" t="str">
        <f>IF(A665&lt;&gt;"", SUMIF(Bets!$D:$D, A665, Bets!Z:Z), "")</f>
        <v/>
      </c>
      <c r="C665" s="162"/>
      <c r="D665" s="148"/>
      <c r="E665" s="161"/>
      <c r="F665" s="146" t="str">
        <f>IF(E665&lt;&gt;"", SUMIF(Bets!$D:$D, E665, Bets!AB:AB), "")</f>
        <v/>
      </c>
      <c r="G665" s="162"/>
      <c r="H665" s="148"/>
      <c r="I665" s="161"/>
      <c r="J665" s="146" t="str">
        <f>IF(I665&lt;&gt;"", SUMIF(Bets!$D:$D, I665, Bets!AA:AA), "")</f>
        <v/>
      </c>
      <c r="K665" s="162"/>
      <c r="L665" s="148"/>
      <c r="M665" s="161"/>
      <c r="N665" s="146"/>
      <c r="O665" s="162"/>
      <c r="P665" s="148"/>
      <c r="Q665" s="161"/>
      <c r="R665" s="146" t="str">
        <f>IF(Q665&lt;&gt;"", SUMIF(Bets!$D:$D, Q665, Bets!AD:AD), "")</f>
        <v/>
      </c>
      <c r="S665" s="162"/>
      <c r="T665" s="148"/>
      <c r="U665" s="161"/>
      <c r="V665" s="146" t="str">
        <f>IF(U665&lt;&gt;"", SUMIF(Bets!$D:$D, U665, Bets!AE:AE), "")</f>
        <v/>
      </c>
      <c r="W665" s="162"/>
      <c r="X665" s="148"/>
      <c r="Y665" s="161"/>
      <c r="Z665" s="146" t="str">
        <f>IF(Y665&lt;&gt;"", SUMIF(Bets!$D:$D, Y665, Bets!AF:AF), "")</f>
        <v/>
      </c>
      <c r="AA665" s="162"/>
      <c r="AB665" s="148"/>
      <c r="AC665" s="161"/>
      <c r="AD665" s="146" t="str">
        <f>IF(AC665&lt;&gt;"", SUMIF(Bets!$D:$D, AC665, Bets!AG:AG), "")</f>
        <v/>
      </c>
      <c r="AE665" s="162"/>
      <c r="AF665" s="148"/>
    </row>
    <row r="666">
      <c r="A666" s="161"/>
      <c r="B666" s="146" t="str">
        <f>IF(A666&lt;&gt;"", SUMIF(Bets!$D:$D, A666, Bets!Z:Z), "")</f>
        <v/>
      </c>
      <c r="C666" s="162"/>
      <c r="D666" s="148"/>
      <c r="E666" s="161"/>
      <c r="F666" s="146" t="str">
        <f>IF(E666&lt;&gt;"", SUMIF(Bets!$D:$D, E666, Bets!AB:AB), "")</f>
        <v/>
      </c>
      <c r="G666" s="162"/>
      <c r="H666" s="148"/>
      <c r="I666" s="161"/>
      <c r="J666" s="146" t="str">
        <f>IF(I666&lt;&gt;"", SUMIF(Bets!$D:$D, I666, Bets!AA:AA), "")</f>
        <v/>
      </c>
      <c r="K666" s="162"/>
      <c r="L666" s="148"/>
      <c r="M666" s="161"/>
      <c r="N666" s="146"/>
      <c r="O666" s="162"/>
      <c r="P666" s="148"/>
      <c r="Q666" s="161"/>
      <c r="R666" s="146" t="str">
        <f>IF(Q666&lt;&gt;"", SUMIF(Bets!$D:$D, Q666, Bets!AD:AD), "")</f>
        <v/>
      </c>
      <c r="S666" s="162"/>
      <c r="T666" s="148"/>
      <c r="U666" s="161"/>
      <c r="V666" s="146" t="str">
        <f>IF(U666&lt;&gt;"", SUMIF(Bets!$D:$D, U666, Bets!AE:AE), "")</f>
        <v/>
      </c>
      <c r="W666" s="162"/>
      <c r="X666" s="148"/>
      <c r="Y666" s="161"/>
      <c r="Z666" s="146" t="str">
        <f>IF(Y666&lt;&gt;"", SUMIF(Bets!$D:$D, Y666, Bets!AF:AF), "")</f>
        <v/>
      </c>
      <c r="AA666" s="162"/>
      <c r="AB666" s="148"/>
      <c r="AC666" s="161"/>
      <c r="AD666" s="146" t="str">
        <f>IF(AC666&lt;&gt;"", SUMIF(Bets!$D:$D, AC666, Bets!AG:AG), "")</f>
        <v/>
      </c>
      <c r="AE666" s="162"/>
      <c r="AF666" s="148"/>
    </row>
    <row r="667">
      <c r="A667" s="161"/>
      <c r="B667" s="146" t="str">
        <f>IF(A667&lt;&gt;"", SUMIF(Bets!$D:$D, A667, Bets!Z:Z), "")</f>
        <v/>
      </c>
      <c r="C667" s="162"/>
      <c r="D667" s="148"/>
      <c r="E667" s="161"/>
      <c r="F667" s="146" t="str">
        <f>IF(E667&lt;&gt;"", SUMIF(Bets!$D:$D, E667, Bets!AB:AB), "")</f>
        <v/>
      </c>
      <c r="G667" s="162"/>
      <c r="H667" s="148"/>
      <c r="I667" s="161"/>
      <c r="J667" s="146" t="str">
        <f>IF(I667&lt;&gt;"", SUMIF(Bets!$D:$D, I667, Bets!AA:AA), "")</f>
        <v/>
      </c>
      <c r="K667" s="162"/>
      <c r="L667" s="148"/>
      <c r="M667" s="161"/>
      <c r="N667" s="146"/>
      <c r="O667" s="162"/>
      <c r="P667" s="148"/>
      <c r="Q667" s="161"/>
      <c r="R667" s="146" t="str">
        <f>IF(Q667&lt;&gt;"", SUMIF(Bets!$D:$D, Q667, Bets!AD:AD), "")</f>
        <v/>
      </c>
      <c r="S667" s="162"/>
      <c r="T667" s="148"/>
      <c r="U667" s="161"/>
      <c r="V667" s="146" t="str">
        <f>IF(U667&lt;&gt;"", SUMIF(Bets!$D:$D, U667, Bets!AE:AE), "")</f>
        <v/>
      </c>
      <c r="W667" s="162"/>
      <c r="X667" s="148"/>
      <c r="Y667" s="161"/>
      <c r="Z667" s="146" t="str">
        <f>IF(Y667&lt;&gt;"", SUMIF(Bets!$D:$D, Y667, Bets!AF:AF), "")</f>
        <v/>
      </c>
      <c r="AA667" s="162"/>
      <c r="AB667" s="148"/>
      <c r="AC667" s="161"/>
      <c r="AD667" s="146" t="str">
        <f>IF(AC667&lt;&gt;"", SUMIF(Bets!$D:$D, AC667, Bets!AG:AG), "")</f>
        <v/>
      </c>
      <c r="AE667" s="162"/>
      <c r="AF667" s="148"/>
    </row>
    <row r="668">
      <c r="A668" s="161"/>
      <c r="B668" s="146" t="str">
        <f>IF(A668&lt;&gt;"", SUMIF(Bets!$D:$D, A668, Bets!Z:Z), "")</f>
        <v/>
      </c>
      <c r="C668" s="162"/>
      <c r="D668" s="148"/>
      <c r="E668" s="161"/>
      <c r="F668" s="146" t="str">
        <f>IF(E668&lt;&gt;"", SUMIF(Bets!$D:$D, E668, Bets!AB:AB), "")</f>
        <v/>
      </c>
      <c r="G668" s="162"/>
      <c r="H668" s="148"/>
      <c r="I668" s="161"/>
      <c r="J668" s="146" t="str">
        <f>IF(I668&lt;&gt;"", SUMIF(Bets!$D:$D, I668, Bets!AA:AA), "")</f>
        <v/>
      </c>
      <c r="K668" s="162"/>
      <c r="L668" s="148"/>
      <c r="M668" s="161"/>
      <c r="N668" s="146"/>
      <c r="O668" s="162"/>
      <c r="P668" s="148"/>
      <c r="Q668" s="161"/>
      <c r="R668" s="146" t="str">
        <f>IF(Q668&lt;&gt;"", SUMIF(Bets!$D:$D, Q668, Bets!AD:AD), "")</f>
        <v/>
      </c>
      <c r="S668" s="162"/>
      <c r="T668" s="148"/>
      <c r="U668" s="161"/>
      <c r="V668" s="146" t="str">
        <f>IF(U668&lt;&gt;"", SUMIF(Bets!$D:$D, U668, Bets!AE:AE), "")</f>
        <v/>
      </c>
      <c r="W668" s="162"/>
      <c r="X668" s="148"/>
      <c r="Y668" s="161"/>
      <c r="Z668" s="146" t="str">
        <f>IF(Y668&lt;&gt;"", SUMIF(Bets!$D:$D, Y668, Bets!AF:AF), "")</f>
        <v/>
      </c>
      <c r="AA668" s="162"/>
      <c r="AB668" s="148"/>
      <c r="AC668" s="161"/>
      <c r="AD668" s="146" t="str">
        <f>IF(AC668&lt;&gt;"", SUMIF(Bets!$D:$D, AC668, Bets!AG:AG), "")</f>
        <v/>
      </c>
      <c r="AE668" s="162"/>
      <c r="AF668" s="148"/>
    </row>
    <row r="669">
      <c r="A669" s="161"/>
      <c r="B669" s="146" t="str">
        <f>IF(A669&lt;&gt;"", SUMIF(Bets!$D:$D, A669, Bets!Z:Z), "")</f>
        <v/>
      </c>
      <c r="C669" s="162"/>
      <c r="D669" s="148"/>
      <c r="E669" s="161"/>
      <c r="F669" s="146" t="str">
        <f>IF(E669&lt;&gt;"", SUMIF(Bets!$D:$D, E669, Bets!AB:AB), "")</f>
        <v/>
      </c>
      <c r="G669" s="162"/>
      <c r="H669" s="148"/>
      <c r="I669" s="161"/>
      <c r="J669" s="146" t="str">
        <f>IF(I669&lt;&gt;"", SUMIF(Bets!$D:$D, I669, Bets!AA:AA), "")</f>
        <v/>
      </c>
      <c r="K669" s="162"/>
      <c r="L669" s="148"/>
      <c r="M669" s="161"/>
      <c r="N669" s="146"/>
      <c r="O669" s="162"/>
      <c r="P669" s="148"/>
      <c r="Q669" s="161"/>
      <c r="R669" s="146" t="str">
        <f>IF(Q669&lt;&gt;"", SUMIF(Bets!$D:$D, Q669, Bets!AD:AD), "")</f>
        <v/>
      </c>
      <c r="S669" s="162"/>
      <c r="T669" s="148"/>
      <c r="U669" s="161"/>
      <c r="V669" s="146" t="str">
        <f>IF(U669&lt;&gt;"", SUMIF(Bets!$D:$D, U669, Bets!AE:AE), "")</f>
        <v/>
      </c>
      <c r="W669" s="162"/>
      <c r="X669" s="148"/>
      <c r="Y669" s="161"/>
      <c r="Z669" s="146" t="str">
        <f>IF(Y669&lt;&gt;"", SUMIF(Bets!$D:$D, Y669, Bets!AF:AF), "")</f>
        <v/>
      </c>
      <c r="AA669" s="162"/>
      <c r="AB669" s="148"/>
      <c r="AC669" s="161"/>
      <c r="AD669" s="146" t="str">
        <f>IF(AC669&lt;&gt;"", SUMIF(Bets!$D:$D, AC669, Bets!AG:AG), "")</f>
        <v/>
      </c>
      <c r="AE669" s="162"/>
      <c r="AF669" s="148"/>
    </row>
    <row r="670">
      <c r="A670" s="161"/>
      <c r="B670" s="146" t="str">
        <f>IF(A670&lt;&gt;"", SUMIF(Bets!$D:$D, A670, Bets!Z:Z), "")</f>
        <v/>
      </c>
      <c r="C670" s="162"/>
      <c r="D670" s="148"/>
      <c r="E670" s="161"/>
      <c r="F670" s="146" t="str">
        <f>IF(E670&lt;&gt;"", SUMIF(Bets!$D:$D, E670, Bets!AB:AB), "")</f>
        <v/>
      </c>
      <c r="G670" s="162"/>
      <c r="H670" s="148"/>
      <c r="I670" s="161"/>
      <c r="J670" s="146" t="str">
        <f>IF(I670&lt;&gt;"", SUMIF(Bets!$D:$D, I670, Bets!AA:AA), "")</f>
        <v/>
      </c>
      <c r="K670" s="162"/>
      <c r="L670" s="148"/>
      <c r="M670" s="161"/>
      <c r="N670" s="146"/>
      <c r="O670" s="162"/>
      <c r="P670" s="148"/>
      <c r="Q670" s="161"/>
      <c r="R670" s="146" t="str">
        <f>IF(Q670&lt;&gt;"", SUMIF(Bets!$D:$D, Q670, Bets!AD:AD), "")</f>
        <v/>
      </c>
      <c r="S670" s="162"/>
      <c r="T670" s="148"/>
      <c r="U670" s="161"/>
      <c r="V670" s="146" t="str">
        <f>IF(U670&lt;&gt;"", SUMIF(Bets!$D:$D, U670, Bets!AE:AE), "")</f>
        <v/>
      </c>
      <c r="W670" s="162"/>
      <c r="X670" s="148"/>
      <c r="Y670" s="161"/>
      <c r="Z670" s="146" t="str">
        <f>IF(Y670&lt;&gt;"", SUMIF(Bets!$D:$D, Y670, Bets!AF:AF), "")</f>
        <v/>
      </c>
      <c r="AA670" s="162"/>
      <c r="AB670" s="148"/>
      <c r="AC670" s="161"/>
      <c r="AD670" s="146" t="str">
        <f>IF(AC670&lt;&gt;"", SUMIF(Bets!$D:$D, AC670, Bets!AG:AG), "")</f>
        <v/>
      </c>
      <c r="AE670" s="162"/>
      <c r="AF670" s="148"/>
    </row>
    <row r="671">
      <c r="A671" s="161"/>
      <c r="B671" s="146" t="str">
        <f>IF(A671&lt;&gt;"", SUMIF(Bets!$D:$D, A671, Bets!Z:Z), "")</f>
        <v/>
      </c>
      <c r="C671" s="162"/>
      <c r="D671" s="148"/>
      <c r="E671" s="161"/>
      <c r="F671" s="146" t="str">
        <f>IF(E671&lt;&gt;"", SUMIF(Bets!$D:$D, E671, Bets!AB:AB), "")</f>
        <v/>
      </c>
      <c r="G671" s="162"/>
      <c r="H671" s="148"/>
      <c r="I671" s="161"/>
      <c r="J671" s="146" t="str">
        <f>IF(I671&lt;&gt;"", SUMIF(Bets!$D:$D, I671, Bets!AA:AA), "")</f>
        <v/>
      </c>
      <c r="K671" s="162"/>
      <c r="L671" s="148"/>
      <c r="M671" s="161"/>
      <c r="N671" s="146"/>
      <c r="O671" s="162"/>
      <c r="P671" s="148"/>
      <c r="Q671" s="161"/>
      <c r="R671" s="146" t="str">
        <f>IF(Q671&lt;&gt;"", SUMIF(Bets!$D:$D, Q671, Bets!AD:AD), "")</f>
        <v/>
      </c>
      <c r="S671" s="162"/>
      <c r="T671" s="148"/>
      <c r="U671" s="161"/>
      <c r="V671" s="146" t="str">
        <f>IF(U671&lt;&gt;"", SUMIF(Bets!$D:$D, U671, Bets!AE:AE), "")</f>
        <v/>
      </c>
      <c r="W671" s="162"/>
      <c r="X671" s="148"/>
      <c r="Y671" s="161"/>
      <c r="Z671" s="146" t="str">
        <f>IF(Y671&lt;&gt;"", SUMIF(Bets!$D:$D, Y671, Bets!AF:AF), "")</f>
        <v/>
      </c>
      <c r="AA671" s="162"/>
      <c r="AB671" s="148"/>
      <c r="AC671" s="161"/>
      <c r="AD671" s="146" t="str">
        <f>IF(AC671&lt;&gt;"", SUMIF(Bets!$D:$D, AC671, Bets!AG:AG), "")</f>
        <v/>
      </c>
      <c r="AE671" s="162"/>
      <c r="AF671" s="148"/>
    </row>
    <row r="672">
      <c r="A672" s="161"/>
      <c r="B672" s="146" t="str">
        <f>IF(A672&lt;&gt;"", SUMIF(Bets!$D:$D, A672, Bets!Z:Z), "")</f>
        <v/>
      </c>
      <c r="C672" s="162"/>
      <c r="D672" s="148"/>
      <c r="E672" s="161"/>
      <c r="F672" s="146" t="str">
        <f>IF(E672&lt;&gt;"", SUMIF(Bets!$D:$D, E672, Bets!AB:AB), "")</f>
        <v/>
      </c>
      <c r="G672" s="162"/>
      <c r="H672" s="148"/>
      <c r="I672" s="161"/>
      <c r="J672" s="146" t="str">
        <f>IF(I672&lt;&gt;"", SUMIF(Bets!$D:$D, I672, Bets!AA:AA), "")</f>
        <v/>
      </c>
      <c r="K672" s="162"/>
      <c r="L672" s="148"/>
      <c r="M672" s="161"/>
      <c r="N672" s="146"/>
      <c r="O672" s="162"/>
      <c r="P672" s="148"/>
      <c r="Q672" s="161"/>
      <c r="R672" s="146" t="str">
        <f>IF(Q672&lt;&gt;"", SUMIF(Bets!$D:$D, Q672, Bets!AD:AD), "")</f>
        <v/>
      </c>
      <c r="S672" s="162"/>
      <c r="T672" s="148"/>
      <c r="U672" s="161"/>
      <c r="V672" s="146" t="str">
        <f>IF(U672&lt;&gt;"", SUMIF(Bets!$D:$D, U672, Bets!AE:AE), "")</f>
        <v/>
      </c>
      <c r="W672" s="162"/>
      <c r="X672" s="148"/>
      <c r="Y672" s="161"/>
      <c r="Z672" s="146" t="str">
        <f>IF(Y672&lt;&gt;"", SUMIF(Bets!$D:$D, Y672, Bets!AF:AF), "")</f>
        <v/>
      </c>
      <c r="AA672" s="162"/>
      <c r="AB672" s="148"/>
      <c r="AC672" s="161"/>
      <c r="AD672" s="146" t="str">
        <f>IF(AC672&lt;&gt;"", SUMIF(Bets!$D:$D, AC672, Bets!AG:AG), "")</f>
        <v/>
      </c>
      <c r="AE672" s="162"/>
      <c r="AF672" s="148"/>
    </row>
    <row r="673">
      <c r="A673" s="161"/>
      <c r="B673" s="146" t="str">
        <f>IF(A673&lt;&gt;"", SUMIF(Bets!$D:$D, A673, Bets!Z:Z), "")</f>
        <v/>
      </c>
      <c r="C673" s="162"/>
      <c r="D673" s="148"/>
      <c r="E673" s="161"/>
      <c r="F673" s="146" t="str">
        <f>IF(E673&lt;&gt;"", SUMIF(Bets!$D:$D, E673, Bets!AB:AB), "")</f>
        <v/>
      </c>
      <c r="G673" s="162"/>
      <c r="H673" s="148"/>
      <c r="I673" s="161"/>
      <c r="J673" s="146" t="str">
        <f>IF(I673&lt;&gt;"", SUMIF(Bets!$D:$D, I673, Bets!AA:AA), "")</f>
        <v/>
      </c>
      <c r="K673" s="162"/>
      <c r="L673" s="148"/>
      <c r="M673" s="161"/>
      <c r="N673" s="146"/>
      <c r="O673" s="162"/>
      <c r="P673" s="148"/>
      <c r="Q673" s="161"/>
      <c r="R673" s="146" t="str">
        <f>IF(Q673&lt;&gt;"", SUMIF(Bets!$D:$D, Q673, Bets!AD:AD), "")</f>
        <v/>
      </c>
      <c r="S673" s="162"/>
      <c r="T673" s="148"/>
      <c r="U673" s="161"/>
      <c r="V673" s="146" t="str">
        <f>IF(U673&lt;&gt;"", SUMIF(Bets!$D:$D, U673, Bets!AE:AE), "")</f>
        <v/>
      </c>
      <c r="W673" s="162"/>
      <c r="X673" s="148"/>
      <c r="Y673" s="161"/>
      <c r="Z673" s="146" t="str">
        <f>IF(Y673&lt;&gt;"", SUMIF(Bets!$D:$D, Y673, Bets!AF:AF), "")</f>
        <v/>
      </c>
      <c r="AA673" s="162"/>
      <c r="AB673" s="148"/>
      <c r="AC673" s="161"/>
      <c r="AD673" s="146" t="str">
        <f>IF(AC673&lt;&gt;"", SUMIF(Bets!$D:$D, AC673, Bets!AG:AG), "")</f>
        <v/>
      </c>
      <c r="AE673" s="162"/>
      <c r="AF673" s="148"/>
    </row>
    <row r="674">
      <c r="A674" s="161"/>
      <c r="B674" s="146" t="str">
        <f>IF(A674&lt;&gt;"", SUMIF(Bets!$D:$D, A674, Bets!Z:Z), "")</f>
        <v/>
      </c>
      <c r="C674" s="162"/>
      <c r="D674" s="148"/>
      <c r="E674" s="161"/>
      <c r="F674" s="146" t="str">
        <f>IF(E674&lt;&gt;"", SUMIF(Bets!$D:$D, E674, Bets!AB:AB), "")</f>
        <v/>
      </c>
      <c r="G674" s="162"/>
      <c r="H674" s="148"/>
      <c r="I674" s="161"/>
      <c r="J674" s="146" t="str">
        <f>IF(I674&lt;&gt;"", SUMIF(Bets!$D:$D, I674, Bets!AA:AA), "")</f>
        <v/>
      </c>
      <c r="K674" s="162"/>
      <c r="L674" s="148"/>
      <c r="M674" s="161"/>
      <c r="N674" s="146"/>
      <c r="O674" s="162"/>
      <c r="P674" s="148"/>
      <c r="Q674" s="161"/>
      <c r="R674" s="146" t="str">
        <f>IF(Q674&lt;&gt;"", SUMIF(Bets!$D:$D, Q674, Bets!AD:AD), "")</f>
        <v/>
      </c>
      <c r="S674" s="162"/>
      <c r="T674" s="148"/>
      <c r="U674" s="161"/>
      <c r="V674" s="146" t="str">
        <f>IF(U674&lt;&gt;"", SUMIF(Bets!$D:$D, U674, Bets!AE:AE), "")</f>
        <v/>
      </c>
      <c r="W674" s="162"/>
      <c r="X674" s="148"/>
      <c r="Y674" s="161"/>
      <c r="Z674" s="146" t="str">
        <f>IF(Y674&lt;&gt;"", SUMIF(Bets!$D:$D, Y674, Bets!AF:AF), "")</f>
        <v/>
      </c>
      <c r="AA674" s="162"/>
      <c r="AB674" s="148"/>
      <c r="AC674" s="161"/>
      <c r="AD674" s="146" t="str">
        <f>IF(AC674&lt;&gt;"", SUMIF(Bets!$D:$D, AC674, Bets!AG:AG), "")</f>
        <v/>
      </c>
      <c r="AE674" s="162"/>
      <c r="AF674" s="148"/>
    </row>
    <row r="675">
      <c r="A675" s="161"/>
      <c r="B675" s="146" t="str">
        <f>IF(A675&lt;&gt;"", SUMIF(Bets!$D:$D, A675, Bets!Z:Z), "")</f>
        <v/>
      </c>
      <c r="C675" s="162"/>
      <c r="D675" s="148"/>
      <c r="E675" s="161"/>
      <c r="F675" s="146" t="str">
        <f>IF(E675&lt;&gt;"", SUMIF(Bets!$D:$D, E675, Bets!AB:AB), "")</f>
        <v/>
      </c>
      <c r="G675" s="162"/>
      <c r="H675" s="148"/>
      <c r="I675" s="161"/>
      <c r="J675" s="146" t="str">
        <f>IF(I675&lt;&gt;"", SUMIF(Bets!$D:$D, I675, Bets!AA:AA), "")</f>
        <v/>
      </c>
      <c r="K675" s="162"/>
      <c r="L675" s="148"/>
      <c r="M675" s="161"/>
      <c r="N675" s="146"/>
      <c r="O675" s="162"/>
      <c r="P675" s="148"/>
      <c r="Q675" s="161"/>
      <c r="R675" s="146" t="str">
        <f>IF(Q675&lt;&gt;"", SUMIF(Bets!$D:$D, Q675, Bets!AD:AD), "")</f>
        <v/>
      </c>
      <c r="S675" s="162"/>
      <c r="T675" s="148"/>
      <c r="U675" s="161"/>
      <c r="V675" s="146" t="str">
        <f>IF(U675&lt;&gt;"", SUMIF(Bets!$D:$D, U675, Bets!AE:AE), "")</f>
        <v/>
      </c>
      <c r="W675" s="162"/>
      <c r="X675" s="148"/>
      <c r="Y675" s="161"/>
      <c r="Z675" s="146" t="str">
        <f>IF(Y675&lt;&gt;"", SUMIF(Bets!$D:$D, Y675, Bets!AF:AF), "")</f>
        <v/>
      </c>
      <c r="AA675" s="162"/>
      <c r="AB675" s="148"/>
      <c r="AC675" s="161"/>
      <c r="AD675" s="146" t="str">
        <f>IF(AC675&lt;&gt;"", SUMIF(Bets!$D:$D, AC675, Bets!AG:AG), "")</f>
        <v/>
      </c>
      <c r="AE675" s="162"/>
      <c r="AF675" s="148"/>
    </row>
    <row r="676">
      <c r="A676" s="161"/>
      <c r="B676" s="146" t="str">
        <f>IF(A676&lt;&gt;"", SUMIF(Bets!$D:$D, A676, Bets!Z:Z), "")</f>
        <v/>
      </c>
      <c r="C676" s="162"/>
      <c r="D676" s="148"/>
      <c r="E676" s="161"/>
      <c r="F676" s="146" t="str">
        <f>IF(E676&lt;&gt;"", SUMIF(Bets!$D:$D, E676, Bets!AB:AB), "")</f>
        <v/>
      </c>
      <c r="G676" s="162"/>
      <c r="H676" s="148"/>
      <c r="I676" s="161"/>
      <c r="J676" s="146" t="str">
        <f>IF(I676&lt;&gt;"", SUMIF(Bets!$D:$D, I676, Bets!AA:AA), "")</f>
        <v/>
      </c>
      <c r="K676" s="162"/>
      <c r="L676" s="148"/>
      <c r="M676" s="161"/>
      <c r="N676" s="146"/>
      <c r="O676" s="162"/>
      <c r="P676" s="148"/>
      <c r="Q676" s="161"/>
      <c r="R676" s="146" t="str">
        <f>IF(Q676&lt;&gt;"", SUMIF(Bets!$D:$D, Q676, Bets!AD:AD), "")</f>
        <v/>
      </c>
      <c r="S676" s="162"/>
      <c r="T676" s="148"/>
      <c r="U676" s="161"/>
      <c r="V676" s="146" t="str">
        <f>IF(U676&lt;&gt;"", SUMIF(Bets!$D:$D, U676, Bets!AE:AE), "")</f>
        <v/>
      </c>
      <c r="W676" s="162"/>
      <c r="X676" s="148"/>
      <c r="Y676" s="161"/>
      <c r="Z676" s="146" t="str">
        <f>IF(Y676&lt;&gt;"", SUMIF(Bets!$D:$D, Y676, Bets!AF:AF), "")</f>
        <v/>
      </c>
      <c r="AA676" s="162"/>
      <c r="AB676" s="148"/>
      <c r="AC676" s="161"/>
      <c r="AD676" s="146" t="str">
        <f>IF(AC676&lt;&gt;"", SUMIF(Bets!$D:$D, AC676, Bets!AG:AG), "")</f>
        <v/>
      </c>
      <c r="AE676" s="162"/>
      <c r="AF676" s="148"/>
    </row>
    <row r="677">
      <c r="A677" s="161"/>
      <c r="B677" s="146" t="str">
        <f>IF(A677&lt;&gt;"", SUMIF(Bets!$D:$D, A677, Bets!Z:Z), "")</f>
        <v/>
      </c>
      <c r="C677" s="162"/>
      <c r="D677" s="148"/>
      <c r="E677" s="161"/>
      <c r="F677" s="146" t="str">
        <f>IF(E677&lt;&gt;"", SUMIF(Bets!$D:$D, E677, Bets!AB:AB), "")</f>
        <v/>
      </c>
      <c r="G677" s="162"/>
      <c r="H677" s="148"/>
      <c r="I677" s="161"/>
      <c r="J677" s="146" t="str">
        <f>IF(I677&lt;&gt;"", SUMIF(Bets!$D:$D, I677, Bets!AA:AA), "")</f>
        <v/>
      </c>
      <c r="K677" s="162"/>
      <c r="L677" s="148"/>
      <c r="M677" s="161"/>
      <c r="N677" s="146"/>
      <c r="O677" s="162"/>
      <c r="P677" s="148"/>
      <c r="Q677" s="161"/>
      <c r="R677" s="146" t="str">
        <f>IF(Q677&lt;&gt;"", SUMIF(Bets!$D:$D, Q677, Bets!AD:AD), "")</f>
        <v/>
      </c>
      <c r="S677" s="162"/>
      <c r="T677" s="148"/>
      <c r="U677" s="161"/>
      <c r="V677" s="146" t="str">
        <f>IF(U677&lt;&gt;"", SUMIF(Bets!$D:$D, U677, Bets!AE:AE), "")</f>
        <v/>
      </c>
      <c r="W677" s="162"/>
      <c r="X677" s="148"/>
      <c r="Y677" s="161"/>
      <c r="Z677" s="146" t="str">
        <f>IF(Y677&lt;&gt;"", SUMIF(Bets!$D:$D, Y677, Bets!AF:AF), "")</f>
        <v/>
      </c>
      <c r="AA677" s="162"/>
      <c r="AB677" s="148"/>
      <c r="AC677" s="161"/>
      <c r="AD677" s="146" t="str">
        <f>IF(AC677&lt;&gt;"", SUMIF(Bets!$D:$D, AC677, Bets!AG:AG), "")</f>
        <v/>
      </c>
      <c r="AE677" s="162"/>
      <c r="AF677" s="148"/>
    </row>
    <row r="678">
      <c r="A678" s="161"/>
      <c r="B678" s="146" t="str">
        <f>IF(A678&lt;&gt;"", SUMIF(Bets!$D:$D, A678, Bets!Z:Z), "")</f>
        <v/>
      </c>
      <c r="C678" s="162"/>
      <c r="D678" s="148"/>
      <c r="E678" s="161"/>
      <c r="F678" s="146" t="str">
        <f>IF(E678&lt;&gt;"", SUMIF(Bets!$D:$D, E678, Bets!AB:AB), "")</f>
        <v/>
      </c>
      <c r="G678" s="162"/>
      <c r="H678" s="148"/>
      <c r="I678" s="161"/>
      <c r="J678" s="146" t="str">
        <f>IF(I678&lt;&gt;"", SUMIF(Bets!$D:$D, I678, Bets!AA:AA), "")</f>
        <v/>
      </c>
      <c r="K678" s="162"/>
      <c r="L678" s="148"/>
      <c r="M678" s="161"/>
      <c r="N678" s="146"/>
      <c r="O678" s="162"/>
      <c r="P678" s="148"/>
      <c r="Q678" s="161"/>
      <c r="R678" s="146" t="str">
        <f>IF(Q678&lt;&gt;"", SUMIF(Bets!$D:$D, Q678, Bets!AD:AD), "")</f>
        <v/>
      </c>
      <c r="S678" s="162"/>
      <c r="T678" s="148"/>
      <c r="U678" s="161"/>
      <c r="V678" s="146" t="str">
        <f>IF(U678&lt;&gt;"", SUMIF(Bets!$D:$D, U678, Bets!AE:AE), "")</f>
        <v/>
      </c>
      <c r="W678" s="162"/>
      <c r="X678" s="148"/>
      <c r="Y678" s="161"/>
      <c r="Z678" s="146" t="str">
        <f>IF(Y678&lt;&gt;"", SUMIF(Bets!$D:$D, Y678, Bets!AF:AF), "")</f>
        <v/>
      </c>
      <c r="AA678" s="162"/>
      <c r="AB678" s="148"/>
      <c r="AC678" s="161"/>
      <c r="AD678" s="146" t="str">
        <f>IF(AC678&lt;&gt;"", SUMIF(Bets!$D:$D, AC678, Bets!AG:AG), "")</f>
        <v/>
      </c>
      <c r="AE678" s="162"/>
      <c r="AF678" s="148"/>
    </row>
    <row r="679">
      <c r="A679" s="161"/>
      <c r="B679" s="146" t="str">
        <f>IF(A679&lt;&gt;"", SUMIF(Bets!$D:$D, A679, Bets!Z:Z), "")</f>
        <v/>
      </c>
      <c r="C679" s="162"/>
      <c r="D679" s="148"/>
      <c r="E679" s="161"/>
      <c r="F679" s="146" t="str">
        <f>IF(E679&lt;&gt;"", SUMIF(Bets!$D:$D, E679, Bets!AB:AB), "")</f>
        <v/>
      </c>
      <c r="G679" s="162"/>
      <c r="H679" s="148"/>
      <c r="I679" s="161"/>
      <c r="J679" s="146" t="str">
        <f>IF(I679&lt;&gt;"", SUMIF(Bets!$D:$D, I679, Bets!AA:AA), "")</f>
        <v/>
      </c>
      <c r="K679" s="162"/>
      <c r="L679" s="148"/>
      <c r="M679" s="161"/>
      <c r="N679" s="146"/>
      <c r="O679" s="162"/>
      <c r="P679" s="148"/>
      <c r="Q679" s="161"/>
      <c r="R679" s="146" t="str">
        <f>IF(Q679&lt;&gt;"", SUMIF(Bets!$D:$D, Q679, Bets!AD:AD), "")</f>
        <v/>
      </c>
      <c r="S679" s="162"/>
      <c r="T679" s="148"/>
      <c r="U679" s="161"/>
      <c r="V679" s="146" t="str">
        <f>IF(U679&lt;&gt;"", SUMIF(Bets!$D:$D, U679, Bets!AE:AE), "")</f>
        <v/>
      </c>
      <c r="W679" s="162"/>
      <c r="X679" s="148"/>
      <c r="Y679" s="161"/>
      <c r="Z679" s="146" t="str">
        <f>IF(Y679&lt;&gt;"", SUMIF(Bets!$D:$D, Y679, Bets!AF:AF), "")</f>
        <v/>
      </c>
      <c r="AA679" s="162"/>
      <c r="AB679" s="148"/>
      <c r="AC679" s="161"/>
      <c r="AD679" s="146" t="str">
        <f>IF(AC679&lt;&gt;"", SUMIF(Bets!$D:$D, AC679, Bets!AG:AG), "")</f>
        <v/>
      </c>
      <c r="AE679" s="162"/>
      <c r="AF679" s="148"/>
    </row>
    <row r="680">
      <c r="A680" s="161"/>
      <c r="B680" s="146" t="str">
        <f>IF(A680&lt;&gt;"", SUMIF(Bets!$D:$D, A680, Bets!Z:Z), "")</f>
        <v/>
      </c>
      <c r="C680" s="162"/>
      <c r="D680" s="148"/>
      <c r="E680" s="161"/>
      <c r="F680" s="146" t="str">
        <f>IF(E680&lt;&gt;"", SUMIF(Bets!$D:$D, E680, Bets!AB:AB), "")</f>
        <v/>
      </c>
      <c r="G680" s="162"/>
      <c r="H680" s="148"/>
      <c r="I680" s="161"/>
      <c r="J680" s="146" t="str">
        <f>IF(I680&lt;&gt;"", SUMIF(Bets!$D:$D, I680, Bets!AA:AA), "")</f>
        <v/>
      </c>
      <c r="K680" s="162"/>
      <c r="L680" s="148"/>
      <c r="M680" s="161"/>
      <c r="N680" s="146"/>
      <c r="O680" s="162"/>
      <c r="P680" s="148"/>
      <c r="Q680" s="161"/>
      <c r="R680" s="146" t="str">
        <f>IF(Q680&lt;&gt;"", SUMIF(Bets!$D:$D, Q680, Bets!AD:AD), "")</f>
        <v/>
      </c>
      <c r="S680" s="162"/>
      <c r="T680" s="148"/>
      <c r="U680" s="161"/>
      <c r="V680" s="146" t="str">
        <f>IF(U680&lt;&gt;"", SUMIF(Bets!$D:$D, U680, Bets!AE:AE), "")</f>
        <v/>
      </c>
      <c r="W680" s="162"/>
      <c r="X680" s="148"/>
      <c r="Y680" s="161"/>
      <c r="Z680" s="146" t="str">
        <f>IF(Y680&lt;&gt;"", SUMIF(Bets!$D:$D, Y680, Bets!AF:AF), "")</f>
        <v/>
      </c>
      <c r="AA680" s="162"/>
      <c r="AB680" s="148"/>
      <c r="AC680" s="161"/>
      <c r="AD680" s="146" t="str">
        <f>IF(AC680&lt;&gt;"", SUMIF(Bets!$D:$D, AC680, Bets!AG:AG), "")</f>
        <v/>
      </c>
      <c r="AE680" s="162"/>
      <c r="AF680" s="148"/>
    </row>
    <row r="681">
      <c r="A681" s="161"/>
      <c r="B681" s="146" t="str">
        <f>IF(A681&lt;&gt;"", SUMIF(Bets!$D:$D, A681, Bets!Z:Z), "")</f>
        <v/>
      </c>
      <c r="C681" s="162"/>
      <c r="D681" s="148"/>
      <c r="E681" s="161"/>
      <c r="F681" s="146" t="str">
        <f>IF(E681&lt;&gt;"", SUMIF(Bets!$D:$D, E681, Bets!AB:AB), "")</f>
        <v/>
      </c>
      <c r="G681" s="162"/>
      <c r="H681" s="148"/>
      <c r="I681" s="161"/>
      <c r="J681" s="146" t="str">
        <f>IF(I681&lt;&gt;"", SUMIF(Bets!$D:$D, I681, Bets!AA:AA), "")</f>
        <v/>
      </c>
      <c r="K681" s="162"/>
      <c r="L681" s="148"/>
      <c r="M681" s="161"/>
      <c r="N681" s="146"/>
      <c r="O681" s="162"/>
      <c r="P681" s="148"/>
      <c r="Q681" s="161"/>
      <c r="R681" s="146" t="str">
        <f>IF(Q681&lt;&gt;"", SUMIF(Bets!$D:$D, Q681, Bets!AD:AD), "")</f>
        <v/>
      </c>
      <c r="S681" s="162"/>
      <c r="T681" s="148"/>
      <c r="U681" s="161"/>
      <c r="V681" s="146" t="str">
        <f>IF(U681&lt;&gt;"", SUMIF(Bets!$D:$D, U681, Bets!AE:AE), "")</f>
        <v/>
      </c>
      <c r="W681" s="162"/>
      <c r="X681" s="148"/>
      <c r="Y681" s="161"/>
      <c r="Z681" s="146" t="str">
        <f>IF(Y681&lt;&gt;"", SUMIF(Bets!$D:$D, Y681, Bets!AF:AF), "")</f>
        <v/>
      </c>
      <c r="AA681" s="162"/>
      <c r="AB681" s="148"/>
      <c r="AC681" s="161"/>
      <c r="AD681" s="146" t="str">
        <f>IF(AC681&lt;&gt;"", SUMIF(Bets!$D:$D, AC681, Bets!AG:AG), "")</f>
        <v/>
      </c>
      <c r="AE681" s="162"/>
      <c r="AF681" s="148"/>
    </row>
    <row r="682">
      <c r="A682" s="161"/>
      <c r="B682" s="146" t="str">
        <f>IF(A682&lt;&gt;"", SUMIF(Bets!$D:$D, A682, Bets!Z:Z), "")</f>
        <v/>
      </c>
      <c r="C682" s="162"/>
      <c r="D682" s="148"/>
      <c r="E682" s="161"/>
      <c r="F682" s="146" t="str">
        <f>IF(E682&lt;&gt;"", SUMIF(Bets!$D:$D, E682, Bets!AB:AB), "")</f>
        <v/>
      </c>
      <c r="G682" s="162"/>
      <c r="H682" s="148"/>
      <c r="I682" s="161"/>
      <c r="J682" s="146" t="str">
        <f>IF(I682&lt;&gt;"", SUMIF(Bets!$D:$D, I682, Bets!AA:AA), "")</f>
        <v/>
      </c>
      <c r="K682" s="162"/>
      <c r="L682" s="148"/>
      <c r="M682" s="161"/>
      <c r="N682" s="146"/>
      <c r="O682" s="162"/>
      <c r="P682" s="148"/>
      <c r="Q682" s="161"/>
      <c r="R682" s="146" t="str">
        <f>IF(Q682&lt;&gt;"", SUMIF(Bets!$D:$D, Q682, Bets!AD:AD), "")</f>
        <v/>
      </c>
      <c r="S682" s="162"/>
      <c r="T682" s="148"/>
      <c r="U682" s="161"/>
      <c r="V682" s="146" t="str">
        <f>IF(U682&lt;&gt;"", SUMIF(Bets!$D:$D, U682, Bets!AE:AE), "")</f>
        <v/>
      </c>
      <c r="W682" s="162"/>
      <c r="X682" s="148"/>
      <c r="Y682" s="161"/>
      <c r="Z682" s="146" t="str">
        <f>IF(Y682&lt;&gt;"", SUMIF(Bets!$D:$D, Y682, Bets!AF:AF), "")</f>
        <v/>
      </c>
      <c r="AA682" s="162"/>
      <c r="AB682" s="148"/>
      <c r="AC682" s="161"/>
      <c r="AD682" s="146" t="str">
        <f>IF(AC682&lt;&gt;"", SUMIF(Bets!$D:$D, AC682, Bets!AG:AG), "")</f>
        <v/>
      </c>
      <c r="AE682" s="162"/>
      <c r="AF682" s="148"/>
    </row>
    <row r="683">
      <c r="A683" s="161"/>
      <c r="B683" s="146" t="str">
        <f>IF(A683&lt;&gt;"", SUMIF(Bets!$D:$D, A683, Bets!Z:Z), "")</f>
        <v/>
      </c>
      <c r="C683" s="162"/>
      <c r="D683" s="148"/>
      <c r="E683" s="161"/>
      <c r="F683" s="146" t="str">
        <f>IF(E683&lt;&gt;"", SUMIF(Bets!$D:$D, E683, Bets!AB:AB), "")</f>
        <v/>
      </c>
      <c r="G683" s="162"/>
      <c r="H683" s="148"/>
      <c r="I683" s="161"/>
      <c r="J683" s="146" t="str">
        <f>IF(I683&lt;&gt;"", SUMIF(Bets!$D:$D, I683, Bets!AA:AA), "")</f>
        <v/>
      </c>
      <c r="K683" s="162"/>
      <c r="L683" s="148"/>
      <c r="M683" s="161"/>
      <c r="N683" s="146"/>
      <c r="O683" s="162"/>
      <c r="P683" s="148"/>
      <c r="Q683" s="161"/>
      <c r="R683" s="146" t="str">
        <f>IF(Q683&lt;&gt;"", SUMIF(Bets!$D:$D, Q683, Bets!AD:AD), "")</f>
        <v/>
      </c>
      <c r="S683" s="162"/>
      <c r="T683" s="148"/>
      <c r="U683" s="161"/>
      <c r="V683" s="146" t="str">
        <f>IF(U683&lt;&gt;"", SUMIF(Bets!$D:$D, U683, Bets!AE:AE), "")</f>
        <v/>
      </c>
      <c r="W683" s="162"/>
      <c r="X683" s="148"/>
      <c r="Y683" s="161"/>
      <c r="Z683" s="146" t="str">
        <f>IF(Y683&lt;&gt;"", SUMIF(Bets!$D:$D, Y683, Bets!AF:AF), "")</f>
        <v/>
      </c>
      <c r="AA683" s="162"/>
      <c r="AB683" s="148"/>
      <c r="AC683" s="161"/>
      <c r="AD683" s="146" t="str">
        <f>IF(AC683&lt;&gt;"", SUMIF(Bets!$D:$D, AC683, Bets!AG:AG), "")</f>
        <v/>
      </c>
      <c r="AE683" s="162"/>
      <c r="AF683" s="148"/>
    </row>
    <row r="684">
      <c r="A684" s="161"/>
      <c r="B684" s="146" t="str">
        <f>IF(A684&lt;&gt;"", SUMIF(Bets!$D:$D, A684, Bets!Z:Z), "")</f>
        <v/>
      </c>
      <c r="C684" s="162"/>
      <c r="D684" s="148"/>
      <c r="E684" s="161"/>
      <c r="F684" s="146" t="str">
        <f>IF(E684&lt;&gt;"", SUMIF(Bets!$D:$D, E684, Bets!AB:AB), "")</f>
        <v/>
      </c>
      <c r="G684" s="162"/>
      <c r="H684" s="148"/>
      <c r="I684" s="161"/>
      <c r="J684" s="146" t="str">
        <f>IF(I684&lt;&gt;"", SUMIF(Bets!$D:$D, I684, Bets!AA:AA), "")</f>
        <v/>
      </c>
      <c r="K684" s="162"/>
      <c r="L684" s="148"/>
      <c r="M684" s="161"/>
      <c r="N684" s="146"/>
      <c r="O684" s="162"/>
      <c r="P684" s="148"/>
      <c r="Q684" s="161"/>
      <c r="R684" s="146" t="str">
        <f>IF(Q684&lt;&gt;"", SUMIF(Bets!$D:$D, Q684, Bets!AD:AD), "")</f>
        <v/>
      </c>
      <c r="S684" s="162"/>
      <c r="T684" s="148"/>
      <c r="U684" s="161"/>
      <c r="V684" s="146" t="str">
        <f>IF(U684&lt;&gt;"", SUMIF(Bets!$D:$D, U684, Bets!AE:AE), "")</f>
        <v/>
      </c>
      <c r="W684" s="162"/>
      <c r="X684" s="148"/>
      <c r="Y684" s="161"/>
      <c r="Z684" s="146" t="str">
        <f>IF(Y684&lt;&gt;"", SUMIF(Bets!$D:$D, Y684, Bets!AF:AF), "")</f>
        <v/>
      </c>
      <c r="AA684" s="162"/>
      <c r="AB684" s="148"/>
      <c r="AC684" s="161"/>
      <c r="AD684" s="146" t="str">
        <f>IF(AC684&lt;&gt;"", SUMIF(Bets!$D:$D, AC684, Bets!AG:AG), "")</f>
        <v/>
      </c>
      <c r="AE684" s="162"/>
      <c r="AF684" s="148"/>
    </row>
    <row r="685">
      <c r="A685" s="161"/>
      <c r="B685" s="146" t="str">
        <f>IF(A685&lt;&gt;"", SUMIF(Bets!$D:$D, A685, Bets!Z:Z), "")</f>
        <v/>
      </c>
      <c r="C685" s="162"/>
      <c r="D685" s="148"/>
      <c r="E685" s="161"/>
      <c r="F685" s="146" t="str">
        <f>IF(E685&lt;&gt;"", SUMIF(Bets!$D:$D, E685, Bets!AB:AB), "")</f>
        <v/>
      </c>
      <c r="G685" s="162"/>
      <c r="H685" s="148"/>
      <c r="I685" s="161"/>
      <c r="J685" s="146" t="str">
        <f>IF(I685&lt;&gt;"", SUMIF(Bets!$D:$D, I685, Bets!AA:AA), "")</f>
        <v/>
      </c>
      <c r="K685" s="162"/>
      <c r="L685" s="148"/>
      <c r="M685" s="161"/>
      <c r="N685" s="146"/>
      <c r="O685" s="162"/>
      <c r="P685" s="148"/>
      <c r="Q685" s="161"/>
      <c r="R685" s="146" t="str">
        <f>IF(Q685&lt;&gt;"", SUMIF(Bets!$D:$D, Q685, Bets!AD:AD), "")</f>
        <v/>
      </c>
      <c r="S685" s="162"/>
      <c r="T685" s="148"/>
      <c r="U685" s="161"/>
      <c r="V685" s="146" t="str">
        <f>IF(U685&lt;&gt;"", SUMIF(Bets!$D:$D, U685, Bets!AE:AE), "")</f>
        <v/>
      </c>
      <c r="W685" s="162"/>
      <c r="X685" s="148"/>
      <c r="Y685" s="161"/>
      <c r="Z685" s="146" t="str">
        <f>IF(Y685&lt;&gt;"", SUMIF(Bets!$D:$D, Y685, Bets!AF:AF), "")</f>
        <v/>
      </c>
      <c r="AA685" s="162"/>
      <c r="AB685" s="148"/>
      <c r="AC685" s="161"/>
      <c r="AD685" s="146" t="str">
        <f>IF(AC685&lt;&gt;"", SUMIF(Bets!$D:$D, AC685, Bets!AG:AG), "")</f>
        <v/>
      </c>
      <c r="AE685" s="162"/>
      <c r="AF685" s="148"/>
    </row>
    <row r="686">
      <c r="A686" s="161"/>
      <c r="B686" s="146" t="str">
        <f>IF(A686&lt;&gt;"", SUMIF(Bets!$D:$D, A686, Bets!Z:Z), "")</f>
        <v/>
      </c>
      <c r="C686" s="162"/>
      <c r="D686" s="148"/>
      <c r="E686" s="161"/>
      <c r="F686" s="146" t="str">
        <f>IF(E686&lt;&gt;"", SUMIF(Bets!$D:$D, E686, Bets!AB:AB), "")</f>
        <v/>
      </c>
      <c r="G686" s="162"/>
      <c r="H686" s="148"/>
      <c r="I686" s="161"/>
      <c r="J686" s="146" t="str">
        <f>IF(I686&lt;&gt;"", SUMIF(Bets!$D:$D, I686, Bets!AA:AA), "")</f>
        <v/>
      </c>
      <c r="K686" s="162"/>
      <c r="L686" s="148"/>
      <c r="M686" s="161"/>
      <c r="N686" s="146"/>
      <c r="O686" s="162"/>
      <c r="P686" s="148"/>
      <c r="Q686" s="161"/>
      <c r="R686" s="146" t="str">
        <f>IF(Q686&lt;&gt;"", SUMIF(Bets!$D:$D, Q686, Bets!AD:AD), "")</f>
        <v/>
      </c>
      <c r="S686" s="162"/>
      <c r="T686" s="148"/>
      <c r="U686" s="161"/>
      <c r="V686" s="146" t="str">
        <f>IF(U686&lt;&gt;"", SUMIF(Bets!$D:$D, U686, Bets!AE:AE), "")</f>
        <v/>
      </c>
      <c r="W686" s="162"/>
      <c r="X686" s="148"/>
      <c r="Y686" s="161"/>
      <c r="Z686" s="146" t="str">
        <f>IF(Y686&lt;&gt;"", SUMIF(Bets!$D:$D, Y686, Bets!AF:AF), "")</f>
        <v/>
      </c>
      <c r="AA686" s="162"/>
      <c r="AB686" s="148"/>
      <c r="AC686" s="161"/>
      <c r="AD686" s="146" t="str">
        <f>IF(AC686&lt;&gt;"", SUMIF(Bets!$D:$D, AC686, Bets!AG:AG), "")</f>
        <v/>
      </c>
      <c r="AE686" s="162"/>
      <c r="AF686" s="148"/>
    </row>
    <row r="687">
      <c r="A687" s="161"/>
      <c r="B687" s="146" t="str">
        <f>IF(A687&lt;&gt;"", SUMIF(Bets!$D:$D, A687, Bets!Z:Z), "")</f>
        <v/>
      </c>
      <c r="C687" s="162"/>
      <c r="D687" s="148"/>
      <c r="E687" s="161"/>
      <c r="F687" s="146" t="str">
        <f>IF(E687&lt;&gt;"", SUMIF(Bets!$D:$D, E687, Bets!AB:AB), "")</f>
        <v/>
      </c>
      <c r="G687" s="162"/>
      <c r="H687" s="148"/>
      <c r="I687" s="161"/>
      <c r="J687" s="146" t="str">
        <f>IF(I687&lt;&gt;"", SUMIF(Bets!$D:$D, I687, Bets!AA:AA), "")</f>
        <v/>
      </c>
      <c r="K687" s="162"/>
      <c r="L687" s="148"/>
      <c r="M687" s="161"/>
      <c r="N687" s="146"/>
      <c r="O687" s="162"/>
      <c r="P687" s="148"/>
      <c r="Q687" s="161"/>
      <c r="R687" s="146" t="str">
        <f>IF(Q687&lt;&gt;"", SUMIF(Bets!$D:$D, Q687, Bets!AD:AD), "")</f>
        <v/>
      </c>
      <c r="S687" s="162"/>
      <c r="T687" s="148"/>
      <c r="U687" s="161"/>
      <c r="V687" s="146" t="str">
        <f>IF(U687&lt;&gt;"", SUMIF(Bets!$D:$D, U687, Bets!AE:AE), "")</f>
        <v/>
      </c>
      <c r="W687" s="162"/>
      <c r="X687" s="148"/>
      <c r="Y687" s="161"/>
      <c r="Z687" s="146" t="str">
        <f>IF(Y687&lt;&gt;"", SUMIF(Bets!$D:$D, Y687, Bets!AF:AF), "")</f>
        <v/>
      </c>
      <c r="AA687" s="162"/>
      <c r="AB687" s="148"/>
      <c r="AC687" s="161"/>
      <c r="AD687" s="146" t="str">
        <f>IF(AC687&lt;&gt;"", SUMIF(Bets!$D:$D, AC687, Bets!AG:AG), "")</f>
        <v/>
      </c>
      <c r="AE687" s="162"/>
      <c r="AF687" s="148"/>
    </row>
    <row r="688">
      <c r="A688" s="161"/>
      <c r="B688" s="146" t="str">
        <f>IF(A688&lt;&gt;"", SUMIF(Bets!$D:$D, A688, Bets!Z:Z), "")</f>
        <v/>
      </c>
      <c r="C688" s="162"/>
      <c r="D688" s="148"/>
      <c r="E688" s="161"/>
      <c r="F688" s="146" t="str">
        <f>IF(E688&lt;&gt;"", SUMIF(Bets!$D:$D, E688, Bets!AB:AB), "")</f>
        <v/>
      </c>
      <c r="G688" s="162"/>
      <c r="H688" s="148"/>
      <c r="I688" s="161"/>
      <c r="J688" s="146" t="str">
        <f>IF(I688&lt;&gt;"", SUMIF(Bets!$D:$D, I688, Bets!AA:AA), "")</f>
        <v/>
      </c>
      <c r="K688" s="162"/>
      <c r="L688" s="148"/>
      <c r="M688" s="161"/>
      <c r="N688" s="146"/>
      <c r="O688" s="162"/>
      <c r="P688" s="148"/>
      <c r="Q688" s="161"/>
      <c r="R688" s="146" t="str">
        <f>IF(Q688&lt;&gt;"", SUMIF(Bets!$D:$D, Q688, Bets!AD:AD), "")</f>
        <v/>
      </c>
      <c r="S688" s="162"/>
      <c r="T688" s="148"/>
      <c r="U688" s="161"/>
      <c r="V688" s="146" t="str">
        <f>IF(U688&lt;&gt;"", SUMIF(Bets!$D:$D, U688, Bets!AE:AE), "")</f>
        <v/>
      </c>
      <c r="W688" s="162"/>
      <c r="X688" s="148"/>
      <c r="Y688" s="161"/>
      <c r="Z688" s="146" t="str">
        <f>IF(Y688&lt;&gt;"", SUMIF(Bets!$D:$D, Y688, Bets!AF:AF), "")</f>
        <v/>
      </c>
      <c r="AA688" s="162"/>
      <c r="AB688" s="148"/>
      <c r="AC688" s="161"/>
      <c r="AD688" s="146" t="str">
        <f>IF(AC688&lt;&gt;"", SUMIF(Bets!$D:$D, AC688, Bets!AG:AG), "")</f>
        <v/>
      </c>
      <c r="AE688" s="162"/>
      <c r="AF688" s="148"/>
    </row>
    <row r="689">
      <c r="A689" s="161"/>
      <c r="B689" s="146" t="str">
        <f>IF(A689&lt;&gt;"", SUMIF(Bets!$D:$D, A689, Bets!Z:Z), "")</f>
        <v/>
      </c>
      <c r="C689" s="162"/>
      <c r="D689" s="148"/>
      <c r="E689" s="161"/>
      <c r="F689" s="146" t="str">
        <f>IF(E689&lt;&gt;"", SUMIF(Bets!$D:$D, E689, Bets!AB:AB), "")</f>
        <v/>
      </c>
      <c r="G689" s="162"/>
      <c r="H689" s="148"/>
      <c r="I689" s="161"/>
      <c r="J689" s="146" t="str">
        <f>IF(I689&lt;&gt;"", SUMIF(Bets!$D:$D, I689, Bets!AA:AA), "")</f>
        <v/>
      </c>
      <c r="K689" s="162"/>
      <c r="L689" s="148"/>
      <c r="M689" s="161"/>
      <c r="N689" s="146"/>
      <c r="O689" s="162"/>
      <c r="P689" s="148"/>
      <c r="Q689" s="161"/>
      <c r="R689" s="146" t="str">
        <f>IF(Q689&lt;&gt;"", SUMIF(Bets!$D:$D, Q689, Bets!AD:AD), "")</f>
        <v/>
      </c>
      <c r="S689" s="162"/>
      <c r="T689" s="148"/>
      <c r="U689" s="161"/>
      <c r="V689" s="146" t="str">
        <f>IF(U689&lt;&gt;"", SUMIF(Bets!$D:$D, U689, Bets!AE:AE), "")</f>
        <v/>
      </c>
      <c r="W689" s="162"/>
      <c r="X689" s="148"/>
      <c r="Y689" s="161"/>
      <c r="Z689" s="146" t="str">
        <f>IF(Y689&lt;&gt;"", SUMIF(Bets!$D:$D, Y689, Bets!AF:AF), "")</f>
        <v/>
      </c>
      <c r="AA689" s="162"/>
      <c r="AB689" s="148"/>
      <c r="AC689" s="161"/>
      <c r="AD689" s="146" t="str">
        <f>IF(AC689&lt;&gt;"", SUMIF(Bets!$D:$D, AC689, Bets!AG:AG), "")</f>
        <v/>
      </c>
      <c r="AE689" s="162"/>
      <c r="AF689" s="148"/>
    </row>
    <row r="690">
      <c r="A690" s="161"/>
      <c r="B690" s="146" t="str">
        <f>IF(A690&lt;&gt;"", SUMIF(Bets!$D:$D, A690, Bets!Z:Z), "")</f>
        <v/>
      </c>
      <c r="C690" s="162"/>
      <c r="D690" s="148"/>
      <c r="E690" s="161"/>
      <c r="F690" s="146" t="str">
        <f>IF(E690&lt;&gt;"", SUMIF(Bets!$D:$D, E690, Bets!AB:AB), "")</f>
        <v/>
      </c>
      <c r="G690" s="162"/>
      <c r="H690" s="148"/>
      <c r="I690" s="161"/>
      <c r="J690" s="146" t="str">
        <f>IF(I690&lt;&gt;"", SUMIF(Bets!$D:$D, I690, Bets!AA:AA), "")</f>
        <v/>
      </c>
      <c r="K690" s="162"/>
      <c r="L690" s="148"/>
      <c r="M690" s="161"/>
      <c r="N690" s="146"/>
      <c r="O690" s="162"/>
      <c r="P690" s="148"/>
      <c r="Q690" s="161"/>
      <c r="R690" s="146" t="str">
        <f>IF(Q690&lt;&gt;"", SUMIF(Bets!$D:$D, Q690, Bets!AD:AD), "")</f>
        <v/>
      </c>
      <c r="S690" s="162"/>
      <c r="T690" s="148"/>
      <c r="U690" s="161"/>
      <c r="V690" s="146" t="str">
        <f>IF(U690&lt;&gt;"", SUMIF(Bets!$D:$D, U690, Bets!AE:AE), "")</f>
        <v/>
      </c>
      <c r="W690" s="162"/>
      <c r="X690" s="148"/>
      <c r="Y690" s="161"/>
      <c r="Z690" s="146" t="str">
        <f>IF(Y690&lt;&gt;"", SUMIF(Bets!$D:$D, Y690, Bets!AF:AF), "")</f>
        <v/>
      </c>
      <c r="AA690" s="162"/>
      <c r="AB690" s="148"/>
      <c r="AC690" s="161"/>
      <c r="AD690" s="146" t="str">
        <f>IF(AC690&lt;&gt;"", SUMIF(Bets!$D:$D, AC690, Bets!AG:AG), "")</f>
        <v/>
      </c>
      <c r="AE690" s="162"/>
      <c r="AF690" s="148"/>
    </row>
    <row r="691">
      <c r="A691" s="161"/>
      <c r="B691" s="146" t="str">
        <f>IF(A691&lt;&gt;"", SUMIF(Bets!$D:$D, A691, Bets!Z:Z), "")</f>
        <v/>
      </c>
      <c r="C691" s="162"/>
      <c r="D691" s="148"/>
      <c r="E691" s="161"/>
      <c r="F691" s="146" t="str">
        <f>IF(E691&lt;&gt;"", SUMIF(Bets!$D:$D, E691, Bets!AB:AB), "")</f>
        <v/>
      </c>
      <c r="G691" s="162"/>
      <c r="H691" s="148"/>
      <c r="I691" s="161"/>
      <c r="J691" s="146" t="str">
        <f>IF(I691&lt;&gt;"", SUMIF(Bets!$D:$D, I691, Bets!AA:AA), "")</f>
        <v/>
      </c>
      <c r="K691" s="162"/>
      <c r="L691" s="148"/>
      <c r="M691" s="161"/>
      <c r="N691" s="146"/>
      <c r="O691" s="162"/>
      <c r="P691" s="148"/>
      <c r="Q691" s="161"/>
      <c r="R691" s="146" t="str">
        <f>IF(Q691&lt;&gt;"", SUMIF(Bets!$D:$D, Q691, Bets!AD:AD), "")</f>
        <v/>
      </c>
      <c r="S691" s="162"/>
      <c r="T691" s="148"/>
      <c r="U691" s="161"/>
      <c r="V691" s="146" t="str">
        <f>IF(U691&lt;&gt;"", SUMIF(Bets!$D:$D, U691, Bets!AE:AE), "")</f>
        <v/>
      </c>
      <c r="W691" s="162"/>
      <c r="X691" s="148"/>
      <c r="Y691" s="161"/>
      <c r="Z691" s="146" t="str">
        <f>IF(Y691&lt;&gt;"", SUMIF(Bets!$D:$D, Y691, Bets!AF:AF), "")</f>
        <v/>
      </c>
      <c r="AA691" s="162"/>
      <c r="AB691" s="148"/>
      <c r="AC691" s="161"/>
      <c r="AD691" s="146" t="str">
        <f>IF(AC691&lt;&gt;"", SUMIF(Bets!$D:$D, AC691, Bets!AG:AG), "")</f>
        <v/>
      </c>
      <c r="AE691" s="162"/>
      <c r="AF691" s="148"/>
    </row>
    <row r="692">
      <c r="A692" s="161"/>
      <c r="B692" s="146" t="str">
        <f>IF(A692&lt;&gt;"", SUMIF(Bets!$D:$D, A692, Bets!Z:Z), "")</f>
        <v/>
      </c>
      <c r="C692" s="162"/>
      <c r="D692" s="148"/>
      <c r="E692" s="161"/>
      <c r="F692" s="146" t="str">
        <f>IF(E692&lt;&gt;"", SUMIF(Bets!$D:$D, E692, Bets!AB:AB), "")</f>
        <v/>
      </c>
      <c r="G692" s="162"/>
      <c r="H692" s="148"/>
      <c r="I692" s="161"/>
      <c r="J692" s="146" t="str">
        <f>IF(I692&lt;&gt;"", SUMIF(Bets!$D:$D, I692, Bets!AA:AA), "")</f>
        <v/>
      </c>
      <c r="K692" s="162"/>
      <c r="L692" s="148"/>
      <c r="M692" s="161"/>
      <c r="N692" s="146"/>
      <c r="O692" s="162"/>
      <c r="P692" s="148"/>
      <c r="Q692" s="161"/>
      <c r="R692" s="146" t="str">
        <f>IF(Q692&lt;&gt;"", SUMIF(Bets!$D:$D, Q692, Bets!AD:AD), "")</f>
        <v/>
      </c>
      <c r="S692" s="162"/>
      <c r="T692" s="148"/>
      <c r="U692" s="161"/>
      <c r="V692" s="146" t="str">
        <f>IF(U692&lt;&gt;"", SUMIF(Bets!$D:$D, U692, Bets!AE:AE), "")</f>
        <v/>
      </c>
      <c r="W692" s="162"/>
      <c r="X692" s="148"/>
      <c r="Y692" s="161"/>
      <c r="Z692" s="146" t="str">
        <f>IF(Y692&lt;&gt;"", SUMIF(Bets!$D:$D, Y692, Bets!AF:AF), "")</f>
        <v/>
      </c>
      <c r="AA692" s="162"/>
      <c r="AB692" s="148"/>
      <c r="AC692" s="161"/>
      <c r="AD692" s="146" t="str">
        <f>IF(AC692&lt;&gt;"", SUMIF(Bets!$D:$D, AC692, Bets!AG:AG), "")</f>
        <v/>
      </c>
      <c r="AE692" s="162"/>
      <c r="AF692" s="148"/>
    </row>
    <row r="693">
      <c r="A693" s="161"/>
      <c r="B693" s="146" t="str">
        <f>IF(A693&lt;&gt;"", SUMIF(Bets!$D:$D, A693, Bets!Z:Z), "")</f>
        <v/>
      </c>
      <c r="C693" s="162"/>
      <c r="D693" s="148"/>
      <c r="E693" s="161"/>
      <c r="F693" s="146" t="str">
        <f>IF(E693&lt;&gt;"", SUMIF(Bets!$D:$D, E693, Bets!AB:AB), "")</f>
        <v/>
      </c>
      <c r="G693" s="162"/>
      <c r="H693" s="148"/>
      <c r="I693" s="161"/>
      <c r="J693" s="146" t="str">
        <f>IF(I693&lt;&gt;"", SUMIF(Bets!$D:$D, I693, Bets!AA:AA), "")</f>
        <v/>
      </c>
      <c r="K693" s="162"/>
      <c r="L693" s="148"/>
      <c r="M693" s="161"/>
      <c r="N693" s="146"/>
      <c r="O693" s="162"/>
      <c r="P693" s="148"/>
      <c r="Q693" s="161"/>
      <c r="R693" s="146" t="str">
        <f>IF(Q693&lt;&gt;"", SUMIF(Bets!$D:$D, Q693, Bets!AD:AD), "")</f>
        <v/>
      </c>
      <c r="S693" s="162"/>
      <c r="T693" s="148"/>
      <c r="U693" s="161"/>
      <c r="V693" s="146" t="str">
        <f>IF(U693&lt;&gt;"", SUMIF(Bets!$D:$D, U693, Bets!AE:AE), "")</f>
        <v/>
      </c>
      <c r="W693" s="162"/>
      <c r="X693" s="148"/>
      <c r="Y693" s="161"/>
      <c r="Z693" s="146" t="str">
        <f>IF(Y693&lt;&gt;"", SUMIF(Bets!$D:$D, Y693, Bets!AF:AF), "")</f>
        <v/>
      </c>
      <c r="AA693" s="162"/>
      <c r="AB693" s="148"/>
      <c r="AC693" s="161"/>
      <c r="AD693" s="146" t="str">
        <f>IF(AC693&lt;&gt;"", SUMIF(Bets!$D:$D, AC693, Bets!AG:AG), "")</f>
        <v/>
      </c>
      <c r="AE693" s="162"/>
      <c r="AF693" s="148"/>
    </row>
    <row r="694">
      <c r="A694" s="161"/>
      <c r="B694" s="146" t="str">
        <f>IF(A694&lt;&gt;"", SUMIF(Bets!$D:$D, A694, Bets!Z:Z), "")</f>
        <v/>
      </c>
      <c r="C694" s="162"/>
      <c r="D694" s="148"/>
      <c r="E694" s="161"/>
      <c r="F694" s="146" t="str">
        <f>IF(E694&lt;&gt;"", SUMIF(Bets!$D:$D, E694, Bets!AB:AB), "")</f>
        <v/>
      </c>
      <c r="G694" s="162"/>
      <c r="H694" s="148"/>
      <c r="I694" s="161"/>
      <c r="J694" s="146" t="str">
        <f>IF(I694&lt;&gt;"", SUMIF(Bets!$D:$D, I694, Bets!AA:AA), "")</f>
        <v/>
      </c>
      <c r="K694" s="162"/>
      <c r="L694" s="148"/>
      <c r="M694" s="161"/>
      <c r="N694" s="146"/>
      <c r="O694" s="162"/>
      <c r="P694" s="148"/>
      <c r="Q694" s="161"/>
      <c r="R694" s="146" t="str">
        <f>IF(Q694&lt;&gt;"", SUMIF(Bets!$D:$D, Q694, Bets!AD:AD), "")</f>
        <v/>
      </c>
      <c r="S694" s="162"/>
      <c r="T694" s="148"/>
      <c r="U694" s="161"/>
      <c r="V694" s="146" t="str">
        <f>IF(U694&lt;&gt;"", SUMIF(Bets!$D:$D, U694, Bets!AE:AE), "")</f>
        <v/>
      </c>
      <c r="W694" s="162"/>
      <c r="X694" s="148"/>
      <c r="Y694" s="161"/>
      <c r="Z694" s="146" t="str">
        <f>IF(Y694&lt;&gt;"", SUMIF(Bets!$D:$D, Y694, Bets!AF:AF), "")</f>
        <v/>
      </c>
      <c r="AA694" s="162"/>
      <c r="AB694" s="148"/>
      <c r="AC694" s="161"/>
      <c r="AD694" s="146" t="str">
        <f>IF(AC694&lt;&gt;"", SUMIF(Bets!$D:$D, AC694, Bets!AG:AG), "")</f>
        <v/>
      </c>
      <c r="AE694" s="162"/>
      <c r="AF694" s="148"/>
    </row>
    <row r="695">
      <c r="A695" s="161"/>
      <c r="B695" s="146" t="str">
        <f>IF(A695&lt;&gt;"", SUMIF(Bets!$D:$D, A695, Bets!Z:Z), "")</f>
        <v/>
      </c>
      <c r="C695" s="162"/>
      <c r="D695" s="148"/>
      <c r="E695" s="161"/>
      <c r="F695" s="146" t="str">
        <f>IF(E695&lt;&gt;"", SUMIF(Bets!$D:$D, E695, Bets!AB:AB), "")</f>
        <v/>
      </c>
      <c r="G695" s="162"/>
      <c r="H695" s="148"/>
      <c r="I695" s="161"/>
      <c r="J695" s="146" t="str">
        <f>IF(I695&lt;&gt;"", SUMIF(Bets!$D:$D, I695, Bets!AA:AA), "")</f>
        <v/>
      </c>
      <c r="K695" s="162"/>
      <c r="L695" s="148"/>
      <c r="M695" s="161"/>
      <c r="N695" s="146"/>
      <c r="O695" s="162"/>
      <c r="P695" s="148"/>
      <c r="Q695" s="161"/>
      <c r="R695" s="146" t="str">
        <f>IF(Q695&lt;&gt;"", SUMIF(Bets!$D:$D, Q695, Bets!AD:AD), "")</f>
        <v/>
      </c>
      <c r="S695" s="162"/>
      <c r="T695" s="148"/>
      <c r="U695" s="161"/>
      <c r="V695" s="146" t="str">
        <f>IF(U695&lt;&gt;"", SUMIF(Bets!$D:$D, U695, Bets!AE:AE), "")</f>
        <v/>
      </c>
      <c r="W695" s="162"/>
      <c r="X695" s="148"/>
      <c r="Y695" s="161"/>
      <c r="Z695" s="146" t="str">
        <f>IF(Y695&lt;&gt;"", SUMIF(Bets!$D:$D, Y695, Bets!AF:AF), "")</f>
        <v/>
      </c>
      <c r="AA695" s="162"/>
      <c r="AB695" s="148"/>
      <c r="AC695" s="161"/>
      <c r="AD695" s="146" t="str">
        <f>IF(AC695&lt;&gt;"", SUMIF(Bets!$D:$D, AC695, Bets!AG:AG), "")</f>
        <v/>
      </c>
      <c r="AE695" s="162"/>
      <c r="AF695" s="148"/>
    </row>
    <row r="696">
      <c r="A696" s="161"/>
      <c r="B696" s="146" t="str">
        <f>IF(A696&lt;&gt;"", SUMIF(Bets!$D:$D, A696, Bets!Z:Z), "")</f>
        <v/>
      </c>
      <c r="C696" s="162"/>
      <c r="D696" s="148"/>
      <c r="E696" s="161"/>
      <c r="F696" s="146" t="str">
        <f>IF(E696&lt;&gt;"", SUMIF(Bets!$D:$D, E696, Bets!AB:AB), "")</f>
        <v/>
      </c>
      <c r="G696" s="162"/>
      <c r="H696" s="148"/>
      <c r="I696" s="161"/>
      <c r="J696" s="146" t="str">
        <f>IF(I696&lt;&gt;"", SUMIF(Bets!$D:$D, I696, Bets!AA:AA), "")</f>
        <v/>
      </c>
      <c r="K696" s="162"/>
      <c r="L696" s="148"/>
      <c r="M696" s="161"/>
      <c r="N696" s="146"/>
      <c r="O696" s="162"/>
      <c r="P696" s="148"/>
      <c r="Q696" s="161"/>
      <c r="R696" s="146" t="str">
        <f>IF(Q696&lt;&gt;"", SUMIF(Bets!$D:$D, Q696, Bets!AD:AD), "")</f>
        <v/>
      </c>
      <c r="S696" s="162"/>
      <c r="T696" s="148"/>
      <c r="U696" s="161"/>
      <c r="V696" s="146" t="str">
        <f>IF(U696&lt;&gt;"", SUMIF(Bets!$D:$D, U696, Bets!AE:AE), "")</f>
        <v/>
      </c>
      <c r="W696" s="162"/>
      <c r="X696" s="148"/>
      <c r="Y696" s="161"/>
      <c r="Z696" s="146" t="str">
        <f>IF(Y696&lt;&gt;"", SUMIF(Bets!$D:$D, Y696, Bets!AF:AF), "")</f>
        <v/>
      </c>
      <c r="AA696" s="162"/>
      <c r="AB696" s="148"/>
      <c r="AC696" s="161"/>
      <c r="AD696" s="146" t="str">
        <f>IF(AC696&lt;&gt;"", SUMIF(Bets!$D:$D, AC696, Bets!AG:AG), "")</f>
        <v/>
      </c>
      <c r="AE696" s="162"/>
      <c r="AF696" s="148"/>
    </row>
    <row r="697">
      <c r="A697" s="161"/>
      <c r="B697" s="146" t="str">
        <f>IF(A697&lt;&gt;"", SUMIF(Bets!$D:$D, A697, Bets!Z:Z), "")</f>
        <v/>
      </c>
      <c r="C697" s="162"/>
      <c r="D697" s="148"/>
      <c r="E697" s="161"/>
      <c r="F697" s="146" t="str">
        <f>IF(E697&lt;&gt;"", SUMIF(Bets!$D:$D, E697, Bets!AB:AB), "")</f>
        <v/>
      </c>
      <c r="G697" s="162"/>
      <c r="H697" s="148"/>
      <c r="I697" s="161"/>
      <c r="J697" s="146" t="str">
        <f>IF(I697&lt;&gt;"", SUMIF(Bets!$D:$D, I697, Bets!AA:AA), "")</f>
        <v/>
      </c>
      <c r="K697" s="162"/>
      <c r="L697" s="148"/>
      <c r="M697" s="161"/>
      <c r="N697" s="146"/>
      <c r="O697" s="162"/>
      <c r="P697" s="148"/>
      <c r="Q697" s="161"/>
      <c r="R697" s="146" t="str">
        <f>IF(Q697&lt;&gt;"", SUMIF(Bets!$D:$D, Q697, Bets!AD:AD), "")</f>
        <v/>
      </c>
      <c r="S697" s="162"/>
      <c r="T697" s="148"/>
      <c r="U697" s="161"/>
      <c r="V697" s="146" t="str">
        <f>IF(U697&lt;&gt;"", SUMIF(Bets!$D:$D, U697, Bets!AE:AE), "")</f>
        <v/>
      </c>
      <c r="W697" s="162"/>
      <c r="X697" s="148"/>
      <c r="Y697" s="161"/>
      <c r="Z697" s="146" t="str">
        <f>IF(Y697&lt;&gt;"", SUMIF(Bets!$D:$D, Y697, Bets!AF:AF), "")</f>
        <v/>
      </c>
      <c r="AA697" s="162"/>
      <c r="AB697" s="148"/>
      <c r="AC697" s="161"/>
      <c r="AD697" s="146" t="str">
        <f>IF(AC697&lt;&gt;"", SUMIF(Bets!$D:$D, AC697, Bets!AG:AG), "")</f>
        <v/>
      </c>
      <c r="AE697" s="162"/>
      <c r="AF697" s="148"/>
    </row>
    <row r="698">
      <c r="A698" s="161"/>
      <c r="B698" s="146" t="str">
        <f>IF(A698&lt;&gt;"", SUMIF(Bets!$D:$D, A698, Bets!Z:Z), "")</f>
        <v/>
      </c>
      <c r="C698" s="162"/>
      <c r="D698" s="148"/>
      <c r="E698" s="161"/>
      <c r="F698" s="146" t="str">
        <f>IF(E698&lt;&gt;"", SUMIF(Bets!$D:$D, E698, Bets!AB:AB), "")</f>
        <v/>
      </c>
      <c r="G698" s="162"/>
      <c r="H698" s="148"/>
      <c r="I698" s="161"/>
      <c r="J698" s="146" t="str">
        <f>IF(I698&lt;&gt;"", SUMIF(Bets!$D:$D, I698, Bets!AA:AA), "")</f>
        <v/>
      </c>
      <c r="K698" s="162"/>
      <c r="L698" s="148"/>
      <c r="M698" s="161"/>
      <c r="N698" s="146"/>
      <c r="O698" s="162"/>
      <c r="P698" s="148"/>
      <c r="Q698" s="161"/>
      <c r="R698" s="146" t="str">
        <f>IF(Q698&lt;&gt;"", SUMIF(Bets!$D:$D, Q698, Bets!AD:AD), "")</f>
        <v/>
      </c>
      <c r="S698" s="162"/>
      <c r="T698" s="148"/>
      <c r="U698" s="161"/>
      <c r="V698" s="146" t="str">
        <f>IF(U698&lt;&gt;"", SUMIF(Bets!$D:$D, U698, Bets!AE:AE), "")</f>
        <v/>
      </c>
      <c r="W698" s="162"/>
      <c r="X698" s="148"/>
      <c r="Y698" s="161"/>
      <c r="Z698" s="146" t="str">
        <f>IF(Y698&lt;&gt;"", SUMIF(Bets!$D:$D, Y698, Bets!AF:AF), "")</f>
        <v/>
      </c>
      <c r="AA698" s="162"/>
      <c r="AB698" s="148"/>
      <c r="AC698" s="161"/>
      <c r="AD698" s="146" t="str">
        <f>IF(AC698&lt;&gt;"", SUMIF(Bets!$D:$D, AC698, Bets!AG:AG), "")</f>
        <v/>
      </c>
      <c r="AE698" s="162"/>
      <c r="AF698" s="148"/>
    </row>
    <row r="699">
      <c r="A699" s="161"/>
      <c r="B699" s="146" t="str">
        <f>IF(A699&lt;&gt;"", SUMIF(Bets!$D:$D, A699, Bets!Z:Z), "")</f>
        <v/>
      </c>
      <c r="C699" s="162"/>
      <c r="D699" s="148"/>
      <c r="E699" s="161"/>
      <c r="F699" s="146" t="str">
        <f>IF(E699&lt;&gt;"", SUMIF(Bets!$D:$D, E699, Bets!AB:AB), "")</f>
        <v/>
      </c>
      <c r="G699" s="162"/>
      <c r="H699" s="148"/>
      <c r="I699" s="161"/>
      <c r="J699" s="146" t="str">
        <f>IF(I699&lt;&gt;"", SUMIF(Bets!$D:$D, I699, Bets!AA:AA), "")</f>
        <v/>
      </c>
      <c r="K699" s="162"/>
      <c r="L699" s="148"/>
      <c r="M699" s="161"/>
      <c r="N699" s="146"/>
      <c r="O699" s="162"/>
      <c r="P699" s="148"/>
      <c r="Q699" s="161"/>
      <c r="R699" s="146" t="str">
        <f>IF(Q699&lt;&gt;"", SUMIF(Bets!$D:$D, Q699, Bets!AD:AD), "")</f>
        <v/>
      </c>
      <c r="S699" s="162"/>
      <c r="T699" s="148"/>
      <c r="U699" s="161"/>
      <c r="V699" s="146" t="str">
        <f>IF(U699&lt;&gt;"", SUMIF(Bets!$D:$D, U699, Bets!AE:AE), "")</f>
        <v/>
      </c>
      <c r="W699" s="162"/>
      <c r="X699" s="148"/>
      <c r="Y699" s="161"/>
      <c r="Z699" s="146" t="str">
        <f>IF(Y699&lt;&gt;"", SUMIF(Bets!$D:$D, Y699, Bets!AF:AF), "")</f>
        <v/>
      </c>
      <c r="AA699" s="162"/>
      <c r="AB699" s="148"/>
      <c r="AC699" s="161"/>
      <c r="AD699" s="146" t="str">
        <f>IF(AC699&lt;&gt;"", SUMIF(Bets!$D:$D, AC699, Bets!AG:AG), "")</f>
        <v/>
      </c>
      <c r="AE699" s="162"/>
      <c r="AF699" s="148"/>
    </row>
    <row r="700">
      <c r="A700" s="161"/>
      <c r="B700" s="146" t="str">
        <f>IF(A700&lt;&gt;"", SUMIF(Bets!$D:$D, A700, Bets!Z:Z), "")</f>
        <v/>
      </c>
      <c r="C700" s="162"/>
      <c r="D700" s="148"/>
      <c r="E700" s="161"/>
      <c r="F700" s="146" t="str">
        <f>IF(E700&lt;&gt;"", SUMIF(Bets!$D:$D, E700, Bets!AB:AB), "")</f>
        <v/>
      </c>
      <c r="G700" s="162"/>
      <c r="H700" s="148"/>
      <c r="I700" s="161"/>
      <c r="J700" s="146" t="str">
        <f>IF(I700&lt;&gt;"", SUMIF(Bets!$D:$D, I700, Bets!AA:AA), "")</f>
        <v/>
      </c>
      <c r="K700" s="162"/>
      <c r="L700" s="148"/>
      <c r="M700" s="161"/>
      <c r="N700" s="146"/>
      <c r="O700" s="162"/>
      <c r="P700" s="148"/>
      <c r="Q700" s="161"/>
      <c r="R700" s="146" t="str">
        <f>IF(Q700&lt;&gt;"", SUMIF(Bets!$D:$D, Q700, Bets!AD:AD), "")</f>
        <v/>
      </c>
      <c r="S700" s="162"/>
      <c r="T700" s="148"/>
      <c r="U700" s="161"/>
      <c r="V700" s="146" t="str">
        <f>IF(U700&lt;&gt;"", SUMIF(Bets!$D:$D, U700, Bets!AE:AE), "")</f>
        <v/>
      </c>
      <c r="W700" s="162"/>
      <c r="X700" s="148"/>
      <c r="Y700" s="161"/>
      <c r="Z700" s="146" t="str">
        <f>IF(Y700&lt;&gt;"", SUMIF(Bets!$D:$D, Y700, Bets!AF:AF), "")</f>
        <v/>
      </c>
      <c r="AA700" s="162"/>
      <c r="AB700" s="148"/>
      <c r="AC700" s="161"/>
      <c r="AD700" s="146" t="str">
        <f>IF(AC700&lt;&gt;"", SUMIF(Bets!$D:$D, AC700, Bets!AG:AG), "")</f>
        <v/>
      </c>
      <c r="AE700" s="162"/>
      <c r="AF700" s="148"/>
    </row>
    <row r="701">
      <c r="A701" s="161"/>
      <c r="B701" s="146" t="str">
        <f>IF(A701&lt;&gt;"", SUMIF(Bets!$D:$D, A701, Bets!Z:Z), "")</f>
        <v/>
      </c>
      <c r="C701" s="162"/>
      <c r="D701" s="148"/>
      <c r="E701" s="161"/>
      <c r="F701" s="146" t="str">
        <f>IF(E701&lt;&gt;"", SUMIF(Bets!$D:$D, E701, Bets!AB:AB), "")</f>
        <v/>
      </c>
      <c r="G701" s="162"/>
      <c r="H701" s="148"/>
      <c r="I701" s="161"/>
      <c r="J701" s="146" t="str">
        <f>IF(I701&lt;&gt;"", SUMIF(Bets!$D:$D, I701, Bets!AA:AA), "")</f>
        <v/>
      </c>
      <c r="K701" s="162"/>
      <c r="L701" s="148"/>
      <c r="M701" s="161"/>
      <c r="N701" s="146"/>
      <c r="O701" s="162"/>
      <c r="P701" s="148"/>
      <c r="Q701" s="161"/>
      <c r="R701" s="146" t="str">
        <f>IF(Q701&lt;&gt;"", SUMIF(Bets!$D:$D, Q701, Bets!AD:AD), "")</f>
        <v/>
      </c>
      <c r="S701" s="162"/>
      <c r="T701" s="148"/>
      <c r="U701" s="161"/>
      <c r="V701" s="146" t="str">
        <f>IF(U701&lt;&gt;"", SUMIF(Bets!$D:$D, U701, Bets!AE:AE), "")</f>
        <v/>
      </c>
      <c r="W701" s="162"/>
      <c r="X701" s="148"/>
      <c r="Y701" s="161"/>
      <c r="Z701" s="146" t="str">
        <f>IF(Y701&lt;&gt;"", SUMIF(Bets!$D:$D, Y701, Bets!AF:AF), "")</f>
        <v/>
      </c>
      <c r="AA701" s="162"/>
      <c r="AB701" s="148"/>
      <c r="AC701" s="161"/>
      <c r="AD701" s="146" t="str">
        <f>IF(AC701&lt;&gt;"", SUMIF(Bets!$D:$D, AC701, Bets!AG:AG), "")</f>
        <v/>
      </c>
      <c r="AE701" s="162"/>
      <c r="AF701" s="148"/>
    </row>
    <row r="702">
      <c r="A702" s="161"/>
      <c r="B702" s="146" t="str">
        <f>IF(A702&lt;&gt;"", SUMIF(Bets!$D:$D, A702, Bets!Z:Z), "")</f>
        <v/>
      </c>
      <c r="C702" s="162"/>
      <c r="D702" s="148"/>
      <c r="E702" s="161"/>
      <c r="F702" s="146" t="str">
        <f>IF(E702&lt;&gt;"", SUMIF(Bets!$D:$D, E702, Bets!AB:AB), "")</f>
        <v/>
      </c>
      <c r="G702" s="162"/>
      <c r="H702" s="148"/>
      <c r="I702" s="161"/>
      <c r="J702" s="146" t="str">
        <f>IF(I702&lt;&gt;"", SUMIF(Bets!$D:$D, I702, Bets!AA:AA), "")</f>
        <v/>
      </c>
      <c r="K702" s="162"/>
      <c r="L702" s="148"/>
      <c r="M702" s="161"/>
      <c r="N702" s="146"/>
      <c r="O702" s="162"/>
      <c r="P702" s="148"/>
      <c r="Q702" s="161"/>
      <c r="R702" s="146" t="str">
        <f>IF(Q702&lt;&gt;"", SUMIF(Bets!$D:$D, Q702, Bets!AD:AD), "")</f>
        <v/>
      </c>
      <c r="S702" s="162"/>
      <c r="T702" s="148"/>
      <c r="U702" s="161"/>
      <c r="V702" s="146" t="str">
        <f>IF(U702&lt;&gt;"", SUMIF(Bets!$D:$D, U702, Bets!AE:AE), "")</f>
        <v/>
      </c>
      <c r="W702" s="162"/>
      <c r="X702" s="148"/>
      <c r="Y702" s="161"/>
      <c r="Z702" s="146" t="str">
        <f>IF(Y702&lt;&gt;"", SUMIF(Bets!$D:$D, Y702, Bets!AF:AF), "")</f>
        <v/>
      </c>
      <c r="AA702" s="162"/>
      <c r="AB702" s="148"/>
      <c r="AC702" s="161"/>
      <c r="AD702" s="146" t="str">
        <f>IF(AC702&lt;&gt;"", SUMIF(Bets!$D:$D, AC702, Bets!AG:AG), "")</f>
        <v/>
      </c>
      <c r="AE702" s="162"/>
      <c r="AF702" s="148"/>
    </row>
    <row r="703">
      <c r="A703" s="161"/>
      <c r="B703" s="146" t="str">
        <f>IF(A703&lt;&gt;"", SUMIF(Bets!$D:$D, A703, Bets!Z:Z), "")</f>
        <v/>
      </c>
      <c r="C703" s="162"/>
      <c r="D703" s="148"/>
      <c r="E703" s="161"/>
      <c r="F703" s="146" t="str">
        <f>IF(E703&lt;&gt;"", SUMIF(Bets!$D:$D, E703, Bets!AB:AB), "")</f>
        <v/>
      </c>
      <c r="G703" s="162"/>
      <c r="H703" s="148"/>
      <c r="I703" s="161"/>
      <c r="J703" s="146" t="str">
        <f>IF(I703&lt;&gt;"", SUMIF(Bets!$D:$D, I703, Bets!AA:AA), "")</f>
        <v/>
      </c>
      <c r="K703" s="162"/>
      <c r="L703" s="148"/>
      <c r="M703" s="161"/>
      <c r="N703" s="146"/>
      <c r="O703" s="162"/>
      <c r="P703" s="148"/>
      <c r="Q703" s="161"/>
      <c r="R703" s="146" t="str">
        <f>IF(Q703&lt;&gt;"", SUMIF(Bets!$D:$D, Q703, Bets!AD:AD), "")</f>
        <v/>
      </c>
      <c r="S703" s="162"/>
      <c r="T703" s="148"/>
      <c r="U703" s="161"/>
      <c r="V703" s="146" t="str">
        <f>IF(U703&lt;&gt;"", SUMIF(Bets!$D:$D, U703, Bets!AE:AE), "")</f>
        <v/>
      </c>
      <c r="W703" s="162"/>
      <c r="X703" s="148"/>
      <c r="Y703" s="161"/>
      <c r="Z703" s="146" t="str">
        <f>IF(Y703&lt;&gt;"", SUMIF(Bets!$D:$D, Y703, Bets!AF:AF), "")</f>
        <v/>
      </c>
      <c r="AA703" s="162"/>
      <c r="AB703" s="148"/>
      <c r="AC703" s="161"/>
      <c r="AD703" s="146" t="str">
        <f>IF(AC703&lt;&gt;"", SUMIF(Bets!$D:$D, AC703, Bets!AG:AG), "")</f>
        <v/>
      </c>
      <c r="AE703" s="162"/>
      <c r="AF703" s="148"/>
    </row>
    <row r="704">
      <c r="A704" s="161"/>
      <c r="B704" s="146" t="str">
        <f>IF(A704&lt;&gt;"", SUMIF(Bets!$D:$D, A704, Bets!Z:Z), "")</f>
        <v/>
      </c>
      <c r="C704" s="162"/>
      <c r="D704" s="148"/>
      <c r="E704" s="161"/>
      <c r="F704" s="146" t="str">
        <f>IF(E704&lt;&gt;"", SUMIF(Bets!$D:$D, E704, Bets!AB:AB), "")</f>
        <v/>
      </c>
      <c r="G704" s="162"/>
      <c r="H704" s="148"/>
      <c r="I704" s="161"/>
      <c r="J704" s="146" t="str">
        <f>IF(I704&lt;&gt;"", SUMIF(Bets!$D:$D, I704, Bets!AA:AA), "")</f>
        <v/>
      </c>
      <c r="K704" s="162"/>
      <c r="L704" s="148"/>
      <c r="M704" s="161"/>
      <c r="N704" s="146"/>
      <c r="O704" s="162"/>
      <c r="P704" s="148"/>
      <c r="Q704" s="161"/>
      <c r="R704" s="146" t="str">
        <f>IF(Q704&lt;&gt;"", SUMIF(Bets!$D:$D, Q704, Bets!AD:AD), "")</f>
        <v/>
      </c>
      <c r="S704" s="162"/>
      <c r="T704" s="148"/>
      <c r="U704" s="161"/>
      <c r="V704" s="146" t="str">
        <f>IF(U704&lt;&gt;"", SUMIF(Bets!$D:$D, U704, Bets!AE:AE), "")</f>
        <v/>
      </c>
      <c r="W704" s="162"/>
      <c r="X704" s="148"/>
      <c r="Y704" s="161"/>
      <c r="Z704" s="146" t="str">
        <f>IF(Y704&lt;&gt;"", SUMIF(Bets!$D:$D, Y704, Bets!AF:AF), "")</f>
        <v/>
      </c>
      <c r="AA704" s="162"/>
      <c r="AB704" s="148"/>
      <c r="AC704" s="161"/>
      <c r="AD704" s="146" t="str">
        <f>IF(AC704&lt;&gt;"", SUMIF(Bets!$D:$D, AC704, Bets!AG:AG), "")</f>
        <v/>
      </c>
      <c r="AE704" s="162"/>
      <c r="AF704" s="148"/>
    </row>
    <row r="705">
      <c r="A705" s="161"/>
      <c r="B705" s="146" t="str">
        <f>IF(A705&lt;&gt;"", SUMIF(Bets!$D:$D, A705, Bets!Z:Z), "")</f>
        <v/>
      </c>
      <c r="C705" s="162"/>
      <c r="D705" s="148"/>
      <c r="E705" s="161"/>
      <c r="F705" s="146" t="str">
        <f>IF(E705&lt;&gt;"", SUMIF(Bets!$D:$D, E705, Bets!AB:AB), "")</f>
        <v/>
      </c>
      <c r="G705" s="162"/>
      <c r="H705" s="148"/>
      <c r="I705" s="161"/>
      <c r="J705" s="146" t="str">
        <f>IF(I705&lt;&gt;"", SUMIF(Bets!$D:$D, I705, Bets!AA:AA), "")</f>
        <v/>
      </c>
      <c r="K705" s="162"/>
      <c r="L705" s="148"/>
      <c r="M705" s="161"/>
      <c r="N705" s="146"/>
      <c r="O705" s="162"/>
      <c r="P705" s="148"/>
      <c r="Q705" s="161"/>
      <c r="R705" s="146" t="str">
        <f>IF(Q705&lt;&gt;"", SUMIF(Bets!$D:$D, Q705, Bets!AD:AD), "")</f>
        <v/>
      </c>
      <c r="S705" s="162"/>
      <c r="T705" s="148"/>
      <c r="U705" s="161"/>
      <c r="V705" s="146" t="str">
        <f>IF(U705&lt;&gt;"", SUMIF(Bets!$D:$D, U705, Bets!AE:AE), "")</f>
        <v/>
      </c>
      <c r="W705" s="162"/>
      <c r="X705" s="148"/>
      <c r="Y705" s="161"/>
      <c r="Z705" s="146" t="str">
        <f>IF(Y705&lt;&gt;"", SUMIF(Bets!$D:$D, Y705, Bets!AF:AF), "")</f>
        <v/>
      </c>
      <c r="AA705" s="162"/>
      <c r="AB705" s="148"/>
      <c r="AC705" s="161"/>
      <c r="AD705" s="146" t="str">
        <f>IF(AC705&lt;&gt;"", SUMIF(Bets!$D:$D, AC705, Bets!AG:AG), "")</f>
        <v/>
      </c>
      <c r="AE705" s="162"/>
      <c r="AF705" s="148"/>
    </row>
    <row r="706">
      <c r="A706" s="161"/>
      <c r="B706" s="146" t="str">
        <f>IF(A706&lt;&gt;"", SUMIF(Bets!$D:$D, A706, Bets!Z:Z), "")</f>
        <v/>
      </c>
      <c r="C706" s="162"/>
      <c r="D706" s="148"/>
      <c r="E706" s="161"/>
      <c r="F706" s="146" t="str">
        <f>IF(E706&lt;&gt;"", SUMIF(Bets!$D:$D, E706, Bets!AB:AB), "")</f>
        <v/>
      </c>
      <c r="G706" s="162"/>
      <c r="H706" s="148"/>
      <c r="I706" s="161"/>
      <c r="J706" s="146" t="str">
        <f>IF(I706&lt;&gt;"", SUMIF(Bets!$D:$D, I706, Bets!AA:AA), "")</f>
        <v/>
      </c>
      <c r="K706" s="162"/>
      <c r="L706" s="148"/>
      <c r="M706" s="161"/>
      <c r="N706" s="146"/>
      <c r="O706" s="162"/>
      <c r="P706" s="148"/>
      <c r="Q706" s="161"/>
      <c r="R706" s="146" t="str">
        <f>IF(Q706&lt;&gt;"", SUMIF(Bets!$D:$D, Q706, Bets!AD:AD), "")</f>
        <v/>
      </c>
      <c r="S706" s="162"/>
      <c r="T706" s="148"/>
      <c r="U706" s="161"/>
      <c r="V706" s="146" t="str">
        <f>IF(U706&lt;&gt;"", SUMIF(Bets!$D:$D, U706, Bets!AE:AE), "")</f>
        <v/>
      </c>
      <c r="W706" s="162"/>
      <c r="X706" s="148"/>
      <c r="Y706" s="161"/>
      <c r="Z706" s="146" t="str">
        <f>IF(Y706&lt;&gt;"", SUMIF(Bets!$D:$D, Y706, Bets!AF:AF), "")</f>
        <v/>
      </c>
      <c r="AA706" s="162"/>
      <c r="AB706" s="148"/>
      <c r="AC706" s="161"/>
      <c r="AD706" s="146" t="str">
        <f>IF(AC706&lt;&gt;"", SUMIF(Bets!$D:$D, AC706, Bets!AG:AG), "")</f>
        <v/>
      </c>
      <c r="AE706" s="162"/>
      <c r="AF706" s="148"/>
    </row>
    <row r="707">
      <c r="A707" s="161"/>
      <c r="B707" s="146" t="str">
        <f>IF(A707&lt;&gt;"", SUMIF(Bets!$D:$D, A707, Bets!Z:Z), "")</f>
        <v/>
      </c>
      <c r="C707" s="162"/>
      <c r="D707" s="148"/>
      <c r="E707" s="161"/>
      <c r="F707" s="146" t="str">
        <f>IF(E707&lt;&gt;"", SUMIF(Bets!$D:$D, E707, Bets!AB:AB), "")</f>
        <v/>
      </c>
      <c r="G707" s="162"/>
      <c r="H707" s="148"/>
      <c r="I707" s="161"/>
      <c r="J707" s="146" t="str">
        <f>IF(I707&lt;&gt;"", SUMIF(Bets!$D:$D, I707, Bets!AA:AA), "")</f>
        <v/>
      </c>
      <c r="K707" s="162"/>
      <c r="L707" s="148"/>
      <c r="M707" s="161"/>
      <c r="N707" s="146"/>
      <c r="O707" s="162"/>
      <c r="P707" s="148"/>
      <c r="Q707" s="161"/>
      <c r="R707" s="146" t="str">
        <f>IF(Q707&lt;&gt;"", SUMIF(Bets!$D:$D, Q707, Bets!AD:AD), "")</f>
        <v/>
      </c>
      <c r="S707" s="162"/>
      <c r="T707" s="148"/>
      <c r="U707" s="161"/>
      <c r="V707" s="146" t="str">
        <f>IF(U707&lt;&gt;"", SUMIF(Bets!$D:$D, U707, Bets!AE:AE), "")</f>
        <v/>
      </c>
      <c r="W707" s="162"/>
      <c r="X707" s="148"/>
      <c r="Y707" s="161"/>
      <c r="Z707" s="146" t="str">
        <f>IF(Y707&lt;&gt;"", SUMIF(Bets!$D:$D, Y707, Bets!AF:AF), "")</f>
        <v/>
      </c>
      <c r="AA707" s="162"/>
      <c r="AB707" s="148"/>
      <c r="AC707" s="161"/>
      <c r="AD707" s="146" t="str">
        <f>IF(AC707&lt;&gt;"", SUMIF(Bets!$D:$D, AC707, Bets!AG:AG), "")</f>
        <v/>
      </c>
      <c r="AE707" s="162"/>
      <c r="AF707" s="148"/>
    </row>
    <row r="708">
      <c r="A708" s="161"/>
      <c r="B708" s="146" t="str">
        <f>IF(A708&lt;&gt;"", SUMIF(Bets!$D:$D, A708, Bets!Z:Z), "")</f>
        <v/>
      </c>
      <c r="C708" s="162"/>
      <c r="D708" s="148"/>
      <c r="E708" s="161"/>
      <c r="F708" s="146" t="str">
        <f>IF(E708&lt;&gt;"", SUMIF(Bets!$D:$D, E708, Bets!AB:AB), "")</f>
        <v/>
      </c>
      <c r="G708" s="162"/>
      <c r="H708" s="148"/>
      <c r="I708" s="161"/>
      <c r="J708" s="146" t="str">
        <f>IF(I708&lt;&gt;"", SUMIF(Bets!$D:$D, I708, Bets!AA:AA), "")</f>
        <v/>
      </c>
      <c r="K708" s="162"/>
      <c r="L708" s="148"/>
      <c r="M708" s="161"/>
      <c r="N708" s="146"/>
      <c r="O708" s="162"/>
      <c r="P708" s="148"/>
      <c r="Q708" s="161"/>
      <c r="R708" s="146" t="str">
        <f>IF(Q708&lt;&gt;"", SUMIF(Bets!$D:$D, Q708, Bets!AD:AD), "")</f>
        <v/>
      </c>
      <c r="S708" s="162"/>
      <c r="T708" s="148"/>
      <c r="U708" s="161"/>
      <c r="V708" s="146" t="str">
        <f>IF(U708&lt;&gt;"", SUMIF(Bets!$D:$D, U708, Bets!AE:AE), "")</f>
        <v/>
      </c>
      <c r="W708" s="162"/>
      <c r="X708" s="148"/>
      <c r="Y708" s="161"/>
      <c r="Z708" s="146" t="str">
        <f>IF(Y708&lt;&gt;"", SUMIF(Bets!$D:$D, Y708, Bets!AF:AF), "")</f>
        <v/>
      </c>
      <c r="AA708" s="162"/>
      <c r="AB708" s="148"/>
      <c r="AC708" s="161"/>
      <c r="AD708" s="146" t="str">
        <f>IF(AC708&lt;&gt;"", SUMIF(Bets!$D:$D, AC708, Bets!AG:AG), "")</f>
        <v/>
      </c>
      <c r="AE708" s="162"/>
      <c r="AF708" s="148"/>
    </row>
    <row r="709">
      <c r="A709" s="161"/>
      <c r="B709" s="146" t="str">
        <f>IF(A709&lt;&gt;"", SUMIF(Bets!$D:$D, A709, Bets!Z:Z), "")</f>
        <v/>
      </c>
      <c r="C709" s="162"/>
      <c r="D709" s="148"/>
      <c r="E709" s="161"/>
      <c r="F709" s="146" t="str">
        <f>IF(E709&lt;&gt;"", SUMIF(Bets!$D:$D, E709, Bets!AB:AB), "")</f>
        <v/>
      </c>
      <c r="G709" s="162"/>
      <c r="H709" s="148"/>
      <c r="I709" s="161"/>
      <c r="J709" s="146" t="str">
        <f>IF(I709&lt;&gt;"", SUMIF(Bets!$D:$D, I709, Bets!AA:AA), "")</f>
        <v/>
      </c>
      <c r="K709" s="162"/>
      <c r="L709" s="148"/>
      <c r="M709" s="161"/>
      <c r="N709" s="146"/>
      <c r="O709" s="162"/>
      <c r="P709" s="148"/>
      <c r="Q709" s="161"/>
      <c r="R709" s="146" t="str">
        <f>IF(Q709&lt;&gt;"", SUMIF(Bets!$D:$D, Q709, Bets!AD:AD), "")</f>
        <v/>
      </c>
      <c r="S709" s="162"/>
      <c r="T709" s="148"/>
      <c r="U709" s="161"/>
      <c r="V709" s="146" t="str">
        <f>IF(U709&lt;&gt;"", SUMIF(Bets!$D:$D, U709, Bets!AE:AE), "")</f>
        <v/>
      </c>
      <c r="W709" s="162"/>
      <c r="X709" s="148"/>
      <c r="Y709" s="161"/>
      <c r="Z709" s="146" t="str">
        <f>IF(Y709&lt;&gt;"", SUMIF(Bets!$D:$D, Y709, Bets!AF:AF), "")</f>
        <v/>
      </c>
      <c r="AA709" s="162"/>
      <c r="AB709" s="148"/>
      <c r="AC709" s="161"/>
      <c r="AD709" s="146" t="str">
        <f>IF(AC709&lt;&gt;"", SUMIF(Bets!$D:$D, AC709, Bets!AG:AG), "")</f>
        <v/>
      </c>
      <c r="AE709" s="162"/>
      <c r="AF709" s="148"/>
    </row>
    <row r="710">
      <c r="A710" s="161"/>
      <c r="B710" s="146" t="str">
        <f>IF(A710&lt;&gt;"", SUMIF(Bets!$D:$D, A710, Bets!Z:Z), "")</f>
        <v/>
      </c>
      <c r="C710" s="162"/>
      <c r="D710" s="148"/>
      <c r="E710" s="161"/>
      <c r="F710" s="146" t="str">
        <f>IF(E710&lt;&gt;"", SUMIF(Bets!$D:$D, E710, Bets!AB:AB), "")</f>
        <v/>
      </c>
      <c r="G710" s="162"/>
      <c r="H710" s="148"/>
      <c r="I710" s="161"/>
      <c r="J710" s="146" t="str">
        <f>IF(I710&lt;&gt;"", SUMIF(Bets!$D:$D, I710, Bets!AA:AA), "")</f>
        <v/>
      </c>
      <c r="K710" s="162"/>
      <c r="L710" s="148"/>
      <c r="M710" s="161"/>
      <c r="N710" s="146"/>
      <c r="O710" s="162"/>
      <c r="P710" s="148"/>
      <c r="Q710" s="161"/>
      <c r="R710" s="146" t="str">
        <f>IF(Q710&lt;&gt;"", SUMIF(Bets!$D:$D, Q710, Bets!AD:AD), "")</f>
        <v/>
      </c>
      <c r="S710" s="162"/>
      <c r="T710" s="148"/>
      <c r="U710" s="161"/>
      <c r="V710" s="146" t="str">
        <f>IF(U710&lt;&gt;"", SUMIF(Bets!$D:$D, U710, Bets!AE:AE), "")</f>
        <v/>
      </c>
      <c r="W710" s="162"/>
      <c r="X710" s="148"/>
      <c r="Y710" s="161"/>
      <c r="Z710" s="146" t="str">
        <f>IF(Y710&lt;&gt;"", SUMIF(Bets!$D:$D, Y710, Bets!AF:AF), "")</f>
        <v/>
      </c>
      <c r="AA710" s="162"/>
      <c r="AB710" s="148"/>
      <c r="AC710" s="161"/>
      <c r="AD710" s="146" t="str">
        <f>IF(AC710&lt;&gt;"", SUMIF(Bets!$D:$D, AC710, Bets!AG:AG), "")</f>
        <v/>
      </c>
      <c r="AE710" s="162"/>
      <c r="AF710" s="148"/>
    </row>
    <row r="711">
      <c r="A711" s="161"/>
      <c r="B711" s="146" t="str">
        <f>IF(A711&lt;&gt;"", SUMIF(Bets!$D:$D, A711, Bets!Z:Z), "")</f>
        <v/>
      </c>
      <c r="C711" s="162"/>
      <c r="D711" s="148"/>
      <c r="E711" s="161"/>
      <c r="F711" s="146" t="str">
        <f>IF(E711&lt;&gt;"", SUMIF(Bets!$D:$D, E711, Bets!AB:AB), "")</f>
        <v/>
      </c>
      <c r="G711" s="162"/>
      <c r="H711" s="148"/>
      <c r="I711" s="161"/>
      <c r="J711" s="146" t="str">
        <f>IF(I711&lt;&gt;"", SUMIF(Bets!$D:$D, I711, Bets!AA:AA), "")</f>
        <v/>
      </c>
      <c r="K711" s="162"/>
      <c r="L711" s="148"/>
      <c r="M711" s="161"/>
      <c r="N711" s="146"/>
      <c r="O711" s="162"/>
      <c r="P711" s="148"/>
      <c r="Q711" s="161"/>
      <c r="R711" s="146" t="str">
        <f>IF(Q711&lt;&gt;"", SUMIF(Bets!$D:$D, Q711, Bets!AD:AD), "")</f>
        <v/>
      </c>
      <c r="S711" s="162"/>
      <c r="T711" s="148"/>
      <c r="U711" s="161"/>
      <c r="V711" s="146" t="str">
        <f>IF(U711&lt;&gt;"", SUMIF(Bets!$D:$D, U711, Bets!AE:AE), "")</f>
        <v/>
      </c>
      <c r="W711" s="162"/>
      <c r="X711" s="148"/>
      <c r="Y711" s="161"/>
      <c r="Z711" s="146" t="str">
        <f>IF(Y711&lt;&gt;"", SUMIF(Bets!$D:$D, Y711, Bets!AF:AF), "")</f>
        <v/>
      </c>
      <c r="AA711" s="162"/>
      <c r="AB711" s="148"/>
      <c r="AC711" s="161"/>
      <c r="AD711" s="146" t="str">
        <f>IF(AC711&lt;&gt;"", SUMIF(Bets!$D:$D, AC711, Bets!AG:AG), "")</f>
        <v/>
      </c>
      <c r="AE711" s="162"/>
      <c r="AF711" s="148"/>
    </row>
    <row r="712">
      <c r="A712" s="161"/>
      <c r="B712" s="146" t="str">
        <f>IF(A712&lt;&gt;"", SUMIF(Bets!$D:$D, A712, Bets!Z:Z), "")</f>
        <v/>
      </c>
      <c r="C712" s="162"/>
      <c r="D712" s="148"/>
      <c r="E712" s="161"/>
      <c r="F712" s="146" t="str">
        <f>IF(E712&lt;&gt;"", SUMIF(Bets!$D:$D, E712, Bets!AB:AB), "")</f>
        <v/>
      </c>
      <c r="G712" s="162"/>
      <c r="H712" s="148"/>
      <c r="I712" s="161"/>
      <c r="J712" s="146" t="str">
        <f>IF(I712&lt;&gt;"", SUMIF(Bets!$D:$D, I712, Bets!AA:AA), "")</f>
        <v/>
      </c>
      <c r="K712" s="162"/>
      <c r="L712" s="148"/>
      <c r="M712" s="161"/>
      <c r="N712" s="146"/>
      <c r="O712" s="162"/>
      <c r="P712" s="148"/>
      <c r="Q712" s="161"/>
      <c r="R712" s="146" t="str">
        <f>IF(Q712&lt;&gt;"", SUMIF(Bets!$D:$D, Q712, Bets!AD:AD), "")</f>
        <v/>
      </c>
      <c r="S712" s="162"/>
      <c r="T712" s="148"/>
      <c r="U712" s="161"/>
      <c r="V712" s="146" t="str">
        <f>IF(U712&lt;&gt;"", SUMIF(Bets!$D:$D, U712, Bets!AE:AE), "")</f>
        <v/>
      </c>
      <c r="W712" s="162"/>
      <c r="X712" s="148"/>
      <c r="Y712" s="161"/>
      <c r="Z712" s="146" t="str">
        <f>IF(Y712&lt;&gt;"", SUMIF(Bets!$D:$D, Y712, Bets!AF:AF), "")</f>
        <v/>
      </c>
      <c r="AA712" s="162"/>
      <c r="AB712" s="148"/>
      <c r="AC712" s="161"/>
      <c r="AD712" s="146" t="str">
        <f>IF(AC712&lt;&gt;"", SUMIF(Bets!$D:$D, AC712, Bets!AG:AG), "")</f>
        <v/>
      </c>
      <c r="AE712" s="162"/>
      <c r="AF712" s="148"/>
    </row>
    <row r="713">
      <c r="A713" s="161"/>
      <c r="B713" s="146" t="str">
        <f>IF(A713&lt;&gt;"", SUMIF(Bets!$D:$D, A713, Bets!Z:Z), "")</f>
        <v/>
      </c>
      <c r="C713" s="162"/>
      <c r="D713" s="148"/>
      <c r="E713" s="161"/>
      <c r="F713" s="146" t="str">
        <f>IF(E713&lt;&gt;"", SUMIF(Bets!$D:$D, E713, Bets!AB:AB), "")</f>
        <v/>
      </c>
      <c r="G713" s="162"/>
      <c r="H713" s="148"/>
      <c r="I713" s="161"/>
      <c r="J713" s="146" t="str">
        <f>IF(I713&lt;&gt;"", SUMIF(Bets!$D:$D, I713, Bets!AA:AA), "")</f>
        <v/>
      </c>
      <c r="K713" s="162"/>
      <c r="L713" s="148"/>
      <c r="M713" s="161"/>
      <c r="N713" s="146"/>
      <c r="O713" s="162"/>
      <c r="P713" s="148"/>
      <c r="Q713" s="161"/>
      <c r="R713" s="146" t="str">
        <f>IF(Q713&lt;&gt;"", SUMIF(Bets!$D:$D, Q713, Bets!AD:AD), "")</f>
        <v/>
      </c>
      <c r="S713" s="162"/>
      <c r="T713" s="148"/>
      <c r="U713" s="161"/>
      <c r="V713" s="146" t="str">
        <f>IF(U713&lt;&gt;"", SUMIF(Bets!$D:$D, U713, Bets!AE:AE), "")</f>
        <v/>
      </c>
      <c r="W713" s="162"/>
      <c r="X713" s="148"/>
      <c r="Y713" s="161"/>
      <c r="Z713" s="146" t="str">
        <f>IF(Y713&lt;&gt;"", SUMIF(Bets!$D:$D, Y713, Bets!AF:AF), "")</f>
        <v/>
      </c>
      <c r="AA713" s="162"/>
      <c r="AB713" s="148"/>
      <c r="AC713" s="161"/>
      <c r="AD713" s="146" t="str">
        <f>IF(AC713&lt;&gt;"", SUMIF(Bets!$D:$D, AC713, Bets!AG:AG), "")</f>
        <v/>
      </c>
      <c r="AE713" s="162"/>
      <c r="AF713" s="148"/>
    </row>
    <row r="714">
      <c r="A714" s="161"/>
      <c r="B714" s="146" t="str">
        <f>IF(A714&lt;&gt;"", SUMIF(Bets!$D:$D, A714, Bets!Z:Z), "")</f>
        <v/>
      </c>
      <c r="C714" s="162"/>
      <c r="D714" s="148"/>
      <c r="E714" s="161"/>
      <c r="F714" s="146" t="str">
        <f>IF(E714&lt;&gt;"", SUMIF(Bets!$D:$D, E714, Bets!AB:AB), "")</f>
        <v/>
      </c>
      <c r="G714" s="162"/>
      <c r="H714" s="148"/>
      <c r="I714" s="161"/>
      <c r="J714" s="146" t="str">
        <f>IF(I714&lt;&gt;"", SUMIF(Bets!$D:$D, I714, Bets!AA:AA), "")</f>
        <v/>
      </c>
      <c r="K714" s="162"/>
      <c r="L714" s="148"/>
      <c r="M714" s="161"/>
      <c r="N714" s="146"/>
      <c r="O714" s="162"/>
      <c r="P714" s="148"/>
      <c r="Q714" s="161"/>
      <c r="R714" s="146" t="str">
        <f>IF(Q714&lt;&gt;"", SUMIF(Bets!$D:$D, Q714, Bets!AD:AD), "")</f>
        <v/>
      </c>
      <c r="S714" s="162"/>
      <c r="T714" s="148"/>
      <c r="U714" s="161"/>
      <c r="V714" s="146" t="str">
        <f>IF(U714&lt;&gt;"", SUMIF(Bets!$D:$D, U714, Bets!AE:AE), "")</f>
        <v/>
      </c>
      <c r="W714" s="162"/>
      <c r="X714" s="148"/>
      <c r="Y714" s="161"/>
      <c r="Z714" s="146" t="str">
        <f>IF(Y714&lt;&gt;"", SUMIF(Bets!$D:$D, Y714, Bets!AF:AF), "")</f>
        <v/>
      </c>
      <c r="AA714" s="162"/>
      <c r="AB714" s="148"/>
      <c r="AC714" s="161"/>
      <c r="AD714" s="146" t="str">
        <f>IF(AC714&lt;&gt;"", SUMIF(Bets!$D:$D, AC714, Bets!AG:AG), "")</f>
        <v/>
      </c>
      <c r="AE714" s="162"/>
      <c r="AF714" s="148"/>
    </row>
    <row r="715">
      <c r="A715" s="161"/>
      <c r="B715" s="146" t="str">
        <f>IF(A715&lt;&gt;"", SUMIF(Bets!$D:$D, A715, Bets!Z:Z), "")</f>
        <v/>
      </c>
      <c r="C715" s="162"/>
      <c r="D715" s="148"/>
      <c r="E715" s="161"/>
      <c r="F715" s="146" t="str">
        <f>IF(E715&lt;&gt;"", SUMIF(Bets!$D:$D, E715, Bets!AB:AB), "")</f>
        <v/>
      </c>
      <c r="G715" s="162"/>
      <c r="H715" s="148"/>
      <c r="I715" s="161"/>
      <c r="J715" s="146" t="str">
        <f>IF(I715&lt;&gt;"", SUMIF(Bets!$D:$D, I715, Bets!AA:AA), "")</f>
        <v/>
      </c>
      <c r="K715" s="162"/>
      <c r="L715" s="148"/>
      <c r="M715" s="161"/>
      <c r="N715" s="146"/>
      <c r="O715" s="162"/>
      <c r="P715" s="148"/>
      <c r="Q715" s="161"/>
      <c r="R715" s="146" t="str">
        <f>IF(Q715&lt;&gt;"", SUMIF(Bets!$D:$D, Q715, Bets!AD:AD), "")</f>
        <v/>
      </c>
      <c r="S715" s="162"/>
      <c r="T715" s="148"/>
      <c r="U715" s="161"/>
      <c r="V715" s="146" t="str">
        <f>IF(U715&lt;&gt;"", SUMIF(Bets!$D:$D, U715, Bets!AE:AE), "")</f>
        <v/>
      </c>
      <c r="W715" s="162"/>
      <c r="X715" s="148"/>
      <c r="Y715" s="161"/>
      <c r="Z715" s="146" t="str">
        <f>IF(Y715&lt;&gt;"", SUMIF(Bets!$D:$D, Y715, Bets!AF:AF), "")</f>
        <v/>
      </c>
      <c r="AA715" s="162"/>
      <c r="AB715" s="148"/>
      <c r="AC715" s="161"/>
      <c r="AD715" s="146" t="str">
        <f>IF(AC715&lt;&gt;"", SUMIF(Bets!$D:$D, AC715, Bets!AG:AG), "")</f>
        <v/>
      </c>
      <c r="AE715" s="162"/>
      <c r="AF715" s="148"/>
    </row>
    <row r="716">
      <c r="A716" s="161"/>
      <c r="B716" s="146" t="str">
        <f>IF(A716&lt;&gt;"", SUMIF(Bets!$D:$D, A716, Bets!Z:Z), "")</f>
        <v/>
      </c>
      <c r="C716" s="162"/>
      <c r="D716" s="148"/>
      <c r="E716" s="161"/>
      <c r="F716" s="146" t="str">
        <f>IF(E716&lt;&gt;"", SUMIF(Bets!$D:$D, E716, Bets!AB:AB), "")</f>
        <v/>
      </c>
      <c r="G716" s="162"/>
      <c r="H716" s="148"/>
      <c r="I716" s="161"/>
      <c r="J716" s="146" t="str">
        <f>IF(I716&lt;&gt;"", SUMIF(Bets!$D:$D, I716, Bets!AA:AA), "")</f>
        <v/>
      </c>
      <c r="K716" s="162"/>
      <c r="L716" s="148"/>
      <c r="M716" s="161"/>
      <c r="N716" s="146"/>
      <c r="O716" s="162"/>
      <c r="P716" s="148"/>
      <c r="Q716" s="161"/>
      <c r="R716" s="146" t="str">
        <f>IF(Q716&lt;&gt;"", SUMIF(Bets!$D:$D, Q716, Bets!AD:AD), "")</f>
        <v/>
      </c>
      <c r="S716" s="162"/>
      <c r="T716" s="148"/>
      <c r="U716" s="161"/>
      <c r="V716" s="146" t="str">
        <f>IF(U716&lt;&gt;"", SUMIF(Bets!$D:$D, U716, Bets!AE:AE), "")</f>
        <v/>
      </c>
      <c r="W716" s="162"/>
      <c r="X716" s="148"/>
      <c r="Y716" s="161"/>
      <c r="Z716" s="146" t="str">
        <f>IF(Y716&lt;&gt;"", SUMIF(Bets!$D:$D, Y716, Bets!AF:AF), "")</f>
        <v/>
      </c>
      <c r="AA716" s="162"/>
      <c r="AB716" s="148"/>
      <c r="AC716" s="161"/>
      <c r="AD716" s="146" t="str">
        <f>IF(AC716&lt;&gt;"", SUMIF(Bets!$D:$D, AC716, Bets!AG:AG), "")</f>
        <v/>
      </c>
      <c r="AE716" s="162"/>
      <c r="AF716" s="148"/>
    </row>
    <row r="717">
      <c r="A717" s="161"/>
      <c r="B717" s="146" t="str">
        <f>IF(A717&lt;&gt;"", SUMIF(Bets!$D:$D, A717, Bets!Z:Z), "")</f>
        <v/>
      </c>
      <c r="C717" s="162"/>
      <c r="D717" s="148"/>
      <c r="E717" s="161"/>
      <c r="F717" s="146" t="str">
        <f>IF(E717&lt;&gt;"", SUMIF(Bets!$D:$D, E717, Bets!AB:AB), "")</f>
        <v/>
      </c>
      <c r="G717" s="162"/>
      <c r="H717" s="148"/>
      <c r="I717" s="161"/>
      <c r="J717" s="146" t="str">
        <f>IF(I717&lt;&gt;"", SUMIF(Bets!$D:$D, I717, Bets!AA:AA), "")</f>
        <v/>
      </c>
      <c r="K717" s="162"/>
      <c r="L717" s="148"/>
      <c r="M717" s="161"/>
      <c r="N717" s="146"/>
      <c r="O717" s="162"/>
      <c r="P717" s="148"/>
      <c r="Q717" s="161"/>
      <c r="R717" s="146" t="str">
        <f>IF(Q717&lt;&gt;"", SUMIF(Bets!$D:$D, Q717, Bets!AD:AD), "")</f>
        <v/>
      </c>
      <c r="S717" s="162"/>
      <c r="T717" s="148"/>
      <c r="U717" s="161"/>
      <c r="V717" s="146" t="str">
        <f>IF(U717&lt;&gt;"", SUMIF(Bets!$D:$D, U717, Bets!AE:AE), "")</f>
        <v/>
      </c>
      <c r="W717" s="162"/>
      <c r="X717" s="148"/>
      <c r="Y717" s="161"/>
      <c r="Z717" s="146" t="str">
        <f>IF(Y717&lt;&gt;"", SUMIF(Bets!$D:$D, Y717, Bets!AF:AF), "")</f>
        <v/>
      </c>
      <c r="AA717" s="162"/>
      <c r="AB717" s="148"/>
      <c r="AC717" s="161"/>
      <c r="AD717" s="146" t="str">
        <f>IF(AC717&lt;&gt;"", SUMIF(Bets!$D:$D, AC717, Bets!AG:AG), "")</f>
        <v/>
      </c>
      <c r="AE717" s="162"/>
      <c r="AF717" s="148"/>
    </row>
    <row r="718">
      <c r="A718" s="161"/>
      <c r="B718" s="146" t="str">
        <f>IF(A718&lt;&gt;"", SUMIF(Bets!$D:$D, A718, Bets!Z:Z), "")</f>
        <v/>
      </c>
      <c r="C718" s="162"/>
      <c r="D718" s="148"/>
      <c r="E718" s="161"/>
      <c r="F718" s="146" t="str">
        <f>IF(E718&lt;&gt;"", SUMIF(Bets!$D:$D, E718, Bets!AB:AB), "")</f>
        <v/>
      </c>
      <c r="G718" s="162"/>
      <c r="H718" s="148"/>
      <c r="I718" s="161"/>
      <c r="J718" s="146" t="str">
        <f>IF(I718&lt;&gt;"", SUMIF(Bets!$D:$D, I718, Bets!AA:AA), "")</f>
        <v/>
      </c>
      <c r="K718" s="162"/>
      <c r="L718" s="148"/>
      <c r="M718" s="161"/>
      <c r="N718" s="146"/>
      <c r="O718" s="162"/>
      <c r="P718" s="148"/>
      <c r="Q718" s="161"/>
      <c r="R718" s="146" t="str">
        <f>IF(Q718&lt;&gt;"", SUMIF(Bets!$D:$D, Q718, Bets!AD:AD), "")</f>
        <v/>
      </c>
      <c r="S718" s="162"/>
      <c r="T718" s="148"/>
      <c r="U718" s="161"/>
      <c r="V718" s="146" t="str">
        <f>IF(U718&lt;&gt;"", SUMIF(Bets!$D:$D, U718, Bets!AE:AE), "")</f>
        <v/>
      </c>
      <c r="W718" s="162"/>
      <c r="X718" s="148"/>
      <c r="Y718" s="161"/>
      <c r="Z718" s="146" t="str">
        <f>IF(Y718&lt;&gt;"", SUMIF(Bets!$D:$D, Y718, Bets!AF:AF), "")</f>
        <v/>
      </c>
      <c r="AA718" s="162"/>
      <c r="AB718" s="148"/>
      <c r="AC718" s="161"/>
      <c r="AD718" s="146" t="str">
        <f>IF(AC718&lt;&gt;"", SUMIF(Bets!$D:$D, AC718, Bets!AG:AG), "")</f>
        <v/>
      </c>
      <c r="AE718" s="162"/>
      <c r="AF718" s="148"/>
    </row>
    <row r="719">
      <c r="A719" s="161"/>
      <c r="B719" s="146" t="str">
        <f>IF(A719&lt;&gt;"", SUMIF(Bets!$D:$D, A719, Bets!Z:Z), "")</f>
        <v/>
      </c>
      <c r="C719" s="162"/>
      <c r="D719" s="148"/>
      <c r="E719" s="161"/>
      <c r="F719" s="146" t="str">
        <f>IF(E719&lt;&gt;"", SUMIF(Bets!$D:$D, E719, Bets!AB:AB), "")</f>
        <v/>
      </c>
      <c r="G719" s="162"/>
      <c r="H719" s="148"/>
      <c r="I719" s="161"/>
      <c r="J719" s="146" t="str">
        <f>IF(I719&lt;&gt;"", SUMIF(Bets!$D:$D, I719, Bets!AA:AA), "")</f>
        <v/>
      </c>
      <c r="K719" s="162"/>
      <c r="L719" s="148"/>
      <c r="M719" s="161"/>
      <c r="N719" s="146"/>
      <c r="O719" s="162"/>
      <c r="P719" s="148"/>
      <c r="Q719" s="161"/>
      <c r="R719" s="146" t="str">
        <f>IF(Q719&lt;&gt;"", SUMIF(Bets!$D:$D, Q719, Bets!AD:AD), "")</f>
        <v/>
      </c>
      <c r="S719" s="162"/>
      <c r="T719" s="148"/>
      <c r="U719" s="161"/>
      <c r="V719" s="146" t="str">
        <f>IF(U719&lt;&gt;"", SUMIF(Bets!$D:$D, U719, Bets!AE:AE), "")</f>
        <v/>
      </c>
      <c r="W719" s="162"/>
      <c r="X719" s="148"/>
      <c r="Y719" s="161"/>
      <c r="Z719" s="146" t="str">
        <f>IF(Y719&lt;&gt;"", SUMIF(Bets!$D:$D, Y719, Bets!AF:AF), "")</f>
        <v/>
      </c>
      <c r="AA719" s="162"/>
      <c r="AB719" s="148"/>
      <c r="AC719" s="161"/>
      <c r="AD719" s="146" t="str">
        <f>IF(AC719&lt;&gt;"", SUMIF(Bets!$D:$D, AC719, Bets!AG:AG), "")</f>
        <v/>
      </c>
      <c r="AE719" s="162"/>
      <c r="AF719" s="148"/>
    </row>
    <row r="720">
      <c r="A720" s="161"/>
      <c r="B720" s="146" t="str">
        <f>IF(A720&lt;&gt;"", SUMIF(Bets!$D:$D, A720, Bets!Z:Z), "")</f>
        <v/>
      </c>
      <c r="C720" s="162"/>
      <c r="D720" s="148"/>
      <c r="E720" s="161"/>
      <c r="F720" s="146" t="str">
        <f>IF(E720&lt;&gt;"", SUMIF(Bets!$D:$D, E720, Bets!AB:AB), "")</f>
        <v/>
      </c>
      <c r="G720" s="162"/>
      <c r="H720" s="148"/>
      <c r="I720" s="161"/>
      <c r="J720" s="146" t="str">
        <f>IF(I720&lt;&gt;"", SUMIF(Bets!$D:$D, I720, Bets!AA:AA), "")</f>
        <v/>
      </c>
      <c r="K720" s="162"/>
      <c r="L720" s="148"/>
      <c r="M720" s="161"/>
      <c r="N720" s="146"/>
      <c r="O720" s="162"/>
      <c r="P720" s="148"/>
      <c r="Q720" s="161"/>
      <c r="R720" s="146" t="str">
        <f>IF(Q720&lt;&gt;"", SUMIF(Bets!$D:$D, Q720, Bets!AD:AD), "")</f>
        <v/>
      </c>
      <c r="S720" s="162"/>
      <c r="T720" s="148"/>
      <c r="U720" s="161"/>
      <c r="V720" s="146" t="str">
        <f>IF(U720&lt;&gt;"", SUMIF(Bets!$D:$D, U720, Bets!AE:AE), "")</f>
        <v/>
      </c>
      <c r="W720" s="162"/>
      <c r="X720" s="148"/>
      <c r="Y720" s="161"/>
      <c r="Z720" s="146" t="str">
        <f>IF(Y720&lt;&gt;"", SUMIF(Bets!$D:$D, Y720, Bets!AF:AF), "")</f>
        <v/>
      </c>
      <c r="AA720" s="162"/>
      <c r="AB720" s="148"/>
      <c r="AC720" s="161"/>
      <c r="AD720" s="146" t="str">
        <f>IF(AC720&lt;&gt;"", SUMIF(Bets!$D:$D, AC720, Bets!AG:AG), "")</f>
        <v/>
      </c>
      <c r="AE720" s="162"/>
      <c r="AF720" s="148"/>
    </row>
    <row r="721">
      <c r="A721" s="161"/>
      <c r="B721" s="146" t="str">
        <f>IF(A721&lt;&gt;"", SUMIF(Bets!$D:$D, A721, Bets!Z:Z), "")</f>
        <v/>
      </c>
      <c r="C721" s="162"/>
      <c r="D721" s="148"/>
      <c r="E721" s="161"/>
      <c r="F721" s="146" t="str">
        <f>IF(E721&lt;&gt;"", SUMIF(Bets!$D:$D, E721, Bets!AB:AB), "")</f>
        <v/>
      </c>
      <c r="G721" s="162"/>
      <c r="H721" s="148"/>
      <c r="I721" s="161"/>
      <c r="J721" s="146" t="str">
        <f>IF(I721&lt;&gt;"", SUMIF(Bets!$D:$D, I721, Bets!AA:AA), "")</f>
        <v/>
      </c>
      <c r="K721" s="162"/>
      <c r="L721" s="148"/>
      <c r="M721" s="161"/>
      <c r="N721" s="146"/>
      <c r="O721" s="162"/>
      <c r="P721" s="148"/>
      <c r="Q721" s="161"/>
      <c r="R721" s="146" t="str">
        <f>IF(Q721&lt;&gt;"", SUMIF(Bets!$D:$D, Q721, Bets!AD:AD), "")</f>
        <v/>
      </c>
      <c r="S721" s="162"/>
      <c r="T721" s="148"/>
      <c r="U721" s="161"/>
      <c r="V721" s="146" t="str">
        <f>IF(U721&lt;&gt;"", SUMIF(Bets!$D:$D, U721, Bets!AE:AE), "")</f>
        <v/>
      </c>
      <c r="W721" s="162"/>
      <c r="X721" s="148"/>
      <c r="Y721" s="161"/>
      <c r="Z721" s="146" t="str">
        <f>IF(Y721&lt;&gt;"", SUMIF(Bets!$D:$D, Y721, Bets!AF:AF), "")</f>
        <v/>
      </c>
      <c r="AA721" s="162"/>
      <c r="AB721" s="148"/>
      <c r="AC721" s="161"/>
      <c r="AD721" s="146" t="str">
        <f>IF(AC721&lt;&gt;"", SUMIF(Bets!$D:$D, AC721, Bets!AG:AG), "")</f>
        <v/>
      </c>
      <c r="AE721" s="162"/>
      <c r="AF721" s="148"/>
    </row>
    <row r="722">
      <c r="A722" s="161"/>
      <c r="B722" s="146" t="str">
        <f>IF(A722&lt;&gt;"", SUMIF(Bets!$D:$D, A722, Bets!Z:Z), "")</f>
        <v/>
      </c>
      <c r="C722" s="162"/>
      <c r="D722" s="148"/>
      <c r="E722" s="161"/>
      <c r="F722" s="146" t="str">
        <f>IF(E722&lt;&gt;"", SUMIF(Bets!$D:$D, E722, Bets!AB:AB), "")</f>
        <v/>
      </c>
      <c r="G722" s="162"/>
      <c r="H722" s="148"/>
      <c r="I722" s="161"/>
      <c r="J722" s="146" t="str">
        <f>IF(I722&lt;&gt;"", SUMIF(Bets!$D:$D, I722, Bets!AA:AA), "")</f>
        <v/>
      </c>
      <c r="K722" s="162"/>
      <c r="L722" s="148"/>
      <c r="M722" s="161"/>
      <c r="N722" s="146"/>
      <c r="O722" s="162"/>
      <c r="P722" s="148"/>
      <c r="Q722" s="161"/>
      <c r="R722" s="146" t="str">
        <f>IF(Q722&lt;&gt;"", SUMIF(Bets!$D:$D, Q722, Bets!AD:AD), "")</f>
        <v/>
      </c>
      <c r="S722" s="162"/>
      <c r="T722" s="148"/>
      <c r="U722" s="161"/>
      <c r="V722" s="146" t="str">
        <f>IF(U722&lt;&gt;"", SUMIF(Bets!$D:$D, U722, Bets!AE:AE), "")</f>
        <v/>
      </c>
      <c r="W722" s="162"/>
      <c r="X722" s="148"/>
      <c r="Y722" s="161"/>
      <c r="Z722" s="146" t="str">
        <f>IF(Y722&lt;&gt;"", SUMIF(Bets!$D:$D, Y722, Bets!AF:AF), "")</f>
        <v/>
      </c>
      <c r="AA722" s="162"/>
      <c r="AB722" s="148"/>
      <c r="AC722" s="161"/>
      <c r="AD722" s="146" t="str">
        <f>IF(AC722&lt;&gt;"", SUMIF(Bets!$D:$D, AC722, Bets!AG:AG), "")</f>
        <v/>
      </c>
      <c r="AE722" s="162"/>
      <c r="AF722" s="148"/>
    </row>
    <row r="723">
      <c r="A723" s="161"/>
      <c r="B723" s="146" t="str">
        <f>IF(A723&lt;&gt;"", SUMIF(Bets!$D:$D, A723, Bets!Z:Z), "")</f>
        <v/>
      </c>
      <c r="C723" s="162"/>
      <c r="D723" s="148"/>
      <c r="E723" s="161"/>
      <c r="F723" s="146" t="str">
        <f>IF(E723&lt;&gt;"", SUMIF(Bets!$D:$D, E723, Bets!AB:AB), "")</f>
        <v/>
      </c>
      <c r="G723" s="162"/>
      <c r="H723" s="148"/>
      <c r="I723" s="161"/>
      <c r="J723" s="146" t="str">
        <f>IF(I723&lt;&gt;"", SUMIF(Bets!$D:$D, I723, Bets!AA:AA), "")</f>
        <v/>
      </c>
      <c r="K723" s="162"/>
      <c r="L723" s="148"/>
      <c r="M723" s="161"/>
      <c r="N723" s="146"/>
      <c r="O723" s="162"/>
      <c r="P723" s="148"/>
      <c r="Q723" s="161"/>
      <c r="R723" s="146" t="str">
        <f>IF(Q723&lt;&gt;"", SUMIF(Bets!$D:$D, Q723, Bets!AD:AD), "")</f>
        <v/>
      </c>
      <c r="S723" s="162"/>
      <c r="T723" s="148"/>
      <c r="U723" s="161"/>
      <c r="V723" s="146" t="str">
        <f>IF(U723&lt;&gt;"", SUMIF(Bets!$D:$D, U723, Bets!AE:AE), "")</f>
        <v/>
      </c>
      <c r="W723" s="162"/>
      <c r="X723" s="148"/>
      <c r="Y723" s="161"/>
      <c r="Z723" s="146" t="str">
        <f>IF(Y723&lt;&gt;"", SUMIF(Bets!$D:$D, Y723, Bets!AF:AF), "")</f>
        <v/>
      </c>
      <c r="AA723" s="162"/>
      <c r="AB723" s="148"/>
      <c r="AC723" s="161"/>
      <c r="AD723" s="146" t="str">
        <f>IF(AC723&lt;&gt;"", SUMIF(Bets!$D:$D, AC723, Bets!AG:AG), "")</f>
        <v/>
      </c>
      <c r="AE723" s="162"/>
      <c r="AF723" s="148"/>
    </row>
    <row r="724">
      <c r="A724" s="161"/>
      <c r="B724" s="146" t="str">
        <f>IF(A724&lt;&gt;"", SUMIF(Bets!$D:$D, A724, Bets!Z:Z), "")</f>
        <v/>
      </c>
      <c r="C724" s="162"/>
      <c r="D724" s="148"/>
      <c r="E724" s="161"/>
      <c r="F724" s="146" t="str">
        <f>IF(E724&lt;&gt;"", SUMIF(Bets!$D:$D, E724, Bets!AB:AB), "")</f>
        <v/>
      </c>
      <c r="G724" s="162"/>
      <c r="H724" s="148"/>
      <c r="I724" s="161"/>
      <c r="J724" s="146" t="str">
        <f>IF(I724&lt;&gt;"", SUMIF(Bets!$D:$D, I724, Bets!AA:AA), "")</f>
        <v/>
      </c>
      <c r="K724" s="162"/>
      <c r="L724" s="148"/>
      <c r="M724" s="161"/>
      <c r="N724" s="146"/>
      <c r="O724" s="162"/>
      <c r="P724" s="148"/>
      <c r="Q724" s="161"/>
      <c r="R724" s="146" t="str">
        <f>IF(Q724&lt;&gt;"", SUMIF(Bets!$D:$D, Q724, Bets!AD:AD), "")</f>
        <v/>
      </c>
      <c r="S724" s="162"/>
      <c r="T724" s="148"/>
      <c r="U724" s="161"/>
      <c r="V724" s="146" t="str">
        <f>IF(U724&lt;&gt;"", SUMIF(Bets!$D:$D, U724, Bets!AE:AE), "")</f>
        <v/>
      </c>
      <c r="W724" s="162"/>
      <c r="X724" s="148"/>
      <c r="Y724" s="161"/>
      <c r="Z724" s="146" t="str">
        <f>IF(Y724&lt;&gt;"", SUMIF(Bets!$D:$D, Y724, Bets!AF:AF), "")</f>
        <v/>
      </c>
      <c r="AA724" s="162"/>
      <c r="AB724" s="148"/>
      <c r="AC724" s="161"/>
      <c r="AD724" s="146" t="str">
        <f>IF(AC724&lt;&gt;"", SUMIF(Bets!$D:$D, AC724, Bets!AG:AG), "")</f>
        <v/>
      </c>
      <c r="AE724" s="162"/>
      <c r="AF724" s="148"/>
    </row>
    <row r="725">
      <c r="A725" s="161"/>
      <c r="B725" s="146" t="str">
        <f>IF(A725&lt;&gt;"", SUMIF(Bets!$D:$D, A725, Bets!Z:Z), "")</f>
        <v/>
      </c>
      <c r="C725" s="162"/>
      <c r="D725" s="148"/>
      <c r="E725" s="161"/>
      <c r="F725" s="146" t="str">
        <f>IF(E725&lt;&gt;"", SUMIF(Bets!$D:$D, E725, Bets!AB:AB), "")</f>
        <v/>
      </c>
      <c r="G725" s="162"/>
      <c r="H725" s="148"/>
      <c r="I725" s="161"/>
      <c r="J725" s="146" t="str">
        <f>IF(I725&lt;&gt;"", SUMIF(Bets!$D:$D, I725, Bets!AA:AA), "")</f>
        <v/>
      </c>
      <c r="K725" s="162"/>
      <c r="L725" s="148"/>
      <c r="M725" s="161"/>
      <c r="N725" s="146"/>
      <c r="O725" s="162"/>
      <c r="P725" s="148"/>
      <c r="Q725" s="161"/>
      <c r="R725" s="146" t="str">
        <f>IF(Q725&lt;&gt;"", SUMIF(Bets!$D:$D, Q725, Bets!AD:AD), "")</f>
        <v/>
      </c>
      <c r="S725" s="162"/>
      <c r="T725" s="148"/>
      <c r="U725" s="161"/>
      <c r="V725" s="146" t="str">
        <f>IF(U725&lt;&gt;"", SUMIF(Bets!$D:$D, U725, Bets!AE:AE), "")</f>
        <v/>
      </c>
      <c r="W725" s="162"/>
      <c r="X725" s="148"/>
      <c r="Y725" s="161"/>
      <c r="Z725" s="146" t="str">
        <f>IF(Y725&lt;&gt;"", SUMIF(Bets!$D:$D, Y725, Bets!AF:AF), "")</f>
        <v/>
      </c>
      <c r="AA725" s="162"/>
      <c r="AB725" s="148"/>
      <c r="AC725" s="161"/>
      <c r="AD725" s="146" t="str">
        <f>IF(AC725&lt;&gt;"", SUMIF(Bets!$D:$D, AC725, Bets!AG:AG), "")</f>
        <v/>
      </c>
      <c r="AE725" s="162"/>
      <c r="AF725" s="148"/>
    </row>
    <row r="726">
      <c r="A726" s="161"/>
      <c r="B726" s="146" t="str">
        <f>IF(A726&lt;&gt;"", SUMIF(Bets!$D:$D, A726, Bets!Z:Z), "")</f>
        <v/>
      </c>
      <c r="C726" s="162"/>
      <c r="D726" s="148"/>
      <c r="E726" s="161"/>
      <c r="F726" s="146" t="str">
        <f>IF(E726&lt;&gt;"", SUMIF(Bets!$D:$D, E726, Bets!AB:AB), "")</f>
        <v/>
      </c>
      <c r="G726" s="162"/>
      <c r="H726" s="148"/>
      <c r="I726" s="161"/>
      <c r="J726" s="146" t="str">
        <f>IF(I726&lt;&gt;"", SUMIF(Bets!$D:$D, I726, Bets!AA:AA), "")</f>
        <v/>
      </c>
      <c r="K726" s="162"/>
      <c r="L726" s="148"/>
      <c r="M726" s="161"/>
      <c r="N726" s="146"/>
      <c r="O726" s="162"/>
      <c r="P726" s="148"/>
      <c r="Q726" s="161"/>
      <c r="R726" s="146" t="str">
        <f>IF(Q726&lt;&gt;"", SUMIF(Bets!$D:$D, Q726, Bets!AD:AD), "")</f>
        <v/>
      </c>
      <c r="S726" s="162"/>
      <c r="T726" s="148"/>
      <c r="U726" s="161"/>
      <c r="V726" s="146" t="str">
        <f>IF(U726&lt;&gt;"", SUMIF(Bets!$D:$D, U726, Bets!AE:AE), "")</f>
        <v/>
      </c>
      <c r="W726" s="162"/>
      <c r="X726" s="148"/>
      <c r="Y726" s="161"/>
      <c r="Z726" s="146" t="str">
        <f>IF(Y726&lt;&gt;"", SUMIF(Bets!$D:$D, Y726, Bets!AF:AF), "")</f>
        <v/>
      </c>
      <c r="AA726" s="162"/>
      <c r="AB726" s="148"/>
      <c r="AC726" s="161"/>
      <c r="AD726" s="146" t="str">
        <f>IF(AC726&lt;&gt;"", SUMIF(Bets!$D:$D, AC726, Bets!AG:AG), "")</f>
        <v/>
      </c>
      <c r="AE726" s="162"/>
      <c r="AF726" s="148"/>
    </row>
    <row r="727">
      <c r="A727" s="161"/>
      <c r="B727" s="146" t="str">
        <f>IF(A727&lt;&gt;"", SUMIF(Bets!$D:$D, A727, Bets!Z:Z), "")</f>
        <v/>
      </c>
      <c r="C727" s="162"/>
      <c r="D727" s="148"/>
      <c r="E727" s="161"/>
      <c r="F727" s="146" t="str">
        <f>IF(E727&lt;&gt;"", SUMIF(Bets!$D:$D, E727, Bets!AB:AB), "")</f>
        <v/>
      </c>
      <c r="G727" s="162"/>
      <c r="H727" s="148"/>
      <c r="I727" s="161"/>
      <c r="J727" s="146" t="str">
        <f>IF(I727&lt;&gt;"", SUMIF(Bets!$D:$D, I727, Bets!AA:AA), "")</f>
        <v/>
      </c>
      <c r="K727" s="162"/>
      <c r="L727" s="148"/>
      <c r="M727" s="161"/>
      <c r="N727" s="146"/>
      <c r="O727" s="162"/>
      <c r="P727" s="148"/>
      <c r="Q727" s="161"/>
      <c r="R727" s="146" t="str">
        <f>IF(Q727&lt;&gt;"", SUMIF(Bets!$D:$D, Q727, Bets!AD:AD), "")</f>
        <v/>
      </c>
      <c r="S727" s="162"/>
      <c r="T727" s="148"/>
      <c r="U727" s="161"/>
      <c r="V727" s="146" t="str">
        <f>IF(U727&lt;&gt;"", SUMIF(Bets!$D:$D, U727, Bets!AE:AE), "")</f>
        <v/>
      </c>
      <c r="W727" s="162"/>
      <c r="X727" s="148"/>
      <c r="Y727" s="161"/>
      <c r="Z727" s="146" t="str">
        <f>IF(Y727&lt;&gt;"", SUMIF(Bets!$D:$D, Y727, Bets!AF:AF), "")</f>
        <v/>
      </c>
      <c r="AA727" s="162"/>
      <c r="AB727" s="148"/>
      <c r="AC727" s="161"/>
      <c r="AD727" s="146" t="str">
        <f>IF(AC727&lt;&gt;"", SUMIF(Bets!$D:$D, AC727, Bets!AG:AG), "")</f>
        <v/>
      </c>
      <c r="AE727" s="162"/>
      <c r="AF727" s="148"/>
    </row>
    <row r="728">
      <c r="A728" s="161"/>
      <c r="B728" s="146" t="str">
        <f>IF(A728&lt;&gt;"", SUMIF(Bets!$D:$D, A728, Bets!Z:Z), "")</f>
        <v/>
      </c>
      <c r="C728" s="162"/>
      <c r="D728" s="148"/>
      <c r="E728" s="161"/>
      <c r="F728" s="146" t="str">
        <f>IF(E728&lt;&gt;"", SUMIF(Bets!$D:$D, E728, Bets!AB:AB), "")</f>
        <v/>
      </c>
      <c r="G728" s="162"/>
      <c r="H728" s="148"/>
      <c r="I728" s="161"/>
      <c r="J728" s="146" t="str">
        <f>IF(I728&lt;&gt;"", SUMIF(Bets!$D:$D, I728, Bets!AA:AA), "")</f>
        <v/>
      </c>
      <c r="K728" s="162"/>
      <c r="L728" s="148"/>
      <c r="M728" s="161"/>
      <c r="N728" s="146"/>
      <c r="O728" s="162"/>
      <c r="P728" s="148"/>
      <c r="Q728" s="161"/>
      <c r="R728" s="146" t="str">
        <f>IF(Q728&lt;&gt;"", SUMIF(Bets!$D:$D, Q728, Bets!AD:AD), "")</f>
        <v/>
      </c>
      <c r="S728" s="162"/>
      <c r="T728" s="148"/>
      <c r="U728" s="161"/>
      <c r="V728" s="146" t="str">
        <f>IF(U728&lt;&gt;"", SUMIF(Bets!$D:$D, U728, Bets!AE:AE), "")</f>
        <v/>
      </c>
      <c r="W728" s="162"/>
      <c r="X728" s="148"/>
      <c r="Y728" s="161"/>
      <c r="Z728" s="146" t="str">
        <f>IF(Y728&lt;&gt;"", SUMIF(Bets!$D:$D, Y728, Bets!AF:AF), "")</f>
        <v/>
      </c>
      <c r="AA728" s="162"/>
      <c r="AB728" s="148"/>
      <c r="AC728" s="161"/>
      <c r="AD728" s="146" t="str">
        <f>IF(AC728&lt;&gt;"", SUMIF(Bets!$D:$D, AC728, Bets!AG:AG), "")</f>
        <v/>
      </c>
      <c r="AE728" s="162"/>
      <c r="AF728" s="148"/>
    </row>
    <row r="729">
      <c r="A729" s="161"/>
      <c r="B729" s="146" t="str">
        <f>IF(A729&lt;&gt;"", SUMIF(Bets!$D:$D, A729, Bets!Z:Z), "")</f>
        <v/>
      </c>
      <c r="C729" s="162"/>
      <c r="D729" s="148"/>
      <c r="E729" s="161"/>
      <c r="F729" s="146" t="str">
        <f>IF(E729&lt;&gt;"", SUMIF(Bets!$D:$D, E729, Bets!AB:AB), "")</f>
        <v/>
      </c>
      <c r="G729" s="162"/>
      <c r="H729" s="148"/>
      <c r="I729" s="161"/>
      <c r="J729" s="146" t="str">
        <f>IF(I729&lt;&gt;"", SUMIF(Bets!$D:$D, I729, Bets!AA:AA), "")</f>
        <v/>
      </c>
      <c r="K729" s="162"/>
      <c r="L729" s="148"/>
      <c r="M729" s="161"/>
      <c r="N729" s="146"/>
      <c r="O729" s="162"/>
      <c r="P729" s="148"/>
      <c r="Q729" s="161"/>
      <c r="R729" s="146" t="str">
        <f>IF(Q729&lt;&gt;"", SUMIF(Bets!$D:$D, Q729, Bets!AD:AD), "")</f>
        <v/>
      </c>
      <c r="S729" s="162"/>
      <c r="T729" s="148"/>
      <c r="U729" s="161"/>
      <c r="V729" s="146" t="str">
        <f>IF(U729&lt;&gt;"", SUMIF(Bets!$D:$D, U729, Bets!AE:AE), "")</f>
        <v/>
      </c>
      <c r="W729" s="162"/>
      <c r="X729" s="148"/>
      <c r="Y729" s="161"/>
      <c r="Z729" s="146" t="str">
        <f>IF(Y729&lt;&gt;"", SUMIF(Bets!$D:$D, Y729, Bets!AF:AF), "")</f>
        <v/>
      </c>
      <c r="AA729" s="162"/>
      <c r="AB729" s="148"/>
      <c r="AC729" s="161"/>
      <c r="AD729" s="146" t="str">
        <f>IF(AC729&lt;&gt;"", SUMIF(Bets!$D:$D, AC729, Bets!AG:AG), "")</f>
        <v/>
      </c>
      <c r="AE729" s="162"/>
      <c r="AF729" s="148"/>
    </row>
    <row r="730">
      <c r="A730" s="161"/>
      <c r="B730" s="146" t="str">
        <f>IF(A730&lt;&gt;"", SUMIF(Bets!$D:$D, A730, Bets!Z:Z), "")</f>
        <v/>
      </c>
      <c r="C730" s="162"/>
      <c r="D730" s="148"/>
      <c r="E730" s="161"/>
      <c r="F730" s="146" t="str">
        <f>IF(E730&lt;&gt;"", SUMIF(Bets!$D:$D, E730, Bets!AB:AB), "")</f>
        <v/>
      </c>
      <c r="G730" s="162"/>
      <c r="H730" s="148"/>
      <c r="I730" s="161"/>
      <c r="J730" s="146" t="str">
        <f>IF(I730&lt;&gt;"", SUMIF(Bets!$D:$D, I730, Bets!AA:AA), "")</f>
        <v/>
      </c>
      <c r="K730" s="162"/>
      <c r="L730" s="148"/>
      <c r="M730" s="161"/>
      <c r="N730" s="146"/>
      <c r="O730" s="162"/>
      <c r="P730" s="148"/>
      <c r="Q730" s="161"/>
      <c r="R730" s="146" t="str">
        <f>IF(Q730&lt;&gt;"", SUMIF(Bets!$D:$D, Q730, Bets!AD:AD), "")</f>
        <v/>
      </c>
      <c r="S730" s="162"/>
      <c r="T730" s="148"/>
      <c r="U730" s="161"/>
      <c r="V730" s="146" t="str">
        <f>IF(U730&lt;&gt;"", SUMIF(Bets!$D:$D, U730, Bets!AE:AE), "")</f>
        <v/>
      </c>
      <c r="W730" s="162"/>
      <c r="X730" s="148"/>
      <c r="Y730" s="161"/>
      <c r="Z730" s="146" t="str">
        <f>IF(Y730&lt;&gt;"", SUMIF(Bets!$D:$D, Y730, Bets!AF:AF), "")</f>
        <v/>
      </c>
      <c r="AA730" s="162"/>
      <c r="AB730" s="148"/>
      <c r="AC730" s="161"/>
      <c r="AD730" s="146" t="str">
        <f>IF(AC730&lt;&gt;"", SUMIF(Bets!$D:$D, AC730, Bets!AG:AG), "")</f>
        <v/>
      </c>
      <c r="AE730" s="162"/>
      <c r="AF730" s="148"/>
    </row>
    <row r="731">
      <c r="A731" s="161"/>
      <c r="B731" s="146" t="str">
        <f>IF(A731&lt;&gt;"", SUMIF(Bets!$D:$D, A731, Bets!Z:Z), "")</f>
        <v/>
      </c>
      <c r="C731" s="162"/>
      <c r="D731" s="148"/>
      <c r="E731" s="161"/>
      <c r="F731" s="146" t="str">
        <f>IF(E731&lt;&gt;"", SUMIF(Bets!$D:$D, E731, Bets!AB:AB), "")</f>
        <v/>
      </c>
      <c r="G731" s="162"/>
      <c r="H731" s="148"/>
      <c r="I731" s="161"/>
      <c r="J731" s="146" t="str">
        <f>IF(I731&lt;&gt;"", SUMIF(Bets!$D:$D, I731, Bets!AA:AA), "")</f>
        <v/>
      </c>
      <c r="K731" s="162"/>
      <c r="L731" s="148"/>
      <c r="M731" s="161"/>
      <c r="N731" s="146"/>
      <c r="O731" s="162"/>
      <c r="P731" s="148"/>
      <c r="Q731" s="161"/>
      <c r="R731" s="146" t="str">
        <f>IF(Q731&lt;&gt;"", SUMIF(Bets!$D:$D, Q731, Bets!AD:AD), "")</f>
        <v/>
      </c>
      <c r="S731" s="162"/>
      <c r="T731" s="148"/>
      <c r="U731" s="161"/>
      <c r="V731" s="146" t="str">
        <f>IF(U731&lt;&gt;"", SUMIF(Bets!$D:$D, U731, Bets!AE:AE), "")</f>
        <v/>
      </c>
      <c r="W731" s="162"/>
      <c r="X731" s="148"/>
      <c r="Y731" s="161"/>
      <c r="Z731" s="146" t="str">
        <f>IF(Y731&lt;&gt;"", SUMIF(Bets!$D:$D, Y731, Bets!AF:AF), "")</f>
        <v/>
      </c>
      <c r="AA731" s="162"/>
      <c r="AB731" s="148"/>
      <c r="AC731" s="161"/>
      <c r="AD731" s="146" t="str">
        <f>IF(AC731&lt;&gt;"", SUMIF(Bets!$D:$D, AC731, Bets!AG:AG), "")</f>
        <v/>
      </c>
      <c r="AE731" s="162"/>
      <c r="AF731" s="148"/>
    </row>
    <row r="732">
      <c r="A732" s="161"/>
      <c r="B732" s="146" t="str">
        <f>IF(A732&lt;&gt;"", SUMIF(Bets!$D:$D, A732, Bets!Z:Z), "")</f>
        <v/>
      </c>
      <c r="C732" s="162"/>
      <c r="D732" s="148"/>
      <c r="E732" s="161"/>
      <c r="F732" s="146" t="str">
        <f>IF(E732&lt;&gt;"", SUMIF(Bets!$D:$D, E732, Bets!AB:AB), "")</f>
        <v/>
      </c>
      <c r="G732" s="162"/>
      <c r="H732" s="148"/>
      <c r="I732" s="161"/>
      <c r="J732" s="146" t="str">
        <f>IF(I732&lt;&gt;"", SUMIF(Bets!$D:$D, I732, Bets!AA:AA), "")</f>
        <v/>
      </c>
      <c r="K732" s="162"/>
      <c r="L732" s="148"/>
      <c r="M732" s="161"/>
      <c r="N732" s="146"/>
      <c r="O732" s="162"/>
      <c r="P732" s="148"/>
      <c r="Q732" s="161"/>
      <c r="R732" s="146" t="str">
        <f>IF(Q732&lt;&gt;"", SUMIF(Bets!$D:$D, Q732, Bets!AD:AD), "")</f>
        <v/>
      </c>
      <c r="S732" s="162"/>
      <c r="T732" s="148"/>
      <c r="U732" s="161"/>
      <c r="V732" s="146" t="str">
        <f>IF(U732&lt;&gt;"", SUMIF(Bets!$D:$D, U732, Bets!AE:AE), "")</f>
        <v/>
      </c>
      <c r="W732" s="162"/>
      <c r="X732" s="148"/>
      <c r="Y732" s="161"/>
      <c r="Z732" s="146" t="str">
        <f>IF(Y732&lt;&gt;"", SUMIF(Bets!$D:$D, Y732, Bets!AF:AF), "")</f>
        <v/>
      </c>
      <c r="AA732" s="162"/>
      <c r="AB732" s="148"/>
      <c r="AC732" s="161"/>
      <c r="AD732" s="146" t="str">
        <f>IF(AC732&lt;&gt;"", SUMIF(Bets!$D:$D, AC732, Bets!AG:AG), "")</f>
        <v/>
      </c>
      <c r="AE732" s="162"/>
      <c r="AF732" s="148"/>
    </row>
    <row r="733">
      <c r="A733" s="161"/>
      <c r="B733" s="146" t="str">
        <f>IF(A733&lt;&gt;"", SUMIF(Bets!$D:$D, A733, Bets!Z:Z), "")</f>
        <v/>
      </c>
      <c r="C733" s="162"/>
      <c r="D733" s="148"/>
      <c r="E733" s="161"/>
      <c r="F733" s="146" t="str">
        <f>IF(E733&lt;&gt;"", SUMIF(Bets!$D:$D, E733, Bets!AB:AB), "")</f>
        <v/>
      </c>
      <c r="G733" s="162"/>
      <c r="H733" s="148"/>
      <c r="I733" s="161"/>
      <c r="J733" s="146" t="str">
        <f>IF(I733&lt;&gt;"", SUMIF(Bets!$D:$D, I733, Bets!AA:AA), "")</f>
        <v/>
      </c>
      <c r="K733" s="162"/>
      <c r="L733" s="148"/>
      <c r="M733" s="161"/>
      <c r="N733" s="146"/>
      <c r="O733" s="162"/>
      <c r="P733" s="148"/>
      <c r="Q733" s="161"/>
      <c r="R733" s="146" t="str">
        <f>IF(Q733&lt;&gt;"", SUMIF(Bets!$D:$D, Q733, Bets!AD:AD), "")</f>
        <v/>
      </c>
      <c r="S733" s="162"/>
      <c r="T733" s="148"/>
      <c r="U733" s="161"/>
      <c r="V733" s="146" t="str">
        <f>IF(U733&lt;&gt;"", SUMIF(Bets!$D:$D, U733, Bets!AE:AE), "")</f>
        <v/>
      </c>
      <c r="W733" s="162"/>
      <c r="X733" s="148"/>
      <c r="Y733" s="161"/>
      <c r="Z733" s="146" t="str">
        <f>IF(Y733&lt;&gt;"", SUMIF(Bets!$D:$D, Y733, Bets!AF:AF), "")</f>
        <v/>
      </c>
      <c r="AA733" s="162"/>
      <c r="AB733" s="148"/>
      <c r="AC733" s="161"/>
      <c r="AD733" s="146" t="str">
        <f>IF(AC733&lt;&gt;"", SUMIF(Bets!$D:$D, AC733, Bets!AG:AG), "")</f>
        <v/>
      </c>
      <c r="AE733" s="162"/>
      <c r="AF733" s="148"/>
    </row>
    <row r="734">
      <c r="A734" s="161"/>
      <c r="B734" s="146" t="str">
        <f>IF(A734&lt;&gt;"", SUMIF(Bets!$D:$D, A734, Bets!Z:Z), "")</f>
        <v/>
      </c>
      <c r="C734" s="162"/>
      <c r="D734" s="148"/>
      <c r="E734" s="161"/>
      <c r="F734" s="146" t="str">
        <f>IF(E734&lt;&gt;"", SUMIF(Bets!$D:$D, E734, Bets!AB:AB), "")</f>
        <v/>
      </c>
      <c r="G734" s="162"/>
      <c r="H734" s="148"/>
      <c r="I734" s="161"/>
      <c r="J734" s="146" t="str">
        <f>IF(I734&lt;&gt;"", SUMIF(Bets!$D:$D, I734, Bets!AA:AA), "")</f>
        <v/>
      </c>
      <c r="K734" s="162"/>
      <c r="L734" s="148"/>
      <c r="M734" s="161"/>
      <c r="N734" s="146"/>
      <c r="O734" s="162"/>
      <c r="P734" s="148"/>
      <c r="Q734" s="161"/>
      <c r="R734" s="146" t="str">
        <f>IF(Q734&lt;&gt;"", SUMIF(Bets!$D:$D, Q734, Bets!AD:AD), "")</f>
        <v/>
      </c>
      <c r="S734" s="162"/>
      <c r="T734" s="148"/>
      <c r="U734" s="161"/>
      <c r="V734" s="146" t="str">
        <f>IF(U734&lt;&gt;"", SUMIF(Bets!$D:$D, U734, Bets!AE:AE), "")</f>
        <v/>
      </c>
      <c r="W734" s="162"/>
      <c r="X734" s="148"/>
      <c r="Y734" s="161"/>
      <c r="Z734" s="146" t="str">
        <f>IF(Y734&lt;&gt;"", SUMIF(Bets!$D:$D, Y734, Bets!AF:AF), "")</f>
        <v/>
      </c>
      <c r="AA734" s="162"/>
      <c r="AB734" s="148"/>
      <c r="AC734" s="161"/>
      <c r="AD734" s="146" t="str">
        <f>IF(AC734&lt;&gt;"", SUMIF(Bets!$D:$D, AC734, Bets!AG:AG), "")</f>
        <v/>
      </c>
      <c r="AE734" s="162"/>
      <c r="AF734" s="148"/>
    </row>
    <row r="735">
      <c r="A735" s="161"/>
      <c r="B735" s="146" t="str">
        <f>IF(A735&lt;&gt;"", SUMIF(Bets!$D:$D, A735, Bets!Z:Z), "")</f>
        <v/>
      </c>
      <c r="C735" s="162"/>
      <c r="D735" s="148"/>
      <c r="E735" s="161"/>
      <c r="F735" s="146" t="str">
        <f>IF(E735&lt;&gt;"", SUMIF(Bets!$D:$D, E735, Bets!AB:AB), "")</f>
        <v/>
      </c>
      <c r="G735" s="162"/>
      <c r="H735" s="148"/>
      <c r="I735" s="161"/>
      <c r="J735" s="146" t="str">
        <f>IF(I735&lt;&gt;"", SUMIF(Bets!$D:$D, I735, Bets!AA:AA), "")</f>
        <v/>
      </c>
      <c r="K735" s="162"/>
      <c r="L735" s="148"/>
      <c r="M735" s="161"/>
      <c r="N735" s="146"/>
      <c r="O735" s="162"/>
      <c r="P735" s="148"/>
      <c r="Q735" s="161"/>
      <c r="R735" s="146" t="str">
        <f>IF(Q735&lt;&gt;"", SUMIF(Bets!$D:$D, Q735, Bets!AD:AD), "")</f>
        <v/>
      </c>
      <c r="S735" s="162"/>
      <c r="T735" s="148"/>
      <c r="U735" s="161"/>
      <c r="V735" s="146" t="str">
        <f>IF(U735&lt;&gt;"", SUMIF(Bets!$D:$D, U735, Bets!AE:AE), "")</f>
        <v/>
      </c>
      <c r="W735" s="162"/>
      <c r="X735" s="148"/>
      <c r="Y735" s="161"/>
      <c r="Z735" s="146" t="str">
        <f>IF(Y735&lt;&gt;"", SUMIF(Bets!$D:$D, Y735, Bets!AF:AF), "")</f>
        <v/>
      </c>
      <c r="AA735" s="162"/>
      <c r="AB735" s="148"/>
      <c r="AC735" s="161"/>
      <c r="AD735" s="146" t="str">
        <f>IF(AC735&lt;&gt;"", SUMIF(Bets!$D:$D, AC735, Bets!AG:AG), "")</f>
        <v/>
      </c>
      <c r="AE735" s="162"/>
      <c r="AF735" s="148"/>
    </row>
    <row r="736">
      <c r="A736" s="161"/>
      <c r="B736" s="146" t="str">
        <f>IF(A736&lt;&gt;"", SUMIF(Bets!$D:$D, A736, Bets!Z:Z), "")</f>
        <v/>
      </c>
      <c r="C736" s="162"/>
      <c r="D736" s="148"/>
      <c r="E736" s="161"/>
      <c r="F736" s="146" t="str">
        <f>IF(E736&lt;&gt;"", SUMIF(Bets!$D:$D, E736, Bets!AB:AB), "")</f>
        <v/>
      </c>
      <c r="G736" s="162"/>
      <c r="H736" s="148"/>
      <c r="I736" s="161"/>
      <c r="J736" s="146" t="str">
        <f>IF(I736&lt;&gt;"", SUMIF(Bets!$D:$D, I736, Bets!AA:AA), "")</f>
        <v/>
      </c>
      <c r="K736" s="162"/>
      <c r="L736" s="148"/>
      <c r="M736" s="161"/>
      <c r="N736" s="146"/>
      <c r="O736" s="162"/>
      <c r="P736" s="148"/>
      <c r="Q736" s="161"/>
      <c r="R736" s="146" t="str">
        <f>IF(Q736&lt;&gt;"", SUMIF(Bets!$D:$D, Q736, Bets!AD:AD), "")</f>
        <v/>
      </c>
      <c r="S736" s="162"/>
      <c r="T736" s="148"/>
      <c r="U736" s="161"/>
      <c r="V736" s="146" t="str">
        <f>IF(U736&lt;&gt;"", SUMIF(Bets!$D:$D, U736, Bets!AE:AE), "")</f>
        <v/>
      </c>
      <c r="W736" s="162"/>
      <c r="X736" s="148"/>
      <c r="Y736" s="161"/>
      <c r="Z736" s="146" t="str">
        <f>IF(Y736&lt;&gt;"", SUMIF(Bets!$D:$D, Y736, Bets!AF:AF), "")</f>
        <v/>
      </c>
      <c r="AA736" s="162"/>
      <c r="AB736" s="148"/>
      <c r="AC736" s="161"/>
      <c r="AD736" s="146" t="str">
        <f>IF(AC736&lt;&gt;"", SUMIF(Bets!$D:$D, AC736, Bets!AG:AG), "")</f>
        <v/>
      </c>
      <c r="AE736" s="162"/>
      <c r="AF736" s="148"/>
    </row>
    <row r="737">
      <c r="A737" s="161"/>
      <c r="B737" s="146" t="str">
        <f>IF(A737&lt;&gt;"", SUMIF(Bets!$D:$D, A737, Bets!Z:Z), "")</f>
        <v/>
      </c>
      <c r="C737" s="162"/>
      <c r="D737" s="148"/>
      <c r="E737" s="161"/>
      <c r="F737" s="146" t="str">
        <f>IF(E737&lt;&gt;"", SUMIF(Bets!$D:$D, E737, Bets!AB:AB), "")</f>
        <v/>
      </c>
      <c r="G737" s="162"/>
      <c r="H737" s="148"/>
      <c r="I737" s="161"/>
      <c r="J737" s="146" t="str">
        <f>IF(I737&lt;&gt;"", SUMIF(Bets!$D:$D, I737, Bets!AA:AA), "")</f>
        <v/>
      </c>
      <c r="K737" s="162"/>
      <c r="L737" s="148"/>
      <c r="M737" s="161"/>
      <c r="N737" s="146"/>
      <c r="O737" s="162"/>
      <c r="P737" s="148"/>
      <c r="Q737" s="161"/>
      <c r="R737" s="146" t="str">
        <f>IF(Q737&lt;&gt;"", SUMIF(Bets!$D:$D, Q737, Bets!AD:AD), "")</f>
        <v/>
      </c>
      <c r="S737" s="162"/>
      <c r="T737" s="148"/>
      <c r="U737" s="161"/>
      <c r="V737" s="146" t="str">
        <f>IF(U737&lt;&gt;"", SUMIF(Bets!$D:$D, U737, Bets!AE:AE), "")</f>
        <v/>
      </c>
      <c r="W737" s="162"/>
      <c r="X737" s="148"/>
      <c r="Y737" s="161"/>
      <c r="Z737" s="146" t="str">
        <f>IF(Y737&lt;&gt;"", SUMIF(Bets!$D:$D, Y737, Bets!AF:AF), "")</f>
        <v/>
      </c>
      <c r="AA737" s="162"/>
      <c r="AB737" s="148"/>
      <c r="AC737" s="161"/>
      <c r="AD737" s="146" t="str">
        <f>IF(AC737&lt;&gt;"", SUMIF(Bets!$D:$D, AC737, Bets!AG:AG), "")</f>
        <v/>
      </c>
      <c r="AE737" s="162"/>
      <c r="AF737" s="148"/>
    </row>
    <row r="738">
      <c r="A738" s="161"/>
      <c r="B738" s="146" t="str">
        <f>IF(A738&lt;&gt;"", SUMIF(Bets!$D:$D, A738, Bets!Z:Z), "")</f>
        <v/>
      </c>
      <c r="C738" s="162"/>
      <c r="D738" s="148"/>
      <c r="E738" s="161"/>
      <c r="F738" s="146" t="str">
        <f>IF(E738&lt;&gt;"", SUMIF(Bets!$D:$D, E738, Bets!AB:AB), "")</f>
        <v/>
      </c>
      <c r="G738" s="162"/>
      <c r="H738" s="148"/>
      <c r="I738" s="161"/>
      <c r="J738" s="146" t="str">
        <f>IF(I738&lt;&gt;"", SUMIF(Bets!$D:$D, I738, Bets!AA:AA), "")</f>
        <v/>
      </c>
      <c r="K738" s="162"/>
      <c r="L738" s="148"/>
      <c r="M738" s="161"/>
      <c r="N738" s="146"/>
      <c r="O738" s="162"/>
      <c r="P738" s="148"/>
      <c r="Q738" s="161"/>
      <c r="R738" s="146" t="str">
        <f>IF(Q738&lt;&gt;"", SUMIF(Bets!$D:$D, Q738, Bets!AD:AD), "")</f>
        <v/>
      </c>
      <c r="S738" s="162"/>
      <c r="T738" s="148"/>
      <c r="U738" s="161"/>
      <c r="V738" s="146" t="str">
        <f>IF(U738&lt;&gt;"", SUMIF(Bets!$D:$D, U738, Bets!AE:AE), "")</f>
        <v/>
      </c>
      <c r="W738" s="162"/>
      <c r="X738" s="148"/>
      <c r="Y738" s="161"/>
      <c r="Z738" s="146" t="str">
        <f>IF(Y738&lt;&gt;"", SUMIF(Bets!$D:$D, Y738, Bets!AF:AF), "")</f>
        <v/>
      </c>
      <c r="AA738" s="162"/>
      <c r="AB738" s="148"/>
      <c r="AC738" s="161"/>
      <c r="AD738" s="146" t="str">
        <f>IF(AC738&lt;&gt;"", SUMIF(Bets!$D:$D, AC738, Bets!AG:AG), "")</f>
        <v/>
      </c>
      <c r="AE738" s="162"/>
      <c r="AF738" s="148"/>
    </row>
    <row r="739">
      <c r="A739" s="161"/>
      <c r="B739" s="146" t="str">
        <f>IF(A739&lt;&gt;"", SUMIF(Bets!$D:$D, A739, Bets!Z:Z), "")</f>
        <v/>
      </c>
      <c r="C739" s="162"/>
      <c r="D739" s="148"/>
      <c r="E739" s="161"/>
      <c r="F739" s="146" t="str">
        <f>IF(E739&lt;&gt;"", SUMIF(Bets!$D:$D, E739, Bets!AB:AB), "")</f>
        <v/>
      </c>
      <c r="G739" s="162"/>
      <c r="H739" s="148"/>
      <c r="I739" s="161"/>
      <c r="J739" s="146" t="str">
        <f>IF(I739&lt;&gt;"", SUMIF(Bets!$D:$D, I739, Bets!AA:AA), "")</f>
        <v/>
      </c>
      <c r="K739" s="162"/>
      <c r="L739" s="148"/>
      <c r="M739" s="161"/>
      <c r="N739" s="146"/>
      <c r="O739" s="162"/>
      <c r="P739" s="148"/>
      <c r="Q739" s="161"/>
      <c r="R739" s="146" t="str">
        <f>IF(Q739&lt;&gt;"", SUMIF(Bets!$D:$D, Q739, Bets!AD:AD), "")</f>
        <v/>
      </c>
      <c r="S739" s="162"/>
      <c r="T739" s="148"/>
      <c r="U739" s="161"/>
      <c r="V739" s="146" t="str">
        <f>IF(U739&lt;&gt;"", SUMIF(Bets!$D:$D, U739, Bets!AE:AE), "")</f>
        <v/>
      </c>
      <c r="W739" s="162"/>
      <c r="X739" s="148"/>
      <c r="Y739" s="161"/>
      <c r="Z739" s="146" t="str">
        <f>IF(Y739&lt;&gt;"", SUMIF(Bets!$D:$D, Y739, Bets!AF:AF), "")</f>
        <v/>
      </c>
      <c r="AA739" s="162"/>
      <c r="AB739" s="148"/>
      <c r="AC739" s="161"/>
      <c r="AD739" s="146" t="str">
        <f>IF(AC739&lt;&gt;"", SUMIF(Bets!$D:$D, AC739, Bets!AG:AG), "")</f>
        <v/>
      </c>
      <c r="AE739" s="162"/>
      <c r="AF739" s="148"/>
    </row>
    <row r="740">
      <c r="A740" s="161"/>
      <c r="B740" s="146" t="str">
        <f>IF(A740&lt;&gt;"", SUMIF(Bets!$D:$D, A740, Bets!Z:Z), "")</f>
        <v/>
      </c>
      <c r="C740" s="162"/>
      <c r="D740" s="148"/>
      <c r="E740" s="161"/>
      <c r="F740" s="146" t="str">
        <f>IF(E740&lt;&gt;"", SUMIF(Bets!$D:$D, E740, Bets!AB:AB), "")</f>
        <v/>
      </c>
      <c r="G740" s="162"/>
      <c r="H740" s="148"/>
      <c r="I740" s="161"/>
      <c r="J740" s="146" t="str">
        <f>IF(I740&lt;&gt;"", SUMIF(Bets!$D:$D, I740, Bets!AA:AA), "")</f>
        <v/>
      </c>
      <c r="K740" s="162"/>
      <c r="L740" s="148"/>
      <c r="M740" s="161"/>
      <c r="N740" s="146"/>
      <c r="O740" s="162"/>
      <c r="P740" s="148"/>
      <c r="Q740" s="161"/>
      <c r="R740" s="146" t="str">
        <f>IF(Q740&lt;&gt;"", SUMIF(Bets!$D:$D, Q740, Bets!AD:AD), "")</f>
        <v/>
      </c>
      <c r="S740" s="162"/>
      <c r="T740" s="148"/>
      <c r="U740" s="161"/>
      <c r="V740" s="146" t="str">
        <f>IF(U740&lt;&gt;"", SUMIF(Bets!$D:$D, U740, Bets!AE:AE), "")</f>
        <v/>
      </c>
      <c r="W740" s="162"/>
      <c r="X740" s="148"/>
      <c r="Y740" s="161"/>
      <c r="Z740" s="146" t="str">
        <f>IF(Y740&lt;&gt;"", SUMIF(Bets!$D:$D, Y740, Bets!AF:AF), "")</f>
        <v/>
      </c>
      <c r="AA740" s="162"/>
      <c r="AB740" s="148"/>
      <c r="AC740" s="161"/>
      <c r="AD740" s="146" t="str">
        <f>IF(AC740&lt;&gt;"", SUMIF(Bets!$D:$D, AC740, Bets!AG:AG), "")</f>
        <v/>
      </c>
      <c r="AE740" s="162"/>
      <c r="AF740" s="148"/>
    </row>
    <row r="741">
      <c r="A741" s="161"/>
      <c r="B741" s="146" t="str">
        <f>IF(A741&lt;&gt;"", SUMIF(Bets!$D:$D, A741, Bets!Z:Z), "")</f>
        <v/>
      </c>
      <c r="C741" s="162"/>
      <c r="D741" s="148"/>
      <c r="E741" s="161"/>
      <c r="F741" s="146" t="str">
        <f>IF(E741&lt;&gt;"", SUMIF(Bets!$D:$D, E741, Bets!AB:AB), "")</f>
        <v/>
      </c>
      <c r="G741" s="162"/>
      <c r="H741" s="148"/>
      <c r="I741" s="161"/>
      <c r="J741" s="146" t="str">
        <f>IF(I741&lt;&gt;"", SUMIF(Bets!$D:$D, I741, Bets!AA:AA), "")</f>
        <v/>
      </c>
      <c r="K741" s="162"/>
      <c r="L741" s="148"/>
      <c r="M741" s="161"/>
      <c r="N741" s="146"/>
      <c r="O741" s="162"/>
      <c r="P741" s="148"/>
      <c r="Q741" s="161"/>
      <c r="R741" s="146" t="str">
        <f>IF(Q741&lt;&gt;"", SUMIF(Bets!$D:$D, Q741, Bets!AD:AD), "")</f>
        <v/>
      </c>
      <c r="S741" s="162"/>
      <c r="T741" s="148"/>
      <c r="U741" s="161"/>
      <c r="V741" s="146" t="str">
        <f>IF(U741&lt;&gt;"", SUMIF(Bets!$D:$D, U741, Bets!AE:AE), "")</f>
        <v/>
      </c>
      <c r="W741" s="162"/>
      <c r="X741" s="148"/>
      <c r="Y741" s="161"/>
      <c r="Z741" s="146" t="str">
        <f>IF(Y741&lt;&gt;"", SUMIF(Bets!$D:$D, Y741, Bets!AF:AF), "")</f>
        <v/>
      </c>
      <c r="AA741" s="162"/>
      <c r="AB741" s="148"/>
      <c r="AC741" s="161"/>
      <c r="AD741" s="146" t="str">
        <f>IF(AC741&lt;&gt;"", SUMIF(Bets!$D:$D, AC741, Bets!AG:AG), "")</f>
        <v/>
      </c>
      <c r="AE741" s="162"/>
      <c r="AF741" s="148"/>
    </row>
    <row r="742">
      <c r="A742" s="161"/>
      <c r="B742" s="146" t="str">
        <f>IF(A742&lt;&gt;"", SUMIF(Bets!$D:$D, A742, Bets!Z:Z), "")</f>
        <v/>
      </c>
      <c r="C742" s="162"/>
      <c r="D742" s="148"/>
      <c r="E742" s="161"/>
      <c r="F742" s="146" t="str">
        <f>IF(E742&lt;&gt;"", SUMIF(Bets!$D:$D, E742, Bets!AB:AB), "")</f>
        <v/>
      </c>
      <c r="G742" s="162"/>
      <c r="H742" s="148"/>
      <c r="I742" s="161"/>
      <c r="J742" s="146" t="str">
        <f>IF(I742&lt;&gt;"", SUMIF(Bets!$D:$D, I742, Bets!AA:AA), "")</f>
        <v/>
      </c>
      <c r="K742" s="162"/>
      <c r="L742" s="148"/>
      <c r="M742" s="161"/>
      <c r="N742" s="146"/>
      <c r="O742" s="162"/>
      <c r="P742" s="148"/>
      <c r="Q742" s="161"/>
      <c r="R742" s="146" t="str">
        <f>IF(Q742&lt;&gt;"", SUMIF(Bets!$D:$D, Q742, Bets!AD:AD), "")</f>
        <v/>
      </c>
      <c r="S742" s="162"/>
      <c r="T742" s="148"/>
      <c r="U742" s="161"/>
      <c r="V742" s="146" t="str">
        <f>IF(U742&lt;&gt;"", SUMIF(Bets!$D:$D, U742, Bets!AE:AE), "")</f>
        <v/>
      </c>
      <c r="W742" s="162"/>
      <c r="X742" s="148"/>
      <c r="Y742" s="161"/>
      <c r="Z742" s="146" t="str">
        <f>IF(Y742&lt;&gt;"", SUMIF(Bets!$D:$D, Y742, Bets!AF:AF), "")</f>
        <v/>
      </c>
      <c r="AA742" s="162"/>
      <c r="AB742" s="148"/>
      <c r="AC742" s="161"/>
      <c r="AD742" s="146" t="str">
        <f>IF(AC742&lt;&gt;"", SUMIF(Bets!$D:$D, AC742, Bets!AG:AG), "")</f>
        <v/>
      </c>
      <c r="AE742" s="162"/>
      <c r="AF742" s="148"/>
    </row>
    <row r="743">
      <c r="A743" s="161"/>
      <c r="B743" s="146" t="str">
        <f>IF(A743&lt;&gt;"", SUMIF(Bets!$D:$D, A743, Bets!Z:Z), "")</f>
        <v/>
      </c>
      <c r="C743" s="162"/>
      <c r="D743" s="148"/>
      <c r="E743" s="161"/>
      <c r="F743" s="146" t="str">
        <f>IF(E743&lt;&gt;"", SUMIF(Bets!$D:$D, E743, Bets!AB:AB), "")</f>
        <v/>
      </c>
      <c r="G743" s="162"/>
      <c r="H743" s="148"/>
      <c r="I743" s="161"/>
      <c r="J743" s="146" t="str">
        <f>IF(I743&lt;&gt;"", SUMIF(Bets!$D:$D, I743, Bets!AA:AA), "")</f>
        <v/>
      </c>
      <c r="K743" s="162"/>
      <c r="L743" s="148"/>
      <c r="M743" s="161"/>
      <c r="N743" s="146"/>
      <c r="O743" s="162"/>
      <c r="P743" s="148"/>
      <c r="Q743" s="161"/>
      <c r="R743" s="146" t="str">
        <f>IF(Q743&lt;&gt;"", SUMIF(Bets!$D:$D, Q743, Bets!AD:AD), "")</f>
        <v/>
      </c>
      <c r="S743" s="162"/>
      <c r="T743" s="148"/>
      <c r="U743" s="161"/>
      <c r="V743" s="146" t="str">
        <f>IF(U743&lt;&gt;"", SUMIF(Bets!$D:$D, U743, Bets!AE:AE), "")</f>
        <v/>
      </c>
      <c r="W743" s="162"/>
      <c r="X743" s="148"/>
      <c r="Y743" s="161"/>
      <c r="Z743" s="146" t="str">
        <f>IF(Y743&lt;&gt;"", SUMIF(Bets!$D:$D, Y743, Bets!AF:AF), "")</f>
        <v/>
      </c>
      <c r="AA743" s="162"/>
      <c r="AB743" s="148"/>
      <c r="AC743" s="161"/>
      <c r="AD743" s="146" t="str">
        <f>IF(AC743&lt;&gt;"", SUMIF(Bets!$D:$D, AC743, Bets!AG:AG), "")</f>
        <v/>
      </c>
      <c r="AE743" s="162"/>
      <c r="AF743" s="148"/>
    </row>
    <row r="744">
      <c r="A744" s="161"/>
      <c r="B744" s="146" t="str">
        <f>IF(A744&lt;&gt;"", SUMIF(Bets!$D:$D, A744, Bets!Z:Z), "")</f>
        <v/>
      </c>
      <c r="C744" s="162"/>
      <c r="D744" s="148"/>
      <c r="E744" s="161"/>
      <c r="F744" s="146" t="str">
        <f>IF(E744&lt;&gt;"", SUMIF(Bets!$D:$D, E744, Bets!AB:AB), "")</f>
        <v/>
      </c>
      <c r="G744" s="162"/>
      <c r="H744" s="148"/>
      <c r="I744" s="161"/>
      <c r="J744" s="146" t="str">
        <f>IF(I744&lt;&gt;"", SUMIF(Bets!$D:$D, I744, Bets!AA:AA), "")</f>
        <v/>
      </c>
      <c r="K744" s="162"/>
      <c r="L744" s="148"/>
      <c r="M744" s="161"/>
      <c r="N744" s="146"/>
      <c r="O744" s="162"/>
      <c r="P744" s="148"/>
      <c r="Q744" s="161"/>
      <c r="R744" s="146" t="str">
        <f>IF(Q744&lt;&gt;"", SUMIF(Bets!$D:$D, Q744, Bets!AD:AD), "")</f>
        <v/>
      </c>
      <c r="S744" s="162"/>
      <c r="T744" s="148"/>
      <c r="U744" s="161"/>
      <c r="V744" s="146" t="str">
        <f>IF(U744&lt;&gt;"", SUMIF(Bets!$D:$D, U744, Bets!AE:AE), "")</f>
        <v/>
      </c>
      <c r="W744" s="162"/>
      <c r="X744" s="148"/>
      <c r="Y744" s="161"/>
      <c r="Z744" s="146" t="str">
        <f>IF(Y744&lt;&gt;"", SUMIF(Bets!$D:$D, Y744, Bets!AF:AF), "")</f>
        <v/>
      </c>
      <c r="AA744" s="162"/>
      <c r="AB744" s="148"/>
      <c r="AC744" s="161"/>
      <c r="AD744" s="146" t="str">
        <f>IF(AC744&lt;&gt;"", SUMIF(Bets!$D:$D, AC744, Bets!AG:AG), "")</f>
        <v/>
      </c>
      <c r="AE744" s="162"/>
      <c r="AF744" s="148"/>
    </row>
    <row r="745">
      <c r="A745" s="161"/>
      <c r="B745" s="146" t="str">
        <f>IF(A745&lt;&gt;"", SUMIF(Bets!$D:$D, A745, Bets!Z:Z), "")</f>
        <v/>
      </c>
      <c r="C745" s="162"/>
      <c r="D745" s="148"/>
      <c r="E745" s="161"/>
      <c r="F745" s="146" t="str">
        <f>IF(E745&lt;&gt;"", SUMIF(Bets!$D:$D, E745, Bets!AB:AB), "")</f>
        <v/>
      </c>
      <c r="G745" s="162"/>
      <c r="H745" s="148"/>
      <c r="I745" s="161"/>
      <c r="J745" s="146" t="str">
        <f>IF(I745&lt;&gt;"", SUMIF(Bets!$D:$D, I745, Bets!AA:AA), "")</f>
        <v/>
      </c>
      <c r="K745" s="162"/>
      <c r="L745" s="148"/>
      <c r="M745" s="161"/>
      <c r="N745" s="146"/>
      <c r="O745" s="162"/>
      <c r="P745" s="148"/>
      <c r="Q745" s="161"/>
      <c r="R745" s="146" t="str">
        <f>IF(Q745&lt;&gt;"", SUMIF(Bets!$D:$D, Q745, Bets!AD:AD), "")</f>
        <v/>
      </c>
      <c r="S745" s="162"/>
      <c r="T745" s="148"/>
      <c r="U745" s="161"/>
      <c r="V745" s="146" t="str">
        <f>IF(U745&lt;&gt;"", SUMIF(Bets!$D:$D, U745, Bets!AE:AE), "")</f>
        <v/>
      </c>
      <c r="W745" s="162"/>
      <c r="X745" s="148"/>
      <c r="Y745" s="161"/>
      <c r="Z745" s="146" t="str">
        <f>IF(Y745&lt;&gt;"", SUMIF(Bets!$D:$D, Y745, Bets!AF:AF), "")</f>
        <v/>
      </c>
      <c r="AA745" s="162"/>
      <c r="AB745" s="148"/>
      <c r="AC745" s="161"/>
      <c r="AD745" s="146" t="str">
        <f>IF(AC745&lt;&gt;"", SUMIF(Bets!$D:$D, AC745, Bets!AG:AG), "")</f>
        <v/>
      </c>
      <c r="AE745" s="162"/>
      <c r="AF745" s="148"/>
    </row>
    <row r="746">
      <c r="A746" s="161"/>
      <c r="B746" s="146" t="str">
        <f>IF(A746&lt;&gt;"", SUMIF(Bets!$D:$D, A746, Bets!Z:Z), "")</f>
        <v/>
      </c>
      <c r="C746" s="162"/>
      <c r="D746" s="148"/>
      <c r="E746" s="161"/>
      <c r="F746" s="146" t="str">
        <f>IF(E746&lt;&gt;"", SUMIF(Bets!$D:$D, E746, Bets!AB:AB), "")</f>
        <v/>
      </c>
      <c r="G746" s="162"/>
      <c r="H746" s="148"/>
      <c r="I746" s="161"/>
      <c r="J746" s="146" t="str">
        <f>IF(I746&lt;&gt;"", SUMIF(Bets!$D:$D, I746, Bets!AA:AA), "")</f>
        <v/>
      </c>
      <c r="K746" s="162"/>
      <c r="L746" s="148"/>
      <c r="M746" s="161"/>
      <c r="N746" s="146"/>
      <c r="O746" s="162"/>
      <c r="P746" s="148"/>
      <c r="Q746" s="161"/>
      <c r="R746" s="146" t="str">
        <f>IF(Q746&lt;&gt;"", SUMIF(Bets!$D:$D, Q746, Bets!AD:AD), "")</f>
        <v/>
      </c>
      <c r="S746" s="162"/>
      <c r="T746" s="148"/>
      <c r="U746" s="161"/>
      <c r="V746" s="146" t="str">
        <f>IF(U746&lt;&gt;"", SUMIF(Bets!$D:$D, U746, Bets!AE:AE), "")</f>
        <v/>
      </c>
      <c r="W746" s="162"/>
      <c r="X746" s="148"/>
      <c r="Y746" s="161"/>
      <c r="Z746" s="146" t="str">
        <f>IF(Y746&lt;&gt;"", SUMIF(Bets!$D:$D, Y746, Bets!AF:AF), "")</f>
        <v/>
      </c>
      <c r="AA746" s="162"/>
      <c r="AB746" s="148"/>
      <c r="AC746" s="161"/>
      <c r="AD746" s="146" t="str">
        <f>IF(AC746&lt;&gt;"", SUMIF(Bets!$D:$D, AC746, Bets!AG:AG), "")</f>
        <v/>
      </c>
      <c r="AE746" s="162"/>
      <c r="AF746" s="148"/>
    </row>
    <row r="747">
      <c r="A747" s="161"/>
      <c r="B747" s="146" t="str">
        <f>IF(A747&lt;&gt;"", SUMIF(Bets!$D:$D, A747, Bets!Z:Z), "")</f>
        <v/>
      </c>
      <c r="C747" s="162"/>
      <c r="D747" s="148"/>
      <c r="E747" s="161"/>
      <c r="F747" s="146" t="str">
        <f>IF(E747&lt;&gt;"", SUMIF(Bets!$D:$D, E747, Bets!AB:AB), "")</f>
        <v/>
      </c>
      <c r="G747" s="162"/>
      <c r="H747" s="148"/>
      <c r="I747" s="161"/>
      <c r="J747" s="146" t="str">
        <f>IF(I747&lt;&gt;"", SUMIF(Bets!$D:$D, I747, Bets!AA:AA), "")</f>
        <v/>
      </c>
      <c r="K747" s="162"/>
      <c r="L747" s="148"/>
      <c r="M747" s="161"/>
      <c r="N747" s="146"/>
      <c r="O747" s="162"/>
      <c r="P747" s="148"/>
      <c r="Q747" s="161"/>
      <c r="R747" s="146" t="str">
        <f>IF(Q747&lt;&gt;"", SUMIF(Bets!$D:$D, Q747, Bets!AD:AD), "")</f>
        <v/>
      </c>
      <c r="S747" s="162"/>
      <c r="T747" s="148"/>
      <c r="U747" s="161"/>
      <c r="V747" s="146" t="str">
        <f>IF(U747&lt;&gt;"", SUMIF(Bets!$D:$D, U747, Bets!AE:AE), "")</f>
        <v/>
      </c>
      <c r="W747" s="162"/>
      <c r="X747" s="148"/>
      <c r="Y747" s="161"/>
      <c r="Z747" s="146" t="str">
        <f>IF(Y747&lt;&gt;"", SUMIF(Bets!$D:$D, Y747, Bets!AF:AF), "")</f>
        <v/>
      </c>
      <c r="AA747" s="162"/>
      <c r="AB747" s="148"/>
      <c r="AC747" s="161"/>
      <c r="AD747" s="146" t="str">
        <f>IF(AC747&lt;&gt;"", SUMIF(Bets!$D:$D, AC747, Bets!AG:AG), "")</f>
        <v/>
      </c>
      <c r="AE747" s="162"/>
      <c r="AF747" s="148"/>
    </row>
    <row r="748">
      <c r="A748" s="161"/>
      <c r="B748" s="146" t="str">
        <f>IF(A748&lt;&gt;"", SUMIF(Bets!$D:$D, A748, Bets!Z:Z), "")</f>
        <v/>
      </c>
      <c r="C748" s="162"/>
      <c r="D748" s="148"/>
      <c r="E748" s="161"/>
      <c r="F748" s="146" t="str">
        <f>IF(E748&lt;&gt;"", SUMIF(Bets!$D:$D, E748, Bets!AB:AB), "")</f>
        <v/>
      </c>
      <c r="G748" s="162"/>
      <c r="H748" s="148"/>
      <c r="I748" s="161"/>
      <c r="J748" s="146" t="str">
        <f>IF(I748&lt;&gt;"", SUMIF(Bets!$D:$D, I748, Bets!AA:AA), "")</f>
        <v/>
      </c>
      <c r="K748" s="162"/>
      <c r="L748" s="148"/>
      <c r="M748" s="161"/>
      <c r="N748" s="146"/>
      <c r="O748" s="162"/>
      <c r="P748" s="148"/>
      <c r="Q748" s="161"/>
      <c r="R748" s="146" t="str">
        <f>IF(Q748&lt;&gt;"", SUMIF(Bets!$D:$D, Q748, Bets!AD:AD), "")</f>
        <v/>
      </c>
      <c r="S748" s="162"/>
      <c r="T748" s="148"/>
      <c r="U748" s="161"/>
      <c r="V748" s="146" t="str">
        <f>IF(U748&lt;&gt;"", SUMIF(Bets!$D:$D, U748, Bets!AE:AE), "")</f>
        <v/>
      </c>
      <c r="W748" s="162"/>
      <c r="X748" s="148"/>
      <c r="Y748" s="161"/>
      <c r="Z748" s="146" t="str">
        <f>IF(Y748&lt;&gt;"", SUMIF(Bets!$D:$D, Y748, Bets!AF:AF), "")</f>
        <v/>
      </c>
      <c r="AA748" s="162"/>
      <c r="AB748" s="148"/>
      <c r="AC748" s="161"/>
      <c r="AD748" s="146" t="str">
        <f>IF(AC748&lt;&gt;"", SUMIF(Bets!$D:$D, AC748, Bets!AG:AG), "")</f>
        <v/>
      </c>
      <c r="AE748" s="162"/>
      <c r="AF748" s="148"/>
    </row>
    <row r="749">
      <c r="A749" s="161"/>
      <c r="B749" s="146" t="str">
        <f>IF(A749&lt;&gt;"", SUMIF(Bets!$D:$D, A749, Bets!Z:Z), "")</f>
        <v/>
      </c>
      <c r="C749" s="162"/>
      <c r="D749" s="148"/>
      <c r="E749" s="161"/>
      <c r="F749" s="146" t="str">
        <f>IF(E749&lt;&gt;"", SUMIF(Bets!$D:$D, E749, Bets!AB:AB), "")</f>
        <v/>
      </c>
      <c r="G749" s="162"/>
      <c r="H749" s="148"/>
      <c r="I749" s="161"/>
      <c r="J749" s="146" t="str">
        <f>IF(I749&lt;&gt;"", SUMIF(Bets!$D:$D, I749, Bets!AA:AA), "")</f>
        <v/>
      </c>
      <c r="K749" s="162"/>
      <c r="L749" s="148"/>
      <c r="M749" s="161"/>
      <c r="N749" s="146"/>
      <c r="O749" s="162"/>
      <c r="P749" s="148"/>
      <c r="Q749" s="161"/>
      <c r="R749" s="146" t="str">
        <f>IF(Q749&lt;&gt;"", SUMIF(Bets!$D:$D, Q749, Bets!AD:AD), "")</f>
        <v/>
      </c>
      <c r="S749" s="162"/>
      <c r="T749" s="148"/>
      <c r="U749" s="161"/>
      <c r="V749" s="146" t="str">
        <f>IF(U749&lt;&gt;"", SUMIF(Bets!$D:$D, U749, Bets!AE:AE), "")</f>
        <v/>
      </c>
      <c r="W749" s="162"/>
      <c r="X749" s="148"/>
      <c r="Y749" s="161"/>
      <c r="Z749" s="146" t="str">
        <f>IF(Y749&lt;&gt;"", SUMIF(Bets!$D:$D, Y749, Bets!AF:AF), "")</f>
        <v/>
      </c>
      <c r="AA749" s="162"/>
      <c r="AB749" s="148"/>
      <c r="AC749" s="161"/>
      <c r="AD749" s="146" t="str">
        <f>IF(AC749&lt;&gt;"", SUMIF(Bets!$D:$D, AC749, Bets!AG:AG), "")</f>
        <v/>
      </c>
      <c r="AE749" s="162"/>
      <c r="AF749" s="148"/>
    </row>
    <row r="750">
      <c r="A750" s="161"/>
      <c r="B750" s="146" t="str">
        <f>IF(A750&lt;&gt;"", SUMIF(Bets!$D:$D, A750, Bets!Z:Z), "")</f>
        <v/>
      </c>
      <c r="C750" s="162"/>
      <c r="D750" s="148"/>
      <c r="E750" s="161"/>
      <c r="F750" s="146" t="str">
        <f>IF(E750&lt;&gt;"", SUMIF(Bets!$D:$D, E750, Bets!AB:AB), "")</f>
        <v/>
      </c>
      <c r="G750" s="162"/>
      <c r="H750" s="148"/>
      <c r="I750" s="161"/>
      <c r="J750" s="146" t="str">
        <f>IF(I750&lt;&gt;"", SUMIF(Bets!$D:$D, I750, Bets!AA:AA), "")</f>
        <v/>
      </c>
      <c r="K750" s="162"/>
      <c r="L750" s="148"/>
      <c r="M750" s="161"/>
      <c r="N750" s="146"/>
      <c r="O750" s="162"/>
      <c r="P750" s="148"/>
      <c r="Q750" s="161"/>
      <c r="R750" s="146" t="str">
        <f>IF(Q750&lt;&gt;"", SUMIF(Bets!$D:$D, Q750, Bets!AD:AD), "")</f>
        <v/>
      </c>
      <c r="S750" s="162"/>
      <c r="T750" s="148"/>
      <c r="U750" s="161"/>
      <c r="V750" s="146" t="str">
        <f>IF(U750&lt;&gt;"", SUMIF(Bets!$D:$D, U750, Bets!AE:AE), "")</f>
        <v/>
      </c>
      <c r="W750" s="162"/>
      <c r="X750" s="148"/>
      <c r="Y750" s="161"/>
      <c r="Z750" s="146" t="str">
        <f>IF(Y750&lt;&gt;"", SUMIF(Bets!$D:$D, Y750, Bets!AF:AF), "")</f>
        <v/>
      </c>
      <c r="AA750" s="162"/>
      <c r="AB750" s="148"/>
      <c r="AC750" s="161"/>
      <c r="AD750" s="146" t="str">
        <f>IF(AC750&lt;&gt;"", SUMIF(Bets!$D:$D, AC750, Bets!AG:AG), "")</f>
        <v/>
      </c>
      <c r="AE750" s="162"/>
      <c r="AF750" s="148"/>
    </row>
    <row r="751">
      <c r="A751" s="161"/>
      <c r="B751" s="146" t="str">
        <f>IF(A751&lt;&gt;"", SUMIF(Bets!$D:$D, A751, Bets!Z:Z), "")</f>
        <v/>
      </c>
      <c r="C751" s="162"/>
      <c r="D751" s="148"/>
      <c r="E751" s="161"/>
      <c r="F751" s="146" t="str">
        <f>IF(E751&lt;&gt;"", SUMIF(Bets!$D:$D, E751, Bets!AB:AB), "")</f>
        <v/>
      </c>
      <c r="G751" s="162"/>
      <c r="H751" s="148"/>
      <c r="I751" s="161"/>
      <c r="J751" s="146" t="str">
        <f>IF(I751&lt;&gt;"", SUMIF(Bets!$D:$D, I751, Bets!AA:AA), "")</f>
        <v/>
      </c>
      <c r="K751" s="162"/>
      <c r="L751" s="148"/>
      <c r="M751" s="161"/>
      <c r="N751" s="146"/>
      <c r="O751" s="162"/>
      <c r="P751" s="148"/>
      <c r="Q751" s="161"/>
      <c r="R751" s="146" t="str">
        <f>IF(Q751&lt;&gt;"", SUMIF(Bets!$D:$D, Q751, Bets!AD:AD), "")</f>
        <v/>
      </c>
      <c r="S751" s="162"/>
      <c r="T751" s="148"/>
      <c r="U751" s="161"/>
      <c r="V751" s="146" t="str">
        <f>IF(U751&lt;&gt;"", SUMIF(Bets!$D:$D, U751, Bets!AE:AE), "")</f>
        <v/>
      </c>
      <c r="W751" s="162"/>
      <c r="X751" s="148"/>
      <c r="Y751" s="161"/>
      <c r="Z751" s="146" t="str">
        <f>IF(Y751&lt;&gt;"", SUMIF(Bets!$D:$D, Y751, Bets!AF:AF), "")</f>
        <v/>
      </c>
      <c r="AA751" s="162"/>
      <c r="AB751" s="148"/>
      <c r="AC751" s="161"/>
      <c r="AD751" s="146" t="str">
        <f>IF(AC751&lt;&gt;"", SUMIF(Bets!$D:$D, AC751, Bets!AG:AG), "")</f>
        <v/>
      </c>
      <c r="AE751" s="162"/>
      <c r="AF751" s="148"/>
    </row>
    <row r="752">
      <c r="A752" s="161"/>
      <c r="B752" s="146" t="str">
        <f>IF(A752&lt;&gt;"", SUMIF(Bets!$D:$D, A752, Bets!Z:Z), "")</f>
        <v/>
      </c>
      <c r="C752" s="162"/>
      <c r="D752" s="148"/>
      <c r="E752" s="161"/>
      <c r="F752" s="146" t="str">
        <f>IF(E752&lt;&gt;"", SUMIF(Bets!$D:$D, E752, Bets!AB:AB), "")</f>
        <v/>
      </c>
      <c r="G752" s="162"/>
      <c r="H752" s="148"/>
      <c r="I752" s="161"/>
      <c r="J752" s="146" t="str">
        <f>IF(I752&lt;&gt;"", SUMIF(Bets!$D:$D, I752, Bets!AA:AA), "")</f>
        <v/>
      </c>
      <c r="K752" s="162"/>
      <c r="L752" s="148"/>
      <c r="M752" s="161"/>
      <c r="N752" s="146"/>
      <c r="O752" s="162"/>
      <c r="P752" s="148"/>
      <c r="Q752" s="161"/>
      <c r="R752" s="146" t="str">
        <f>IF(Q752&lt;&gt;"", SUMIF(Bets!$D:$D, Q752, Bets!AD:AD), "")</f>
        <v/>
      </c>
      <c r="S752" s="162"/>
      <c r="T752" s="148"/>
      <c r="U752" s="161"/>
      <c r="V752" s="146" t="str">
        <f>IF(U752&lt;&gt;"", SUMIF(Bets!$D:$D, U752, Bets!AE:AE), "")</f>
        <v/>
      </c>
      <c r="W752" s="162"/>
      <c r="X752" s="148"/>
      <c r="Y752" s="161"/>
      <c r="Z752" s="146" t="str">
        <f>IF(Y752&lt;&gt;"", SUMIF(Bets!$D:$D, Y752, Bets!AF:AF), "")</f>
        <v/>
      </c>
      <c r="AA752" s="162"/>
      <c r="AB752" s="148"/>
      <c r="AC752" s="161"/>
      <c r="AD752" s="146" t="str">
        <f>IF(AC752&lt;&gt;"", SUMIF(Bets!$D:$D, AC752, Bets!AG:AG), "")</f>
        <v/>
      </c>
      <c r="AE752" s="162"/>
      <c r="AF752" s="148"/>
    </row>
    <row r="753">
      <c r="A753" s="161"/>
      <c r="B753" s="146" t="str">
        <f>IF(A753&lt;&gt;"", SUMIF(Bets!$D:$D, A753, Bets!Z:Z), "")</f>
        <v/>
      </c>
      <c r="C753" s="162"/>
      <c r="D753" s="148"/>
      <c r="E753" s="161"/>
      <c r="F753" s="146" t="str">
        <f>IF(E753&lt;&gt;"", SUMIF(Bets!$D:$D, E753, Bets!AB:AB), "")</f>
        <v/>
      </c>
      <c r="G753" s="162"/>
      <c r="H753" s="148"/>
      <c r="I753" s="161"/>
      <c r="J753" s="146" t="str">
        <f>IF(I753&lt;&gt;"", SUMIF(Bets!$D:$D, I753, Bets!AA:AA), "")</f>
        <v/>
      </c>
      <c r="K753" s="162"/>
      <c r="L753" s="148"/>
      <c r="M753" s="161"/>
      <c r="N753" s="146"/>
      <c r="O753" s="162"/>
      <c r="P753" s="148"/>
      <c r="Q753" s="161"/>
      <c r="R753" s="146" t="str">
        <f>IF(Q753&lt;&gt;"", SUMIF(Bets!$D:$D, Q753, Bets!AD:AD), "")</f>
        <v/>
      </c>
      <c r="S753" s="162"/>
      <c r="T753" s="148"/>
      <c r="U753" s="161"/>
      <c r="V753" s="146" t="str">
        <f>IF(U753&lt;&gt;"", SUMIF(Bets!$D:$D, U753, Bets!AE:AE), "")</f>
        <v/>
      </c>
      <c r="W753" s="162"/>
      <c r="X753" s="148"/>
      <c r="Y753" s="161"/>
      <c r="Z753" s="146" t="str">
        <f>IF(Y753&lt;&gt;"", SUMIF(Bets!$D:$D, Y753, Bets!AF:AF), "")</f>
        <v/>
      </c>
      <c r="AA753" s="162"/>
      <c r="AB753" s="148"/>
      <c r="AC753" s="161"/>
      <c r="AD753" s="146" t="str">
        <f>IF(AC753&lt;&gt;"", SUMIF(Bets!$D:$D, AC753, Bets!AG:AG), "")</f>
        <v/>
      </c>
      <c r="AE753" s="162"/>
      <c r="AF753" s="148"/>
    </row>
    <row r="754">
      <c r="A754" s="161"/>
      <c r="B754" s="146" t="str">
        <f>IF(A754&lt;&gt;"", SUMIF(Bets!$D:$D, A754, Bets!Z:Z), "")</f>
        <v/>
      </c>
      <c r="C754" s="162"/>
      <c r="D754" s="148"/>
      <c r="E754" s="161"/>
      <c r="F754" s="146" t="str">
        <f>IF(E754&lt;&gt;"", SUMIF(Bets!$D:$D, E754, Bets!AB:AB), "")</f>
        <v/>
      </c>
      <c r="G754" s="162"/>
      <c r="H754" s="148"/>
      <c r="I754" s="161"/>
      <c r="J754" s="146" t="str">
        <f>IF(I754&lt;&gt;"", SUMIF(Bets!$D:$D, I754, Bets!AA:AA), "")</f>
        <v/>
      </c>
      <c r="K754" s="162"/>
      <c r="L754" s="148"/>
      <c r="M754" s="161"/>
      <c r="N754" s="146"/>
      <c r="O754" s="162"/>
      <c r="P754" s="148"/>
      <c r="Q754" s="161"/>
      <c r="R754" s="146" t="str">
        <f>IF(Q754&lt;&gt;"", SUMIF(Bets!$D:$D, Q754, Bets!AD:AD), "")</f>
        <v/>
      </c>
      <c r="S754" s="162"/>
      <c r="T754" s="148"/>
      <c r="U754" s="161"/>
      <c r="V754" s="146" t="str">
        <f>IF(U754&lt;&gt;"", SUMIF(Bets!$D:$D, U754, Bets!AE:AE), "")</f>
        <v/>
      </c>
      <c r="W754" s="162"/>
      <c r="X754" s="148"/>
      <c r="Y754" s="161"/>
      <c r="Z754" s="146" t="str">
        <f>IF(Y754&lt;&gt;"", SUMIF(Bets!$D:$D, Y754, Bets!AF:AF), "")</f>
        <v/>
      </c>
      <c r="AA754" s="162"/>
      <c r="AB754" s="148"/>
      <c r="AC754" s="161"/>
      <c r="AD754" s="146" t="str">
        <f>IF(AC754&lt;&gt;"", SUMIF(Bets!$D:$D, AC754, Bets!AG:AG), "")</f>
        <v/>
      </c>
      <c r="AE754" s="162"/>
      <c r="AF754" s="148"/>
    </row>
    <row r="755">
      <c r="A755" s="161"/>
      <c r="B755" s="146" t="str">
        <f>IF(A755&lt;&gt;"", SUMIF(Bets!$D:$D, A755, Bets!Z:Z), "")</f>
        <v/>
      </c>
      <c r="C755" s="162"/>
      <c r="D755" s="148"/>
      <c r="E755" s="161"/>
      <c r="F755" s="146" t="str">
        <f>IF(E755&lt;&gt;"", SUMIF(Bets!$D:$D, E755, Bets!AB:AB), "")</f>
        <v/>
      </c>
      <c r="G755" s="162"/>
      <c r="H755" s="148"/>
      <c r="I755" s="161"/>
      <c r="J755" s="146" t="str">
        <f>IF(I755&lt;&gt;"", SUMIF(Bets!$D:$D, I755, Bets!AA:AA), "")</f>
        <v/>
      </c>
      <c r="K755" s="162"/>
      <c r="L755" s="148"/>
      <c r="M755" s="161"/>
      <c r="N755" s="146"/>
      <c r="O755" s="162"/>
      <c r="P755" s="148"/>
      <c r="Q755" s="161"/>
      <c r="R755" s="146" t="str">
        <f>IF(Q755&lt;&gt;"", SUMIF(Bets!$D:$D, Q755, Bets!AD:AD), "")</f>
        <v/>
      </c>
      <c r="S755" s="162"/>
      <c r="T755" s="148"/>
      <c r="U755" s="161"/>
      <c r="V755" s="146" t="str">
        <f>IF(U755&lt;&gt;"", SUMIF(Bets!$D:$D, U755, Bets!AE:AE), "")</f>
        <v/>
      </c>
      <c r="W755" s="162"/>
      <c r="X755" s="148"/>
      <c r="Y755" s="161"/>
      <c r="Z755" s="146" t="str">
        <f>IF(Y755&lt;&gt;"", SUMIF(Bets!$D:$D, Y755, Bets!AF:AF), "")</f>
        <v/>
      </c>
      <c r="AA755" s="162"/>
      <c r="AB755" s="148"/>
      <c r="AC755" s="161"/>
      <c r="AD755" s="146" t="str">
        <f>IF(AC755&lt;&gt;"", SUMIF(Bets!$D:$D, AC755, Bets!AG:AG), "")</f>
        <v/>
      </c>
      <c r="AE755" s="162"/>
      <c r="AF755" s="148"/>
    </row>
    <row r="756">
      <c r="A756" s="161"/>
      <c r="B756" s="146" t="str">
        <f>IF(A756&lt;&gt;"", SUMIF(Bets!$D:$D, A756, Bets!Z:Z), "")</f>
        <v/>
      </c>
      <c r="C756" s="162"/>
      <c r="D756" s="148"/>
      <c r="E756" s="161"/>
      <c r="F756" s="146" t="str">
        <f>IF(E756&lt;&gt;"", SUMIF(Bets!$D:$D, E756, Bets!AB:AB), "")</f>
        <v/>
      </c>
      <c r="G756" s="162"/>
      <c r="H756" s="148"/>
      <c r="I756" s="161"/>
      <c r="J756" s="146" t="str">
        <f>IF(I756&lt;&gt;"", SUMIF(Bets!$D:$D, I756, Bets!AA:AA), "")</f>
        <v/>
      </c>
      <c r="K756" s="162"/>
      <c r="L756" s="148"/>
      <c r="M756" s="161"/>
      <c r="N756" s="146"/>
      <c r="O756" s="162"/>
      <c r="P756" s="148"/>
      <c r="Q756" s="161"/>
      <c r="R756" s="146" t="str">
        <f>IF(Q756&lt;&gt;"", SUMIF(Bets!$D:$D, Q756, Bets!AD:AD), "")</f>
        <v/>
      </c>
      <c r="S756" s="162"/>
      <c r="T756" s="148"/>
      <c r="U756" s="161"/>
      <c r="V756" s="146" t="str">
        <f>IF(U756&lt;&gt;"", SUMIF(Bets!$D:$D, U756, Bets!AE:AE), "")</f>
        <v/>
      </c>
      <c r="W756" s="162"/>
      <c r="X756" s="148"/>
      <c r="Y756" s="161"/>
      <c r="Z756" s="146" t="str">
        <f>IF(Y756&lt;&gt;"", SUMIF(Bets!$D:$D, Y756, Bets!AF:AF), "")</f>
        <v/>
      </c>
      <c r="AA756" s="162"/>
      <c r="AB756" s="148"/>
      <c r="AC756" s="161"/>
      <c r="AD756" s="146" t="str">
        <f>IF(AC756&lt;&gt;"", SUMIF(Bets!$D:$D, AC756, Bets!AG:AG), "")</f>
        <v/>
      </c>
      <c r="AE756" s="162"/>
      <c r="AF756" s="148"/>
    </row>
    <row r="757">
      <c r="A757" s="161"/>
      <c r="B757" s="146" t="str">
        <f>IF(A757&lt;&gt;"", SUMIF(Bets!$D:$D, A757, Bets!Z:Z), "")</f>
        <v/>
      </c>
      <c r="C757" s="162"/>
      <c r="D757" s="148"/>
      <c r="E757" s="161"/>
      <c r="F757" s="146" t="str">
        <f>IF(E757&lt;&gt;"", SUMIF(Bets!$D:$D, E757, Bets!AB:AB), "")</f>
        <v/>
      </c>
      <c r="G757" s="162"/>
      <c r="H757" s="148"/>
      <c r="I757" s="161"/>
      <c r="J757" s="146" t="str">
        <f>IF(I757&lt;&gt;"", SUMIF(Bets!$D:$D, I757, Bets!AA:AA), "")</f>
        <v/>
      </c>
      <c r="K757" s="162"/>
      <c r="L757" s="148"/>
      <c r="M757" s="161"/>
      <c r="N757" s="146"/>
      <c r="O757" s="162"/>
      <c r="P757" s="148"/>
      <c r="Q757" s="161"/>
      <c r="R757" s="146" t="str">
        <f>IF(Q757&lt;&gt;"", SUMIF(Bets!$D:$D, Q757, Bets!AD:AD), "")</f>
        <v/>
      </c>
      <c r="S757" s="162"/>
      <c r="T757" s="148"/>
      <c r="U757" s="161"/>
      <c r="V757" s="146" t="str">
        <f>IF(U757&lt;&gt;"", SUMIF(Bets!$D:$D, U757, Bets!AE:AE), "")</f>
        <v/>
      </c>
      <c r="W757" s="162"/>
      <c r="X757" s="148"/>
      <c r="Y757" s="161"/>
      <c r="Z757" s="146" t="str">
        <f>IF(Y757&lt;&gt;"", SUMIF(Bets!$D:$D, Y757, Bets!AF:AF), "")</f>
        <v/>
      </c>
      <c r="AA757" s="162"/>
      <c r="AB757" s="148"/>
      <c r="AC757" s="161"/>
      <c r="AD757" s="146" t="str">
        <f>IF(AC757&lt;&gt;"", SUMIF(Bets!$D:$D, AC757, Bets!AG:AG), "")</f>
        <v/>
      </c>
      <c r="AE757" s="162"/>
      <c r="AF757" s="148"/>
    </row>
    <row r="758">
      <c r="A758" s="161"/>
      <c r="B758" s="146" t="str">
        <f>IF(A758&lt;&gt;"", SUMIF(Bets!$D:$D, A758, Bets!Z:Z), "")</f>
        <v/>
      </c>
      <c r="C758" s="162"/>
      <c r="D758" s="148"/>
      <c r="E758" s="161"/>
      <c r="F758" s="146" t="str">
        <f>IF(E758&lt;&gt;"", SUMIF(Bets!$D:$D, E758, Bets!AB:AB), "")</f>
        <v/>
      </c>
      <c r="G758" s="162"/>
      <c r="H758" s="148"/>
      <c r="I758" s="161"/>
      <c r="J758" s="146" t="str">
        <f>IF(I758&lt;&gt;"", SUMIF(Bets!$D:$D, I758, Bets!AA:AA), "")</f>
        <v/>
      </c>
      <c r="K758" s="162"/>
      <c r="L758" s="148"/>
      <c r="M758" s="161"/>
      <c r="N758" s="146"/>
      <c r="O758" s="162"/>
      <c r="P758" s="148"/>
      <c r="Q758" s="161"/>
      <c r="R758" s="146" t="str">
        <f>IF(Q758&lt;&gt;"", SUMIF(Bets!$D:$D, Q758, Bets!AD:AD), "")</f>
        <v/>
      </c>
      <c r="S758" s="162"/>
      <c r="T758" s="148"/>
      <c r="U758" s="161"/>
      <c r="V758" s="146" t="str">
        <f>IF(U758&lt;&gt;"", SUMIF(Bets!$D:$D, U758, Bets!AE:AE), "")</f>
        <v/>
      </c>
      <c r="W758" s="162"/>
      <c r="X758" s="148"/>
      <c r="Y758" s="161"/>
      <c r="Z758" s="146" t="str">
        <f>IF(Y758&lt;&gt;"", SUMIF(Bets!$D:$D, Y758, Bets!AF:AF), "")</f>
        <v/>
      </c>
      <c r="AA758" s="162"/>
      <c r="AB758" s="148"/>
      <c r="AC758" s="161"/>
      <c r="AD758" s="146" t="str">
        <f>IF(AC758&lt;&gt;"", SUMIF(Bets!$D:$D, AC758, Bets!AG:AG), "")</f>
        <v/>
      </c>
      <c r="AE758" s="162"/>
      <c r="AF758" s="148"/>
    </row>
    <row r="759">
      <c r="A759" s="161"/>
      <c r="B759" s="146" t="str">
        <f>IF(A759&lt;&gt;"", SUMIF(Bets!$D:$D, A759, Bets!Z:Z), "")</f>
        <v/>
      </c>
      <c r="C759" s="162"/>
      <c r="D759" s="148"/>
      <c r="E759" s="161"/>
      <c r="F759" s="146" t="str">
        <f>IF(E759&lt;&gt;"", SUMIF(Bets!$D:$D, E759, Bets!AB:AB), "")</f>
        <v/>
      </c>
      <c r="G759" s="162"/>
      <c r="H759" s="148"/>
      <c r="I759" s="161"/>
      <c r="J759" s="146" t="str">
        <f>IF(I759&lt;&gt;"", SUMIF(Bets!$D:$D, I759, Bets!AA:AA), "")</f>
        <v/>
      </c>
      <c r="K759" s="162"/>
      <c r="L759" s="148"/>
      <c r="M759" s="161"/>
      <c r="N759" s="146"/>
      <c r="O759" s="162"/>
      <c r="P759" s="148"/>
      <c r="Q759" s="161"/>
      <c r="R759" s="146" t="str">
        <f>IF(Q759&lt;&gt;"", SUMIF(Bets!$D:$D, Q759, Bets!AD:AD), "")</f>
        <v/>
      </c>
      <c r="S759" s="162"/>
      <c r="T759" s="148"/>
      <c r="U759" s="161"/>
      <c r="V759" s="146" t="str">
        <f>IF(U759&lt;&gt;"", SUMIF(Bets!$D:$D, U759, Bets!AE:AE), "")</f>
        <v/>
      </c>
      <c r="W759" s="162"/>
      <c r="X759" s="148"/>
      <c r="Y759" s="161"/>
      <c r="Z759" s="146" t="str">
        <f>IF(Y759&lt;&gt;"", SUMIF(Bets!$D:$D, Y759, Bets!AF:AF), "")</f>
        <v/>
      </c>
      <c r="AA759" s="162"/>
      <c r="AB759" s="148"/>
      <c r="AC759" s="161"/>
      <c r="AD759" s="146" t="str">
        <f>IF(AC759&lt;&gt;"", SUMIF(Bets!$D:$D, AC759, Bets!AG:AG), "")</f>
        <v/>
      </c>
      <c r="AE759" s="162"/>
      <c r="AF759" s="148"/>
    </row>
    <row r="760">
      <c r="A760" s="161"/>
      <c r="B760" s="146" t="str">
        <f>IF(A760&lt;&gt;"", SUMIF(Bets!$D:$D, A760, Bets!Z:Z), "")</f>
        <v/>
      </c>
      <c r="C760" s="162"/>
      <c r="D760" s="148"/>
      <c r="E760" s="161"/>
      <c r="F760" s="146" t="str">
        <f>IF(E760&lt;&gt;"", SUMIF(Bets!$D:$D, E760, Bets!AB:AB), "")</f>
        <v/>
      </c>
      <c r="G760" s="162"/>
      <c r="H760" s="148"/>
      <c r="I760" s="161"/>
      <c r="J760" s="146" t="str">
        <f>IF(I760&lt;&gt;"", SUMIF(Bets!$D:$D, I760, Bets!AA:AA), "")</f>
        <v/>
      </c>
      <c r="K760" s="162"/>
      <c r="L760" s="148"/>
      <c r="M760" s="161"/>
      <c r="N760" s="146"/>
      <c r="O760" s="162"/>
      <c r="P760" s="148"/>
      <c r="Q760" s="161"/>
      <c r="R760" s="146" t="str">
        <f>IF(Q760&lt;&gt;"", SUMIF(Bets!$D:$D, Q760, Bets!AD:AD), "")</f>
        <v/>
      </c>
      <c r="S760" s="162"/>
      <c r="T760" s="148"/>
      <c r="U760" s="161"/>
      <c r="V760" s="146" t="str">
        <f>IF(U760&lt;&gt;"", SUMIF(Bets!$D:$D, U760, Bets!AE:AE), "")</f>
        <v/>
      </c>
      <c r="W760" s="162"/>
      <c r="X760" s="148"/>
      <c r="Y760" s="161"/>
      <c r="Z760" s="146" t="str">
        <f>IF(Y760&lt;&gt;"", SUMIF(Bets!$D:$D, Y760, Bets!AF:AF), "")</f>
        <v/>
      </c>
      <c r="AA760" s="162"/>
      <c r="AB760" s="148"/>
      <c r="AC760" s="161"/>
      <c r="AD760" s="146" t="str">
        <f>IF(AC760&lt;&gt;"", SUMIF(Bets!$D:$D, AC760, Bets!AG:AG), "")</f>
        <v/>
      </c>
      <c r="AE760" s="162"/>
      <c r="AF760" s="148"/>
    </row>
    <row r="761">
      <c r="A761" s="161"/>
      <c r="B761" s="146" t="str">
        <f>IF(A761&lt;&gt;"", SUMIF(Bets!$D:$D, A761, Bets!Z:Z), "")</f>
        <v/>
      </c>
      <c r="C761" s="162"/>
      <c r="D761" s="148"/>
      <c r="E761" s="161"/>
      <c r="F761" s="146" t="str">
        <f>IF(E761&lt;&gt;"", SUMIF(Bets!$D:$D, E761, Bets!AB:AB), "")</f>
        <v/>
      </c>
      <c r="G761" s="162"/>
      <c r="H761" s="148"/>
      <c r="I761" s="161"/>
      <c r="J761" s="146" t="str">
        <f>IF(I761&lt;&gt;"", SUMIF(Bets!$D:$D, I761, Bets!AA:AA), "")</f>
        <v/>
      </c>
      <c r="K761" s="162"/>
      <c r="L761" s="148"/>
      <c r="M761" s="161"/>
      <c r="N761" s="146"/>
      <c r="O761" s="162"/>
      <c r="P761" s="148"/>
      <c r="Q761" s="161"/>
      <c r="R761" s="146" t="str">
        <f>IF(Q761&lt;&gt;"", SUMIF(Bets!$D:$D, Q761, Bets!AD:AD), "")</f>
        <v/>
      </c>
      <c r="S761" s="162"/>
      <c r="T761" s="148"/>
      <c r="U761" s="161"/>
      <c r="V761" s="146" t="str">
        <f>IF(U761&lt;&gt;"", SUMIF(Bets!$D:$D, U761, Bets!AE:AE), "")</f>
        <v/>
      </c>
      <c r="W761" s="162"/>
      <c r="X761" s="148"/>
      <c r="Y761" s="161"/>
      <c r="Z761" s="146" t="str">
        <f>IF(Y761&lt;&gt;"", SUMIF(Bets!$D:$D, Y761, Bets!AF:AF), "")</f>
        <v/>
      </c>
      <c r="AA761" s="162"/>
      <c r="AB761" s="148"/>
      <c r="AC761" s="161"/>
      <c r="AD761" s="146" t="str">
        <f>IF(AC761&lt;&gt;"", SUMIF(Bets!$D:$D, AC761, Bets!AG:AG), "")</f>
        <v/>
      </c>
      <c r="AE761" s="162"/>
      <c r="AF761" s="148"/>
    </row>
    <row r="762">
      <c r="A762" s="161"/>
      <c r="B762" s="146" t="str">
        <f>IF(A762&lt;&gt;"", SUMIF(Bets!$D:$D, A762, Bets!Z:Z), "")</f>
        <v/>
      </c>
      <c r="C762" s="162"/>
      <c r="D762" s="148"/>
      <c r="E762" s="161"/>
      <c r="F762" s="146" t="str">
        <f>IF(E762&lt;&gt;"", SUMIF(Bets!$D:$D, E762, Bets!AB:AB), "")</f>
        <v/>
      </c>
      <c r="G762" s="162"/>
      <c r="H762" s="148"/>
      <c r="I762" s="161"/>
      <c r="J762" s="146" t="str">
        <f>IF(I762&lt;&gt;"", SUMIF(Bets!$D:$D, I762, Bets!AA:AA), "")</f>
        <v/>
      </c>
      <c r="K762" s="162"/>
      <c r="L762" s="148"/>
      <c r="M762" s="161"/>
      <c r="N762" s="146"/>
      <c r="O762" s="162"/>
      <c r="P762" s="148"/>
      <c r="Q762" s="161"/>
      <c r="R762" s="146" t="str">
        <f>IF(Q762&lt;&gt;"", SUMIF(Bets!$D:$D, Q762, Bets!AD:AD), "")</f>
        <v/>
      </c>
      <c r="S762" s="162"/>
      <c r="T762" s="148"/>
      <c r="U762" s="161"/>
      <c r="V762" s="146" t="str">
        <f>IF(U762&lt;&gt;"", SUMIF(Bets!$D:$D, U762, Bets!AE:AE), "")</f>
        <v/>
      </c>
      <c r="W762" s="162"/>
      <c r="X762" s="148"/>
      <c r="Y762" s="161"/>
      <c r="Z762" s="146" t="str">
        <f>IF(Y762&lt;&gt;"", SUMIF(Bets!$D:$D, Y762, Bets!AF:AF), "")</f>
        <v/>
      </c>
      <c r="AA762" s="162"/>
      <c r="AB762" s="148"/>
      <c r="AC762" s="161"/>
      <c r="AD762" s="146" t="str">
        <f>IF(AC762&lt;&gt;"", SUMIF(Bets!$D:$D, AC762, Bets!AG:AG), "")</f>
        <v/>
      </c>
      <c r="AE762" s="162"/>
      <c r="AF762" s="148"/>
    </row>
    <row r="763">
      <c r="A763" s="161"/>
      <c r="B763" s="146" t="str">
        <f>IF(A763&lt;&gt;"", SUMIF(Bets!$D:$D, A763, Bets!Z:Z), "")</f>
        <v/>
      </c>
      <c r="C763" s="162"/>
      <c r="D763" s="148"/>
      <c r="E763" s="161"/>
      <c r="F763" s="146" t="str">
        <f>IF(E763&lt;&gt;"", SUMIF(Bets!$D:$D, E763, Bets!AB:AB), "")</f>
        <v/>
      </c>
      <c r="G763" s="162"/>
      <c r="H763" s="148"/>
      <c r="I763" s="161"/>
      <c r="J763" s="146" t="str">
        <f>IF(I763&lt;&gt;"", SUMIF(Bets!$D:$D, I763, Bets!AA:AA), "")</f>
        <v/>
      </c>
      <c r="K763" s="162"/>
      <c r="L763" s="148"/>
      <c r="M763" s="161"/>
      <c r="N763" s="146"/>
      <c r="O763" s="162"/>
      <c r="P763" s="148"/>
      <c r="Q763" s="161"/>
      <c r="R763" s="146" t="str">
        <f>IF(Q763&lt;&gt;"", SUMIF(Bets!$D:$D, Q763, Bets!AD:AD), "")</f>
        <v/>
      </c>
      <c r="S763" s="162"/>
      <c r="T763" s="148"/>
      <c r="U763" s="161"/>
      <c r="V763" s="146" t="str">
        <f>IF(U763&lt;&gt;"", SUMIF(Bets!$D:$D, U763, Bets!AE:AE), "")</f>
        <v/>
      </c>
      <c r="W763" s="162"/>
      <c r="X763" s="148"/>
      <c r="Y763" s="161"/>
      <c r="Z763" s="146" t="str">
        <f>IF(Y763&lt;&gt;"", SUMIF(Bets!$D:$D, Y763, Bets!AF:AF), "")</f>
        <v/>
      </c>
      <c r="AA763" s="162"/>
      <c r="AB763" s="148"/>
      <c r="AC763" s="161"/>
      <c r="AD763" s="146" t="str">
        <f>IF(AC763&lt;&gt;"", SUMIF(Bets!$D:$D, AC763, Bets!AG:AG), "")</f>
        <v/>
      </c>
      <c r="AE763" s="162"/>
      <c r="AF763" s="148"/>
    </row>
    <row r="764">
      <c r="A764" s="161"/>
      <c r="B764" s="146" t="str">
        <f>IF(A764&lt;&gt;"", SUMIF(Bets!$D:$D, A764, Bets!Z:Z), "")</f>
        <v/>
      </c>
      <c r="C764" s="162"/>
      <c r="D764" s="148"/>
      <c r="E764" s="161"/>
      <c r="F764" s="146" t="str">
        <f>IF(E764&lt;&gt;"", SUMIF(Bets!$D:$D, E764, Bets!AB:AB), "")</f>
        <v/>
      </c>
      <c r="G764" s="162"/>
      <c r="H764" s="148"/>
      <c r="I764" s="161"/>
      <c r="J764" s="146" t="str">
        <f>IF(I764&lt;&gt;"", SUMIF(Bets!$D:$D, I764, Bets!AA:AA), "")</f>
        <v/>
      </c>
      <c r="K764" s="162"/>
      <c r="L764" s="148"/>
      <c r="M764" s="161"/>
      <c r="N764" s="146"/>
      <c r="O764" s="162"/>
      <c r="P764" s="148"/>
      <c r="Q764" s="161"/>
      <c r="R764" s="146" t="str">
        <f>IF(Q764&lt;&gt;"", SUMIF(Bets!$D:$D, Q764, Bets!AD:AD), "")</f>
        <v/>
      </c>
      <c r="S764" s="162"/>
      <c r="T764" s="148"/>
      <c r="U764" s="161"/>
      <c r="V764" s="146" t="str">
        <f>IF(U764&lt;&gt;"", SUMIF(Bets!$D:$D, U764, Bets!AE:AE), "")</f>
        <v/>
      </c>
      <c r="W764" s="162"/>
      <c r="X764" s="148"/>
      <c r="Y764" s="161"/>
      <c r="Z764" s="146" t="str">
        <f>IF(Y764&lt;&gt;"", SUMIF(Bets!$D:$D, Y764, Bets!AF:AF), "")</f>
        <v/>
      </c>
      <c r="AA764" s="162"/>
      <c r="AB764" s="148"/>
      <c r="AC764" s="161"/>
      <c r="AD764" s="146" t="str">
        <f>IF(AC764&lt;&gt;"", SUMIF(Bets!$D:$D, AC764, Bets!AG:AG), "")</f>
        <v/>
      </c>
      <c r="AE764" s="162"/>
      <c r="AF764" s="148"/>
    </row>
    <row r="765">
      <c r="A765" s="161"/>
      <c r="B765" s="146" t="str">
        <f>IF(A765&lt;&gt;"", SUMIF(Bets!$D:$D, A765, Bets!Z:Z), "")</f>
        <v/>
      </c>
      <c r="C765" s="162"/>
      <c r="D765" s="148"/>
      <c r="E765" s="161"/>
      <c r="F765" s="146" t="str">
        <f>IF(E765&lt;&gt;"", SUMIF(Bets!$D:$D, E765, Bets!AB:AB), "")</f>
        <v/>
      </c>
      <c r="G765" s="162"/>
      <c r="H765" s="148"/>
      <c r="I765" s="161"/>
      <c r="J765" s="146" t="str">
        <f>IF(I765&lt;&gt;"", SUMIF(Bets!$D:$D, I765, Bets!AA:AA), "")</f>
        <v/>
      </c>
      <c r="K765" s="162"/>
      <c r="L765" s="148"/>
      <c r="M765" s="161"/>
      <c r="N765" s="146"/>
      <c r="O765" s="162"/>
      <c r="P765" s="148"/>
      <c r="Q765" s="161"/>
      <c r="R765" s="146" t="str">
        <f>IF(Q765&lt;&gt;"", SUMIF(Bets!$D:$D, Q765, Bets!AD:AD), "")</f>
        <v/>
      </c>
      <c r="S765" s="162"/>
      <c r="T765" s="148"/>
      <c r="U765" s="161"/>
      <c r="V765" s="146" t="str">
        <f>IF(U765&lt;&gt;"", SUMIF(Bets!$D:$D, U765, Bets!AE:AE), "")</f>
        <v/>
      </c>
      <c r="W765" s="162"/>
      <c r="X765" s="148"/>
      <c r="Y765" s="161"/>
      <c r="Z765" s="146" t="str">
        <f>IF(Y765&lt;&gt;"", SUMIF(Bets!$D:$D, Y765, Bets!AF:AF), "")</f>
        <v/>
      </c>
      <c r="AA765" s="162"/>
      <c r="AB765" s="148"/>
      <c r="AC765" s="161"/>
      <c r="AD765" s="146" t="str">
        <f>IF(AC765&lt;&gt;"", SUMIF(Bets!$D:$D, AC765, Bets!AG:AG), "")</f>
        <v/>
      </c>
      <c r="AE765" s="162"/>
      <c r="AF765" s="148"/>
    </row>
    <row r="766">
      <c r="A766" s="161"/>
      <c r="B766" s="146" t="str">
        <f>IF(A766&lt;&gt;"", SUMIF(Bets!$D:$D, A766, Bets!Z:Z), "")</f>
        <v/>
      </c>
      <c r="C766" s="162"/>
      <c r="D766" s="148"/>
      <c r="E766" s="161"/>
      <c r="F766" s="146" t="str">
        <f>IF(E766&lt;&gt;"", SUMIF(Bets!$D:$D, E766, Bets!AB:AB), "")</f>
        <v/>
      </c>
      <c r="G766" s="162"/>
      <c r="H766" s="148"/>
      <c r="I766" s="161"/>
      <c r="J766" s="146" t="str">
        <f>IF(I766&lt;&gt;"", SUMIF(Bets!$D:$D, I766, Bets!AA:AA), "")</f>
        <v/>
      </c>
      <c r="K766" s="162"/>
      <c r="L766" s="148"/>
      <c r="M766" s="161"/>
      <c r="N766" s="146"/>
      <c r="O766" s="162"/>
      <c r="P766" s="148"/>
      <c r="Q766" s="161"/>
      <c r="R766" s="146" t="str">
        <f>IF(Q766&lt;&gt;"", SUMIF(Bets!$D:$D, Q766, Bets!AD:AD), "")</f>
        <v/>
      </c>
      <c r="S766" s="162"/>
      <c r="T766" s="148"/>
      <c r="U766" s="161"/>
      <c r="V766" s="146" t="str">
        <f>IF(U766&lt;&gt;"", SUMIF(Bets!$D:$D, U766, Bets!AE:AE), "")</f>
        <v/>
      </c>
      <c r="W766" s="162"/>
      <c r="X766" s="148"/>
      <c r="Y766" s="161"/>
      <c r="Z766" s="146" t="str">
        <f>IF(Y766&lt;&gt;"", SUMIF(Bets!$D:$D, Y766, Bets!AF:AF), "")</f>
        <v/>
      </c>
      <c r="AA766" s="162"/>
      <c r="AB766" s="148"/>
      <c r="AC766" s="161"/>
      <c r="AD766" s="146" t="str">
        <f>IF(AC766&lt;&gt;"", SUMIF(Bets!$D:$D, AC766, Bets!AG:AG), "")</f>
        <v/>
      </c>
      <c r="AE766" s="162"/>
      <c r="AF766" s="148"/>
    </row>
    <row r="767">
      <c r="A767" s="161"/>
      <c r="B767" s="146" t="str">
        <f>IF(A767&lt;&gt;"", SUMIF(Bets!$D:$D, A767, Bets!Z:Z), "")</f>
        <v/>
      </c>
      <c r="C767" s="162"/>
      <c r="D767" s="148"/>
      <c r="E767" s="161"/>
      <c r="F767" s="146" t="str">
        <f>IF(E767&lt;&gt;"", SUMIF(Bets!$D:$D, E767, Bets!AB:AB), "")</f>
        <v/>
      </c>
      <c r="G767" s="162"/>
      <c r="H767" s="148"/>
      <c r="I767" s="161"/>
      <c r="J767" s="146" t="str">
        <f>IF(I767&lt;&gt;"", SUMIF(Bets!$D:$D, I767, Bets!AA:AA), "")</f>
        <v/>
      </c>
      <c r="K767" s="162"/>
      <c r="L767" s="148"/>
      <c r="M767" s="161"/>
      <c r="N767" s="146"/>
      <c r="O767" s="162"/>
      <c r="P767" s="148"/>
      <c r="Q767" s="161"/>
      <c r="R767" s="146" t="str">
        <f>IF(Q767&lt;&gt;"", SUMIF(Bets!$D:$D, Q767, Bets!AD:AD), "")</f>
        <v/>
      </c>
      <c r="S767" s="162"/>
      <c r="T767" s="148"/>
      <c r="U767" s="161"/>
      <c r="V767" s="146" t="str">
        <f>IF(U767&lt;&gt;"", SUMIF(Bets!$D:$D, U767, Bets!AE:AE), "")</f>
        <v/>
      </c>
      <c r="W767" s="162"/>
      <c r="X767" s="148"/>
      <c r="Y767" s="161"/>
      <c r="Z767" s="146" t="str">
        <f>IF(Y767&lt;&gt;"", SUMIF(Bets!$D:$D, Y767, Bets!AF:AF), "")</f>
        <v/>
      </c>
      <c r="AA767" s="162"/>
      <c r="AB767" s="148"/>
      <c r="AC767" s="161"/>
      <c r="AD767" s="146" t="str">
        <f>IF(AC767&lt;&gt;"", SUMIF(Bets!$D:$D, AC767, Bets!AG:AG), "")</f>
        <v/>
      </c>
      <c r="AE767" s="162"/>
      <c r="AF767" s="148"/>
    </row>
    <row r="768">
      <c r="A768" s="161"/>
      <c r="B768" s="146" t="str">
        <f>IF(A768&lt;&gt;"", SUMIF(Bets!$D:$D, A768, Bets!Z:Z), "")</f>
        <v/>
      </c>
      <c r="C768" s="162"/>
      <c r="D768" s="148"/>
      <c r="E768" s="161"/>
      <c r="F768" s="146" t="str">
        <f>IF(E768&lt;&gt;"", SUMIF(Bets!$D:$D, E768, Bets!AB:AB), "")</f>
        <v/>
      </c>
      <c r="G768" s="162"/>
      <c r="H768" s="148"/>
      <c r="I768" s="161"/>
      <c r="J768" s="146" t="str">
        <f>IF(I768&lt;&gt;"", SUMIF(Bets!$D:$D, I768, Bets!AA:AA), "")</f>
        <v/>
      </c>
      <c r="K768" s="162"/>
      <c r="L768" s="148"/>
      <c r="M768" s="161"/>
      <c r="N768" s="146"/>
      <c r="O768" s="162"/>
      <c r="P768" s="148"/>
      <c r="Q768" s="161"/>
      <c r="R768" s="146" t="str">
        <f>IF(Q768&lt;&gt;"", SUMIF(Bets!$D:$D, Q768, Bets!AD:AD), "")</f>
        <v/>
      </c>
      <c r="S768" s="162"/>
      <c r="T768" s="148"/>
      <c r="U768" s="161"/>
      <c r="V768" s="146" t="str">
        <f>IF(U768&lt;&gt;"", SUMIF(Bets!$D:$D, U768, Bets!AE:AE), "")</f>
        <v/>
      </c>
      <c r="W768" s="162"/>
      <c r="X768" s="148"/>
      <c r="Y768" s="161"/>
      <c r="Z768" s="146" t="str">
        <f>IF(Y768&lt;&gt;"", SUMIF(Bets!$D:$D, Y768, Bets!AF:AF), "")</f>
        <v/>
      </c>
      <c r="AA768" s="162"/>
      <c r="AB768" s="148"/>
      <c r="AC768" s="161"/>
      <c r="AD768" s="146" t="str">
        <f>IF(AC768&lt;&gt;"", SUMIF(Bets!$D:$D, AC768, Bets!AG:AG), "")</f>
        <v/>
      </c>
      <c r="AE768" s="162"/>
      <c r="AF768" s="148"/>
    </row>
    <row r="769">
      <c r="A769" s="161"/>
      <c r="B769" s="146" t="str">
        <f>IF(A769&lt;&gt;"", SUMIF(Bets!$D:$D, A769, Bets!Z:Z), "")</f>
        <v/>
      </c>
      <c r="C769" s="162"/>
      <c r="D769" s="148"/>
      <c r="E769" s="161"/>
      <c r="F769" s="146" t="str">
        <f>IF(E769&lt;&gt;"", SUMIF(Bets!$D:$D, E769, Bets!AB:AB), "")</f>
        <v/>
      </c>
      <c r="G769" s="162"/>
      <c r="H769" s="148"/>
      <c r="I769" s="161"/>
      <c r="J769" s="146" t="str">
        <f>IF(I769&lt;&gt;"", SUMIF(Bets!$D:$D, I769, Bets!AA:AA), "")</f>
        <v/>
      </c>
      <c r="K769" s="162"/>
      <c r="L769" s="148"/>
      <c r="M769" s="161"/>
      <c r="N769" s="146"/>
      <c r="O769" s="162"/>
      <c r="P769" s="148"/>
      <c r="Q769" s="161"/>
      <c r="R769" s="146" t="str">
        <f>IF(Q769&lt;&gt;"", SUMIF(Bets!$D:$D, Q769, Bets!AD:AD), "")</f>
        <v/>
      </c>
      <c r="S769" s="162"/>
      <c r="T769" s="148"/>
      <c r="U769" s="161"/>
      <c r="V769" s="146" t="str">
        <f>IF(U769&lt;&gt;"", SUMIF(Bets!$D:$D, U769, Bets!AE:AE), "")</f>
        <v/>
      </c>
      <c r="W769" s="162"/>
      <c r="X769" s="148"/>
      <c r="Y769" s="161"/>
      <c r="Z769" s="146" t="str">
        <f>IF(Y769&lt;&gt;"", SUMIF(Bets!$D:$D, Y769, Bets!AF:AF), "")</f>
        <v/>
      </c>
      <c r="AA769" s="162"/>
      <c r="AB769" s="148"/>
      <c r="AC769" s="161"/>
      <c r="AD769" s="146" t="str">
        <f>IF(AC769&lt;&gt;"", SUMIF(Bets!$D:$D, AC769, Bets!AG:AG), "")</f>
        <v/>
      </c>
      <c r="AE769" s="162"/>
      <c r="AF769" s="148"/>
    </row>
    <row r="770">
      <c r="A770" s="161"/>
      <c r="B770" s="146" t="str">
        <f>IF(A770&lt;&gt;"", SUMIF(Bets!$D:$D, A770, Bets!Z:Z), "")</f>
        <v/>
      </c>
      <c r="C770" s="162"/>
      <c r="D770" s="148"/>
      <c r="E770" s="161"/>
      <c r="F770" s="146" t="str">
        <f>IF(E770&lt;&gt;"", SUMIF(Bets!$D:$D, E770, Bets!AB:AB), "")</f>
        <v/>
      </c>
      <c r="G770" s="162"/>
      <c r="H770" s="148"/>
      <c r="I770" s="161"/>
      <c r="J770" s="146" t="str">
        <f>IF(I770&lt;&gt;"", SUMIF(Bets!$D:$D, I770, Bets!AA:AA), "")</f>
        <v/>
      </c>
      <c r="K770" s="162"/>
      <c r="L770" s="148"/>
      <c r="M770" s="161"/>
      <c r="N770" s="146"/>
      <c r="O770" s="162"/>
      <c r="P770" s="148"/>
      <c r="Q770" s="161"/>
      <c r="R770" s="146" t="str">
        <f>IF(Q770&lt;&gt;"", SUMIF(Bets!$D:$D, Q770, Bets!AD:AD), "")</f>
        <v/>
      </c>
      <c r="S770" s="162"/>
      <c r="T770" s="148"/>
      <c r="U770" s="161"/>
      <c r="V770" s="146" t="str">
        <f>IF(U770&lt;&gt;"", SUMIF(Bets!$D:$D, U770, Bets!AE:AE), "")</f>
        <v/>
      </c>
      <c r="W770" s="162"/>
      <c r="X770" s="148"/>
      <c r="Y770" s="161"/>
      <c r="Z770" s="146" t="str">
        <f>IF(Y770&lt;&gt;"", SUMIF(Bets!$D:$D, Y770, Bets!AF:AF), "")</f>
        <v/>
      </c>
      <c r="AA770" s="162"/>
      <c r="AB770" s="148"/>
      <c r="AC770" s="161"/>
      <c r="AD770" s="146" t="str">
        <f>IF(AC770&lt;&gt;"", SUMIF(Bets!$D:$D, AC770, Bets!AG:AG), "")</f>
        <v/>
      </c>
      <c r="AE770" s="162"/>
      <c r="AF770" s="148"/>
    </row>
    <row r="771">
      <c r="A771" s="161"/>
      <c r="B771" s="146" t="str">
        <f>IF(A771&lt;&gt;"", SUMIF(Bets!$D:$D, A771, Bets!Z:Z), "")</f>
        <v/>
      </c>
      <c r="C771" s="162"/>
      <c r="D771" s="148"/>
      <c r="E771" s="161"/>
      <c r="F771" s="146" t="str">
        <f>IF(E771&lt;&gt;"", SUMIF(Bets!$D:$D, E771, Bets!AB:AB), "")</f>
        <v/>
      </c>
      <c r="G771" s="162"/>
      <c r="H771" s="148"/>
      <c r="I771" s="161"/>
      <c r="J771" s="146" t="str">
        <f>IF(I771&lt;&gt;"", SUMIF(Bets!$D:$D, I771, Bets!AA:AA), "")</f>
        <v/>
      </c>
      <c r="K771" s="162"/>
      <c r="L771" s="148"/>
      <c r="M771" s="161"/>
      <c r="N771" s="146"/>
      <c r="O771" s="162"/>
      <c r="P771" s="148"/>
      <c r="Q771" s="161"/>
      <c r="R771" s="146" t="str">
        <f>IF(Q771&lt;&gt;"", SUMIF(Bets!$D:$D, Q771, Bets!AD:AD), "")</f>
        <v/>
      </c>
      <c r="S771" s="162"/>
      <c r="T771" s="148"/>
      <c r="U771" s="161"/>
      <c r="V771" s="146" t="str">
        <f>IF(U771&lt;&gt;"", SUMIF(Bets!$D:$D, U771, Bets!AE:AE), "")</f>
        <v/>
      </c>
      <c r="W771" s="162"/>
      <c r="X771" s="148"/>
      <c r="Y771" s="161"/>
      <c r="Z771" s="146" t="str">
        <f>IF(Y771&lt;&gt;"", SUMIF(Bets!$D:$D, Y771, Bets!AF:AF), "")</f>
        <v/>
      </c>
      <c r="AA771" s="162"/>
      <c r="AB771" s="148"/>
      <c r="AC771" s="161"/>
      <c r="AD771" s="146" t="str">
        <f>IF(AC771&lt;&gt;"", SUMIF(Bets!$D:$D, AC771, Bets!AG:AG), "")</f>
        <v/>
      </c>
      <c r="AE771" s="162"/>
      <c r="AF771" s="148"/>
    </row>
    <row r="772">
      <c r="A772" s="161"/>
      <c r="B772" s="146" t="str">
        <f>IF(A772&lt;&gt;"", SUMIF(Bets!$D:$D, A772, Bets!Z:Z), "")</f>
        <v/>
      </c>
      <c r="C772" s="162"/>
      <c r="D772" s="148"/>
      <c r="E772" s="161"/>
      <c r="F772" s="146" t="str">
        <f>IF(E772&lt;&gt;"", SUMIF(Bets!$D:$D, E772, Bets!AB:AB), "")</f>
        <v/>
      </c>
      <c r="G772" s="162"/>
      <c r="H772" s="148"/>
      <c r="I772" s="161"/>
      <c r="J772" s="146" t="str">
        <f>IF(I772&lt;&gt;"", SUMIF(Bets!$D:$D, I772, Bets!AA:AA), "")</f>
        <v/>
      </c>
      <c r="K772" s="162"/>
      <c r="L772" s="148"/>
      <c r="M772" s="161"/>
      <c r="N772" s="146"/>
      <c r="O772" s="162"/>
      <c r="P772" s="148"/>
      <c r="Q772" s="161"/>
      <c r="R772" s="146" t="str">
        <f>IF(Q772&lt;&gt;"", SUMIF(Bets!$D:$D, Q772, Bets!AD:AD), "")</f>
        <v/>
      </c>
      <c r="S772" s="162"/>
      <c r="T772" s="148"/>
      <c r="U772" s="161"/>
      <c r="V772" s="146" t="str">
        <f>IF(U772&lt;&gt;"", SUMIF(Bets!$D:$D, U772, Bets!AE:AE), "")</f>
        <v/>
      </c>
      <c r="W772" s="162"/>
      <c r="X772" s="148"/>
      <c r="Y772" s="161"/>
      <c r="Z772" s="146" t="str">
        <f>IF(Y772&lt;&gt;"", SUMIF(Bets!$D:$D, Y772, Bets!AF:AF), "")</f>
        <v/>
      </c>
      <c r="AA772" s="162"/>
      <c r="AB772" s="148"/>
      <c r="AC772" s="161"/>
      <c r="AD772" s="146" t="str">
        <f>IF(AC772&lt;&gt;"", SUMIF(Bets!$D:$D, AC772, Bets!AG:AG), "")</f>
        <v/>
      </c>
      <c r="AE772" s="162"/>
      <c r="AF772" s="148"/>
    </row>
    <row r="773">
      <c r="A773" s="161"/>
      <c r="B773" s="146" t="str">
        <f>IF(A773&lt;&gt;"", SUMIF(Bets!$D:$D, A773, Bets!Z:Z), "")</f>
        <v/>
      </c>
      <c r="C773" s="162"/>
      <c r="D773" s="148"/>
      <c r="E773" s="161"/>
      <c r="F773" s="146" t="str">
        <f>IF(E773&lt;&gt;"", SUMIF(Bets!$D:$D, E773, Bets!AB:AB), "")</f>
        <v/>
      </c>
      <c r="G773" s="162"/>
      <c r="H773" s="148"/>
      <c r="I773" s="161"/>
      <c r="J773" s="146" t="str">
        <f>IF(I773&lt;&gt;"", SUMIF(Bets!$D:$D, I773, Bets!AA:AA), "")</f>
        <v/>
      </c>
      <c r="K773" s="162"/>
      <c r="L773" s="148"/>
      <c r="M773" s="161"/>
      <c r="N773" s="146"/>
      <c r="O773" s="162"/>
      <c r="P773" s="148"/>
      <c r="Q773" s="161"/>
      <c r="R773" s="146" t="str">
        <f>IF(Q773&lt;&gt;"", SUMIF(Bets!$D:$D, Q773, Bets!AD:AD), "")</f>
        <v/>
      </c>
      <c r="S773" s="162"/>
      <c r="T773" s="148"/>
      <c r="U773" s="161"/>
      <c r="V773" s="146" t="str">
        <f>IF(U773&lt;&gt;"", SUMIF(Bets!$D:$D, U773, Bets!AE:AE), "")</f>
        <v/>
      </c>
      <c r="W773" s="162"/>
      <c r="X773" s="148"/>
      <c r="Y773" s="161"/>
      <c r="Z773" s="146" t="str">
        <f>IF(Y773&lt;&gt;"", SUMIF(Bets!$D:$D, Y773, Bets!AF:AF), "")</f>
        <v/>
      </c>
      <c r="AA773" s="162"/>
      <c r="AB773" s="148"/>
      <c r="AC773" s="161"/>
      <c r="AD773" s="146" t="str">
        <f>IF(AC773&lt;&gt;"", SUMIF(Bets!$D:$D, AC773, Bets!AG:AG), "")</f>
        <v/>
      </c>
      <c r="AE773" s="162"/>
      <c r="AF773" s="148"/>
    </row>
    <row r="774">
      <c r="A774" s="161"/>
      <c r="B774" s="146" t="str">
        <f>IF(A774&lt;&gt;"", SUMIF(Bets!$D:$D, A774, Bets!Z:Z), "")</f>
        <v/>
      </c>
      <c r="C774" s="162"/>
      <c r="D774" s="148"/>
      <c r="E774" s="161"/>
      <c r="F774" s="146" t="str">
        <f>IF(E774&lt;&gt;"", SUMIF(Bets!$D:$D, E774, Bets!AB:AB), "")</f>
        <v/>
      </c>
      <c r="G774" s="162"/>
      <c r="H774" s="148"/>
      <c r="I774" s="161"/>
      <c r="J774" s="146" t="str">
        <f>IF(I774&lt;&gt;"", SUMIF(Bets!$D:$D, I774, Bets!AA:AA), "")</f>
        <v/>
      </c>
      <c r="K774" s="162"/>
      <c r="L774" s="148"/>
      <c r="M774" s="161"/>
      <c r="N774" s="146"/>
      <c r="O774" s="162"/>
      <c r="P774" s="148"/>
      <c r="Q774" s="161"/>
      <c r="R774" s="146" t="str">
        <f>IF(Q774&lt;&gt;"", SUMIF(Bets!$D:$D, Q774, Bets!AD:AD), "")</f>
        <v/>
      </c>
      <c r="S774" s="162"/>
      <c r="T774" s="148"/>
      <c r="U774" s="161"/>
      <c r="V774" s="146" t="str">
        <f>IF(U774&lt;&gt;"", SUMIF(Bets!$D:$D, U774, Bets!AE:AE), "")</f>
        <v/>
      </c>
      <c r="W774" s="162"/>
      <c r="X774" s="148"/>
      <c r="Y774" s="161"/>
      <c r="Z774" s="146" t="str">
        <f>IF(Y774&lt;&gt;"", SUMIF(Bets!$D:$D, Y774, Bets!AF:AF), "")</f>
        <v/>
      </c>
      <c r="AA774" s="162"/>
      <c r="AB774" s="148"/>
      <c r="AC774" s="161"/>
      <c r="AD774" s="146" t="str">
        <f>IF(AC774&lt;&gt;"", SUMIF(Bets!$D:$D, AC774, Bets!AG:AG), "")</f>
        <v/>
      </c>
      <c r="AE774" s="162"/>
      <c r="AF774" s="148"/>
    </row>
    <row r="775">
      <c r="A775" s="161"/>
      <c r="B775" s="146" t="str">
        <f>IF(A775&lt;&gt;"", SUMIF(Bets!$D:$D, A775, Bets!Z:Z), "")</f>
        <v/>
      </c>
      <c r="C775" s="162"/>
      <c r="D775" s="148"/>
      <c r="E775" s="161"/>
      <c r="F775" s="146" t="str">
        <f>IF(E775&lt;&gt;"", SUMIF(Bets!$D:$D, E775, Bets!AB:AB), "")</f>
        <v/>
      </c>
      <c r="G775" s="162"/>
      <c r="H775" s="148"/>
      <c r="I775" s="161"/>
      <c r="J775" s="146" t="str">
        <f>IF(I775&lt;&gt;"", SUMIF(Bets!$D:$D, I775, Bets!AA:AA), "")</f>
        <v/>
      </c>
      <c r="K775" s="162"/>
      <c r="L775" s="148"/>
      <c r="M775" s="161"/>
      <c r="N775" s="146"/>
      <c r="O775" s="162"/>
      <c r="P775" s="148"/>
      <c r="Q775" s="161"/>
      <c r="R775" s="146" t="str">
        <f>IF(Q775&lt;&gt;"", SUMIF(Bets!$D:$D, Q775, Bets!AD:AD), "")</f>
        <v/>
      </c>
      <c r="S775" s="162"/>
      <c r="T775" s="148"/>
      <c r="U775" s="161"/>
      <c r="V775" s="146" t="str">
        <f>IF(U775&lt;&gt;"", SUMIF(Bets!$D:$D, U775, Bets!AE:AE), "")</f>
        <v/>
      </c>
      <c r="W775" s="162"/>
      <c r="X775" s="148"/>
      <c r="Y775" s="161"/>
      <c r="Z775" s="146" t="str">
        <f>IF(Y775&lt;&gt;"", SUMIF(Bets!$D:$D, Y775, Bets!AF:AF), "")</f>
        <v/>
      </c>
      <c r="AA775" s="162"/>
      <c r="AB775" s="148"/>
      <c r="AC775" s="161"/>
      <c r="AD775" s="146" t="str">
        <f>IF(AC775&lt;&gt;"", SUMIF(Bets!$D:$D, AC775, Bets!AG:AG), "")</f>
        <v/>
      </c>
      <c r="AE775" s="162"/>
      <c r="AF775" s="148"/>
    </row>
    <row r="776">
      <c r="A776" s="161"/>
      <c r="B776" s="146" t="str">
        <f>IF(A776&lt;&gt;"", SUMIF(Bets!$D:$D, A776, Bets!Z:Z), "")</f>
        <v/>
      </c>
      <c r="C776" s="162"/>
      <c r="D776" s="148"/>
      <c r="E776" s="161"/>
      <c r="F776" s="146" t="str">
        <f>IF(E776&lt;&gt;"", SUMIF(Bets!$D:$D, E776, Bets!AB:AB), "")</f>
        <v/>
      </c>
      <c r="G776" s="162"/>
      <c r="H776" s="148"/>
      <c r="I776" s="161"/>
      <c r="J776" s="146" t="str">
        <f>IF(I776&lt;&gt;"", SUMIF(Bets!$D:$D, I776, Bets!AA:AA), "")</f>
        <v/>
      </c>
      <c r="K776" s="162"/>
      <c r="L776" s="148"/>
      <c r="M776" s="161"/>
      <c r="N776" s="146"/>
      <c r="O776" s="162"/>
      <c r="P776" s="148"/>
      <c r="Q776" s="161"/>
      <c r="R776" s="146" t="str">
        <f>IF(Q776&lt;&gt;"", SUMIF(Bets!$D:$D, Q776, Bets!AD:AD), "")</f>
        <v/>
      </c>
      <c r="S776" s="162"/>
      <c r="T776" s="148"/>
      <c r="U776" s="161"/>
      <c r="V776" s="146" t="str">
        <f>IF(U776&lt;&gt;"", SUMIF(Bets!$D:$D, U776, Bets!AE:AE), "")</f>
        <v/>
      </c>
      <c r="W776" s="162"/>
      <c r="X776" s="148"/>
      <c r="Y776" s="161"/>
      <c r="Z776" s="146" t="str">
        <f>IF(Y776&lt;&gt;"", SUMIF(Bets!$D:$D, Y776, Bets!AF:AF), "")</f>
        <v/>
      </c>
      <c r="AA776" s="162"/>
      <c r="AB776" s="148"/>
      <c r="AC776" s="161"/>
      <c r="AD776" s="146" t="str">
        <f>IF(AC776&lt;&gt;"", SUMIF(Bets!$D:$D, AC776, Bets!AG:AG), "")</f>
        <v/>
      </c>
      <c r="AE776" s="162"/>
      <c r="AF776" s="148"/>
    </row>
    <row r="777">
      <c r="A777" s="161"/>
      <c r="B777" s="146" t="str">
        <f>IF(A777&lt;&gt;"", SUMIF(Bets!$D:$D, A777, Bets!Z:Z), "")</f>
        <v/>
      </c>
      <c r="C777" s="162"/>
      <c r="D777" s="148"/>
      <c r="E777" s="161"/>
      <c r="F777" s="146" t="str">
        <f>IF(E777&lt;&gt;"", SUMIF(Bets!$D:$D, E777, Bets!AB:AB), "")</f>
        <v/>
      </c>
      <c r="G777" s="162"/>
      <c r="H777" s="148"/>
      <c r="I777" s="161"/>
      <c r="J777" s="146" t="str">
        <f>IF(I777&lt;&gt;"", SUMIF(Bets!$D:$D, I777, Bets!AA:AA), "")</f>
        <v/>
      </c>
      <c r="K777" s="162"/>
      <c r="L777" s="148"/>
      <c r="M777" s="161"/>
      <c r="N777" s="146"/>
      <c r="O777" s="162"/>
      <c r="P777" s="148"/>
      <c r="Q777" s="161"/>
      <c r="R777" s="146" t="str">
        <f>IF(Q777&lt;&gt;"", SUMIF(Bets!$D:$D, Q777, Bets!AD:AD), "")</f>
        <v/>
      </c>
      <c r="S777" s="162"/>
      <c r="T777" s="148"/>
      <c r="U777" s="161"/>
      <c r="V777" s="146" t="str">
        <f>IF(U777&lt;&gt;"", SUMIF(Bets!$D:$D, U777, Bets!AE:AE), "")</f>
        <v/>
      </c>
      <c r="W777" s="162"/>
      <c r="X777" s="148"/>
      <c r="Y777" s="161"/>
      <c r="Z777" s="146" t="str">
        <f>IF(Y777&lt;&gt;"", SUMIF(Bets!$D:$D, Y777, Bets!AF:AF), "")</f>
        <v/>
      </c>
      <c r="AA777" s="162"/>
      <c r="AB777" s="148"/>
      <c r="AC777" s="161"/>
      <c r="AD777" s="146" t="str">
        <f>IF(AC777&lt;&gt;"", SUMIF(Bets!$D:$D, AC777, Bets!AG:AG), "")</f>
        <v/>
      </c>
      <c r="AE777" s="162"/>
      <c r="AF777" s="148"/>
    </row>
    <row r="778">
      <c r="A778" s="161"/>
      <c r="B778" s="146" t="str">
        <f>IF(A778&lt;&gt;"", SUMIF(Bets!$D:$D, A778, Bets!Z:Z), "")</f>
        <v/>
      </c>
      <c r="C778" s="162"/>
      <c r="D778" s="148"/>
      <c r="E778" s="161"/>
      <c r="F778" s="146" t="str">
        <f>IF(E778&lt;&gt;"", SUMIF(Bets!$D:$D, E778, Bets!AB:AB), "")</f>
        <v/>
      </c>
      <c r="G778" s="162"/>
      <c r="H778" s="148"/>
      <c r="I778" s="161"/>
      <c r="J778" s="146" t="str">
        <f>IF(I778&lt;&gt;"", SUMIF(Bets!$D:$D, I778, Bets!AA:AA), "")</f>
        <v/>
      </c>
      <c r="K778" s="162"/>
      <c r="L778" s="148"/>
      <c r="M778" s="161"/>
      <c r="N778" s="146"/>
      <c r="O778" s="162"/>
      <c r="P778" s="148"/>
      <c r="Q778" s="161"/>
      <c r="R778" s="146" t="str">
        <f>IF(Q778&lt;&gt;"", SUMIF(Bets!$D:$D, Q778, Bets!AD:AD), "")</f>
        <v/>
      </c>
      <c r="S778" s="162"/>
      <c r="T778" s="148"/>
      <c r="U778" s="161"/>
      <c r="V778" s="146" t="str">
        <f>IF(U778&lt;&gt;"", SUMIF(Bets!$D:$D, U778, Bets!AE:AE), "")</f>
        <v/>
      </c>
      <c r="W778" s="162"/>
      <c r="X778" s="148"/>
      <c r="Y778" s="161"/>
      <c r="Z778" s="146" t="str">
        <f>IF(Y778&lt;&gt;"", SUMIF(Bets!$D:$D, Y778, Bets!AF:AF), "")</f>
        <v/>
      </c>
      <c r="AA778" s="162"/>
      <c r="AB778" s="148"/>
      <c r="AC778" s="161"/>
      <c r="AD778" s="146" t="str">
        <f>IF(AC778&lt;&gt;"", SUMIF(Bets!$D:$D, AC778, Bets!AG:AG), "")</f>
        <v/>
      </c>
      <c r="AE778" s="162"/>
      <c r="AF778" s="148"/>
    </row>
    <row r="779">
      <c r="A779" s="161"/>
      <c r="B779" s="146" t="str">
        <f>IF(A779&lt;&gt;"", SUMIF(Bets!$D:$D, A779, Bets!Z:Z), "")</f>
        <v/>
      </c>
      <c r="C779" s="162"/>
      <c r="D779" s="148"/>
      <c r="E779" s="161"/>
      <c r="F779" s="146" t="str">
        <f>IF(E779&lt;&gt;"", SUMIF(Bets!$D:$D, E779, Bets!AB:AB), "")</f>
        <v/>
      </c>
      <c r="G779" s="162"/>
      <c r="H779" s="148"/>
      <c r="I779" s="161"/>
      <c r="J779" s="146" t="str">
        <f>IF(I779&lt;&gt;"", SUMIF(Bets!$D:$D, I779, Bets!AA:AA), "")</f>
        <v/>
      </c>
      <c r="K779" s="162"/>
      <c r="L779" s="148"/>
      <c r="M779" s="161"/>
      <c r="N779" s="146"/>
      <c r="O779" s="162"/>
      <c r="P779" s="148"/>
      <c r="Q779" s="161"/>
      <c r="R779" s="146" t="str">
        <f>IF(Q779&lt;&gt;"", SUMIF(Bets!$D:$D, Q779, Bets!AD:AD), "")</f>
        <v/>
      </c>
      <c r="S779" s="162"/>
      <c r="T779" s="148"/>
      <c r="U779" s="161"/>
      <c r="V779" s="146" t="str">
        <f>IF(U779&lt;&gt;"", SUMIF(Bets!$D:$D, U779, Bets!AE:AE), "")</f>
        <v/>
      </c>
      <c r="W779" s="162"/>
      <c r="X779" s="148"/>
      <c r="Y779" s="161"/>
      <c r="Z779" s="146" t="str">
        <f>IF(Y779&lt;&gt;"", SUMIF(Bets!$D:$D, Y779, Bets!AF:AF), "")</f>
        <v/>
      </c>
      <c r="AA779" s="162"/>
      <c r="AB779" s="148"/>
      <c r="AC779" s="161"/>
      <c r="AD779" s="146" t="str">
        <f>IF(AC779&lt;&gt;"", SUMIF(Bets!$D:$D, AC779, Bets!AG:AG), "")</f>
        <v/>
      </c>
      <c r="AE779" s="162"/>
      <c r="AF779" s="148"/>
    </row>
    <row r="780">
      <c r="A780" s="161"/>
      <c r="B780" s="146" t="str">
        <f>IF(A780&lt;&gt;"", SUMIF(Bets!$D:$D, A780, Bets!Z:Z), "")</f>
        <v/>
      </c>
      <c r="C780" s="162"/>
      <c r="D780" s="148"/>
      <c r="E780" s="161"/>
      <c r="F780" s="146" t="str">
        <f>IF(E780&lt;&gt;"", SUMIF(Bets!$D:$D, E780, Bets!AB:AB), "")</f>
        <v/>
      </c>
      <c r="G780" s="162"/>
      <c r="H780" s="148"/>
      <c r="I780" s="161"/>
      <c r="J780" s="146" t="str">
        <f>IF(I780&lt;&gt;"", SUMIF(Bets!$D:$D, I780, Bets!AA:AA), "")</f>
        <v/>
      </c>
      <c r="K780" s="162"/>
      <c r="L780" s="148"/>
      <c r="M780" s="161"/>
      <c r="N780" s="146"/>
      <c r="O780" s="162"/>
      <c r="P780" s="148"/>
      <c r="Q780" s="161"/>
      <c r="R780" s="146" t="str">
        <f>IF(Q780&lt;&gt;"", SUMIF(Bets!$D:$D, Q780, Bets!AD:AD), "")</f>
        <v/>
      </c>
      <c r="S780" s="162"/>
      <c r="T780" s="148"/>
      <c r="U780" s="161"/>
      <c r="V780" s="146" t="str">
        <f>IF(U780&lt;&gt;"", SUMIF(Bets!$D:$D, U780, Bets!AE:AE), "")</f>
        <v/>
      </c>
      <c r="W780" s="162"/>
      <c r="X780" s="148"/>
      <c r="Y780" s="161"/>
      <c r="Z780" s="146" t="str">
        <f>IF(Y780&lt;&gt;"", SUMIF(Bets!$D:$D, Y780, Bets!AF:AF), "")</f>
        <v/>
      </c>
      <c r="AA780" s="162"/>
      <c r="AB780" s="148"/>
      <c r="AC780" s="161"/>
      <c r="AD780" s="146" t="str">
        <f>IF(AC780&lt;&gt;"", SUMIF(Bets!$D:$D, AC780, Bets!AG:AG), "")</f>
        <v/>
      </c>
      <c r="AE780" s="162"/>
      <c r="AF780" s="148"/>
    </row>
    <row r="781">
      <c r="A781" s="161"/>
      <c r="B781" s="146" t="str">
        <f>IF(A781&lt;&gt;"", SUMIF(Bets!$D:$D, A781, Bets!Z:Z), "")</f>
        <v/>
      </c>
      <c r="C781" s="162"/>
      <c r="D781" s="148"/>
      <c r="E781" s="161"/>
      <c r="F781" s="146" t="str">
        <f>IF(E781&lt;&gt;"", SUMIF(Bets!$D:$D, E781, Bets!AB:AB), "")</f>
        <v/>
      </c>
      <c r="G781" s="162"/>
      <c r="H781" s="148"/>
      <c r="I781" s="161"/>
      <c r="J781" s="146" t="str">
        <f>IF(I781&lt;&gt;"", SUMIF(Bets!$D:$D, I781, Bets!AA:AA), "")</f>
        <v/>
      </c>
      <c r="K781" s="162"/>
      <c r="L781" s="148"/>
      <c r="M781" s="161"/>
      <c r="N781" s="146"/>
      <c r="O781" s="162"/>
      <c r="P781" s="148"/>
      <c r="Q781" s="161"/>
      <c r="R781" s="146" t="str">
        <f>IF(Q781&lt;&gt;"", SUMIF(Bets!$D:$D, Q781, Bets!AD:AD), "")</f>
        <v/>
      </c>
      <c r="S781" s="162"/>
      <c r="T781" s="148"/>
      <c r="U781" s="161"/>
      <c r="V781" s="146" t="str">
        <f>IF(U781&lt;&gt;"", SUMIF(Bets!$D:$D, U781, Bets!AE:AE), "")</f>
        <v/>
      </c>
      <c r="W781" s="162"/>
      <c r="X781" s="148"/>
      <c r="Y781" s="161"/>
      <c r="Z781" s="146" t="str">
        <f>IF(Y781&lt;&gt;"", SUMIF(Bets!$D:$D, Y781, Bets!AF:AF), "")</f>
        <v/>
      </c>
      <c r="AA781" s="162"/>
      <c r="AB781" s="148"/>
      <c r="AC781" s="161"/>
      <c r="AD781" s="146" t="str">
        <f>IF(AC781&lt;&gt;"", SUMIF(Bets!$D:$D, AC781, Bets!AG:AG), "")</f>
        <v/>
      </c>
      <c r="AE781" s="162"/>
      <c r="AF781" s="148"/>
    </row>
    <row r="782">
      <c r="A782" s="161"/>
      <c r="B782" s="146" t="str">
        <f>IF(A782&lt;&gt;"", SUMIF(Bets!$D:$D, A782, Bets!Z:Z), "")</f>
        <v/>
      </c>
      <c r="C782" s="162"/>
      <c r="D782" s="148"/>
      <c r="E782" s="161"/>
      <c r="F782" s="146" t="str">
        <f>IF(E782&lt;&gt;"", SUMIF(Bets!$D:$D, E782, Bets!AB:AB), "")</f>
        <v/>
      </c>
      <c r="G782" s="162"/>
      <c r="H782" s="148"/>
      <c r="I782" s="161"/>
      <c r="J782" s="146" t="str">
        <f>IF(I782&lt;&gt;"", SUMIF(Bets!$D:$D, I782, Bets!AA:AA), "")</f>
        <v/>
      </c>
      <c r="K782" s="162"/>
      <c r="L782" s="148"/>
      <c r="M782" s="161"/>
      <c r="N782" s="146"/>
      <c r="O782" s="162"/>
      <c r="P782" s="148"/>
      <c r="Q782" s="161"/>
      <c r="R782" s="146" t="str">
        <f>IF(Q782&lt;&gt;"", SUMIF(Bets!$D:$D, Q782, Bets!AD:AD), "")</f>
        <v/>
      </c>
      <c r="S782" s="162"/>
      <c r="T782" s="148"/>
      <c r="U782" s="161"/>
      <c r="V782" s="146" t="str">
        <f>IF(U782&lt;&gt;"", SUMIF(Bets!$D:$D, U782, Bets!AE:AE), "")</f>
        <v/>
      </c>
      <c r="W782" s="162"/>
      <c r="X782" s="148"/>
      <c r="Y782" s="161"/>
      <c r="Z782" s="146" t="str">
        <f>IF(Y782&lt;&gt;"", SUMIF(Bets!$D:$D, Y782, Bets!AF:AF), "")</f>
        <v/>
      </c>
      <c r="AA782" s="162"/>
      <c r="AB782" s="148"/>
      <c r="AC782" s="161"/>
      <c r="AD782" s="146" t="str">
        <f>IF(AC782&lt;&gt;"", SUMIF(Bets!$D:$D, AC782, Bets!AG:AG), "")</f>
        <v/>
      </c>
      <c r="AE782" s="162"/>
      <c r="AF782" s="148"/>
    </row>
    <row r="783">
      <c r="A783" s="161"/>
      <c r="B783" s="146" t="str">
        <f>IF(A783&lt;&gt;"", SUMIF(Bets!$D:$D, A783, Bets!Z:Z), "")</f>
        <v/>
      </c>
      <c r="C783" s="162"/>
      <c r="D783" s="148"/>
      <c r="E783" s="161"/>
      <c r="F783" s="146" t="str">
        <f>IF(E783&lt;&gt;"", SUMIF(Bets!$D:$D, E783, Bets!AB:AB), "")</f>
        <v/>
      </c>
      <c r="G783" s="162"/>
      <c r="H783" s="148"/>
      <c r="I783" s="161"/>
      <c r="J783" s="146" t="str">
        <f>IF(I783&lt;&gt;"", SUMIF(Bets!$D:$D, I783, Bets!AA:AA), "")</f>
        <v/>
      </c>
      <c r="K783" s="162"/>
      <c r="L783" s="148"/>
      <c r="M783" s="161"/>
      <c r="N783" s="146"/>
      <c r="O783" s="162"/>
      <c r="P783" s="148"/>
      <c r="Q783" s="161"/>
      <c r="R783" s="146" t="str">
        <f>IF(Q783&lt;&gt;"", SUMIF(Bets!$D:$D, Q783, Bets!AD:AD), "")</f>
        <v/>
      </c>
      <c r="S783" s="162"/>
      <c r="T783" s="148"/>
      <c r="U783" s="161"/>
      <c r="V783" s="146" t="str">
        <f>IF(U783&lt;&gt;"", SUMIF(Bets!$D:$D, U783, Bets!AE:AE), "")</f>
        <v/>
      </c>
      <c r="W783" s="162"/>
      <c r="X783" s="148"/>
      <c r="Y783" s="161"/>
      <c r="Z783" s="146" t="str">
        <f>IF(Y783&lt;&gt;"", SUMIF(Bets!$D:$D, Y783, Bets!AF:AF), "")</f>
        <v/>
      </c>
      <c r="AA783" s="162"/>
      <c r="AB783" s="148"/>
      <c r="AC783" s="161"/>
      <c r="AD783" s="146" t="str">
        <f>IF(AC783&lt;&gt;"", SUMIF(Bets!$D:$D, AC783, Bets!AG:AG), "")</f>
        <v/>
      </c>
      <c r="AE783" s="162"/>
      <c r="AF783" s="148"/>
    </row>
    <row r="784">
      <c r="A784" s="161"/>
      <c r="B784" s="146" t="str">
        <f>IF(A784&lt;&gt;"", SUMIF(Bets!$D:$D, A784, Bets!Z:Z), "")</f>
        <v/>
      </c>
      <c r="C784" s="162"/>
      <c r="D784" s="148"/>
      <c r="E784" s="161"/>
      <c r="F784" s="146" t="str">
        <f>IF(E784&lt;&gt;"", SUMIF(Bets!$D:$D, E784, Bets!AB:AB), "")</f>
        <v/>
      </c>
      <c r="G784" s="162"/>
      <c r="H784" s="148"/>
      <c r="I784" s="161"/>
      <c r="J784" s="146" t="str">
        <f>IF(I784&lt;&gt;"", SUMIF(Bets!$D:$D, I784, Bets!AA:AA), "")</f>
        <v/>
      </c>
      <c r="K784" s="162"/>
      <c r="L784" s="148"/>
      <c r="M784" s="161"/>
      <c r="N784" s="146"/>
      <c r="O784" s="162"/>
      <c r="P784" s="148"/>
      <c r="Q784" s="161"/>
      <c r="R784" s="146" t="str">
        <f>IF(Q784&lt;&gt;"", SUMIF(Bets!$D:$D, Q784, Bets!AD:AD), "")</f>
        <v/>
      </c>
      <c r="S784" s="162"/>
      <c r="T784" s="148"/>
      <c r="U784" s="161"/>
      <c r="V784" s="146" t="str">
        <f>IF(U784&lt;&gt;"", SUMIF(Bets!$D:$D, U784, Bets!AE:AE), "")</f>
        <v/>
      </c>
      <c r="W784" s="162"/>
      <c r="X784" s="148"/>
      <c r="Y784" s="161"/>
      <c r="Z784" s="146" t="str">
        <f>IF(Y784&lt;&gt;"", SUMIF(Bets!$D:$D, Y784, Bets!AF:AF), "")</f>
        <v/>
      </c>
      <c r="AA784" s="162"/>
      <c r="AB784" s="148"/>
      <c r="AC784" s="161"/>
      <c r="AD784" s="146" t="str">
        <f>IF(AC784&lt;&gt;"", SUMIF(Bets!$D:$D, AC784, Bets!AG:AG), "")</f>
        <v/>
      </c>
      <c r="AE784" s="162"/>
      <c r="AF784" s="148"/>
    </row>
    <row r="785">
      <c r="A785" s="161"/>
      <c r="B785" s="146" t="str">
        <f>IF(A785&lt;&gt;"", SUMIF(Bets!$D:$D, A785, Bets!Z:Z), "")</f>
        <v/>
      </c>
      <c r="C785" s="162"/>
      <c r="D785" s="148"/>
      <c r="E785" s="161"/>
      <c r="F785" s="146" t="str">
        <f>IF(E785&lt;&gt;"", SUMIF(Bets!$D:$D, E785, Bets!AB:AB), "")</f>
        <v/>
      </c>
      <c r="G785" s="162"/>
      <c r="H785" s="148"/>
      <c r="I785" s="161"/>
      <c r="J785" s="146" t="str">
        <f>IF(I785&lt;&gt;"", SUMIF(Bets!$D:$D, I785, Bets!AA:AA), "")</f>
        <v/>
      </c>
      <c r="K785" s="162"/>
      <c r="L785" s="148"/>
      <c r="M785" s="161"/>
      <c r="N785" s="146"/>
      <c r="O785" s="162"/>
      <c r="P785" s="148"/>
      <c r="Q785" s="161"/>
      <c r="R785" s="146" t="str">
        <f>IF(Q785&lt;&gt;"", SUMIF(Bets!$D:$D, Q785, Bets!AD:AD), "")</f>
        <v/>
      </c>
      <c r="S785" s="162"/>
      <c r="T785" s="148"/>
      <c r="U785" s="161"/>
      <c r="V785" s="146" t="str">
        <f>IF(U785&lt;&gt;"", SUMIF(Bets!$D:$D, U785, Bets!AE:AE), "")</f>
        <v/>
      </c>
      <c r="W785" s="162"/>
      <c r="X785" s="148"/>
      <c r="Y785" s="161"/>
      <c r="Z785" s="146" t="str">
        <f>IF(Y785&lt;&gt;"", SUMIF(Bets!$D:$D, Y785, Bets!AF:AF), "")</f>
        <v/>
      </c>
      <c r="AA785" s="162"/>
      <c r="AB785" s="148"/>
      <c r="AC785" s="161"/>
      <c r="AD785" s="146" t="str">
        <f>IF(AC785&lt;&gt;"", SUMIF(Bets!$D:$D, AC785, Bets!AG:AG), "")</f>
        <v/>
      </c>
      <c r="AE785" s="162"/>
      <c r="AF785" s="148"/>
    </row>
    <row r="786">
      <c r="A786" s="161"/>
      <c r="B786" s="146" t="str">
        <f>IF(A786&lt;&gt;"", SUMIF(Bets!$D:$D, A786, Bets!Z:Z), "")</f>
        <v/>
      </c>
      <c r="C786" s="162"/>
      <c r="D786" s="148"/>
      <c r="E786" s="161"/>
      <c r="F786" s="146" t="str">
        <f>IF(E786&lt;&gt;"", SUMIF(Bets!$D:$D, E786, Bets!AB:AB), "")</f>
        <v/>
      </c>
      <c r="G786" s="162"/>
      <c r="H786" s="148"/>
      <c r="I786" s="161"/>
      <c r="J786" s="146" t="str">
        <f>IF(I786&lt;&gt;"", SUMIF(Bets!$D:$D, I786, Bets!AA:AA), "")</f>
        <v/>
      </c>
      <c r="K786" s="162"/>
      <c r="L786" s="148"/>
      <c r="M786" s="161"/>
      <c r="N786" s="146"/>
      <c r="O786" s="162"/>
      <c r="P786" s="148"/>
      <c r="Q786" s="161"/>
      <c r="R786" s="146" t="str">
        <f>IF(Q786&lt;&gt;"", SUMIF(Bets!$D:$D, Q786, Bets!AD:AD), "")</f>
        <v/>
      </c>
      <c r="S786" s="162"/>
      <c r="T786" s="148"/>
      <c r="U786" s="161"/>
      <c r="V786" s="146" t="str">
        <f>IF(U786&lt;&gt;"", SUMIF(Bets!$D:$D, U786, Bets!AE:AE), "")</f>
        <v/>
      </c>
      <c r="W786" s="162"/>
      <c r="X786" s="148"/>
      <c r="Y786" s="161"/>
      <c r="Z786" s="146" t="str">
        <f>IF(Y786&lt;&gt;"", SUMIF(Bets!$D:$D, Y786, Bets!AF:AF), "")</f>
        <v/>
      </c>
      <c r="AA786" s="162"/>
      <c r="AB786" s="148"/>
      <c r="AC786" s="161"/>
      <c r="AD786" s="146" t="str">
        <f>IF(AC786&lt;&gt;"", SUMIF(Bets!$D:$D, AC786, Bets!AG:AG), "")</f>
        <v/>
      </c>
      <c r="AE786" s="162"/>
      <c r="AF786" s="148"/>
    </row>
    <row r="787">
      <c r="A787" s="161"/>
      <c r="B787" s="146" t="str">
        <f>IF(A787&lt;&gt;"", SUMIF(Bets!$D:$D, A787, Bets!Z:Z), "")</f>
        <v/>
      </c>
      <c r="C787" s="162"/>
      <c r="D787" s="148"/>
      <c r="E787" s="161"/>
      <c r="F787" s="146" t="str">
        <f>IF(E787&lt;&gt;"", SUMIF(Bets!$D:$D, E787, Bets!AB:AB), "")</f>
        <v/>
      </c>
      <c r="G787" s="162"/>
      <c r="H787" s="148"/>
      <c r="I787" s="161"/>
      <c r="J787" s="146" t="str">
        <f>IF(I787&lt;&gt;"", SUMIF(Bets!$D:$D, I787, Bets!AA:AA), "")</f>
        <v/>
      </c>
      <c r="K787" s="162"/>
      <c r="L787" s="148"/>
      <c r="M787" s="161"/>
      <c r="N787" s="146"/>
      <c r="O787" s="162"/>
      <c r="P787" s="148"/>
      <c r="Q787" s="161"/>
      <c r="R787" s="146" t="str">
        <f>IF(Q787&lt;&gt;"", SUMIF(Bets!$D:$D, Q787, Bets!AD:AD), "")</f>
        <v/>
      </c>
      <c r="S787" s="162"/>
      <c r="T787" s="148"/>
      <c r="U787" s="161"/>
      <c r="V787" s="146" t="str">
        <f>IF(U787&lt;&gt;"", SUMIF(Bets!$D:$D, U787, Bets!AE:AE), "")</f>
        <v/>
      </c>
      <c r="W787" s="162"/>
      <c r="X787" s="148"/>
      <c r="Y787" s="161"/>
      <c r="Z787" s="146" t="str">
        <f>IF(Y787&lt;&gt;"", SUMIF(Bets!$D:$D, Y787, Bets!AF:AF), "")</f>
        <v/>
      </c>
      <c r="AA787" s="162"/>
      <c r="AB787" s="148"/>
      <c r="AC787" s="161"/>
      <c r="AD787" s="146" t="str">
        <f>IF(AC787&lt;&gt;"", SUMIF(Bets!$D:$D, AC787, Bets!AG:AG), "")</f>
        <v/>
      </c>
      <c r="AE787" s="162"/>
      <c r="AF787" s="148"/>
    </row>
    <row r="788">
      <c r="A788" s="161"/>
      <c r="B788" s="146" t="str">
        <f>IF(A788&lt;&gt;"", SUMIF(Bets!$D:$D, A788, Bets!Z:Z), "")</f>
        <v/>
      </c>
      <c r="C788" s="162"/>
      <c r="D788" s="148"/>
      <c r="E788" s="161"/>
      <c r="F788" s="146" t="str">
        <f>IF(E788&lt;&gt;"", SUMIF(Bets!$D:$D, E788, Bets!AB:AB), "")</f>
        <v/>
      </c>
      <c r="G788" s="162"/>
      <c r="H788" s="148"/>
      <c r="I788" s="161"/>
      <c r="J788" s="146" t="str">
        <f>IF(I788&lt;&gt;"", SUMIF(Bets!$D:$D, I788, Bets!AA:AA), "")</f>
        <v/>
      </c>
      <c r="K788" s="162"/>
      <c r="L788" s="148"/>
      <c r="M788" s="161"/>
      <c r="N788" s="146"/>
      <c r="O788" s="162"/>
      <c r="P788" s="148"/>
      <c r="Q788" s="161"/>
      <c r="R788" s="146" t="str">
        <f>IF(Q788&lt;&gt;"", SUMIF(Bets!$D:$D, Q788, Bets!AD:AD), "")</f>
        <v/>
      </c>
      <c r="S788" s="162"/>
      <c r="T788" s="148"/>
      <c r="U788" s="161"/>
      <c r="V788" s="146" t="str">
        <f>IF(U788&lt;&gt;"", SUMIF(Bets!$D:$D, U788, Bets!AE:AE), "")</f>
        <v/>
      </c>
      <c r="W788" s="162"/>
      <c r="X788" s="148"/>
      <c r="Y788" s="161"/>
      <c r="Z788" s="146" t="str">
        <f>IF(Y788&lt;&gt;"", SUMIF(Bets!$D:$D, Y788, Bets!AF:AF), "")</f>
        <v/>
      </c>
      <c r="AA788" s="162"/>
      <c r="AB788" s="148"/>
      <c r="AC788" s="161"/>
      <c r="AD788" s="146" t="str">
        <f>IF(AC788&lt;&gt;"", SUMIF(Bets!$D:$D, AC788, Bets!AG:AG), "")</f>
        <v/>
      </c>
      <c r="AE788" s="162"/>
      <c r="AF788" s="148"/>
    </row>
    <row r="789">
      <c r="A789" s="161"/>
      <c r="B789" s="146" t="str">
        <f>IF(A789&lt;&gt;"", SUMIF(Bets!$D:$D, A789, Bets!Z:Z), "")</f>
        <v/>
      </c>
      <c r="C789" s="162"/>
      <c r="D789" s="148"/>
      <c r="E789" s="161"/>
      <c r="F789" s="146" t="str">
        <f>IF(E789&lt;&gt;"", SUMIF(Bets!$D:$D, E789, Bets!AB:AB), "")</f>
        <v/>
      </c>
      <c r="G789" s="162"/>
      <c r="H789" s="148"/>
      <c r="I789" s="161"/>
      <c r="J789" s="146" t="str">
        <f>IF(I789&lt;&gt;"", SUMIF(Bets!$D:$D, I789, Bets!AA:AA), "")</f>
        <v/>
      </c>
      <c r="K789" s="162"/>
      <c r="L789" s="148"/>
      <c r="M789" s="161"/>
      <c r="N789" s="146"/>
      <c r="O789" s="162"/>
      <c r="P789" s="148"/>
      <c r="Q789" s="161"/>
      <c r="R789" s="146" t="str">
        <f>IF(Q789&lt;&gt;"", SUMIF(Bets!$D:$D, Q789, Bets!AD:AD), "")</f>
        <v/>
      </c>
      <c r="S789" s="162"/>
      <c r="T789" s="148"/>
      <c r="U789" s="161"/>
      <c r="V789" s="146" t="str">
        <f>IF(U789&lt;&gt;"", SUMIF(Bets!$D:$D, U789, Bets!AE:AE), "")</f>
        <v/>
      </c>
      <c r="W789" s="162"/>
      <c r="X789" s="148"/>
      <c r="Y789" s="161"/>
      <c r="Z789" s="146" t="str">
        <f>IF(Y789&lt;&gt;"", SUMIF(Bets!$D:$D, Y789, Bets!AF:AF), "")</f>
        <v/>
      </c>
      <c r="AA789" s="162"/>
      <c r="AB789" s="148"/>
      <c r="AC789" s="161"/>
      <c r="AD789" s="146" t="str">
        <f>IF(AC789&lt;&gt;"", SUMIF(Bets!$D:$D, AC789, Bets!AG:AG), "")</f>
        <v/>
      </c>
      <c r="AE789" s="162"/>
      <c r="AF789" s="148"/>
    </row>
    <row r="790">
      <c r="A790" s="161"/>
      <c r="B790" s="146" t="str">
        <f>IF(A790&lt;&gt;"", SUMIF(Bets!$D:$D, A790, Bets!Z:Z), "")</f>
        <v/>
      </c>
      <c r="C790" s="162"/>
      <c r="D790" s="148"/>
      <c r="E790" s="161"/>
      <c r="F790" s="146" t="str">
        <f>IF(E790&lt;&gt;"", SUMIF(Bets!$D:$D, E790, Bets!AB:AB), "")</f>
        <v/>
      </c>
      <c r="G790" s="162"/>
      <c r="H790" s="148"/>
      <c r="I790" s="161"/>
      <c r="J790" s="146" t="str">
        <f>IF(I790&lt;&gt;"", SUMIF(Bets!$D:$D, I790, Bets!AA:AA), "")</f>
        <v/>
      </c>
      <c r="K790" s="162"/>
      <c r="L790" s="148"/>
      <c r="M790" s="161"/>
      <c r="N790" s="146"/>
      <c r="O790" s="162"/>
      <c r="P790" s="148"/>
      <c r="Q790" s="161"/>
      <c r="R790" s="146" t="str">
        <f>IF(Q790&lt;&gt;"", SUMIF(Bets!$D:$D, Q790, Bets!AD:AD), "")</f>
        <v/>
      </c>
      <c r="S790" s="162"/>
      <c r="T790" s="148"/>
      <c r="U790" s="161"/>
      <c r="V790" s="146" t="str">
        <f>IF(U790&lt;&gt;"", SUMIF(Bets!$D:$D, U790, Bets!AE:AE), "")</f>
        <v/>
      </c>
      <c r="W790" s="162"/>
      <c r="X790" s="148"/>
      <c r="Y790" s="161"/>
      <c r="Z790" s="146" t="str">
        <f>IF(Y790&lt;&gt;"", SUMIF(Bets!$D:$D, Y790, Bets!AF:AF), "")</f>
        <v/>
      </c>
      <c r="AA790" s="162"/>
      <c r="AB790" s="148"/>
      <c r="AC790" s="161"/>
      <c r="AD790" s="146" t="str">
        <f>IF(AC790&lt;&gt;"", SUMIF(Bets!$D:$D, AC790, Bets!AG:AG), "")</f>
        <v/>
      </c>
      <c r="AE790" s="162"/>
      <c r="AF790" s="148"/>
    </row>
    <row r="791">
      <c r="A791" s="161"/>
      <c r="B791" s="146" t="str">
        <f>IF(A791&lt;&gt;"", SUMIF(Bets!$D:$D, A791, Bets!Z:Z), "")</f>
        <v/>
      </c>
      <c r="C791" s="162"/>
      <c r="D791" s="148"/>
      <c r="E791" s="161"/>
      <c r="F791" s="146" t="str">
        <f>IF(E791&lt;&gt;"", SUMIF(Bets!$D:$D, E791, Bets!AB:AB), "")</f>
        <v/>
      </c>
      <c r="G791" s="162"/>
      <c r="H791" s="148"/>
      <c r="I791" s="161"/>
      <c r="J791" s="146" t="str">
        <f>IF(I791&lt;&gt;"", SUMIF(Bets!$D:$D, I791, Bets!AA:AA), "")</f>
        <v/>
      </c>
      <c r="K791" s="162"/>
      <c r="L791" s="148"/>
      <c r="M791" s="161"/>
      <c r="N791" s="146"/>
      <c r="O791" s="162"/>
      <c r="P791" s="148"/>
      <c r="Q791" s="161"/>
      <c r="R791" s="146" t="str">
        <f>IF(Q791&lt;&gt;"", SUMIF(Bets!$D:$D, Q791, Bets!AD:AD), "")</f>
        <v/>
      </c>
      <c r="S791" s="162"/>
      <c r="T791" s="148"/>
      <c r="U791" s="161"/>
      <c r="V791" s="146" t="str">
        <f>IF(U791&lt;&gt;"", SUMIF(Bets!$D:$D, U791, Bets!AE:AE), "")</f>
        <v/>
      </c>
      <c r="W791" s="162"/>
      <c r="X791" s="148"/>
      <c r="Y791" s="161"/>
      <c r="Z791" s="146" t="str">
        <f>IF(Y791&lt;&gt;"", SUMIF(Bets!$D:$D, Y791, Bets!AF:AF), "")</f>
        <v/>
      </c>
      <c r="AA791" s="162"/>
      <c r="AB791" s="148"/>
      <c r="AC791" s="161"/>
      <c r="AD791" s="146" t="str">
        <f>IF(AC791&lt;&gt;"", SUMIF(Bets!$D:$D, AC791, Bets!AG:AG), "")</f>
        <v/>
      </c>
      <c r="AE791" s="162"/>
      <c r="AF791" s="148"/>
    </row>
    <row r="792">
      <c r="A792" s="161"/>
      <c r="B792" s="146" t="str">
        <f>IF(A792&lt;&gt;"", SUMIF(Bets!$D:$D, A792, Bets!Z:Z), "")</f>
        <v/>
      </c>
      <c r="C792" s="162"/>
      <c r="D792" s="148"/>
      <c r="E792" s="161"/>
      <c r="F792" s="146" t="str">
        <f>IF(E792&lt;&gt;"", SUMIF(Bets!$D:$D, E792, Bets!AB:AB), "")</f>
        <v/>
      </c>
      <c r="G792" s="162"/>
      <c r="H792" s="148"/>
      <c r="I792" s="161"/>
      <c r="J792" s="146" t="str">
        <f>IF(I792&lt;&gt;"", SUMIF(Bets!$D:$D, I792, Bets!AA:AA), "")</f>
        <v/>
      </c>
      <c r="K792" s="162"/>
      <c r="L792" s="148"/>
      <c r="M792" s="161"/>
      <c r="N792" s="146"/>
      <c r="O792" s="162"/>
      <c r="P792" s="148"/>
      <c r="Q792" s="161"/>
      <c r="R792" s="146" t="str">
        <f>IF(Q792&lt;&gt;"", SUMIF(Bets!$D:$D, Q792, Bets!AD:AD), "")</f>
        <v/>
      </c>
      <c r="S792" s="162"/>
      <c r="T792" s="148"/>
      <c r="U792" s="161"/>
      <c r="V792" s="146" t="str">
        <f>IF(U792&lt;&gt;"", SUMIF(Bets!$D:$D, U792, Bets!AE:AE), "")</f>
        <v/>
      </c>
      <c r="W792" s="162"/>
      <c r="X792" s="148"/>
      <c r="Y792" s="161"/>
      <c r="Z792" s="146" t="str">
        <f>IF(Y792&lt;&gt;"", SUMIF(Bets!$D:$D, Y792, Bets!AF:AF), "")</f>
        <v/>
      </c>
      <c r="AA792" s="162"/>
      <c r="AB792" s="148"/>
      <c r="AC792" s="161"/>
      <c r="AD792" s="146" t="str">
        <f>IF(AC792&lt;&gt;"", SUMIF(Bets!$D:$D, AC792, Bets!AG:AG), "")</f>
        <v/>
      </c>
      <c r="AE792" s="162"/>
      <c r="AF792" s="148"/>
    </row>
    <row r="793">
      <c r="A793" s="161"/>
      <c r="B793" s="146" t="str">
        <f>IF(A793&lt;&gt;"", SUMIF(Bets!$D:$D, A793, Bets!Z:Z), "")</f>
        <v/>
      </c>
      <c r="C793" s="162"/>
      <c r="D793" s="148"/>
      <c r="E793" s="161"/>
      <c r="F793" s="146" t="str">
        <f>IF(E793&lt;&gt;"", SUMIF(Bets!$D:$D, E793, Bets!AB:AB), "")</f>
        <v/>
      </c>
      <c r="G793" s="162"/>
      <c r="H793" s="148"/>
      <c r="I793" s="161"/>
      <c r="J793" s="146" t="str">
        <f>IF(I793&lt;&gt;"", SUMIF(Bets!$D:$D, I793, Bets!AA:AA), "")</f>
        <v/>
      </c>
      <c r="K793" s="162"/>
      <c r="L793" s="148"/>
      <c r="M793" s="161"/>
      <c r="N793" s="146"/>
      <c r="O793" s="162"/>
      <c r="P793" s="148"/>
      <c r="Q793" s="161"/>
      <c r="R793" s="146" t="str">
        <f>IF(Q793&lt;&gt;"", SUMIF(Bets!$D:$D, Q793, Bets!AD:AD), "")</f>
        <v/>
      </c>
      <c r="S793" s="162"/>
      <c r="T793" s="148"/>
      <c r="U793" s="161"/>
      <c r="V793" s="146" t="str">
        <f>IF(U793&lt;&gt;"", SUMIF(Bets!$D:$D, U793, Bets!AE:AE), "")</f>
        <v/>
      </c>
      <c r="W793" s="162"/>
      <c r="X793" s="148"/>
      <c r="Y793" s="161"/>
      <c r="Z793" s="146" t="str">
        <f>IF(Y793&lt;&gt;"", SUMIF(Bets!$D:$D, Y793, Bets!AF:AF), "")</f>
        <v/>
      </c>
      <c r="AA793" s="162"/>
      <c r="AB793" s="148"/>
      <c r="AC793" s="161"/>
      <c r="AD793" s="146" t="str">
        <f>IF(AC793&lt;&gt;"", SUMIF(Bets!$D:$D, AC793, Bets!AG:AG), "")</f>
        <v/>
      </c>
      <c r="AE793" s="162"/>
      <c r="AF793" s="148"/>
    </row>
    <row r="794">
      <c r="A794" s="161"/>
      <c r="B794" s="146" t="str">
        <f>IF(A794&lt;&gt;"", SUMIF(Bets!$D:$D, A794, Bets!Z:Z), "")</f>
        <v/>
      </c>
      <c r="C794" s="162"/>
      <c r="D794" s="148"/>
      <c r="E794" s="161"/>
      <c r="F794" s="146" t="str">
        <f>IF(E794&lt;&gt;"", SUMIF(Bets!$D:$D, E794, Bets!AB:AB), "")</f>
        <v/>
      </c>
      <c r="G794" s="162"/>
      <c r="H794" s="148"/>
      <c r="I794" s="161"/>
      <c r="J794" s="146" t="str">
        <f>IF(I794&lt;&gt;"", SUMIF(Bets!$D:$D, I794, Bets!AA:AA), "")</f>
        <v/>
      </c>
      <c r="K794" s="162"/>
      <c r="L794" s="148"/>
      <c r="M794" s="161"/>
      <c r="N794" s="146"/>
      <c r="O794" s="162"/>
      <c r="P794" s="148"/>
      <c r="Q794" s="161"/>
      <c r="R794" s="146" t="str">
        <f>IF(Q794&lt;&gt;"", SUMIF(Bets!$D:$D, Q794, Bets!AD:AD), "")</f>
        <v/>
      </c>
      <c r="S794" s="162"/>
      <c r="T794" s="148"/>
      <c r="U794" s="161"/>
      <c r="V794" s="146" t="str">
        <f>IF(U794&lt;&gt;"", SUMIF(Bets!$D:$D, U794, Bets!AE:AE), "")</f>
        <v/>
      </c>
      <c r="W794" s="162"/>
      <c r="X794" s="148"/>
      <c r="Y794" s="161"/>
      <c r="Z794" s="146" t="str">
        <f>IF(Y794&lt;&gt;"", SUMIF(Bets!$D:$D, Y794, Bets!AF:AF), "")</f>
        <v/>
      </c>
      <c r="AA794" s="162"/>
      <c r="AB794" s="148"/>
      <c r="AC794" s="161"/>
      <c r="AD794" s="146" t="str">
        <f>IF(AC794&lt;&gt;"", SUMIF(Bets!$D:$D, AC794, Bets!AG:AG), "")</f>
        <v/>
      </c>
      <c r="AE794" s="162"/>
      <c r="AF794" s="148"/>
    </row>
    <row r="795">
      <c r="A795" s="161"/>
      <c r="B795" s="146" t="str">
        <f>IF(A795&lt;&gt;"", SUMIF(Bets!$D:$D, A795, Bets!Z:Z), "")</f>
        <v/>
      </c>
      <c r="C795" s="162"/>
      <c r="D795" s="148"/>
      <c r="E795" s="161"/>
      <c r="F795" s="146" t="str">
        <f>IF(E795&lt;&gt;"", SUMIF(Bets!$D:$D, E795, Bets!AB:AB), "")</f>
        <v/>
      </c>
      <c r="G795" s="162"/>
      <c r="H795" s="148"/>
      <c r="I795" s="161"/>
      <c r="J795" s="146" t="str">
        <f>IF(I795&lt;&gt;"", SUMIF(Bets!$D:$D, I795, Bets!AA:AA), "")</f>
        <v/>
      </c>
      <c r="K795" s="162"/>
      <c r="L795" s="148"/>
      <c r="M795" s="161"/>
      <c r="N795" s="146"/>
      <c r="O795" s="162"/>
      <c r="P795" s="148"/>
      <c r="Q795" s="161"/>
      <c r="R795" s="146" t="str">
        <f>IF(Q795&lt;&gt;"", SUMIF(Bets!$D:$D, Q795, Bets!AD:AD), "")</f>
        <v/>
      </c>
      <c r="S795" s="162"/>
      <c r="T795" s="148"/>
      <c r="U795" s="161"/>
      <c r="V795" s="146" t="str">
        <f>IF(U795&lt;&gt;"", SUMIF(Bets!$D:$D, U795, Bets!AE:AE), "")</f>
        <v/>
      </c>
      <c r="W795" s="162"/>
      <c r="X795" s="148"/>
      <c r="Y795" s="161"/>
      <c r="Z795" s="146" t="str">
        <f>IF(Y795&lt;&gt;"", SUMIF(Bets!$D:$D, Y795, Bets!AF:AF), "")</f>
        <v/>
      </c>
      <c r="AA795" s="162"/>
      <c r="AB795" s="148"/>
      <c r="AC795" s="161"/>
      <c r="AD795" s="146" t="str">
        <f>IF(AC795&lt;&gt;"", SUMIF(Bets!$D:$D, AC795, Bets!AG:AG), "")</f>
        <v/>
      </c>
      <c r="AE795" s="162"/>
      <c r="AF795" s="148"/>
    </row>
    <row r="796">
      <c r="A796" s="161"/>
      <c r="B796" s="146" t="str">
        <f>IF(A796&lt;&gt;"", SUMIF(Bets!$D:$D, A796, Bets!Z:Z), "")</f>
        <v/>
      </c>
      <c r="C796" s="162"/>
      <c r="D796" s="148"/>
      <c r="E796" s="161"/>
      <c r="F796" s="146" t="str">
        <f>IF(E796&lt;&gt;"", SUMIF(Bets!$D:$D, E796, Bets!AB:AB), "")</f>
        <v/>
      </c>
      <c r="G796" s="162"/>
      <c r="H796" s="148"/>
      <c r="I796" s="161"/>
      <c r="J796" s="146" t="str">
        <f>IF(I796&lt;&gt;"", SUMIF(Bets!$D:$D, I796, Bets!AA:AA), "")</f>
        <v/>
      </c>
      <c r="K796" s="162"/>
      <c r="L796" s="148"/>
      <c r="M796" s="161"/>
      <c r="N796" s="146"/>
      <c r="O796" s="162"/>
      <c r="P796" s="148"/>
      <c r="Q796" s="161"/>
      <c r="R796" s="146" t="str">
        <f>IF(Q796&lt;&gt;"", SUMIF(Bets!$D:$D, Q796, Bets!AD:AD), "")</f>
        <v/>
      </c>
      <c r="S796" s="162"/>
      <c r="T796" s="148"/>
      <c r="U796" s="161"/>
      <c r="V796" s="146" t="str">
        <f>IF(U796&lt;&gt;"", SUMIF(Bets!$D:$D, U796, Bets!AE:AE), "")</f>
        <v/>
      </c>
      <c r="W796" s="162"/>
      <c r="X796" s="148"/>
      <c r="Y796" s="161"/>
      <c r="Z796" s="146" t="str">
        <f>IF(Y796&lt;&gt;"", SUMIF(Bets!$D:$D, Y796, Bets!AF:AF), "")</f>
        <v/>
      </c>
      <c r="AA796" s="162"/>
      <c r="AB796" s="148"/>
      <c r="AC796" s="161"/>
      <c r="AD796" s="146" t="str">
        <f>IF(AC796&lt;&gt;"", SUMIF(Bets!$D:$D, AC796, Bets!AG:AG), "")</f>
        <v/>
      </c>
      <c r="AE796" s="162"/>
      <c r="AF796" s="148"/>
    </row>
    <row r="797">
      <c r="A797" s="161"/>
      <c r="B797" s="146" t="str">
        <f>IF(A797&lt;&gt;"", SUMIF(Bets!$D:$D, A797, Bets!Z:Z), "")</f>
        <v/>
      </c>
      <c r="C797" s="162"/>
      <c r="D797" s="148"/>
      <c r="E797" s="161"/>
      <c r="F797" s="146" t="str">
        <f>IF(E797&lt;&gt;"", SUMIF(Bets!$D:$D, E797, Bets!AB:AB), "")</f>
        <v/>
      </c>
      <c r="G797" s="162"/>
      <c r="H797" s="148"/>
      <c r="I797" s="161"/>
      <c r="J797" s="146" t="str">
        <f>IF(I797&lt;&gt;"", SUMIF(Bets!$D:$D, I797, Bets!AA:AA), "")</f>
        <v/>
      </c>
      <c r="K797" s="162"/>
      <c r="L797" s="148"/>
      <c r="M797" s="161"/>
      <c r="N797" s="146"/>
      <c r="O797" s="162"/>
      <c r="P797" s="148"/>
      <c r="Q797" s="161"/>
      <c r="R797" s="146" t="str">
        <f>IF(Q797&lt;&gt;"", SUMIF(Bets!$D:$D, Q797, Bets!AD:AD), "")</f>
        <v/>
      </c>
      <c r="S797" s="162"/>
      <c r="T797" s="148"/>
      <c r="U797" s="161"/>
      <c r="V797" s="146" t="str">
        <f>IF(U797&lt;&gt;"", SUMIF(Bets!$D:$D, U797, Bets!AE:AE), "")</f>
        <v/>
      </c>
      <c r="W797" s="162"/>
      <c r="X797" s="148"/>
      <c r="Y797" s="161"/>
      <c r="Z797" s="146" t="str">
        <f>IF(Y797&lt;&gt;"", SUMIF(Bets!$D:$D, Y797, Bets!AF:AF), "")</f>
        <v/>
      </c>
      <c r="AA797" s="162"/>
      <c r="AB797" s="148"/>
      <c r="AC797" s="161"/>
      <c r="AD797" s="146" t="str">
        <f>IF(AC797&lt;&gt;"", SUMIF(Bets!$D:$D, AC797, Bets!AG:AG), "")</f>
        <v/>
      </c>
      <c r="AE797" s="162"/>
      <c r="AF797" s="148"/>
    </row>
    <row r="798">
      <c r="A798" s="161"/>
      <c r="B798" s="146" t="str">
        <f>IF(A798&lt;&gt;"", SUMIF(Bets!$D:$D, A798, Bets!Z:Z), "")</f>
        <v/>
      </c>
      <c r="C798" s="162"/>
      <c r="D798" s="148"/>
      <c r="E798" s="161"/>
      <c r="F798" s="146" t="str">
        <f>IF(E798&lt;&gt;"", SUMIF(Bets!$D:$D, E798, Bets!AB:AB), "")</f>
        <v/>
      </c>
      <c r="G798" s="162"/>
      <c r="H798" s="148"/>
      <c r="I798" s="161"/>
      <c r="J798" s="146" t="str">
        <f>IF(I798&lt;&gt;"", SUMIF(Bets!$D:$D, I798, Bets!AA:AA), "")</f>
        <v/>
      </c>
      <c r="K798" s="162"/>
      <c r="L798" s="148"/>
      <c r="M798" s="161"/>
      <c r="N798" s="146"/>
      <c r="O798" s="162"/>
      <c r="P798" s="148"/>
      <c r="Q798" s="161"/>
      <c r="R798" s="146" t="str">
        <f>IF(Q798&lt;&gt;"", SUMIF(Bets!$D:$D, Q798, Bets!AD:AD), "")</f>
        <v/>
      </c>
      <c r="S798" s="162"/>
      <c r="T798" s="148"/>
      <c r="U798" s="161"/>
      <c r="V798" s="146" t="str">
        <f>IF(U798&lt;&gt;"", SUMIF(Bets!$D:$D, U798, Bets!AE:AE), "")</f>
        <v/>
      </c>
      <c r="W798" s="162"/>
      <c r="X798" s="148"/>
      <c r="Y798" s="161"/>
      <c r="Z798" s="146" t="str">
        <f>IF(Y798&lt;&gt;"", SUMIF(Bets!$D:$D, Y798, Bets!AF:AF), "")</f>
        <v/>
      </c>
      <c r="AA798" s="162"/>
      <c r="AB798" s="148"/>
      <c r="AC798" s="161"/>
      <c r="AD798" s="146" t="str">
        <f>IF(AC798&lt;&gt;"", SUMIF(Bets!$D:$D, AC798, Bets!AG:AG), "")</f>
        <v/>
      </c>
      <c r="AE798" s="162"/>
      <c r="AF798" s="148"/>
    </row>
    <row r="799">
      <c r="A799" s="161"/>
      <c r="B799" s="146" t="str">
        <f>IF(A799&lt;&gt;"", SUMIF(Bets!$D:$D, A799, Bets!Z:Z), "")</f>
        <v/>
      </c>
      <c r="C799" s="162"/>
      <c r="D799" s="148"/>
      <c r="E799" s="161"/>
      <c r="F799" s="146" t="str">
        <f>IF(E799&lt;&gt;"", SUMIF(Bets!$D:$D, E799, Bets!AB:AB), "")</f>
        <v/>
      </c>
      <c r="G799" s="162"/>
      <c r="H799" s="148"/>
      <c r="I799" s="161"/>
      <c r="J799" s="146" t="str">
        <f>IF(I799&lt;&gt;"", SUMIF(Bets!$D:$D, I799, Bets!AA:AA), "")</f>
        <v/>
      </c>
      <c r="K799" s="162"/>
      <c r="L799" s="148"/>
      <c r="M799" s="161"/>
      <c r="N799" s="146"/>
      <c r="O799" s="162"/>
      <c r="P799" s="148"/>
      <c r="Q799" s="161"/>
      <c r="R799" s="146" t="str">
        <f>IF(Q799&lt;&gt;"", SUMIF(Bets!$D:$D, Q799, Bets!AD:AD), "")</f>
        <v/>
      </c>
      <c r="S799" s="162"/>
      <c r="T799" s="148"/>
      <c r="U799" s="161"/>
      <c r="V799" s="146" t="str">
        <f>IF(U799&lt;&gt;"", SUMIF(Bets!$D:$D, U799, Bets!AE:AE), "")</f>
        <v/>
      </c>
      <c r="W799" s="162"/>
      <c r="X799" s="148"/>
      <c r="Y799" s="161"/>
      <c r="Z799" s="146" t="str">
        <f>IF(Y799&lt;&gt;"", SUMIF(Bets!$D:$D, Y799, Bets!AF:AF), "")</f>
        <v/>
      </c>
      <c r="AA799" s="162"/>
      <c r="AB799" s="148"/>
      <c r="AC799" s="161"/>
      <c r="AD799" s="146" t="str">
        <f>IF(AC799&lt;&gt;"", SUMIF(Bets!$D:$D, AC799, Bets!AG:AG), "")</f>
        <v/>
      </c>
      <c r="AE799" s="162"/>
      <c r="AF799" s="148"/>
    </row>
    <row r="800">
      <c r="A800" s="161"/>
      <c r="B800" s="146" t="str">
        <f>IF(A800&lt;&gt;"", SUMIF(Bets!$D:$D, A800, Bets!Z:Z), "")</f>
        <v/>
      </c>
      <c r="C800" s="162"/>
      <c r="D800" s="148"/>
      <c r="E800" s="161"/>
      <c r="F800" s="146" t="str">
        <f>IF(E800&lt;&gt;"", SUMIF(Bets!$D:$D, E800, Bets!AB:AB), "")</f>
        <v/>
      </c>
      <c r="G800" s="162"/>
      <c r="H800" s="148"/>
      <c r="I800" s="161"/>
      <c r="J800" s="146" t="str">
        <f>IF(I800&lt;&gt;"", SUMIF(Bets!$D:$D, I800, Bets!AA:AA), "")</f>
        <v/>
      </c>
      <c r="K800" s="162"/>
      <c r="L800" s="148"/>
      <c r="M800" s="161"/>
      <c r="N800" s="146"/>
      <c r="O800" s="162"/>
      <c r="P800" s="148"/>
      <c r="Q800" s="161"/>
      <c r="R800" s="146" t="str">
        <f>IF(Q800&lt;&gt;"", SUMIF(Bets!$D:$D, Q800, Bets!AD:AD), "")</f>
        <v/>
      </c>
      <c r="S800" s="162"/>
      <c r="T800" s="148"/>
      <c r="U800" s="161"/>
      <c r="V800" s="146" t="str">
        <f>IF(U800&lt;&gt;"", SUMIF(Bets!$D:$D, U800, Bets!AE:AE), "")</f>
        <v/>
      </c>
      <c r="W800" s="162"/>
      <c r="X800" s="148"/>
      <c r="Y800" s="161"/>
      <c r="Z800" s="146" t="str">
        <f>IF(Y800&lt;&gt;"", SUMIF(Bets!$D:$D, Y800, Bets!AF:AF), "")</f>
        <v/>
      </c>
      <c r="AA800" s="162"/>
      <c r="AB800" s="148"/>
      <c r="AC800" s="161"/>
      <c r="AD800" s="146" t="str">
        <f>IF(AC800&lt;&gt;"", SUMIF(Bets!$D:$D, AC800, Bets!AG:AG), "")</f>
        <v/>
      </c>
      <c r="AE800" s="162"/>
      <c r="AF800" s="148"/>
    </row>
    <row r="801">
      <c r="A801" s="161"/>
      <c r="B801" s="146" t="str">
        <f>IF(A801&lt;&gt;"", SUMIF(Bets!$D:$D, A801, Bets!Z:Z), "")</f>
        <v/>
      </c>
      <c r="C801" s="162"/>
      <c r="D801" s="148"/>
      <c r="E801" s="161"/>
      <c r="F801" s="146" t="str">
        <f>IF(E801&lt;&gt;"", SUMIF(Bets!$D:$D, E801, Bets!AB:AB), "")</f>
        <v/>
      </c>
      <c r="G801" s="162"/>
      <c r="H801" s="148"/>
      <c r="I801" s="161"/>
      <c r="J801" s="146" t="str">
        <f>IF(I801&lt;&gt;"", SUMIF(Bets!$D:$D, I801, Bets!AA:AA), "")</f>
        <v/>
      </c>
      <c r="K801" s="162"/>
      <c r="L801" s="148"/>
      <c r="M801" s="161"/>
      <c r="N801" s="146"/>
      <c r="O801" s="162"/>
      <c r="P801" s="148"/>
      <c r="Q801" s="161"/>
      <c r="R801" s="146" t="str">
        <f>IF(Q801&lt;&gt;"", SUMIF(Bets!$D:$D, Q801, Bets!AD:AD), "")</f>
        <v/>
      </c>
      <c r="S801" s="162"/>
      <c r="T801" s="148"/>
      <c r="U801" s="161"/>
      <c r="V801" s="146" t="str">
        <f>IF(U801&lt;&gt;"", SUMIF(Bets!$D:$D, U801, Bets!AE:AE), "")</f>
        <v/>
      </c>
      <c r="W801" s="162"/>
      <c r="X801" s="148"/>
      <c r="Y801" s="161"/>
      <c r="Z801" s="146" t="str">
        <f>IF(Y801&lt;&gt;"", SUMIF(Bets!$D:$D, Y801, Bets!AF:AF), "")</f>
        <v/>
      </c>
      <c r="AA801" s="162"/>
      <c r="AB801" s="148"/>
      <c r="AC801" s="161"/>
      <c r="AD801" s="146" t="str">
        <f>IF(AC801&lt;&gt;"", SUMIF(Bets!$D:$D, AC801, Bets!AG:AG), "")</f>
        <v/>
      </c>
      <c r="AE801" s="162"/>
      <c r="AF801" s="148"/>
    </row>
    <row r="802">
      <c r="A802" s="161"/>
      <c r="B802" s="146" t="str">
        <f>IF(A802&lt;&gt;"", SUMIF(Bets!$D:$D, A802, Bets!Z:Z), "")</f>
        <v/>
      </c>
      <c r="C802" s="162"/>
      <c r="D802" s="148"/>
      <c r="E802" s="161"/>
      <c r="F802" s="146" t="str">
        <f>IF(E802&lt;&gt;"", SUMIF(Bets!$D:$D, E802, Bets!AB:AB), "")</f>
        <v/>
      </c>
      <c r="G802" s="162"/>
      <c r="H802" s="148"/>
      <c r="I802" s="161"/>
      <c r="J802" s="146" t="str">
        <f>IF(I802&lt;&gt;"", SUMIF(Bets!$D:$D, I802, Bets!AA:AA), "")</f>
        <v/>
      </c>
      <c r="K802" s="162"/>
      <c r="L802" s="148"/>
      <c r="M802" s="161"/>
      <c r="N802" s="146"/>
      <c r="O802" s="162"/>
      <c r="P802" s="148"/>
      <c r="Q802" s="161"/>
      <c r="R802" s="146" t="str">
        <f>IF(Q802&lt;&gt;"", SUMIF(Bets!$D:$D, Q802, Bets!AD:AD), "")</f>
        <v/>
      </c>
      <c r="S802" s="162"/>
      <c r="T802" s="148"/>
      <c r="U802" s="161"/>
      <c r="V802" s="146" t="str">
        <f>IF(U802&lt;&gt;"", SUMIF(Bets!$D:$D, U802, Bets!AE:AE), "")</f>
        <v/>
      </c>
      <c r="W802" s="162"/>
      <c r="X802" s="148"/>
      <c r="Y802" s="161"/>
      <c r="Z802" s="146" t="str">
        <f>IF(Y802&lt;&gt;"", SUMIF(Bets!$D:$D, Y802, Bets!AF:AF), "")</f>
        <v/>
      </c>
      <c r="AA802" s="162"/>
      <c r="AB802" s="148"/>
      <c r="AC802" s="161"/>
      <c r="AD802" s="146" t="str">
        <f>IF(AC802&lt;&gt;"", SUMIF(Bets!$D:$D, AC802, Bets!AG:AG), "")</f>
        <v/>
      </c>
      <c r="AE802" s="162"/>
      <c r="AF802" s="148"/>
    </row>
    <row r="803">
      <c r="A803" s="161"/>
      <c r="B803" s="146" t="str">
        <f>IF(A803&lt;&gt;"", SUMIF(Bets!$D:$D, A803, Bets!Z:Z), "")</f>
        <v/>
      </c>
      <c r="C803" s="162"/>
      <c r="D803" s="148"/>
      <c r="E803" s="161"/>
      <c r="F803" s="146" t="str">
        <f>IF(E803&lt;&gt;"", SUMIF(Bets!$D:$D, E803, Bets!AB:AB), "")</f>
        <v/>
      </c>
      <c r="G803" s="162"/>
      <c r="H803" s="148"/>
      <c r="I803" s="161"/>
      <c r="J803" s="146" t="str">
        <f>IF(I803&lt;&gt;"", SUMIF(Bets!$D:$D, I803, Bets!AA:AA), "")</f>
        <v/>
      </c>
      <c r="K803" s="162"/>
      <c r="L803" s="148"/>
      <c r="M803" s="161"/>
      <c r="N803" s="146"/>
      <c r="O803" s="162"/>
      <c r="P803" s="148"/>
      <c r="Q803" s="161"/>
      <c r="R803" s="146" t="str">
        <f>IF(Q803&lt;&gt;"", SUMIF(Bets!$D:$D, Q803, Bets!AD:AD), "")</f>
        <v/>
      </c>
      <c r="S803" s="162"/>
      <c r="T803" s="148"/>
      <c r="U803" s="161"/>
      <c r="V803" s="146" t="str">
        <f>IF(U803&lt;&gt;"", SUMIF(Bets!$D:$D, U803, Bets!AE:AE), "")</f>
        <v/>
      </c>
      <c r="W803" s="162"/>
      <c r="X803" s="148"/>
      <c r="Y803" s="161"/>
      <c r="Z803" s="146" t="str">
        <f>IF(Y803&lt;&gt;"", SUMIF(Bets!$D:$D, Y803, Bets!AF:AF), "")</f>
        <v/>
      </c>
      <c r="AA803" s="162"/>
      <c r="AB803" s="148"/>
      <c r="AC803" s="161"/>
      <c r="AD803" s="146" t="str">
        <f>IF(AC803&lt;&gt;"", SUMIF(Bets!$D:$D, AC803, Bets!AG:AG), "")</f>
        <v/>
      </c>
      <c r="AE803" s="162"/>
      <c r="AF803" s="148"/>
    </row>
    <row r="804">
      <c r="A804" s="161"/>
      <c r="B804" s="146" t="str">
        <f>IF(A804&lt;&gt;"", SUMIF(Bets!$D:$D, A804, Bets!Z:Z), "")</f>
        <v/>
      </c>
      <c r="C804" s="162"/>
      <c r="D804" s="148"/>
      <c r="E804" s="161"/>
      <c r="F804" s="146" t="str">
        <f>IF(E804&lt;&gt;"", SUMIF(Bets!$D:$D, E804, Bets!AB:AB), "")</f>
        <v/>
      </c>
      <c r="G804" s="162"/>
      <c r="H804" s="148"/>
      <c r="I804" s="161"/>
      <c r="J804" s="146" t="str">
        <f>IF(I804&lt;&gt;"", SUMIF(Bets!$D:$D, I804, Bets!AA:AA), "")</f>
        <v/>
      </c>
      <c r="K804" s="162"/>
      <c r="L804" s="148"/>
      <c r="M804" s="161"/>
      <c r="N804" s="146"/>
      <c r="O804" s="162"/>
      <c r="P804" s="148"/>
      <c r="Q804" s="161"/>
      <c r="R804" s="146" t="str">
        <f>IF(Q804&lt;&gt;"", SUMIF(Bets!$D:$D, Q804, Bets!AD:AD), "")</f>
        <v/>
      </c>
      <c r="S804" s="162"/>
      <c r="T804" s="148"/>
      <c r="U804" s="161"/>
      <c r="V804" s="146" t="str">
        <f>IF(U804&lt;&gt;"", SUMIF(Bets!$D:$D, U804, Bets!AE:AE), "")</f>
        <v/>
      </c>
      <c r="W804" s="162"/>
      <c r="X804" s="148"/>
      <c r="Y804" s="161"/>
      <c r="Z804" s="146" t="str">
        <f>IF(Y804&lt;&gt;"", SUMIF(Bets!$D:$D, Y804, Bets!AF:AF), "")</f>
        <v/>
      </c>
      <c r="AA804" s="162"/>
      <c r="AB804" s="148"/>
      <c r="AC804" s="161"/>
      <c r="AD804" s="146" t="str">
        <f>IF(AC804&lt;&gt;"", SUMIF(Bets!$D:$D, AC804, Bets!AG:AG), "")</f>
        <v/>
      </c>
      <c r="AE804" s="162"/>
      <c r="AF804" s="148"/>
    </row>
    <row r="805">
      <c r="A805" s="161"/>
      <c r="B805" s="146" t="str">
        <f>IF(A805&lt;&gt;"", SUMIF(Bets!$D:$D, A805, Bets!Z:Z), "")</f>
        <v/>
      </c>
      <c r="C805" s="162"/>
      <c r="D805" s="148"/>
      <c r="E805" s="161"/>
      <c r="F805" s="146" t="str">
        <f>IF(E805&lt;&gt;"", SUMIF(Bets!$D:$D, E805, Bets!AB:AB), "")</f>
        <v/>
      </c>
      <c r="G805" s="162"/>
      <c r="H805" s="148"/>
      <c r="I805" s="161"/>
      <c r="J805" s="146" t="str">
        <f>IF(I805&lt;&gt;"", SUMIF(Bets!$D:$D, I805, Bets!AA:AA), "")</f>
        <v/>
      </c>
      <c r="K805" s="162"/>
      <c r="L805" s="148"/>
      <c r="M805" s="161"/>
      <c r="N805" s="146"/>
      <c r="O805" s="162"/>
      <c r="P805" s="148"/>
      <c r="Q805" s="161"/>
      <c r="R805" s="146" t="str">
        <f>IF(Q805&lt;&gt;"", SUMIF(Bets!$D:$D, Q805, Bets!AD:AD), "")</f>
        <v/>
      </c>
      <c r="S805" s="162"/>
      <c r="T805" s="148"/>
      <c r="U805" s="161"/>
      <c r="V805" s="146" t="str">
        <f>IF(U805&lt;&gt;"", SUMIF(Bets!$D:$D, U805, Bets!AE:AE), "")</f>
        <v/>
      </c>
      <c r="W805" s="162"/>
      <c r="X805" s="148"/>
      <c r="Y805" s="161"/>
      <c r="Z805" s="146" t="str">
        <f>IF(Y805&lt;&gt;"", SUMIF(Bets!$D:$D, Y805, Bets!AF:AF), "")</f>
        <v/>
      </c>
      <c r="AA805" s="162"/>
      <c r="AB805" s="148"/>
      <c r="AC805" s="161"/>
      <c r="AD805" s="146" t="str">
        <f>IF(AC805&lt;&gt;"", SUMIF(Bets!$D:$D, AC805, Bets!AG:AG), "")</f>
        <v/>
      </c>
      <c r="AE805" s="162"/>
      <c r="AF805" s="148"/>
    </row>
    <row r="806">
      <c r="A806" s="161"/>
      <c r="B806" s="146" t="str">
        <f>IF(A806&lt;&gt;"", SUMIF(Bets!$D:$D, A806, Bets!Z:Z), "")</f>
        <v/>
      </c>
      <c r="C806" s="162"/>
      <c r="D806" s="148"/>
      <c r="E806" s="161"/>
      <c r="F806" s="146" t="str">
        <f>IF(E806&lt;&gt;"", SUMIF(Bets!$D:$D, E806, Bets!AB:AB), "")</f>
        <v/>
      </c>
      <c r="G806" s="162"/>
      <c r="H806" s="148"/>
      <c r="I806" s="161"/>
      <c r="J806" s="146" t="str">
        <f>IF(I806&lt;&gt;"", SUMIF(Bets!$D:$D, I806, Bets!AA:AA), "")</f>
        <v/>
      </c>
      <c r="K806" s="162"/>
      <c r="L806" s="148"/>
      <c r="M806" s="161"/>
      <c r="N806" s="146"/>
      <c r="O806" s="162"/>
      <c r="P806" s="148"/>
      <c r="Q806" s="161"/>
      <c r="R806" s="146" t="str">
        <f>IF(Q806&lt;&gt;"", SUMIF(Bets!$D:$D, Q806, Bets!AD:AD), "")</f>
        <v/>
      </c>
      <c r="S806" s="162"/>
      <c r="T806" s="148"/>
      <c r="U806" s="161"/>
      <c r="V806" s="146" t="str">
        <f>IF(U806&lt;&gt;"", SUMIF(Bets!$D:$D, U806, Bets!AE:AE), "")</f>
        <v/>
      </c>
      <c r="W806" s="162"/>
      <c r="X806" s="148"/>
      <c r="Y806" s="161"/>
      <c r="Z806" s="146" t="str">
        <f>IF(Y806&lt;&gt;"", SUMIF(Bets!$D:$D, Y806, Bets!AF:AF), "")</f>
        <v/>
      </c>
      <c r="AA806" s="162"/>
      <c r="AB806" s="148"/>
      <c r="AC806" s="161"/>
      <c r="AD806" s="146" t="str">
        <f>IF(AC806&lt;&gt;"", SUMIF(Bets!$D:$D, AC806, Bets!AG:AG), "")</f>
        <v/>
      </c>
      <c r="AE806" s="162"/>
      <c r="AF806" s="148"/>
    </row>
    <row r="807">
      <c r="A807" s="161"/>
      <c r="B807" s="146" t="str">
        <f>IF(A807&lt;&gt;"", SUMIF(Bets!$D:$D, A807, Bets!Z:Z), "")</f>
        <v/>
      </c>
      <c r="C807" s="162"/>
      <c r="D807" s="148"/>
      <c r="E807" s="161"/>
      <c r="F807" s="146" t="str">
        <f>IF(E807&lt;&gt;"", SUMIF(Bets!$D:$D, E807, Bets!AB:AB), "")</f>
        <v/>
      </c>
      <c r="G807" s="162"/>
      <c r="H807" s="148"/>
      <c r="I807" s="161"/>
      <c r="J807" s="146" t="str">
        <f>IF(I807&lt;&gt;"", SUMIF(Bets!$D:$D, I807, Bets!AA:AA), "")</f>
        <v/>
      </c>
      <c r="K807" s="162"/>
      <c r="L807" s="148"/>
      <c r="M807" s="161"/>
      <c r="N807" s="146"/>
      <c r="O807" s="162"/>
      <c r="P807" s="148"/>
      <c r="Q807" s="161"/>
      <c r="R807" s="146" t="str">
        <f>IF(Q807&lt;&gt;"", SUMIF(Bets!$D:$D, Q807, Bets!AD:AD), "")</f>
        <v/>
      </c>
      <c r="S807" s="162"/>
      <c r="T807" s="148"/>
      <c r="U807" s="161"/>
      <c r="V807" s="146" t="str">
        <f>IF(U807&lt;&gt;"", SUMIF(Bets!$D:$D, U807, Bets!AE:AE), "")</f>
        <v/>
      </c>
      <c r="W807" s="162"/>
      <c r="X807" s="148"/>
      <c r="Y807" s="161"/>
      <c r="Z807" s="146" t="str">
        <f>IF(Y807&lt;&gt;"", SUMIF(Bets!$D:$D, Y807, Bets!AF:AF), "")</f>
        <v/>
      </c>
      <c r="AA807" s="162"/>
      <c r="AB807" s="148"/>
      <c r="AC807" s="161"/>
      <c r="AD807" s="146" t="str">
        <f>IF(AC807&lt;&gt;"", SUMIF(Bets!$D:$D, AC807, Bets!AG:AG), "")</f>
        <v/>
      </c>
      <c r="AE807" s="162"/>
      <c r="AF807" s="148"/>
    </row>
    <row r="808">
      <c r="A808" s="161"/>
      <c r="B808" s="146" t="str">
        <f>IF(A808&lt;&gt;"", SUMIF(Bets!$D:$D, A808, Bets!Z:Z), "")</f>
        <v/>
      </c>
      <c r="C808" s="162"/>
      <c r="D808" s="148"/>
      <c r="E808" s="161"/>
      <c r="F808" s="146" t="str">
        <f>IF(E808&lt;&gt;"", SUMIF(Bets!$D:$D, E808, Bets!AB:AB), "")</f>
        <v/>
      </c>
      <c r="G808" s="162"/>
      <c r="H808" s="148"/>
      <c r="I808" s="161"/>
      <c r="J808" s="146" t="str">
        <f>IF(I808&lt;&gt;"", SUMIF(Bets!$D:$D, I808, Bets!AA:AA), "")</f>
        <v/>
      </c>
      <c r="K808" s="162"/>
      <c r="L808" s="148"/>
      <c r="M808" s="161"/>
      <c r="N808" s="146"/>
      <c r="O808" s="162"/>
      <c r="P808" s="148"/>
      <c r="Q808" s="161"/>
      <c r="R808" s="146" t="str">
        <f>IF(Q808&lt;&gt;"", SUMIF(Bets!$D:$D, Q808, Bets!AD:AD), "")</f>
        <v/>
      </c>
      <c r="S808" s="162"/>
      <c r="T808" s="148"/>
      <c r="U808" s="161"/>
      <c r="V808" s="146" t="str">
        <f>IF(U808&lt;&gt;"", SUMIF(Bets!$D:$D, U808, Bets!AE:AE), "")</f>
        <v/>
      </c>
      <c r="W808" s="162"/>
      <c r="X808" s="148"/>
      <c r="Y808" s="161"/>
      <c r="Z808" s="146" t="str">
        <f>IF(Y808&lt;&gt;"", SUMIF(Bets!$D:$D, Y808, Bets!AF:AF), "")</f>
        <v/>
      </c>
      <c r="AA808" s="162"/>
      <c r="AB808" s="148"/>
      <c r="AC808" s="161"/>
      <c r="AD808" s="146" t="str">
        <f>IF(AC808&lt;&gt;"", SUMIF(Bets!$D:$D, AC808, Bets!AG:AG), "")</f>
        <v/>
      </c>
      <c r="AE808" s="162"/>
      <c r="AF808" s="148"/>
    </row>
    <row r="809">
      <c r="A809" s="161"/>
      <c r="B809" s="146" t="str">
        <f>IF(A809&lt;&gt;"", SUMIF(Bets!$D:$D, A809, Bets!Z:Z), "")</f>
        <v/>
      </c>
      <c r="C809" s="162"/>
      <c r="D809" s="148"/>
      <c r="E809" s="161"/>
      <c r="F809" s="146" t="str">
        <f>IF(E809&lt;&gt;"", SUMIF(Bets!$D:$D, E809, Bets!AB:AB), "")</f>
        <v/>
      </c>
      <c r="G809" s="162"/>
      <c r="H809" s="148"/>
      <c r="I809" s="161"/>
      <c r="J809" s="146" t="str">
        <f>IF(I809&lt;&gt;"", SUMIF(Bets!$D:$D, I809, Bets!AA:AA), "")</f>
        <v/>
      </c>
      <c r="K809" s="162"/>
      <c r="L809" s="148"/>
      <c r="M809" s="161"/>
      <c r="N809" s="146"/>
      <c r="O809" s="162"/>
      <c r="P809" s="148"/>
      <c r="Q809" s="161"/>
      <c r="R809" s="146" t="str">
        <f>IF(Q809&lt;&gt;"", SUMIF(Bets!$D:$D, Q809, Bets!AD:AD), "")</f>
        <v/>
      </c>
      <c r="S809" s="162"/>
      <c r="T809" s="148"/>
      <c r="U809" s="161"/>
      <c r="V809" s="146" t="str">
        <f>IF(U809&lt;&gt;"", SUMIF(Bets!$D:$D, U809, Bets!AE:AE), "")</f>
        <v/>
      </c>
      <c r="W809" s="162"/>
      <c r="X809" s="148"/>
      <c r="Y809" s="161"/>
      <c r="Z809" s="146" t="str">
        <f>IF(Y809&lt;&gt;"", SUMIF(Bets!$D:$D, Y809, Bets!AF:AF), "")</f>
        <v/>
      </c>
      <c r="AA809" s="162"/>
      <c r="AB809" s="148"/>
      <c r="AC809" s="161"/>
      <c r="AD809" s="146" t="str">
        <f>IF(AC809&lt;&gt;"", SUMIF(Bets!$D:$D, AC809, Bets!AG:AG), "")</f>
        <v/>
      </c>
      <c r="AE809" s="162"/>
      <c r="AF809" s="148"/>
    </row>
    <row r="810">
      <c r="A810" s="161"/>
      <c r="B810" s="146" t="str">
        <f>IF(A810&lt;&gt;"", SUMIF(Bets!$D:$D, A810, Bets!Z:Z), "")</f>
        <v/>
      </c>
      <c r="C810" s="162"/>
      <c r="D810" s="148"/>
      <c r="E810" s="161"/>
      <c r="F810" s="146" t="str">
        <f>IF(E810&lt;&gt;"", SUMIF(Bets!$D:$D, E810, Bets!AB:AB), "")</f>
        <v/>
      </c>
      <c r="G810" s="162"/>
      <c r="H810" s="148"/>
      <c r="I810" s="161"/>
      <c r="J810" s="146" t="str">
        <f>IF(I810&lt;&gt;"", SUMIF(Bets!$D:$D, I810, Bets!AA:AA), "")</f>
        <v/>
      </c>
      <c r="K810" s="162"/>
      <c r="L810" s="148"/>
      <c r="M810" s="161"/>
      <c r="N810" s="146"/>
      <c r="O810" s="162"/>
      <c r="P810" s="148"/>
      <c r="Q810" s="161"/>
      <c r="R810" s="146" t="str">
        <f>IF(Q810&lt;&gt;"", SUMIF(Bets!$D:$D, Q810, Bets!AD:AD), "")</f>
        <v/>
      </c>
      <c r="S810" s="162"/>
      <c r="T810" s="148"/>
      <c r="U810" s="161"/>
      <c r="V810" s="146" t="str">
        <f>IF(U810&lt;&gt;"", SUMIF(Bets!$D:$D, U810, Bets!AE:AE), "")</f>
        <v/>
      </c>
      <c r="W810" s="162"/>
      <c r="X810" s="148"/>
      <c r="Y810" s="161"/>
      <c r="Z810" s="146" t="str">
        <f>IF(Y810&lt;&gt;"", SUMIF(Bets!$D:$D, Y810, Bets!AF:AF), "")</f>
        <v/>
      </c>
      <c r="AA810" s="162"/>
      <c r="AB810" s="148"/>
      <c r="AC810" s="161"/>
      <c r="AD810" s="146" t="str">
        <f>IF(AC810&lt;&gt;"", SUMIF(Bets!$D:$D, AC810, Bets!AG:AG), "")</f>
        <v/>
      </c>
      <c r="AE810" s="162"/>
      <c r="AF810" s="148"/>
    </row>
    <row r="811">
      <c r="A811" s="161"/>
      <c r="B811" s="146" t="str">
        <f>IF(A811&lt;&gt;"", SUMIF(Bets!$D:$D, A811, Bets!Z:Z), "")</f>
        <v/>
      </c>
      <c r="C811" s="162"/>
      <c r="D811" s="148"/>
      <c r="E811" s="161"/>
      <c r="F811" s="146" t="str">
        <f>IF(E811&lt;&gt;"", SUMIF(Bets!$D:$D, E811, Bets!AB:AB), "")</f>
        <v/>
      </c>
      <c r="G811" s="162"/>
      <c r="H811" s="148"/>
      <c r="I811" s="161"/>
      <c r="J811" s="146" t="str">
        <f>IF(I811&lt;&gt;"", SUMIF(Bets!$D:$D, I811, Bets!AA:AA), "")</f>
        <v/>
      </c>
      <c r="K811" s="162"/>
      <c r="L811" s="148"/>
      <c r="M811" s="161"/>
      <c r="N811" s="146"/>
      <c r="O811" s="162"/>
      <c r="P811" s="148"/>
      <c r="Q811" s="161"/>
      <c r="R811" s="146" t="str">
        <f>IF(Q811&lt;&gt;"", SUMIF(Bets!$D:$D, Q811, Bets!AD:AD), "")</f>
        <v/>
      </c>
      <c r="S811" s="162"/>
      <c r="T811" s="148"/>
      <c r="U811" s="161"/>
      <c r="V811" s="146" t="str">
        <f>IF(U811&lt;&gt;"", SUMIF(Bets!$D:$D, U811, Bets!AE:AE), "")</f>
        <v/>
      </c>
      <c r="W811" s="162"/>
      <c r="X811" s="148"/>
      <c r="Y811" s="161"/>
      <c r="Z811" s="146" t="str">
        <f>IF(Y811&lt;&gt;"", SUMIF(Bets!$D:$D, Y811, Bets!AF:AF), "")</f>
        <v/>
      </c>
      <c r="AA811" s="162"/>
      <c r="AB811" s="148"/>
      <c r="AC811" s="161"/>
      <c r="AD811" s="146" t="str">
        <f>IF(AC811&lt;&gt;"", SUMIF(Bets!$D:$D, AC811, Bets!AG:AG), "")</f>
        <v/>
      </c>
      <c r="AE811" s="162"/>
      <c r="AF811" s="148"/>
    </row>
    <row r="812">
      <c r="A812" s="161"/>
      <c r="B812" s="146" t="str">
        <f>IF(A812&lt;&gt;"", SUMIF(Bets!$D:$D, A812, Bets!Z:Z), "")</f>
        <v/>
      </c>
      <c r="C812" s="162"/>
      <c r="D812" s="148"/>
      <c r="E812" s="161"/>
      <c r="F812" s="146" t="str">
        <f>IF(E812&lt;&gt;"", SUMIF(Bets!$D:$D, E812, Bets!AB:AB), "")</f>
        <v/>
      </c>
      <c r="G812" s="162"/>
      <c r="H812" s="148"/>
      <c r="I812" s="161"/>
      <c r="J812" s="146" t="str">
        <f>IF(I812&lt;&gt;"", SUMIF(Bets!$D:$D, I812, Bets!AA:AA), "")</f>
        <v/>
      </c>
      <c r="K812" s="162"/>
      <c r="L812" s="148"/>
      <c r="M812" s="161"/>
      <c r="N812" s="146"/>
      <c r="O812" s="162"/>
      <c r="P812" s="148"/>
      <c r="Q812" s="161"/>
      <c r="R812" s="146" t="str">
        <f>IF(Q812&lt;&gt;"", SUMIF(Bets!$D:$D, Q812, Bets!AD:AD), "")</f>
        <v/>
      </c>
      <c r="S812" s="162"/>
      <c r="T812" s="148"/>
      <c r="U812" s="161"/>
      <c r="V812" s="146" t="str">
        <f>IF(U812&lt;&gt;"", SUMIF(Bets!$D:$D, U812, Bets!AE:AE), "")</f>
        <v/>
      </c>
      <c r="W812" s="162"/>
      <c r="X812" s="148"/>
      <c r="Y812" s="161"/>
      <c r="Z812" s="146" t="str">
        <f>IF(Y812&lt;&gt;"", SUMIF(Bets!$D:$D, Y812, Bets!AF:AF), "")</f>
        <v/>
      </c>
      <c r="AA812" s="162"/>
      <c r="AB812" s="148"/>
      <c r="AC812" s="161"/>
      <c r="AD812" s="146" t="str">
        <f>IF(AC812&lt;&gt;"", SUMIF(Bets!$D:$D, AC812, Bets!AG:AG), "")</f>
        <v/>
      </c>
      <c r="AE812" s="162"/>
      <c r="AF812" s="148"/>
    </row>
    <row r="813">
      <c r="A813" s="161"/>
      <c r="B813" s="146" t="str">
        <f>IF(A813&lt;&gt;"", SUMIF(Bets!$D:$D, A813, Bets!Z:Z), "")</f>
        <v/>
      </c>
      <c r="C813" s="162"/>
      <c r="D813" s="148"/>
      <c r="E813" s="161"/>
      <c r="F813" s="146" t="str">
        <f>IF(E813&lt;&gt;"", SUMIF(Bets!$D:$D, E813, Bets!AB:AB), "")</f>
        <v/>
      </c>
      <c r="G813" s="162"/>
      <c r="H813" s="148"/>
      <c r="I813" s="161"/>
      <c r="J813" s="146" t="str">
        <f>IF(I813&lt;&gt;"", SUMIF(Bets!$D:$D, I813, Bets!AA:AA), "")</f>
        <v/>
      </c>
      <c r="K813" s="162"/>
      <c r="L813" s="148"/>
      <c r="M813" s="161"/>
      <c r="N813" s="146"/>
      <c r="O813" s="162"/>
      <c r="P813" s="148"/>
      <c r="Q813" s="161"/>
      <c r="R813" s="146" t="str">
        <f>IF(Q813&lt;&gt;"", SUMIF(Bets!$D:$D, Q813, Bets!AD:AD), "")</f>
        <v/>
      </c>
      <c r="S813" s="162"/>
      <c r="T813" s="148"/>
      <c r="U813" s="161"/>
      <c r="V813" s="146" t="str">
        <f>IF(U813&lt;&gt;"", SUMIF(Bets!$D:$D, U813, Bets!AE:AE), "")</f>
        <v/>
      </c>
      <c r="W813" s="162"/>
      <c r="X813" s="148"/>
      <c r="Y813" s="161"/>
      <c r="Z813" s="146" t="str">
        <f>IF(Y813&lt;&gt;"", SUMIF(Bets!$D:$D, Y813, Bets!AF:AF), "")</f>
        <v/>
      </c>
      <c r="AA813" s="162"/>
      <c r="AB813" s="148"/>
      <c r="AC813" s="161"/>
      <c r="AD813" s="146" t="str">
        <f>IF(AC813&lt;&gt;"", SUMIF(Bets!$D:$D, AC813, Bets!AG:AG), "")</f>
        <v/>
      </c>
      <c r="AE813" s="162"/>
      <c r="AF813" s="148"/>
    </row>
    <row r="814">
      <c r="A814" s="161"/>
      <c r="B814" s="146" t="str">
        <f>IF(A814&lt;&gt;"", SUMIF(Bets!$D:$D, A814, Bets!Z:Z), "")</f>
        <v/>
      </c>
      <c r="C814" s="162"/>
      <c r="D814" s="148"/>
      <c r="E814" s="161"/>
      <c r="F814" s="146" t="str">
        <f>IF(E814&lt;&gt;"", SUMIF(Bets!$D:$D, E814, Bets!AB:AB), "")</f>
        <v/>
      </c>
      <c r="G814" s="162"/>
      <c r="H814" s="148"/>
      <c r="I814" s="161"/>
      <c r="J814" s="146" t="str">
        <f>IF(I814&lt;&gt;"", SUMIF(Bets!$D:$D, I814, Bets!AA:AA), "")</f>
        <v/>
      </c>
      <c r="K814" s="162"/>
      <c r="L814" s="148"/>
      <c r="M814" s="161"/>
      <c r="N814" s="146"/>
      <c r="O814" s="162"/>
      <c r="P814" s="148"/>
      <c r="Q814" s="161"/>
      <c r="R814" s="146" t="str">
        <f>IF(Q814&lt;&gt;"", SUMIF(Bets!$D:$D, Q814, Bets!AD:AD), "")</f>
        <v/>
      </c>
      <c r="S814" s="162"/>
      <c r="T814" s="148"/>
      <c r="U814" s="161"/>
      <c r="V814" s="146" t="str">
        <f>IF(U814&lt;&gt;"", SUMIF(Bets!$D:$D, U814, Bets!AE:AE), "")</f>
        <v/>
      </c>
      <c r="W814" s="162"/>
      <c r="X814" s="148"/>
      <c r="Y814" s="161"/>
      <c r="Z814" s="146" t="str">
        <f>IF(Y814&lt;&gt;"", SUMIF(Bets!$D:$D, Y814, Bets!AF:AF), "")</f>
        <v/>
      </c>
      <c r="AA814" s="162"/>
      <c r="AB814" s="148"/>
      <c r="AC814" s="161"/>
      <c r="AD814" s="146" t="str">
        <f>IF(AC814&lt;&gt;"", SUMIF(Bets!$D:$D, AC814, Bets!AG:AG), "")</f>
        <v/>
      </c>
      <c r="AE814" s="162"/>
      <c r="AF814" s="148"/>
    </row>
    <row r="815">
      <c r="A815" s="161"/>
      <c r="B815" s="146" t="str">
        <f>IF(A815&lt;&gt;"", SUMIF(Bets!$D:$D, A815, Bets!Z:Z), "")</f>
        <v/>
      </c>
      <c r="C815" s="162"/>
      <c r="D815" s="148"/>
      <c r="E815" s="161"/>
      <c r="F815" s="146" t="str">
        <f>IF(E815&lt;&gt;"", SUMIF(Bets!$D:$D, E815, Bets!AB:AB), "")</f>
        <v/>
      </c>
      <c r="G815" s="162"/>
      <c r="H815" s="148"/>
      <c r="I815" s="161"/>
      <c r="J815" s="146" t="str">
        <f>IF(I815&lt;&gt;"", SUMIF(Bets!$D:$D, I815, Bets!AA:AA), "")</f>
        <v/>
      </c>
      <c r="K815" s="162"/>
      <c r="L815" s="148"/>
      <c r="M815" s="161"/>
      <c r="N815" s="146"/>
      <c r="O815" s="162"/>
      <c r="P815" s="148"/>
      <c r="Q815" s="161"/>
      <c r="R815" s="146" t="str">
        <f>IF(Q815&lt;&gt;"", SUMIF(Bets!$D:$D, Q815, Bets!AD:AD), "")</f>
        <v/>
      </c>
      <c r="S815" s="162"/>
      <c r="T815" s="148"/>
      <c r="U815" s="161"/>
      <c r="V815" s="146" t="str">
        <f>IF(U815&lt;&gt;"", SUMIF(Bets!$D:$D, U815, Bets!AE:AE), "")</f>
        <v/>
      </c>
      <c r="W815" s="162"/>
      <c r="X815" s="148"/>
      <c r="Y815" s="161"/>
      <c r="Z815" s="146" t="str">
        <f>IF(Y815&lt;&gt;"", SUMIF(Bets!$D:$D, Y815, Bets!AF:AF), "")</f>
        <v/>
      </c>
      <c r="AA815" s="162"/>
      <c r="AB815" s="148"/>
      <c r="AC815" s="161"/>
      <c r="AD815" s="146" t="str">
        <f>IF(AC815&lt;&gt;"", SUMIF(Bets!$D:$D, AC815, Bets!AG:AG), "")</f>
        <v/>
      </c>
      <c r="AE815" s="162"/>
      <c r="AF815" s="148"/>
    </row>
    <row r="816">
      <c r="A816" s="161"/>
      <c r="B816" s="146" t="str">
        <f>IF(A816&lt;&gt;"", SUMIF(Bets!$D:$D, A816, Bets!Z:Z), "")</f>
        <v/>
      </c>
      <c r="C816" s="162"/>
      <c r="D816" s="148"/>
      <c r="E816" s="161"/>
      <c r="F816" s="146" t="str">
        <f>IF(E816&lt;&gt;"", SUMIF(Bets!$D:$D, E816, Bets!AB:AB), "")</f>
        <v/>
      </c>
      <c r="G816" s="162"/>
      <c r="H816" s="148"/>
      <c r="I816" s="161"/>
      <c r="J816" s="146" t="str">
        <f>IF(I816&lt;&gt;"", SUMIF(Bets!$D:$D, I816, Bets!AA:AA), "")</f>
        <v/>
      </c>
      <c r="K816" s="162"/>
      <c r="L816" s="148"/>
      <c r="M816" s="161"/>
      <c r="N816" s="146"/>
      <c r="O816" s="162"/>
      <c r="P816" s="148"/>
      <c r="Q816" s="161"/>
      <c r="R816" s="146" t="str">
        <f>IF(Q816&lt;&gt;"", SUMIF(Bets!$D:$D, Q816, Bets!AD:AD), "")</f>
        <v/>
      </c>
      <c r="S816" s="162"/>
      <c r="T816" s="148"/>
      <c r="U816" s="161"/>
      <c r="V816" s="146" t="str">
        <f>IF(U816&lt;&gt;"", SUMIF(Bets!$D:$D, U816, Bets!AE:AE), "")</f>
        <v/>
      </c>
      <c r="W816" s="162"/>
      <c r="X816" s="148"/>
      <c r="Y816" s="161"/>
      <c r="Z816" s="146" t="str">
        <f>IF(Y816&lt;&gt;"", SUMIF(Bets!$D:$D, Y816, Bets!AF:AF), "")</f>
        <v/>
      </c>
      <c r="AA816" s="162"/>
      <c r="AB816" s="148"/>
      <c r="AC816" s="161"/>
      <c r="AD816" s="146" t="str">
        <f>IF(AC816&lt;&gt;"", SUMIF(Bets!$D:$D, AC816, Bets!AG:AG), "")</f>
        <v/>
      </c>
      <c r="AE816" s="162"/>
      <c r="AF816" s="148"/>
    </row>
    <row r="817">
      <c r="A817" s="161"/>
      <c r="B817" s="146" t="str">
        <f>IF(A817&lt;&gt;"", SUMIF(Bets!$D:$D, A817, Bets!Z:Z), "")</f>
        <v/>
      </c>
      <c r="C817" s="162"/>
      <c r="D817" s="148"/>
      <c r="E817" s="161"/>
      <c r="F817" s="146" t="str">
        <f>IF(E817&lt;&gt;"", SUMIF(Bets!$D:$D, E817, Bets!AB:AB), "")</f>
        <v/>
      </c>
      <c r="G817" s="162"/>
      <c r="H817" s="148"/>
      <c r="I817" s="161"/>
      <c r="J817" s="146" t="str">
        <f>IF(I817&lt;&gt;"", SUMIF(Bets!$D:$D, I817, Bets!AA:AA), "")</f>
        <v/>
      </c>
      <c r="K817" s="162"/>
      <c r="L817" s="148"/>
      <c r="M817" s="161"/>
      <c r="N817" s="146"/>
      <c r="O817" s="162"/>
      <c r="P817" s="148"/>
      <c r="Q817" s="161"/>
      <c r="R817" s="146" t="str">
        <f>IF(Q817&lt;&gt;"", SUMIF(Bets!$D:$D, Q817, Bets!AD:AD), "")</f>
        <v/>
      </c>
      <c r="S817" s="162"/>
      <c r="T817" s="148"/>
      <c r="U817" s="161"/>
      <c r="V817" s="146" t="str">
        <f>IF(U817&lt;&gt;"", SUMIF(Bets!$D:$D, U817, Bets!AE:AE), "")</f>
        <v/>
      </c>
      <c r="W817" s="162"/>
      <c r="X817" s="148"/>
      <c r="Y817" s="161"/>
      <c r="Z817" s="146" t="str">
        <f>IF(Y817&lt;&gt;"", SUMIF(Bets!$D:$D, Y817, Bets!AF:AF), "")</f>
        <v/>
      </c>
      <c r="AA817" s="162"/>
      <c r="AB817" s="148"/>
      <c r="AC817" s="161"/>
      <c r="AD817" s="146" t="str">
        <f>IF(AC817&lt;&gt;"", SUMIF(Bets!$D:$D, AC817, Bets!AG:AG), "")</f>
        <v/>
      </c>
      <c r="AE817" s="162"/>
      <c r="AF817" s="148"/>
    </row>
    <row r="818">
      <c r="A818" s="161"/>
      <c r="B818" s="146" t="str">
        <f>IF(A818&lt;&gt;"", SUMIF(Bets!$D:$D, A818, Bets!Z:Z), "")</f>
        <v/>
      </c>
      <c r="C818" s="162"/>
      <c r="D818" s="148"/>
      <c r="E818" s="161"/>
      <c r="F818" s="146" t="str">
        <f>IF(E818&lt;&gt;"", SUMIF(Bets!$D:$D, E818, Bets!AB:AB), "")</f>
        <v/>
      </c>
      <c r="G818" s="162"/>
      <c r="H818" s="148"/>
      <c r="I818" s="161"/>
      <c r="J818" s="146" t="str">
        <f>IF(I818&lt;&gt;"", SUMIF(Bets!$D:$D, I818, Bets!AA:AA), "")</f>
        <v/>
      </c>
      <c r="K818" s="162"/>
      <c r="L818" s="148"/>
      <c r="M818" s="161"/>
      <c r="N818" s="146"/>
      <c r="O818" s="162"/>
      <c r="P818" s="148"/>
      <c r="Q818" s="161"/>
      <c r="R818" s="146" t="str">
        <f>IF(Q818&lt;&gt;"", SUMIF(Bets!$D:$D, Q818, Bets!AD:AD), "")</f>
        <v/>
      </c>
      <c r="S818" s="162"/>
      <c r="T818" s="148"/>
      <c r="U818" s="161"/>
      <c r="V818" s="146" t="str">
        <f>IF(U818&lt;&gt;"", SUMIF(Bets!$D:$D, U818, Bets!AE:AE), "")</f>
        <v/>
      </c>
      <c r="W818" s="162"/>
      <c r="X818" s="148"/>
      <c r="Y818" s="161"/>
      <c r="Z818" s="146" t="str">
        <f>IF(Y818&lt;&gt;"", SUMIF(Bets!$D:$D, Y818, Bets!AF:AF), "")</f>
        <v/>
      </c>
      <c r="AA818" s="162"/>
      <c r="AB818" s="148"/>
      <c r="AC818" s="161"/>
      <c r="AD818" s="146" t="str">
        <f>IF(AC818&lt;&gt;"", SUMIF(Bets!$D:$D, AC818, Bets!AG:AG), "")</f>
        <v/>
      </c>
      <c r="AE818" s="162"/>
      <c r="AF818" s="148"/>
    </row>
    <row r="819">
      <c r="A819" s="161"/>
      <c r="B819" s="146" t="str">
        <f>IF(A819&lt;&gt;"", SUMIF(Bets!$D:$D, A819, Bets!Z:Z), "")</f>
        <v/>
      </c>
      <c r="C819" s="162"/>
      <c r="D819" s="148"/>
      <c r="E819" s="161"/>
      <c r="F819" s="146" t="str">
        <f>IF(E819&lt;&gt;"", SUMIF(Bets!$D:$D, E819, Bets!AB:AB), "")</f>
        <v/>
      </c>
      <c r="G819" s="162"/>
      <c r="H819" s="148"/>
      <c r="I819" s="161"/>
      <c r="J819" s="146" t="str">
        <f>IF(I819&lt;&gt;"", SUMIF(Bets!$D:$D, I819, Bets!AA:AA), "")</f>
        <v/>
      </c>
      <c r="K819" s="162"/>
      <c r="L819" s="148"/>
      <c r="M819" s="161"/>
      <c r="N819" s="146"/>
      <c r="O819" s="162"/>
      <c r="P819" s="148"/>
      <c r="Q819" s="161"/>
      <c r="R819" s="146" t="str">
        <f>IF(Q819&lt;&gt;"", SUMIF(Bets!$D:$D, Q819, Bets!AD:AD), "")</f>
        <v/>
      </c>
      <c r="S819" s="162"/>
      <c r="T819" s="148"/>
      <c r="U819" s="161"/>
      <c r="V819" s="146" t="str">
        <f>IF(U819&lt;&gt;"", SUMIF(Bets!$D:$D, U819, Bets!AE:AE), "")</f>
        <v/>
      </c>
      <c r="W819" s="162"/>
      <c r="X819" s="148"/>
      <c r="Y819" s="161"/>
      <c r="Z819" s="146" t="str">
        <f>IF(Y819&lt;&gt;"", SUMIF(Bets!$D:$D, Y819, Bets!AF:AF), "")</f>
        <v/>
      </c>
      <c r="AA819" s="162"/>
      <c r="AB819" s="148"/>
      <c r="AC819" s="161"/>
      <c r="AD819" s="146" t="str">
        <f>IF(AC819&lt;&gt;"", SUMIF(Bets!$D:$D, AC819, Bets!AG:AG), "")</f>
        <v/>
      </c>
      <c r="AE819" s="162"/>
      <c r="AF819" s="148"/>
    </row>
    <row r="820">
      <c r="A820" s="161"/>
      <c r="B820" s="146" t="str">
        <f>IF(A820&lt;&gt;"", SUMIF(Bets!$D:$D, A820, Bets!Z:Z), "")</f>
        <v/>
      </c>
      <c r="C820" s="162"/>
      <c r="D820" s="148"/>
      <c r="E820" s="161"/>
      <c r="F820" s="146" t="str">
        <f>IF(E820&lt;&gt;"", SUMIF(Bets!$D:$D, E820, Bets!AB:AB), "")</f>
        <v/>
      </c>
      <c r="G820" s="162"/>
      <c r="H820" s="148"/>
      <c r="I820" s="161"/>
      <c r="J820" s="146" t="str">
        <f>IF(I820&lt;&gt;"", SUMIF(Bets!$D:$D, I820, Bets!AA:AA), "")</f>
        <v/>
      </c>
      <c r="K820" s="162"/>
      <c r="L820" s="148"/>
      <c r="M820" s="161"/>
      <c r="N820" s="146"/>
      <c r="O820" s="162"/>
      <c r="P820" s="148"/>
      <c r="Q820" s="161"/>
      <c r="R820" s="146" t="str">
        <f>IF(Q820&lt;&gt;"", SUMIF(Bets!$D:$D, Q820, Bets!AD:AD), "")</f>
        <v/>
      </c>
      <c r="S820" s="162"/>
      <c r="T820" s="148"/>
      <c r="U820" s="161"/>
      <c r="V820" s="146" t="str">
        <f>IF(U820&lt;&gt;"", SUMIF(Bets!$D:$D, U820, Bets!AE:AE), "")</f>
        <v/>
      </c>
      <c r="W820" s="162"/>
      <c r="X820" s="148"/>
      <c r="Y820" s="161"/>
      <c r="Z820" s="146" t="str">
        <f>IF(Y820&lt;&gt;"", SUMIF(Bets!$D:$D, Y820, Bets!AF:AF), "")</f>
        <v/>
      </c>
      <c r="AA820" s="162"/>
      <c r="AB820" s="148"/>
      <c r="AC820" s="161"/>
      <c r="AD820" s="146" t="str">
        <f>IF(AC820&lt;&gt;"", SUMIF(Bets!$D:$D, AC820, Bets!AG:AG), "")</f>
        <v/>
      </c>
      <c r="AE820" s="162"/>
      <c r="AF820" s="148"/>
    </row>
    <row r="821">
      <c r="A821" s="161"/>
      <c r="B821" s="146" t="str">
        <f>IF(A821&lt;&gt;"", SUMIF(Bets!$D:$D, A821, Bets!Z:Z), "")</f>
        <v/>
      </c>
      <c r="C821" s="162"/>
      <c r="D821" s="148"/>
      <c r="E821" s="161"/>
      <c r="F821" s="146" t="str">
        <f>IF(E821&lt;&gt;"", SUMIF(Bets!$D:$D, E821, Bets!AB:AB), "")</f>
        <v/>
      </c>
      <c r="G821" s="162"/>
      <c r="H821" s="148"/>
      <c r="I821" s="161"/>
      <c r="J821" s="146" t="str">
        <f>IF(I821&lt;&gt;"", SUMIF(Bets!$D:$D, I821, Bets!AA:AA), "")</f>
        <v/>
      </c>
      <c r="K821" s="162"/>
      <c r="L821" s="148"/>
      <c r="M821" s="161"/>
      <c r="N821" s="146"/>
      <c r="O821" s="162"/>
      <c r="P821" s="148"/>
      <c r="Q821" s="161"/>
      <c r="R821" s="146" t="str">
        <f>IF(Q821&lt;&gt;"", SUMIF(Bets!$D:$D, Q821, Bets!AD:AD), "")</f>
        <v/>
      </c>
      <c r="S821" s="162"/>
      <c r="T821" s="148"/>
      <c r="U821" s="161"/>
      <c r="V821" s="146" t="str">
        <f>IF(U821&lt;&gt;"", SUMIF(Bets!$D:$D, U821, Bets!AE:AE), "")</f>
        <v/>
      </c>
      <c r="W821" s="162"/>
      <c r="X821" s="148"/>
      <c r="Y821" s="161"/>
      <c r="Z821" s="146" t="str">
        <f>IF(Y821&lt;&gt;"", SUMIF(Bets!$D:$D, Y821, Bets!AF:AF), "")</f>
        <v/>
      </c>
      <c r="AA821" s="162"/>
      <c r="AB821" s="148"/>
      <c r="AC821" s="161"/>
      <c r="AD821" s="146" t="str">
        <f>IF(AC821&lt;&gt;"", SUMIF(Bets!$D:$D, AC821, Bets!AG:AG), "")</f>
        <v/>
      </c>
      <c r="AE821" s="162"/>
      <c r="AF821" s="148"/>
    </row>
    <row r="822">
      <c r="A822" s="161"/>
      <c r="B822" s="146" t="str">
        <f>IF(A822&lt;&gt;"", SUMIF(Bets!$D:$D, A822, Bets!Z:Z), "")</f>
        <v/>
      </c>
      <c r="C822" s="162"/>
      <c r="D822" s="148"/>
      <c r="E822" s="161"/>
      <c r="F822" s="146" t="str">
        <f>IF(E822&lt;&gt;"", SUMIF(Bets!$D:$D, E822, Bets!AB:AB), "")</f>
        <v/>
      </c>
      <c r="G822" s="162"/>
      <c r="H822" s="148"/>
      <c r="I822" s="161"/>
      <c r="J822" s="146" t="str">
        <f>IF(I822&lt;&gt;"", SUMIF(Bets!$D:$D, I822, Bets!AA:AA), "")</f>
        <v/>
      </c>
      <c r="K822" s="162"/>
      <c r="L822" s="148"/>
      <c r="M822" s="161"/>
      <c r="N822" s="146"/>
      <c r="O822" s="162"/>
      <c r="P822" s="148"/>
      <c r="Q822" s="161"/>
      <c r="R822" s="146" t="str">
        <f>IF(Q822&lt;&gt;"", SUMIF(Bets!$D:$D, Q822, Bets!AD:AD), "")</f>
        <v/>
      </c>
      <c r="S822" s="162"/>
      <c r="T822" s="148"/>
      <c r="U822" s="161"/>
      <c r="V822" s="146" t="str">
        <f>IF(U822&lt;&gt;"", SUMIF(Bets!$D:$D, U822, Bets!AE:AE), "")</f>
        <v/>
      </c>
      <c r="W822" s="162"/>
      <c r="X822" s="148"/>
      <c r="Y822" s="161"/>
      <c r="Z822" s="146" t="str">
        <f>IF(Y822&lt;&gt;"", SUMIF(Bets!$D:$D, Y822, Bets!AF:AF), "")</f>
        <v/>
      </c>
      <c r="AA822" s="162"/>
      <c r="AB822" s="148"/>
      <c r="AC822" s="161"/>
      <c r="AD822" s="146" t="str">
        <f>IF(AC822&lt;&gt;"", SUMIF(Bets!$D:$D, AC822, Bets!AG:AG), "")</f>
        <v/>
      </c>
      <c r="AE822" s="162"/>
      <c r="AF822" s="148"/>
    </row>
    <row r="823">
      <c r="A823" s="161"/>
      <c r="B823" s="146" t="str">
        <f>IF(A823&lt;&gt;"", SUMIF(Bets!$D:$D, A823, Bets!Z:Z), "")</f>
        <v/>
      </c>
      <c r="C823" s="162"/>
      <c r="D823" s="148"/>
      <c r="E823" s="161"/>
      <c r="F823" s="146" t="str">
        <f>IF(E823&lt;&gt;"", SUMIF(Bets!$D:$D, E823, Bets!AB:AB), "")</f>
        <v/>
      </c>
      <c r="G823" s="162"/>
      <c r="H823" s="148"/>
      <c r="I823" s="161"/>
      <c r="J823" s="146" t="str">
        <f>IF(I823&lt;&gt;"", SUMIF(Bets!$D:$D, I823, Bets!AA:AA), "")</f>
        <v/>
      </c>
      <c r="K823" s="162"/>
      <c r="L823" s="148"/>
      <c r="M823" s="161"/>
      <c r="N823" s="146"/>
      <c r="O823" s="162"/>
      <c r="P823" s="148"/>
      <c r="Q823" s="161"/>
      <c r="R823" s="146" t="str">
        <f>IF(Q823&lt;&gt;"", SUMIF(Bets!$D:$D, Q823, Bets!AD:AD), "")</f>
        <v/>
      </c>
      <c r="S823" s="162"/>
      <c r="T823" s="148"/>
      <c r="U823" s="161"/>
      <c r="V823" s="146" t="str">
        <f>IF(U823&lt;&gt;"", SUMIF(Bets!$D:$D, U823, Bets!AE:AE), "")</f>
        <v/>
      </c>
      <c r="W823" s="162"/>
      <c r="X823" s="148"/>
      <c r="Y823" s="161"/>
      <c r="Z823" s="146" t="str">
        <f>IF(Y823&lt;&gt;"", SUMIF(Bets!$D:$D, Y823, Bets!AF:AF), "")</f>
        <v/>
      </c>
      <c r="AA823" s="162"/>
      <c r="AB823" s="148"/>
      <c r="AC823" s="161"/>
      <c r="AD823" s="146" t="str">
        <f>IF(AC823&lt;&gt;"", SUMIF(Bets!$D:$D, AC823, Bets!AG:AG), "")</f>
        <v/>
      </c>
      <c r="AE823" s="162"/>
      <c r="AF823" s="148"/>
    </row>
    <row r="824">
      <c r="A824" s="161"/>
      <c r="B824" s="146" t="str">
        <f>IF(A824&lt;&gt;"", SUMIF(Bets!$D:$D, A824, Bets!Z:Z), "")</f>
        <v/>
      </c>
      <c r="C824" s="162"/>
      <c r="D824" s="148"/>
      <c r="E824" s="161"/>
      <c r="F824" s="146" t="str">
        <f>IF(E824&lt;&gt;"", SUMIF(Bets!$D:$D, E824, Bets!AB:AB), "")</f>
        <v/>
      </c>
      <c r="G824" s="162"/>
      <c r="H824" s="148"/>
      <c r="I824" s="161"/>
      <c r="J824" s="146" t="str">
        <f>IF(I824&lt;&gt;"", SUMIF(Bets!$D:$D, I824, Bets!AA:AA), "")</f>
        <v/>
      </c>
      <c r="K824" s="162"/>
      <c r="L824" s="148"/>
      <c r="M824" s="161"/>
      <c r="N824" s="146"/>
      <c r="O824" s="162"/>
      <c r="P824" s="148"/>
      <c r="Q824" s="161"/>
      <c r="R824" s="146" t="str">
        <f>IF(Q824&lt;&gt;"", SUMIF(Bets!$D:$D, Q824, Bets!AD:AD), "")</f>
        <v/>
      </c>
      <c r="S824" s="162"/>
      <c r="T824" s="148"/>
      <c r="U824" s="161"/>
      <c r="V824" s="146" t="str">
        <f>IF(U824&lt;&gt;"", SUMIF(Bets!$D:$D, U824, Bets!AE:AE), "")</f>
        <v/>
      </c>
      <c r="W824" s="162"/>
      <c r="X824" s="148"/>
      <c r="Y824" s="161"/>
      <c r="Z824" s="146" t="str">
        <f>IF(Y824&lt;&gt;"", SUMIF(Bets!$D:$D, Y824, Bets!AF:AF), "")</f>
        <v/>
      </c>
      <c r="AA824" s="162"/>
      <c r="AB824" s="148"/>
      <c r="AC824" s="161"/>
      <c r="AD824" s="146" t="str">
        <f>IF(AC824&lt;&gt;"", SUMIF(Bets!$D:$D, AC824, Bets!AG:AG), "")</f>
        <v/>
      </c>
      <c r="AE824" s="162"/>
      <c r="AF824" s="148"/>
    </row>
    <row r="825">
      <c r="A825" s="161"/>
      <c r="B825" s="146" t="str">
        <f>IF(A825&lt;&gt;"", SUMIF(Bets!$D:$D, A825, Bets!Z:Z), "")</f>
        <v/>
      </c>
      <c r="C825" s="162"/>
      <c r="D825" s="148"/>
      <c r="E825" s="161"/>
      <c r="F825" s="146" t="str">
        <f>IF(E825&lt;&gt;"", SUMIF(Bets!$D:$D, E825, Bets!AB:AB), "")</f>
        <v/>
      </c>
      <c r="G825" s="162"/>
      <c r="H825" s="148"/>
      <c r="I825" s="161"/>
      <c r="J825" s="146" t="str">
        <f>IF(I825&lt;&gt;"", SUMIF(Bets!$D:$D, I825, Bets!AA:AA), "")</f>
        <v/>
      </c>
      <c r="K825" s="162"/>
      <c r="L825" s="148"/>
      <c r="M825" s="161"/>
      <c r="N825" s="146"/>
      <c r="O825" s="162"/>
      <c r="P825" s="148"/>
      <c r="Q825" s="161"/>
      <c r="R825" s="146" t="str">
        <f>IF(Q825&lt;&gt;"", SUMIF(Bets!$D:$D, Q825, Bets!AD:AD), "")</f>
        <v/>
      </c>
      <c r="S825" s="162"/>
      <c r="T825" s="148"/>
      <c r="U825" s="161"/>
      <c r="V825" s="146" t="str">
        <f>IF(U825&lt;&gt;"", SUMIF(Bets!$D:$D, U825, Bets!AE:AE), "")</f>
        <v/>
      </c>
      <c r="W825" s="162"/>
      <c r="X825" s="148"/>
      <c r="Y825" s="161"/>
      <c r="Z825" s="146" t="str">
        <f>IF(Y825&lt;&gt;"", SUMIF(Bets!$D:$D, Y825, Bets!AF:AF), "")</f>
        <v/>
      </c>
      <c r="AA825" s="162"/>
      <c r="AB825" s="148"/>
      <c r="AC825" s="161"/>
      <c r="AD825" s="146" t="str">
        <f>IF(AC825&lt;&gt;"", SUMIF(Bets!$D:$D, AC825, Bets!AG:AG), "")</f>
        <v/>
      </c>
      <c r="AE825" s="162"/>
      <c r="AF825" s="148"/>
    </row>
    <row r="826">
      <c r="A826" s="161"/>
      <c r="B826" s="146" t="str">
        <f>IF(A826&lt;&gt;"", SUMIF(Bets!$D:$D, A826, Bets!Z:Z), "")</f>
        <v/>
      </c>
      <c r="C826" s="162"/>
      <c r="D826" s="148"/>
      <c r="E826" s="161"/>
      <c r="F826" s="146" t="str">
        <f>IF(E826&lt;&gt;"", SUMIF(Bets!$D:$D, E826, Bets!AB:AB), "")</f>
        <v/>
      </c>
      <c r="G826" s="162"/>
      <c r="H826" s="148"/>
      <c r="I826" s="161"/>
      <c r="J826" s="146" t="str">
        <f>IF(I826&lt;&gt;"", SUMIF(Bets!$D:$D, I826, Bets!AA:AA), "")</f>
        <v/>
      </c>
      <c r="K826" s="162"/>
      <c r="L826" s="148"/>
      <c r="M826" s="161"/>
      <c r="N826" s="146"/>
      <c r="O826" s="162"/>
      <c r="P826" s="148"/>
      <c r="Q826" s="161"/>
      <c r="R826" s="146" t="str">
        <f>IF(Q826&lt;&gt;"", SUMIF(Bets!$D:$D, Q826, Bets!AD:AD), "")</f>
        <v/>
      </c>
      <c r="S826" s="162"/>
      <c r="T826" s="148"/>
      <c r="U826" s="161"/>
      <c r="V826" s="146" t="str">
        <f>IF(U826&lt;&gt;"", SUMIF(Bets!$D:$D, U826, Bets!AE:AE), "")</f>
        <v/>
      </c>
      <c r="W826" s="162"/>
      <c r="X826" s="148"/>
      <c r="Y826" s="161"/>
      <c r="Z826" s="146" t="str">
        <f>IF(Y826&lt;&gt;"", SUMIF(Bets!$D:$D, Y826, Bets!AF:AF), "")</f>
        <v/>
      </c>
      <c r="AA826" s="162"/>
      <c r="AB826" s="148"/>
      <c r="AC826" s="161"/>
      <c r="AD826" s="146" t="str">
        <f>IF(AC826&lt;&gt;"", SUMIF(Bets!$D:$D, AC826, Bets!AG:AG), "")</f>
        <v/>
      </c>
      <c r="AE826" s="162"/>
      <c r="AF826" s="148"/>
    </row>
    <row r="827">
      <c r="A827" s="161"/>
      <c r="B827" s="146" t="str">
        <f>IF(A827&lt;&gt;"", SUMIF(Bets!$D:$D, A827, Bets!Z:Z), "")</f>
        <v/>
      </c>
      <c r="C827" s="162"/>
      <c r="D827" s="148"/>
      <c r="E827" s="161"/>
      <c r="F827" s="146" t="str">
        <f>IF(E827&lt;&gt;"", SUMIF(Bets!$D:$D, E827, Bets!AB:AB), "")</f>
        <v/>
      </c>
      <c r="G827" s="162"/>
      <c r="H827" s="148"/>
      <c r="I827" s="161"/>
      <c r="J827" s="146" t="str">
        <f>IF(I827&lt;&gt;"", SUMIF(Bets!$D:$D, I827, Bets!AA:AA), "")</f>
        <v/>
      </c>
      <c r="K827" s="162"/>
      <c r="L827" s="148"/>
      <c r="M827" s="161"/>
      <c r="N827" s="146"/>
      <c r="O827" s="162"/>
      <c r="P827" s="148"/>
      <c r="Q827" s="161"/>
      <c r="R827" s="146" t="str">
        <f>IF(Q827&lt;&gt;"", SUMIF(Bets!$D:$D, Q827, Bets!AD:AD), "")</f>
        <v/>
      </c>
      <c r="S827" s="162"/>
      <c r="T827" s="148"/>
      <c r="U827" s="161"/>
      <c r="V827" s="146" t="str">
        <f>IF(U827&lt;&gt;"", SUMIF(Bets!$D:$D, U827, Bets!AE:AE), "")</f>
        <v/>
      </c>
      <c r="W827" s="162"/>
      <c r="X827" s="148"/>
      <c r="Y827" s="161"/>
      <c r="Z827" s="146" t="str">
        <f>IF(Y827&lt;&gt;"", SUMIF(Bets!$D:$D, Y827, Bets!AF:AF), "")</f>
        <v/>
      </c>
      <c r="AA827" s="162"/>
      <c r="AB827" s="148"/>
      <c r="AC827" s="161"/>
      <c r="AD827" s="146" t="str">
        <f>IF(AC827&lt;&gt;"", SUMIF(Bets!$D:$D, AC827, Bets!AG:AG), "")</f>
        <v/>
      </c>
      <c r="AE827" s="162"/>
      <c r="AF827" s="148"/>
    </row>
    <row r="828">
      <c r="A828" s="161"/>
      <c r="B828" s="146" t="str">
        <f>IF(A828&lt;&gt;"", SUMIF(Bets!$D:$D, A828, Bets!Z:Z), "")</f>
        <v/>
      </c>
      <c r="C828" s="162"/>
      <c r="D828" s="148"/>
      <c r="E828" s="161"/>
      <c r="F828" s="146" t="str">
        <f>IF(E828&lt;&gt;"", SUMIF(Bets!$D:$D, E828, Bets!AB:AB), "")</f>
        <v/>
      </c>
      <c r="G828" s="162"/>
      <c r="H828" s="148"/>
      <c r="I828" s="161"/>
      <c r="J828" s="146" t="str">
        <f>IF(I828&lt;&gt;"", SUMIF(Bets!$D:$D, I828, Bets!AA:AA), "")</f>
        <v/>
      </c>
      <c r="K828" s="162"/>
      <c r="L828" s="148"/>
      <c r="M828" s="161"/>
      <c r="N828" s="146"/>
      <c r="O828" s="162"/>
      <c r="P828" s="148"/>
      <c r="Q828" s="161"/>
      <c r="R828" s="146" t="str">
        <f>IF(Q828&lt;&gt;"", SUMIF(Bets!$D:$D, Q828, Bets!AD:AD), "")</f>
        <v/>
      </c>
      <c r="S828" s="162"/>
      <c r="T828" s="148"/>
      <c r="U828" s="161"/>
      <c r="V828" s="146" t="str">
        <f>IF(U828&lt;&gt;"", SUMIF(Bets!$D:$D, U828, Bets!AE:AE), "")</f>
        <v/>
      </c>
      <c r="W828" s="162"/>
      <c r="X828" s="148"/>
      <c r="Y828" s="161"/>
      <c r="Z828" s="146" t="str">
        <f>IF(Y828&lt;&gt;"", SUMIF(Bets!$D:$D, Y828, Bets!AF:AF), "")</f>
        <v/>
      </c>
      <c r="AA828" s="162"/>
      <c r="AB828" s="148"/>
      <c r="AC828" s="161"/>
      <c r="AD828" s="146" t="str">
        <f>IF(AC828&lt;&gt;"", SUMIF(Bets!$D:$D, AC828, Bets!AG:AG), "")</f>
        <v/>
      </c>
      <c r="AE828" s="162"/>
      <c r="AF828" s="148"/>
    </row>
    <row r="829">
      <c r="A829" s="161"/>
      <c r="B829" s="146" t="str">
        <f>IF(A829&lt;&gt;"", SUMIF(Bets!$D:$D, A829, Bets!Z:Z), "")</f>
        <v/>
      </c>
      <c r="C829" s="162"/>
      <c r="D829" s="148"/>
      <c r="E829" s="161"/>
      <c r="F829" s="146" t="str">
        <f>IF(E829&lt;&gt;"", SUMIF(Bets!$D:$D, E829, Bets!AB:AB), "")</f>
        <v/>
      </c>
      <c r="G829" s="162"/>
      <c r="H829" s="148"/>
      <c r="I829" s="161"/>
      <c r="J829" s="146" t="str">
        <f>IF(I829&lt;&gt;"", SUMIF(Bets!$D:$D, I829, Bets!AA:AA), "")</f>
        <v/>
      </c>
      <c r="K829" s="162"/>
      <c r="L829" s="148"/>
      <c r="M829" s="161"/>
      <c r="N829" s="146"/>
      <c r="O829" s="162"/>
      <c r="P829" s="148"/>
      <c r="Q829" s="161"/>
      <c r="R829" s="146" t="str">
        <f>IF(Q829&lt;&gt;"", SUMIF(Bets!$D:$D, Q829, Bets!AD:AD), "")</f>
        <v/>
      </c>
      <c r="S829" s="162"/>
      <c r="T829" s="148"/>
      <c r="U829" s="161"/>
      <c r="V829" s="146" t="str">
        <f>IF(U829&lt;&gt;"", SUMIF(Bets!$D:$D, U829, Bets!AE:AE), "")</f>
        <v/>
      </c>
      <c r="W829" s="162"/>
      <c r="X829" s="148"/>
      <c r="Y829" s="161"/>
      <c r="Z829" s="146" t="str">
        <f>IF(Y829&lt;&gt;"", SUMIF(Bets!$D:$D, Y829, Bets!AF:AF), "")</f>
        <v/>
      </c>
      <c r="AA829" s="162"/>
      <c r="AB829" s="148"/>
      <c r="AC829" s="161"/>
      <c r="AD829" s="146" t="str">
        <f>IF(AC829&lt;&gt;"", SUMIF(Bets!$D:$D, AC829, Bets!AG:AG), "")</f>
        <v/>
      </c>
      <c r="AE829" s="162"/>
      <c r="AF829" s="148"/>
    </row>
    <row r="830">
      <c r="A830" s="161"/>
      <c r="B830" s="146" t="str">
        <f>IF(A830&lt;&gt;"", SUMIF(Bets!$D:$D, A830, Bets!Z:Z), "")</f>
        <v/>
      </c>
      <c r="C830" s="162"/>
      <c r="D830" s="148"/>
      <c r="E830" s="161"/>
      <c r="F830" s="146" t="str">
        <f>IF(E830&lt;&gt;"", SUMIF(Bets!$D:$D, E830, Bets!AB:AB), "")</f>
        <v/>
      </c>
      <c r="G830" s="162"/>
      <c r="H830" s="148"/>
      <c r="I830" s="161"/>
      <c r="J830" s="146" t="str">
        <f>IF(I830&lt;&gt;"", SUMIF(Bets!$D:$D, I830, Bets!AA:AA), "")</f>
        <v/>
      </c>
      <c r="K830" s="162"/>
      <c r="L830" s="148"/>
      <c r="M830" s="161"/>
      <c r="N830" s="146"/>
      <c r="O830" s="162"/>
      <c r="P830" s="148"/>
      <c r="Q830" s="161"/>
      <c r="R830" s="146" t="str">
        <f>IF(Q830&lt;&gt;"", SUMIF(Bets!$D:$D, Q830, Bets!AD:AD), "")</f>
        <v/>
      </c>
      <c r="S830" s="162"/>
      <c r="T830" s="148"/>
      <c r="U830" s="161"/>
      <c r="V830" s="146" t="str">
        <f>IF(U830&lt;&gt;"", SUMIF(Bets!$D:$D, U830, Bets!AE:AE), "")</f>
        <v/>
      </c>
      <c r="W830" s="162"/>
      <c r="X830" s="148"/>
      <c r="Y830" s="161"/>
      <c r="Z830" s="146" t="str">
        <f>IF(Y830&lt;&gt;"", SUMIF(Bets!$D:$D, Y830, Bets!AF:AF), "")</f>
        <v/>
      </c>
      <c r="AA830" s="162"/>
      <c r="AB830" s="148"/>
      <c r="AC830" s="161"/>
      <c r="AD830" s="146" t="str">
        <f>IF(AC830&lt;&gt;"", SUMIF(Bets!$D:$D, AC830, Bets!AG:AG), "")</f>
        <v/>
      </c>
      <c r="AE830" s="162"/>
      <c r="AF830" s="148"/>
    </row>
    <row r="831">
      <c r="A831" s="161"/>
      <c r="B831" s="146" t="str">
        <f>IF(A831&lt;&gt;"", SUMIF(Bets!$D:$D, A831, Bets!Z:Z), "")</f>
        <v/>
      </c>
      <c r="C831" s="162"/>
      <c r="D831" s="148"/>
      <c r="E831" s="161"/>
      <c r="F831" s="146" t="str">
        <f>IF(E831&lt;&gt;"", SUMIF(Bets!$D:$D, E831, Bets!AB:AB), "")</f>
        <v/>
      </c>
      <c r="G831" s="162"/>
      <c r="H831" s="148"/>
      <c r="I831" s="161"/>
      <c r="J831" s="146" t="str">
        <f>IF(I831&lt;&gt;"", SUMIF(Bets!$D:$D, I831, Bets!AA:AA), "")</f>
        <v/>
      </c>
      <c r="K831" s="162"/>
      <c r="L831" s="148"/>
      <c r="M831" s="161"/>
      <c r="N831" s="146"/>
      <c r="O831" s="162"/>
      <c r="P831" s="148"/>
      <c r="Q831" s="161"/>
      <c r="R831" s="146" t="str">
        <f>IF(Q831&lt;&gt;"", SUMIF(Bets!$D:$D, Q831, Bets!AD:AD), "")</f>
        <v/>
      </c>
      <c r="S831" s="162"/>
      <c r="T831" s="148"/>
      <c r="U831" s="161"/>
      <c r="V831" s="146" t="str">
        <f>IF(U831&lt;&gt;"", SUMIF(Bets!$D:$D, U831, Bets!AE:AE), "")</f>
        <v/>
      </c>
      <c r="W831" s="162"/>
      <c r="X831" s="148"/>
      <c r="Y831" s="161"/>
      <c r="Z831" s="146" t="str">
        <f>IF(Y831&lt;&gt;"", SUMIF(Bets!$D:$D, Y831, Bets!AF:AF), "")</f>
        <v/>
      </c>
      <c r="AA831" s="162"/>
      <c r="AB831" s="148"/>
      <c r="AC831" s="161"/>
      <c r="AD831" s="146" t="str">
        <f>IF(AC831&lt;&gt;"", SUMIF(Bets!$D:$D, AC831, Bets!AG:AG), "")</f>
        <v/>
      </c>
      <c r="AE831" s="162"/>
      <c r="AF831" s="148"/>
    </row>
    <row r="832">
      <c r="A832" s="161"/>
      <c r="B832" s="146" t="str">
        <f>IF(A832&lt;&gt;"", SUMIF(Bets!$D:$D, A832, Bets!Z:Z), "")</f>
        <v/>
      </c>
      <c r="C832" s="162"/>
      <c r="D832" s="148"/>
      <c r="E832" s="161"/>
      <c r="F832" s="146" t="str">
        <f>IF(E832&lt;&gt;"", SUMIF(Bets!$D:$D, E832, Bets!AB:AB), "")</f>
        <v/>
      </c>
      <c r="G832" s="162"/>
      <c r="H832" s="148"/>
      <c r="I832" s="161"/>
      <c r="J832" s="146" t="str">
        <f>IF(I832&lt;&gt;"", SUMIF(Bets!$D:$D, I832, Bets!AA:AA), "")</f>
        <v/>
      </c>
      <c r="K832" s="162"/>
      <c r="L832" s="148"/>
      <c r="M832" s="161"/>
      <c r="N832" s="146"/>
      <c r="O832" s="162"/>
      <c r="P832" s="148"/>
      <c r="Q832" s="161"/>
      <c r="R832" s="146" t="str">
        <f>IF(Q832&lt;&gt;"", SUMIF(Bets!$D:$D, Q832, Bets!AD:AD), "")</f>
        <v/>
      </c>
      <c r="S832" s="162"/>
      <c r="T832" s="148"/>
      <c r="U832" s="161"/>
      <c r="V832" s="146" t="str">
        <f>IF(U832&lt;&gt;"", SUMIF(Bets!$D:$D, U832, Bets!AE:AE), "")</f>
        <v/>
      </c>
      <c r="W832" s="162"/>
      <c r="X832" s="148"/>
      <c r="Y832" s="161"/>
      <c r="Z832" s="146" t="str">
        <f>IF(Y832&lt;&gt;"", SUMIF(Bets!$D:$D, Y832, Bets!AF:AF), "")</f>
        <v/>
      </c>
      <c r="AA832" s="162"/>
      <c r="AB832" s="148"/>
      <c r="AC832" s="161"/>
      <c r="AD832" s="146" t="str">
        <f>IF(AC832&lt;&gt;"", SUMIF(Bets!$D:$D, AC832, Bets!AG:AG), "")</f>
        <v/>
      </c>
      <c r="AE832" s="162"/>
      <c r="AF832" s="148"/>
    </row>
    <row r="833">
      <c r="A833" s="161"/>
      <c r="B833" s="146" t="str">
        <f>IF(A833&lt;&gt;"", SUMIF(Bets!$D:$D, A833, Bets!Z:Z), "")</f>
        <v/>
      </c>
      <c r="C833" s="162"/>
      <c r="D833" s="148"/>
      <c r="E833" s="161"/>
      <c r="F833" s="146" t="str">
        <f>IF(E833&lt;&gt;"", SUMIF(Bets!$D:$D, E833, Bets!AB:AB), "")</f>
        <v/>
      </c>
      <c r="G833" s="162"/>
      <c r="H833" s="148"/>
      <c r="I833" s="161"/>
      <c r="J833" s="146" t="str">
        <f>IF(I833&lt;&gt;"", SUMIF(Bets!$D:$D, I833, Bets!AA:AA), "")</f>
        <v/>
      </c>
      <c r="K833" s="162"/>
      <c r="L833" s="148"/>
      <c r="M833" s="161"/>
      <c r="N833" s="146"/>
      <c r="O833" s="162"/>
      <c r="P833" s="148"/>
      <c r="Q833" s="161"/>
      <c r="R833" s="146" t="str">
        <f>IF(Q833&lt;&gt;"", SUMIF(Bets!$D:$D, Q833, Bets!AD:AD), "")</f>
        <v/>
      </c>
      <c r="S833" s="162"/>
      <c r="T833" s="148"/>
      <c r="U833" s="161"/>
      <c r="V833" s="146" t="str">
        <f>IF(U833&lt;&gt;"", SUMIF(Bets!$D:$D, U833, Bets!AE:AE), "")</f>
        <v/>
      </c>
      <c r="W833" s="162"/>
      <c r="X833" s="148"/>
      <c r="Y833" s="161"/>
      <c r="Z833" s="146" t="str">
        <f>IF(Y833&lt;&gt;"", SUMIF(Bets!$D:$D, Y833, Bets!AF:AF), "")</f>
        <v/>
      </c>
      <c r="AA833" s="162"/>
      <c r="AB833" s="148"/>
      <c r="AC833" s="161"/>
      <c r="AD833" s="146" t="str">
        <f>IF(AC833&lt;&gt;"", SUMIF(Bets!$D:$D, AC833, Bets!AG:AG), "")</f>
        <v/>
      </c>
      <c r="AE833" s="162"/>
      <c r="AF833" s="148"/>
    </row>
    <row r="834">
      <c r="A834" s="161"/>
      <c r="B834" s="146" t="str">
        <f>IF(A834&lt;&gt;"", SUMIF(Bets!$D:$D, A834, Bets!Z:Z), "")</f>
        <v/>
      </c>
      <c r="C834" s="162"/>
      <c r="D834" s="148"/>
      <c r="E834" s="161"/>
      <c r="F834" s="146" t="str">
        <f>IF(E834&lt;&gt;"", SUMIF(Bets!$D:$D, E834, Bets!AB:AB), "")</f>
        <v/>
      </c>
      <c r="G834" s="162"/>
      <c r="H834" s="148"/>
      <c r="I834" s="161"/>
      <c r="J834" s="146" t="str">
        <f>IF(I834&lt;&gt;"", SUMIF(Bets!$D:$D, I834, Bets!AA:AA), "")</f>
        <v/>
      </c>
      <c r="K834" s="162"/>
      <c r="L834" s="148"/>
      <c r="M834" s="161"/>
      <c r="N834" s="146"/>
      <c r="O834" s="162"/>
      <c r="P834" s="148"/>
      <c r="Q834" s="161"/>
      <c r="R834" s="146" t="str">
        <f>IF(Q834&lt;&gt;"", SUMIF(Bets!$D:$D, Q834, Bets!AD:AD), "")</f>
        <v/>
      </c>
      <c r="S834" s="162"/>
      <c r="T834" s="148"/>
      <c r="U834" s="161"/>
      <c r="V834" s="146" t="str">
        <f>IF(U834&lt;&gt;"", SUMIF(Bets!$D:$D, U834, Bets!AE:AE), "")</f>
        <v/>
      </c>
      <c r="W834" s="162"/>
      <c r="X834" s="148"/>
      <c r="Y834" s="161"/>
      <c r="Z834" s="146" t="str">
        <f>IF(Y834&lt;&gt;"", SUMIF(Bets!$D:$D, Y834, Bets!AF:AF), "")</f>
        <v/>
      </c>
      <c r="AA834" s="162"/>
      <c r="AB834" s="148"/>
      <c r="AC834" s="161"/>
      <c r="AD834" s="146" t="str">
        <f>IF(AC834&lt;&gt;"", SUMIF(Bets!$D:$D, AC834, Bets!AG:AG), "")</f>
        <v/>
      </c>
      <c r="AE834" s="162"/>
      <c r="AF834" s="148"/>
    </row>
    <row r="835">
      <c r="A835" s="161"/>
      <c r="B835" s="146" t="str">
        <f>IF(A835&lt;&gt;"", SUMIF(Bets!$D:$D, A835, Bets!Z:Z), "")</f>
        <v/>
      </c>
      <c r="C835" s="162"/>
      <c r="D835" s="148"/>
      <c r="E835" s="161"/>
      <c r="F835" s="146" t="str">
        <f>IF(E835&lt;&gt;"", SUMIF(Bets!$D:$D, E835, Bets!AB:AB), "")</f>
        <v/>
      </c>
      <c r="G835" s="162"/>
      <c r="H835" s="148"/>
      <c r="I835" s="161"/>
      <c r="J835" s="146" t="str">
        <f>IF(I835&lt;&gt;"", SUMIF(Bets!$D:$D, I835, Bets!AA:AA), "")</f>
        <v/>
      </c>
      <c r="K835" s="162"/>
      <c r="L835" s="148"/>
      <c r="M835" s="161"/>
      <c r="N835" s="146"/>
      <c r="O835" s="162"/>
      <c r="P835" s="148"/>
      <c r="Q835" s="161"/>
      <c r="R835" s="146" t="str">
        <f>IF(Q835&lt;&gt;"", SUMIF(Bets!$D:$D, Q835, Bets!AD:AD), "")</f>
        <v/>
      </c>
      <c r="S835" s="162"/>
      <c r="T835" s="148"/>
      <c r="U835" s="161"/>
      <c r="V835" s="146" t="str">
        <f>IF(U835&lt;&gt;"", SUMIF(Bets!$D:$D, U835, Bets!AE:AE), "")</f>
        <v/>
      </c>
      <c r="W835" s="162"/>
      <c r="X835" s="148"/>
      <c r="Y835" s="161"/>
      <c r="Z835" s="146" t="str">
        <f>IF(Y835&lt;&gt;"", SUMIF(Bets!$D:$D, Y835, Bets!AF:AF), "")</f>
        <v/>
      </c>
      <c r="AA835" s="162"/>
      <c r="AB835" s="148"/>
      <c r="AC835" s="161"/>
      <c r="AD835" s="146" t="str">
        <f>IF(AC835&lt;&gt;"", SUMIF(Bets!$D:$D, AC835, Bets!AG:AG), "")</f>
        <v/>
      </c>
      <c r="AE835" s="162"/>
      <c r="AF835" s="148"/>
    </row>
    <row r="836">
      <c r="A836" s="161"/>
      <c r="B836" s="146" t="str">
        <f>IF(A836&lt;&gt;"", SUMIF(Bets!$D:$D, A836, Bets!Z:Z), "")</f>
        <v/>
      </c>
      <c r="C836" s="162"/>
      <c r="D836" s="148"/>
      <c r="E836" s="161"/>
      <c r="F836" s="146" t="str">
        <f>IF(E836&lt;&gt;"", SUMIF(Bets!$D:$D, E836, Bets!AB:AB), "")</f>
        <v/>
      </c>
      <c r="G836" s="162"/>
      <c r="H836" s="148"/>
      <c r="I836" s="161"/>
      <c r="J836" s="146" t="str">
        <f>IF(I836&lt;&gt;"", SUMIF(Bets!$D:$D, I836, Bets!AA:AA), "")</f>
        <v/>
      </c>
      <c r="K836" s="162"/>
      <c r="L836" s="148"/>
      <c r="M836" s="161"/>
      <c r="N836" s="146"/>
      <c r="O836" s="162"/>
      <c r="P836" s="148"/>
      <c r="Q836" s="161"/>
      <c r="R836" s="146" t="str">
        <f>IF(Q836&lt;&gt;"", SUMIF(Bets!$D:$D, Q836, Bets!AD:AD), "")</f>
        <v/>
      </c>
      <c r="S836" s="162"/>
      <c r="T836" s="148"/>
      <c r="U836" s="161"/>
      <c r="V836" s="146" t="str">
        <f>IF(U836&lt;&gt;"", SUMIF(Bets!$D:$D, U836, Bets!AE:AE), "")</f>
        <v/>
      </c>
      <c r="W836" s="162"/>
      <c r="X836" s="148"/>
      <c r="Y836" s="161"/>
      <c r="Z836" s="146" t="str">
        <f>IF(Y836&lt;&gt;"", SUMIF(Bets!$D:$D, Y836, Bets!AF:AF), "")</f>
        <v/>
      </c>
      <c r="AA836" s="162"/>
      <c r="AB836" s="148"/>
      <c r="AC836" s="161"/>
      <c r="AD836" s="146" t="str">
        <f>IF(AC836&lt;&gt;"", SUMIF(Bets!$D:$D, AC836, Bets!AG:AG), "")</f>
        <v/>
      </c>
      <c r="AE836" s="162"/>
      <c r="AF836" s="148"/>
    </row>
    <row r="837">
      <c r="A837" s="161"/>
      <c r="B837" s="146" t="str">
        <f>IF(A837&lt;&gt;"", SUMIF(Bets!$D:$D, A837, Bets!Z:Z), "")</f>
        <v/>
      </c>
      <c r="C837" s="162"/>
      <c r="D837" s="148"/>
      <c r="E837" s="161"/>
      <c r="F837" s="146" t="str">
        <f>IF(E837&lt;&gt;"", SUMIF(Bets!$D:$D, E837, Bets!AB:AB), "")</f>
        <v/>
      </c>
      <c r="G837" s="162"/>
      <c r="H837" s="148"/>
      <c r="I837" s="161"/>
      <c r="J837" s="146" t="str">
        <f>IF(I837&lt;&gt;"", SUMIF(Bets!$D:$D, I837, Bets!AA:AA), "")</f>
        <v/>
      </c>
      <c r="K837" s="162"/>
      <c r="L837" s="148"/>
      <c r="M837" s="161"/>
      <c r="N837" s="146"/>
      <c r="O837" s="162"/>
      <c r="P837" s="148"/>
      <c r="Q837" s="161"/>
      <c r="R837" s="146" t="str">
        <f>IF(Q837&lt;&gt;"", SUMIF(Bets!$D:$D, Q837, Bets!AD:AD), "")</f>
        <v/>
      </c>
      <c r="S837" s="162"/>
      <c r="T837" s="148"/>
      <c r="U837" s="161"/>
      <c r="V837" s="146" t="str">
        <f>IF(U837&lt;&gt;"", SUMIF(Bets!$D:$D, U837, Bets!AE:AE), "")</f>
        <v/>
      </c>
      <c r="W837" s="162"/>
      <c r="X837" s="148"/>
      <c r="Y837" s="161"/>
      <c r="Z837" s="146" t="str">
        <f>IF(Y837&lt;&gt;"", SUMIF(Bets!$D:$D, Y837, Bets!AF:AF), "")</f>
        <v/>
      </c>
      <c r="AA837" s="162"/>
      <c r="AB837" s="148"/>
      <c r="AC837" s="161"/>
      <c r="AD837" s="146" t="str">
        <f>IF(AC837&lt;&gt;"", SUMIF(Bets!$D:$D, AC837, Bets!AG:AG), "")</f>
        <v/>
      </c>
      <c r="AE837" s="162"/>
      <c r="AF837" s="148"/>
    </row>
    <row r="838">
      <c r="A838" s="161"/>
      <c r="B838" s="146" t="str">
        <f>IF(A838&lt;&gt;"", SUMIF(Bets!$D:$D, A838, Bets!Z:Z), "")</f>
        <v/>
      </c>
      <c r="C838" s="162"/>
      <c r="D838" s="148"/>
      <c r="E838" s="161"/>
      <c r="F838" s="146" t="str">
        <f>IF(E838&lt;&gt;"", SUMIF(Bets!$D:$D, E838, Bets!AB:AB), "")</f>
        <v/>
      </c>
      <c r="G838" s="162"/>
      <c r="H838" s="148"/>
      <c r="I838" s="161"/>
      <c r="J838" s="146" t="str">
        <f>IF(I838&lt;&gt;"", SUMIF(Bets!$D:$D, I838, Bets!AA:AA), "")</f>
        <v/>
      </c>
      <c r="K838" s="162"/>
      <c r="L838" s="148"/>
      <c r="M838" s="161"/>
      <c r="N838" s="146"/>
      <c r="O838" s="162"/>
      <c r="P838" s="148"/>
      <c r="Q838" s="161"/>
      <c r="R838" s="146" t="str">
        <f>IF(Q838&lt;&gt;"", SUMIF(Bets!$D:$D, Q838, Bets!AD:AD), "")</f>
        <v/>
      </c>
      <c r="S838" s="162"/>
      <c r="T838" s="148"/>
      <c r="U838" s="161"/>
      <c r="V838" s="146" t="str">
        <f>IF(U838&lt;&gt;"", SUMIF(Bets!$D:$D, U838, Bets!AE:AE), "")</f>
        <v/>
      </c>
      <c r="W838" s="162"/>
      <c r="X838" s="148"/>
      <c r="Y838" s="161"/>
      <c r="Z838" s="146" t="str">
        <f>IF(Y838&lt;&gt;"", SUMIF(Bets!$D:$D, Y838, Bets!AF:AF), "")</f>
        <v/>
      </c>
      <c r="AA838" s="162"/>
      <c r="AB838" s="148"/>
      <c r="AC838" s="161"/>
      <c r="AD838" s="146" t="str">
        <f>IF(AC838&lt;&gt;"", SUMIF(Bets!$D:$D, AC838, Bets!AG:AG), "")</f>
        <v/>
      </c>
      <c r="AE838" s="162"/>
      <c r="AF838" s="148"/>
    </row>
    <row r="839">
      <c r="A839" s="161"/>
      <c r="B839" s="146" t="str">
        <f>IF(A839&lt;&gt;"", SUMIF(Bets!$D:$D, A839, Bets!Z:Z), "")</f>
        <v/>
      </c>
      <c r="C839" s="162"/>
      <c r="D839" s="148"/>
      <c r="E839" s="161"/>
      <c r="F839" s="146" t="str">
        <f>IF(E839&lt;&gt;"", SUMIF(Bets!$D:$D, E839, Bets!AB:AB), "")</f>
        <v/>
      </c>
      <c r="G839" s="162"/>
      <c r="H839" s="148"/>
      <c r="I839" s="161"/>
      <c r="J839" s="146" t="str">
        <f>IF(I839&lt;&gt;"", SUMIF(Bets!$D:$D, I839, Bets!AA:AA), "")</f>
        <v/>
      </c>
      <c r="K839" s="162"/>
      <c r="L839" s="148"/>
      <c r="M839" s="161"/>
      <c r="N839" s="146"/>
      <c r="O839" s="162"/>
      <c r="P839" s="148"/>
      <c r="Q839" s="161"/>
      <c r="R839" s="146" t="str">
        <f>IF(Q839&lt;&gt;"", SUMIF(Bets!$D:$D, Q839, Bets!AD:AD), "")</f>
        <v/>
      </c>
      <c r="S839" s="162"/>
      <c r="T839" s="148"/>
      <c r="U839" s="161"/>
      <c r="V839" s="146" t="str">
        <f>IF(U839&lt;&gt;"", SUMIF(Bets!$D:$D, U839, Bets!AE:AE), "")</f>
        <v/>
      </c>
      <c r="W839" s="162"/>
      <c r="X839" s="148"/>
      <c r="Y839" s="161"/>
      <c r="Z839" s="146" t="str">
        <f>IF(Y839&lt;&gt;"", SUMIF(Bets!$D:$D, Y839, Bets!AF:AF), "")</f>
        <v/>
      </c>
      <c r="AA839" s="162"/>
      <c r="AB839" s="148"/>
      <c r="AC839" s="161"/>
      <c r="AD839" s="146" t="str">
        <f>IF(AC839&lt;&gt;"", SUMIF(Bets!$D:$D, AC839, Bets!AG:AG), "")</f>
        <v/>
      </c>
      <c r="AE839" s="162"/>
      <c r="AF839" s="148"/>
    </row>
    <row r="840">
      <c r="A840" s="161"/>
      <c r="B840" s="146" t="str">
        <f>IF(A840&lt;&gt;"", SUMIF(Bets!$D:$D, A840, Bets!Z:Z), "")</f>
        <v/>
      </c>
      <c r="C840" s="162"/>
      <c r="D840" s="148"/>
      <c r="E840" s="161"/>
      <c r="F840" s="146" t="str">
        <f>IF(E840&lt;&gt;"", SUMIF(Bets!$D:$D, E840, Bets!AB:AB), "")</f>
        <v/>
      </c>
      <c r="G840" s="162"/>
      <c r="H840" s="148"/>
      <c r="I840" s="161"/>
      <c r="J840" s="146" t="str">
        <f>IF(I840&lt;&gt;"", SUMIF(Bets!$D:$D, I840, Bets!AA:AA), "")</f>
        <v/>
      </c>
      <c r="K840" s="162"/>
      <c r="L840" s="148"/>
      <c r="M840" s="161"/>
      <c r="N840" s="146"/>
      <c r="O840" s="162"/>
      <c r="P840" s="148"/>
      <c r="Q840" s="161"/>
      <c r="R840" s="146" t="str">
        <f>IF(Q840&lt;&gt;"", SUMIF(Bets!$D:$D, Q840, Bets!AD:AD), "")</f>
        <v/>
      </c>
      <c r="S840" s="162"/>
      <c r="T840" s="148"/>
      <c r="U840" s="161"/>
      <c r="V840" s="146" t="str">
        <f>IF(U840&lt;&gt;"", SUMIF(Bets!$D:$D, U840, Bets!AE:AE), "")</f>
        <v/>
      </c>
      <c r="W840" s="162"/>
      <c r="X840" s="148"/>
      <c r="Y840" s="161"/>
      <c r="Z840" s="146" t="str">
        <f>IF(Y840&lt;&gt;"", SUMIF(Bets!$D:$D, Y840, Bets!AF:AF), "")</f>
        <v/>
      </c>
      <c r="AA840" s="162"/>
      <c r="AB840" s="148"/>
      <c r="AC840" s="161"/>
      <c r="AD840" s="146" t="str">
        <f>IF(AC840&lt;&gt;"", SUMIF(Bets!$D:$D, AC840, Bets!AG:AG), "")</f>
        <v/>
      </c>
      <c r="AE840" s="162"/>
      <c r="AF840" s="148"/>
    </row>
    <row r="841">
      <c r="A841" s="161"/>
      <c r="B841" s="146" t="str">
        <f>IF(A841&lt;&gt;"", SUMIF(Bets!$D:$D, A841, Bets!Z:Z), "")</f>
        <v/>
      </c>
      <c r="C841" s="162"/>
      <c r="D841" s="148"/>
      <c r="E841" s="161"/>
      <c r="F841" s="146" t="str">
        <f>IF(E841&lt;&gt;"", SUMIF(Bets!$D:$D, E841, Bets!AB:AB), "")</f>
        <v/>
      </c>
      <c r="G841" s="162"/>
      <c r="H841" s="148"/>
      <c r="I841" s="161"/>
      <c r="J841" s="146" t="str">
        <f>IF(I841&lt;&gt;"", SUMIF(Bets!$D:$D, I841, Bets!AA:AA), "")</f>
        <v/>
      </c>
      <c r="K841" s="162"/>
      <c r="L841" s="148"/>
      <c r="M841" s="161"/>
      <c r="N841" s="146"/>
      <c r="O841" s="162"/>
      <c r="P841" s="148"/>
      <c r="Q841" s="161"/>
      <c r="R841" s="146" t="str">
        <f>IF(Q841&lt;&gt;"", SUMIF(Bets!$D:$D, Q841, Bets!AD:AD), "")</f>
        <v/>
      </c>
      <c r="S841" s="162"/>
      <c r="T841" s="148"/>
      <c r="U841" s="161"/>
      <c r="V841" s="146" t="str">
        <f>IF(U841&lt;&gt;"", SUMIF(Bets!$D:$D, U841, Bets!AE:AE), "")</f>
        <v/>
      </c>
      <c r="W841" s="162"/>
      <c r="X841" s="148"/>
      <c r="Y841" s="161"/>
      <c r="Z841" s="146" t="str">
        <f>IF(Y841&lt;&gt;"", SUMIF(Bets!$D:$D, Y841, Bets!AF:AF), "")</f>
        <v/>
      </c>
      <c r="AA841" s="162"/>
      <c r="AB841" s="148"/>
      <c r="AC841" s="161"/>
      <c r="AD841" s="146" t="str">
        <f>IF(AC841&lt;&gt;"", SUMIF(Bets!$D:$D, AC841, Bets!AG:AG), "")</f>
        <v/>
      </c>
      <c r="AE841" s="162"/>
      <c r="AF841" s="148"/>
    </row>
    <row r="842">
      <c r="A842" s="161"/>
      <c r="B842" s="146" t="str">
        <f>IF(A842&lt;&gt;"", SUMIF(Bets!$D:$D, A842, Bets!Z:Z), "")</f>
        <v/>
      </c>
      <c r="C842" s="162"/>
      <c r="D842" s="148"/>
      <c r="E842" s="161"/>
      <c r="F842" s="146" t="str">
        <f>IF(E842&lt;&gt;"", SUMIF(Bets!$D:$D, E842, Bets!AB:AB), "")</f>
        <v/>
      </c>
      <c r="G842" s="162"/>
      <c r="H842" s="148"/>
      <c r="I842" s="161"/>
      <c r="J842" s="146" t="str">
        <f>IF(I842&lt;&gt;"", SUMIF(Bets!$D:$D, I842, Bets!AA:AA), "")</f>
        <v/>
      </c>
      <c r="K842" s="162"/>
      <c r="L842" s="148"/>
      <c r="M842" s="161"/>
      <c r="N842" s="146"/>
      <c r="O842" s="162"/>
      <c r="P842" s="148"/>
      <c r="Q842" s="161"/>
      <c r="R842" s="146" t="str">
        <f>IF(Q842&lt;&gt;"", SUMIF(Bets!$D:$D, Q842, Bets!AD:AD), "")</f>
        <v/>
      </c>
      <c r="S842" s="162"/>
      <c r="T842" s="148"/>
      <c r="U842" s="161"/>
      <c r="V842" s="146" t="str">
        <f>IF(U842&lt;&gt;"", SUMIF(Bets!$D:$D, U842, Bets!AE:AE), "")</f>
        <v/>
      </c>
      <c r="W842" s="162"/>
      <c r="X842" s="148"/>
      <c r="Y842" s="161"/>
      <c r="Z842" s="146" t="str">
        <f>IF(Y842&lt;&gt;"", SUMIF(Bets!$D:$D, Y842, Bets!AF:AF), "")</f>
        <v/>
      </c>
      <c r="AA842" s="162"/>
      <c r="AB842" s="148"/>
      <c r="AC842" s="161"/>
      <c r="AD842" s="146" t="str">
        <f>IF(AC842&lt;&gt;"", SUMIF(Bets!$D:$D, AC842, Bets!AG:AG), "")</f>
        <v/>
      </c>
      <c r="AE842" s="162"/>
      <c r="AF842" s="148"/>
    </row>
    <row r="843">
      <c r="A843" s="161"/>
      <c r="B843" s="146" t="str">
        <f>IF(A843&lt;&gt;"", SUMIF(Bets!$D:$D, A843, Bets!Z:Z), "")</f>
        <v/>
      </c>
      <c r="C843" s="162"/>
      <c r="D843" s="148"/>
      <c r="E843" s="161"/>
      <c r="F843" s="146" t="str">
        <f>IF(E843&lt;&gt;"", SUMIF(Bets!$D:$D, E843, Bets!AB:AB), "")</f>
        <v/>
      </c>
      <c r="G843" s="162"/>
      <c r="H843" s="148"/>
      <c r="I843" s="161"/>
      <c r="J843" s="146" t="str">
        <f>IF(I843&lt;&gt;"", SUMIF(Bets!$D:$D, I843, Bets!AA:AA), "")</f>
        <v/>
      </c>
      <c r="K843" s="162"/>
      <c r="L843" s="148"/>
      <c r="M843" s="161"/>
      <c r="N843" s="146"/>
      <c r="O843" s="162"/>
      <c r="P843" s="148"/>
      <c r="Q843" s="161"/>
      <c r="R843" s="146" t="str">
        <f>IF(Q843&lt;&gt;"", SUMIF(Bets!$D:$D, Q843, Bets!AD:AD), "")</f>
        <v/>
      </c>
      <c r="S843" s="162"/>
      <c r="T843" s="148"/>
      <c r="U843" s="161"/>
      <c r="V843" s="146" t="str">
        <f>IF(U843&lt;&gt;"", SUMIF(Bets!$D:$D, U843, Bets!AE:AE), "")</f>
        <v/>
      </c>
      <c r="W843" s="162"/>
      <c r="X843" s="148"/>
      <c r="Y843" s="161"/>
      <c r="Z843" s="146" t="str">
        <f>IF(Y843&lt;&gt;"", SUMIF(Bets!$D:$D, Y843, Bets!AF:AF), "")</f>
        <v/>
      </c>
      <c r="AA843" s="162"/>
      <c r="AB843" s="148"/>
      <c r="AC843" s="161"/>
      <c r="AD843" s="146" t="str">
        <f>IF(AC843&lt;&gt;"", SUMIF(Bets!$D:$D, AC843, Bets!AG:AG), "")</f>
        <v/>
      </c>
      <c r="AE843" s="162"/>
      <c r="AF843" s="148"/>
    </row>
    <row r="844">
      <c r="A844" s="161"/>
      <c r="B844" s="146" t="str">
        <f>IF(A844&lt;&gt;"", SUMIF(Bets!$D:$D, A844, Bets!Z:Z), "")</f>
        <v/>
      </c>
      <c r="C844" s="162"/>
      <c r="D844" s="148"/>
      <c r="E844" s="161"/>
      <c r="F844" s="146" t="str">
        <f>IF(E844&lt;&gt;"", SUMIF(Bets!$D:$D, E844, Bets!AB:AB), "")</f>
        <v/>
      </c>
      <c r="G844" s="162"/>
      <c r="H844" s="148"/>
      <c r="I844" s="161"/>
      <c r="J844" s="146" t="str">
        <f>IF(I844&lt;&gt;"", SUMIF(Bets!$D:$D, I844, Bets!AA:AA), "")</f>
        <v/>
      </c>
      <c r="K844" s="162"/>
      <c r="L844" s="148"/>
      <c r="M844" s="161"/>
      <c r="N844" s="146"/>
      <c r="O844" s="162"/>
      <c r="P844" s="148"/>
      <c r="Q844" s="161"/>
      <c r="R844" s="146" t="str">
        <f>IF(Q844&lt;&gt;"", SUMIF(Bets!$D:$D, Q844, Bets!AD:AD), "")</f>
        <v/>
      </c>
      <c r="S844" s="162"/>
      <c r="T844" s="148"/>
      <c r="U844" s="161"/>
      <c r="V844" s="146" t="str">
        <f>IF(U844&lt;&gt;"", SUMIF(Bets!$D:$D, U844, Bets!AE:AE), "")</f>
        <v/>
      </c>
      <c r="W844" s="162"/>
      <c r="X844" s="148"/>
      <c r="Y844" s="161"/>
      <c r="Z844" s="146" t="str">
        <f>IF(Y844&lt;&gt;"", SUMIF(Bets!$D:$D, Y844, Bets!AF:AF), "")</f>
        <v/>
      </c>
      <c r="AA844" s="162"/>
      <c r="AB844" s="148"/>
      <c r="AC844" s="161"/>
      <c r="AD844" s="146" t="str">
        <f>IF(AC844&lt;&gt;"", SUMIF(Bets!$D:$D, AC844, Bets!AG:AG), "")</f>
        <v/>
      </c>
      <c r="AE844" s="162"/>
      <c r="AF844" s="148"/>
    </row>
    <row r="845">
      <c r="A845" s="161"/>
      <c r="B845" s="146" t="str">
        <f>IF(A845&lt;&gt;"", SUMIF(Bets!$D:$D, A845, Bets!Z:Z), "")</f>
        <v/>
      </c>
      <c r="C845" s="162"/>
      <c r="D845" s="148"/>
      <c r="E845" s="161"/>
      <c r="F845" s="146" t="str">
        <f>IF(E845&lt;&gt;"", SUMIF(Bets!$D:$D, E845, Bets!AB:AB), "")</f>
        <v/>
      </c>
      <c r="G845" s="162"/>
      <c r="H845" s="148"/>
      <c r="I845" s="161"/>
      <c r="J845" s="146" t="str">
        <f>IF(I845&lt;&gt;"", SUMIF(Bets!$D:$D, I845, Bets!AA:AA), "")</f>
        <v/>
      </c>
      <c r="K845" s="162"/>
      <c r="L845" s="148"/>
      <c r="M845" s="161"/>
      <c r="N845" s="146"/>
      <c r="O845" s="162"/>
      <c r="P845" s="148"/>
      <c r="Q845" s="161"/>
      <c r="R845" s="146" t="str">
        <f>IF(Q845&lt;&gt;"", SUMIF(Bets!$D:$D, Q845, Bets!AD:AD), "")</f>
        <v/>
      </c>
      <c r="S845" s="162"/>
      <c r="T845" s="148"/>
      <c r="U845" s="161"/>
      <c r="V845" s="146" t="str">
        <f>IF(U845&lt;&gt;"", SUMIF(Bets!$D:$D, U845, Bets!AE:AE), "")</f>
        <v/>
      </c>
      <c r="W845" s="162"/>
      <c r="X845" s="148"/>
      <c r="Y845" s="161"/>
      <c r="Z845" s="146" t="str">
        <f>IF(Y845&lt;&gt;"", SUMIF(Bets!$D:$D, Y845, Bets!AF:AF), "")</f>
        <v/>
      </c>
      <c r="AA845" s="162"/>
      <c r="AB845" s="148"/>
      <c r="AC845" s="161"/>
      <c r="AD845" s="146" t="str">
        <f>IF(AC845&lt;&gt;"", SUMIF(Bets!$D:$D, AC845, Bets!AG:AG), "")</f>
        <v/>
      </c>
      <c r="AE845" s="162"/>
      <c r="AF845" s="148"/>
    </row>
    <row r="846">
      <c r="A846" s="161"/>
      <c r="B846" s="146" t="str">
        <f>IF(A846&lt;&gt;"", SUMIF(Bets!$D:$D, A846, Bets!Z:Z), "")</f>
        <v/>
      </c>
      <c r="C846" s="162"/>
      <c r="D846" s="148"/>
      <c r="E846" s="161"/>
      <c r="F846" s="146" t="str">
        <f>IF(E846&lt;&gt;"", SUMIF(Bets!$D:$D, E846, Bets!AB:AB), "")</f>
        <v/>
      </c>
      <c r="G846" s="162"/>
      <c r="H846" s="148"/>
      <c r="I846" s="161"/>
      <c r="J846" s="146" t="str">
        <f>IF(I846&lt;&gt;"", SUMIF(Bets!$D:$D, I846, Bets!AA:AA), "")</f>
        <v/>
      </c>
      <c r="K846" s="162"/>
      <c r="L846" s="148"/>
      <c r="M846" s="161"/>
      <c r="N846" s="146"/>
      <c r="O846" s="162"/>
      <c r="P846" s="148"/>
      <c r="Q846" s="161"/>
      <c r="R846" s="146" t="str">
        <f>IF(Q846&lt;&gt;"", SUMIF(Bets!$D:$D, Q846, Bets!AD:AD), "")</f>
        <v/>
      </c>
      <c r="S846" s="162"/>
      <c r="T846" s="148"/>
      <c r="U846" s="161"/>
      <c r="V846" s="146" t="str">
        <f>IF(U846&lt;&gt;"", SUMIF(Bets!$D:$D, U846, Bets!AE:AE), "")</f>
        <v/>
      </c>
      <c r="W846" s="162"/>
      <c r="X846" s="148"/>
      <c r="Y846" s="161"/>
      <c r="Z846" s="146" t="str">
        <f>IF(Y846&lt;&gt;"", SUMIF(Bets!$D:$D, Y846, Bets!AF:AF), "")</f>
        <v/>
      </c>
      <c r="AA846" s="162"/>
      <c r="AB846" s="148"/>
      <c r="AC846" s="161"/>
      <c r="AD846" s="146" t="str">
        <f>IF(AC846&lt;&gt;"", SUMIF(Bets!$D:$D, AC846, Bets!AG:AG), "")</f>
        <v/>
      </c>
      <c r="AE846" s="162"/>
      <c r="AF846" s="148"/>
    </row>
    <row r="847">
      <c r="A847" s="161"/>
      <c r="B847" s="146" t="str">
        <f>IF(A847&lt;&gt;"", SUMIF(Bets!$D:$D, A847, Bets!Z:Z), "")</f>
        <v/>
      </c>
      <c r="C847" s="162"/>
      <c r="D847" s="148"/>
      <c r="E847" s="161"/>
      <c r="F847" s="146" t="str">
        <f>IF(E847&lt;&gt;"", SUMIF(Bets!$D:$D, E847, Bets!AB:AB), "")</f>
        <v/>
      </c>
      <c r="G847" s="162"/>
      <c r="H847" s="148"/>
      <c r="I847" s="161"/>
      <c r="J847" s="146" t="str">
        <f>IF(I847&lt;&gt;"", SUMIF(Bets!$D:$D, I847, Bets!AA:AA), "")</f>
        <v/>
      </c>
      <c r="K847" s="162"/>
      <c r="L847" s="148"/>
      <c r="M847" s="161"/>
      <c r="N847" s="146"/>
      <c r="O847" s="162"/>
      <c r="P847" s="148"/>
      <c r="Q847" s="161"/>
      <c r="R847" s="146" t="str">
        <f>IF(Q847&lt;&gt;"", SUMIF(Bets!$D:$D, Q847, Bets!AD:AD), "")</f>
        <v/>
      </c>
      <c r="S847" s="162"/>
      <c r="T847" s="148"/>
      <c r="U847" s="161"/>
      <c r="V847" s="146" t="str">
        <f>IF(U847&lt;&gt;"", SUMIF(Bets!$D:$D, U847, Bets!AE:AE), "")</f>
        <v/>
      </c>
      <c r="W847" s="162"/>
      <c r="X847" s="148"/>
      <c r="Y847" s="161"/>
      <c r="Z847" s="146" t="str">
        <f>IF(Y847&lt;&gt;"", SUMIF(Bets!$D:$D, Y847, Bets!AF:AF), "")</f>
        <v/>
      </c>
      <c r="AA847" s="162"/>
      <c r="AB847" s="148"/>
      <c r="AC847" s="161"/>
      <c r="AD847" s="146" t="str">
        <f>IF(AC847&lt;&gt;"", SUMIF(Bets!$D:$D, AC847, Bets!AG:AG), "")</f>
        <v/>
      </c>
      <c r="AE847" s="162"/>
      <c r="AF847" s="148"/>
    </row>
    <row r="848">
      <c r="A848" s="161"/>
      <c r="B848" s="146" t="str">
        <f>IF(A848&lt;&gt;"", SUMIF(Bets!$D:$D, A848, Bets!Z:Z), "")</f>
        <v/>
      </c>
      <c r="C848" s="162"/>
      <c r="D848" s="148"/>
      <c r="E848" s="161"/>
      <c r="F848" s="146" t="str">
        <f>IF(E848&lt;&gt;"", SUMIF(Bets!$D:$D, E848, Bets!AB:AB), "")</f>
        <v/>
      </c>
      <c r="G848" s="162"/>
      <c r="H848" s="148"/>
      <c r="I848" s="161"/>
      <c r="J848" s="146" t="str">
        <f>IF(I848&lt;&gt;"", SUMIF(Bets!$D:$D, I848, Bets!AA:AA), "")</f>
        <v/>
      </c>
      <c r="K848" s="162"/>
      <c r="L848" s="148"/>
      <c r="M848" s="161"/>
      <c r="N848" s="146"/>
      <c r="O848" s="162"/>
      <c r="P848" s="148"/>
      <c r="Q848" s="161"/>
      <c r="R848" s="146" t="str">
        <f>IF(Q848&lt;&gt;"", SUMIF(Bets!$D:$D, Q848, Bets!AD:AD), "")</f>
        <v/>
      </c>
      <c r="S848" s="162"/>
      <c r="T848" s="148"/>
      <c r="U848" s="161"/>
      <c r="V848" s="146" t="str">
        <f>IF(U848&lt;&gt;"", SUMIF(Bets!$D:$D, U848, Bets!AE:AE), "")</f>
        <v/>
      </c>
      <c r="W848" s="162"/>
      <c r="X848" s="148"/>
      <c r="Y848" s="161"/>
      <c r="Z848" s="146" t="str">
        <f>IF(Y848&lt;&gt;"", SUMIF(Bets!$D:$D, Y848, Bets!AF:AF), "")</f>
        <v/>
      </c>
      <c r="AA848" s="162"/>
      <c r="AB848" s="148"/>
      <c r="AC848" s="161"/>
      <c r="AD848" s="146" t="str">
        <f>IF(AC848&lt;&gt;"", SUMIF(Bets!$D:$D, AC848, Bets!AG:AG), "")</f>
        <v/>
      </c>
      <c r="AE848" s="162"/>
      <c r="AF848" s="148"/>
    </row>
    <row r="849">
      <c r="A849" s="161"/>
      <c r="B849" s="146" t="str">
        <f>IF(A849&lt;&gt;"", SUMIF(Bets!$D:$D, A849, Bets!Z:Z), "")</f>
        <v/>
      </c>
      <c r="C849" s="162"/>
      <c r="D849" s="148"/>
      <c r="E849" s="161"/>
      <c r="F849" s="146" t="str">
        <f>IF(E849&lt;&gt;"", SUMIF(Bets!$D:$D, E849, Bets!AB:AB), "")</f>
        <v/>
      </c>
      <c r="G849" s="162"/>
      <c r="H849" s="148"/>
      <c r="I849" s="161"/>
      <c r="J849" s="146" t="str">
        <f>IF(I849&lt;&gt;"", SUMIF(Bets!$D:$D, I849, Bets!AA:AA), "")</f>
        <v/>
      </c>
      <c r="K849" s="162"/>
      <c r="L849" s="148"/>
      <c r="M849" s="161"/>
      <c r="N849" s="146"/>
      <c r="O849" s="162"/>
      <c r="P849" s="148"/>
      <c r="Q849" s="161"/>
      <c r="R849" s="146" t="str">
        <f>IF(Q849&lt;&gt;"", SUMIF(Bets!$D:$D, Q849, Bets!AD:AD), "")</f>
        <v/>
      </c>
      <c r="S849" s="162"/>
      <c r="T849" s="148"/>
      <c r="U849" s="161"/>
      <c r="V849" s="146" t="str">
        <f>IF(U849&lt;&gt;"", SUMIF(Bets!$D:$D, U849, Bets!AE:AE), "")</f>
        <v/>
      </c>
      <c r="W849" s="162"/>
      <c r="X849" s="148"/>
      <c r="Y849" s="161"/>
      <c r="Z849" s="146" t="str">
        <f>IF(Y849&lt;&gt;"", SUMIF(Bets!$D:$D, Y849, Bets!AF:AF), "")</f>
        <v/>
      </c>
      <c r="AA849" s="162"/>
      <c r="AB849" s="148"/>
      <c r="AC849" s="161"/>
      <c r="AD849" s="146" t="str">
        <f>IF(AC849&lt;&gt;"", SUMIF(Bets!$D:$D, AC849, Bets!AG:AG), "")</f>
        <v/>
      </c>
      <c r="AE849" s="162"/>
      <c r="AF849" s="148"/>
    </row>
    <row r="850">
      <c r="A850" s="161"/>
      <c r="B850" s="146" t="str">
        <f>IF(A850&lt;&gt;"", SUMIF(Bets!$D:$D, A850, Bets!Z:Z), "")</f>
        <v/>
      </c>
      <c r="C850" s="162"/>
      <c r="D850" s="148"/>
      <c r="E850" s="161"/>
      <c r="F850" s="146" t="str">
        <f>IF(E850&lt;&gt;"", SUMIF(Bets!$D:$D, E850, Bets!AB:AB), "")</f>
        <v/>
      </c>
      <c r="G850" s="162"/>
      <c r="H850" s="148"/>
      <c r="I850" s="161"/>
      <c r="J850" s="146" t="str">
        <f>IF(I850&lt;&gt;"", SUMIF(Bets!$D:$D, I850, Bets!AA:AA), "")</f>
        <v/>
      </c>
      <c r="K850" s="162"/>
      <c r="L850" s="148"/>
      <c r="M850" s="161"/>
      <c r="N850" s="146"/>
      <c r="O850" s="162"/>
      <c r="P850" s="148"/>
      <c r="Q850" s="161"/>
      <c r="R850" s="146" t="str">
        <f>IF(Q850&lt;&gt;"", SUMIF(Bets!$D:$D, Q850, Bets!AD:AD), "")</f>
        <v/>
      </c>
      <c r="S850" s="162"/>
      <c r="T850" s="148"/>
      <c r="U850" s="161"/>
      <c r="V850" s="146" t="str">
        <f>IF(U850&lt;&gt;"", SUMIF(Bets!$D:$D, U850, Bets!AE:AE), "")</f>
        <v/>
      </c>
      <c r="W850" s="162"/>
      <c r="X850" s="148"/>
      <c r="Y850" s="161"/>
      <c r="Z850" s="146" t="str">
        <f>IF(Y850&lt;&gt;"", SUMIF(Bets!$D:$D, Y850, Bets!AF:AF), "")</f>
        <v/>
      </c>
      <c r="AA850" s="162"/>
      <c r="AB850" s="148"/>
      <c r="AC850" s="161"/>
      <c r="AD850" s="146" t="str">
        <f>IF(AC850&lt;&gt;"", SUMIF(Bets!$D:$D, AC850, Bets!AG:AG), "")</f>
        <v/>
      </c>
      <c r="AE850" s="162"/>
      <c r="AF850" s="148"/>
    </row>
    <row r="851">
      <c r="A851" s="161"/>
      <c r="B851" s="146" t="str">
        <f>IF(A851&lt;&gt;"", SUMIF(Bets!$D:$D, A851, Bets!Z:Z), "")</f>
        <v/>
      </c>
      <c r="C851" s="162"/>
      <c r="D851" s="148"/>
      <c r="E851" s="161"/>
      <c r="F851" s="146" t="str">
        <f>IF(E851&lt;&gt;"", SUMIF(Bets!$D:$D, E851, Bets!AB:AB), "")</f>
        <v/>
      </c>
      <c r="G851" s="162"/>
      <c r="H851" s="148"/>
      <c r="I851" s="161"/>
      <c r="J851" s="146" t="str">
        <f>IF(I851&lt;&gt;"", SUMIF(Bets!$D:$D, I851, Bets!AA:AA), "")</f>
        <v/>
      </c>
      <c r="K851" s="162"/>
      <c r="L851" s="148"/>
      <c r="M851" s="161"/>
      <c r="N851" s="146"/>
      <c r="O851" s="162"/>
      <c r="P851" s="148"/>
      <c r="Q851" s="161"/>
      <c r="R851" s="146" t="str">
        <f>IF(Q851&lt;&gt;"", SUMIF(Bets!$D:$D, Q851, Bets!AD:AD), "")</f>
        <v/>
      </c>
      <c r="S851" s="162"/>
      <c r="T851" s="148"/>
      <c r="U851" s="161"/>
      <c r="V851" s="146" t="str">
        <f>IF(U851&lt;&gt;"", SUMIF(Bets!$D:$D, U851, Bets!AE:AE), "")</f>
        <v/>
      </c>
      <c r="W851" s="162"/>
      <c r="X851" s="148"/>
      <c r="Y851" s="161"/>
      <c r="Z851" s="146" t="str">
        <f>IF(Y851&lt;&gt;"", SUMIF(Bets!$D:$D, Y851, Bets!AF:AF), "")</f>
        <v/>
      </c>
      <c r="AA851" s="162"/>
      <c r="AB851" s="148"/>
      <c r="AC851" s="161"/>
      <c r="AD851" s="146" t="str">
        <f>IF(AC851&lt;&gt;"", SUMIF(Bets!$D:$D, AC851, Bets!AG:AG), "")</f>
        <v/>
      </c>
      <c r="AE851" s="162"/>
      <c r="AF851" s="148"/>
    </row>
    <row r="852">
      <c r="A852" s="161"/>
      <c r="B852" s="146" t="str">
        <f>IF(A852&lt;&gt;"", SUMIF(Bets!$D:$D, A852, Bets!Z:Z), "")</f>
        <v/>
      </c>
      <c r="C852" s="162"/>
      <c r="D852" s="148"/>
      <c r="E852" s="161"/>
      <c r="F852" s="146" t="str">
        <f>IF(E852&lt;&gt;"", SUMIF(Bets!$D:$D, E852, Bets!AB:AB), "")</f>
        <v/>
      </c>
      <c r="G852" s="162"/>
      <c r="H852" s="148"/>
      <c r="I852" s="161"/>
      <c r="J852" s="146" t="str">
        <f>IF(I852&lt;&gt;"", SUMIF(Bets!$D:$D, I852, Bets!AA:AA), "")</f>
        <v/>
      </c>
      <c r="K852" s="162"/>
      <c r="L852" s="148"/>
      <c r="M852" s="161"/>
      <c r="N852" s="146"/>
      <c r="O852" s="162"/>
      <c r="P852" s="148"/>
      <c r="Q852" s="161"/>
      <c r="R852" s="146" t="str">
        <f>IF(Q852&lt;&gt;"", SUMIF(Bets!$D:$D, Q852, Bets!AD:AD), "")</f>
        <v/>
      </c>
      <c r="S852" s="162"/>
      <c r="T852" s="148"/>
      <c r="U852" s="161"/>
      <c r="V852" s="146" t="str">
        <f>IF(U852&lt;&gt;"", SUMIF(Bets!$D:$D, U852, Bets!AE:AE), "")</f>
        <v/>
      </c>
      <c r="W852" s="162"/>
      <c r="X852" s="148"/>
      <c r="Y852" s="161"/>
      <c r="Z852" s="146" t="str">
        <f>IF(Y852&lt;&gt;"", SUMIF(Bets!$D:$D, Y852, Bets!AF:AF), "")</f>
        <v/>
      </c>
      <c r="AA852" s="162"/>
      <c r="AB852" s="148"/>
      <c r="AC852" s="161"/>
      <c r="AD852" s="146" t="str">
        <f>IF(AC852&lt;&gt;"", SUMIF(Bets!$D:$D, AC852, Bets!AG:AG), "")</f>
        <v/>
      </c>
      <c r="AE852" s="162"/>
      <c r="AF852" s="148"/>
    </row>
    <row r="853">
      <c r="A853" s="161"/>
      <c r="B853" s="146" t="str">
        <f>IF(A853&lt;&gt;"", SUMIF(Bets!$D:$D, A853, Bets!Z:Z), "")</f>
        <v/>
      </c>
      <c r="C853" s="162"/>
      <c r="D853" s="148"/>
      <c r="E853" s="161"/>
      <c r="F853" s="146" t="str">
        <f>IF(E853&lt;&gt;"", SUMIF(Bets!$D:$D, E853, Bets!AB:AB), "")</f>
        <v/>
      </c>
      <c r="G853" s="162"/>
      <c r="H853" s="148"/>
      <c r="I853" s="161"/>
      <c r="J853" s="146" t="str">
        <f>IF(I853&lt;&gt;"", SUMIF(Bets!$D:$D, I853, Bets!AA:AA), "")</f>
        <v/>
      </c>
      <c r="K853" s="162"/>
      <c r="L853" s="148"/>
      <c r="M853" s="161"/>
      <c r="N853" s="146"/>
      <c r="O853" s="162"/>
      <c r="P853" s="148"/>
      <c r="Q853" s="161"/>
      <c r="R853" s="146" t="str">
        <f>IF(Q853&lt;&gt;"", SUMIF(Bets!$D:$D, Q853, Bets!AD:AD), "")</f>
        <v/>
      </c>
      <c r="S853" s="162"/>
      <c r="T853" s="148"/>
      <c r="U853" s="161"/>
      <c r="V853" s="146" t="str">
        <f>IF(U853&lt;&gt;"", SUMIF(Bets!$D:$D, U853, Bets!AE:AE), "")</f>
        <v/>
      </c>
      <c r="W853" s="162"/>
      <c r="X853" s="148"/>
      <c r="Y853" s="161"/>
      <c r="Z853" s="146" t="str">
        <f>IF(Y853&lt;&gt;"", SUMIF(Bets!$D:$D, Y853, Bets!AF:AF), "")</f>
        <v/>
      </c>
      <c r="AA853" s="162"/>
      <c r="AB853" s="148"/>
      <c r="AC853" s="161"/>
      <c r="AD853" s="146" t="str">
        <f>IF(AC853&lt;&gt;"", SUMIF(Bets!$D:$D, AC853, Bets!AG:AG), "")</f>
        <v/>
      </c>
      <c r="AE853" s="162"/>
      <c r="AF853" s="148"/>
    </row>
    <row r="854">
      <c r="A854" s="161"/>
      <c r="B854" s="146" t="str">
        <f>IF(A854&lt;&gt;"", SUMIF(Bets!$D:$D, A854, Bets!Z:Z), "")</f>
        <v/>
      </c>
      <c r="C854" s="162"/>
      <c r="D854" s="148"/>
      <c r="E854" s="161"/>
      <c r="F854" s="146" t="str">
        <f>IF(E854&lt;&gt;"", SUMIF(Bets!$D:$D, E854, Bets!AB:AB), "")</f>
        <v/>
      </c>
      <c r="G854" s="162"/>
      <c r="H854" s="148"/>
      <c r="I854" s="161"/>
      <c r="J854" s="146" t="str">
        <f>IF(I854&lt;&gt;"", SUMIF(Bets!$D:$D, I854, Bets!AA:AA), "")</f>
        <v/>
      </c>
      <c r="K854" s="162"/>
      <c r="L854" s="148"/>
      <c r="M854" s="161"/>
      <c r="N854" s="146"/>
      <c r="O854" s="162"/>
      <c r="P854" s="148"/>
      <c r="Q854" s="161"/>
      <c r="R854" s="146" t="str">
        <f>IF(Q854&lt;&gt;"", SUMIF(Bets!$D:$D, Q854, Bets!AD:AD), "")</f>
        <v/>
      </c>
      <c r="S854" s="162"/>
      <c r="T854" s="148"/>
      <c r="U854" s="161"/>
      <c r="V854" s="146" t="str">
        <f>IF(U854&lt;&gt;"", SUMIF(Bets!$D:$D, U854, Bets!AE:AE), "")</f>
        <v/>
      </c>
      <c r="W854" s="162"/>
      <c r="X854" s="148"/>
      <c r="Y854" s="161"/>
      <c r="Z854" s="146" t="str">
        <f>IF(Y854&lt;&gt;"", SUMIF(Bets!$D:$D, Y854, Bets!AF:AF), "")</f>
        <v/>
      </c>
      <c r="AA854" s="162"/>
      <c r="AB854" s="148"/>
      <c r="AC854" s="161"/>
      <c r="AD854" s="146" t="str">
        <f>IF(AC854&lt;&gt;"", SUMIF(Bets!$D:$D, AC854, Bets!AG:AG), "")</f>
        <v/>
      </c>
      <c r="AE854" s="162"/>
      <c r="AF854" s="148"/>
    </row>
    <row r="855">
      <c r="A855" s="161"/>
      <c r="B855" s="146" t="str">
        <f>IF(A855&lt;&gt;"", SUMIF(Bets!$D:$D, A855, Bets!Z:Z), "")</f>
        <v/>
      </c>
      <c r="C855" s="162"/>
      <c r="D855" s="148"/>
      <c r="E855" s="161"/>
      <c r="F855" s="146" t="str">
        <f>IF(E855&lt;&gt;"", SUMIF(Bets!$D:$D, E855, Bets!AB:AB), "")</f>
        <v/>
      </c>
      <c r="G855" s="162"/>
      <c r="H855" s="148"/>
      <c r="I855" s="161"/>
      <c r="J855" s="146" t="str">
        <f>IF(I855&lt;&gt;"", SUMIF(Bets!$D:$D, I855, Bets!AA:AA), "")</f>
        <v/>
      </c>
      <c r="K855" s="162"/>
      <c r="L855" s="148"/>
      <c r="M855" s="161"/>
      <c r="N855" s="146"/>
      <c r="O855" s="162"/>
      <c r="P855" s="148"/>
      <c r="Q855" s="161"/>
      <c r="R855" s="146" t="str">
        <f>IF(Q855&lt;&gt;"", SUMIF(Bets!$D:$D, Q855, Bets!AD:AD), "")</f>
        <v/>
      </c>
      <c r="S855" s="162"/>
      <c r="T855" s="148"/>
      <c r="U855" s="161"/>
      <c r="V855" s="146" t="str">
        <f>IF(U855&lt;&gt;"", SUMIF(Bets!$D:$D, U855, Bets!AE:AE), "")</f>
        <v/>
      </c>
      <c r="W855" s="162"/>
      <c r="X855" s="148"/>
      <c r="Y855" s="161"/>
      <c r="Z855" s="146" t="str">
        <f>IF(Y855&lt;&gt;"", SUMIF(Bets!$D:$D, Y855, Bets!AF:AF), "")</f>
        <v/>
      </c>
      <c r="AA855" s="162"/>
      <c r="AB855" s="148"/>
      <c r="AC855" s="161"/>
      <c r="AD855" s="146" t="str">
        <f>IF(AC855&lt;&gt;"", SUMIF(Bets!$D:$D, AC855, Bets!AG:AG), "")</f>
        <v/>
      </c>
      <c r="AE855" s="162"/>
      <c r="AF855" s="148"/>
    </row>
    <row r="856">
      <c r="A856" s="161"/>
      <c r="B856" s="146" t="str">
        <f>IF(A856&lt;&gt;"", SUMIF(Bets!$D:$D, A856, Bets!Z:Z), "")</f>
        <v/>
      </c>
      <c r="C856" s="162"/>
      <c r="D856" s="148"/>
      <c r="E856" s="161"/>
      <c r="F856" s="146" t="str">
        <f>IF(E856&lt;&gt;"", SUMIF(Bets!$D:$D, E856, Bets!AB:AB), "")</f>
        <v/>
      </c>
      <c r="G856" s="162"/>
      <c r="H856" s="148"/>
      <c r="I856" s="161"/>
      <c r="J856" s="146" t="str">
        <f>IF(I856&lt;&gt;"", SUMIF(Bets!$D:$D, I856, Bets!AA:AA), "")</f>
        <v/>
      </c>
      <c r="K856" s="162"/>
      <c r="L856" s="148"/>
      <c r="M856" s="161"/>
      <c r="N856" s="146"/>
      <c r="O856" s="162"/>
      <c r="P856" s="148"/>
      <c r="Q856" s="161"/>
      <c r="R856" s="146" t="str">
        <f>IF(Q856&lt;&gt;"", SUMIF(Bets!$D:$D, Q856, Bets!AD:AD), "")</f>
        <v/>
      </c>
      <c r="S856" s="162"/>
      <c r="T856" s="148"/>
      <c r="U856" s="161"/>
      <c r="V856" s="146" t="str">
        <f>IF(U856&lt;&gt;"", SUMIF(Bets!$D:$D, U856, Bets!AE:AE), "")</f>
        <v/>
      </c>
      <c r="W856" s="162"/>
      <c r="X856" s="148"/>
      <c r="Y856" s="161"/>
      <c r="Z856" s="146" t="str">
        <f>IF(Y856&lt;&gt;"", SUMIF(Bets!$D:$D, Y856, Bets!AF:AF), "")</f>
        <v/>
      </c>
      <c r="AA856" s="162"/>
      <c r="AB856" s="148"/>
      <c r="AC856" s="161"/>
      <c r="AD856" s="146" t="str">
        <f>IF(AC856&lt;&gt;"", SUMIF(Bets!$D:$D, AC856, Bets!AG:AG), "")</f>
        <v/>
      </c>
      <c r="AE856" s="162"/>
      <c r="AF856" s="148"/>
    </row>
    <row r="857">
      <c r="A857" s="161"/>
      <c r="B857" s="146" t="str">
        <f>IF(A857&lt;&gt;"", SUMIF(Bets!$D:$D, A857, Bets!Z:Z), "")</f>
        <v/>
      </c>
      <c r="C857" s="162"/>
      <c r="D857" s="148"/>
      <c r="E857" s="161"/>
      <c r="F857" s="146" t="str">
        <f>IF(E857&lt;&gt;"", SUMIF(Bets!$D:$D, E857, Bets!AB:AB), "")</f>
        <v/>
      </c>
      <c r="G857" s="162"/>
      <c r="H857" s="148"/>
      <c r="I857" s="161"/>
      <c r="J857" s="146" t="str">
        <f>IF(I857&lt;&gt;"", SUMIF(Bets!$D:$D, I857, Bets!AA:AA), "")</f>
        <v/>
      </c>
      <c r="K857" s="162"/>
      <c r="L857" s="148"/>
      <c r="M857" s="161"/>
      <c r="N857" s="146"/>
      <c r="O857" s="162"/>
      <c r="P857" s="148"/>
      <c r="Q857" s="161"/>
      <c r="R857" s="146" t="str">
        <f>IF(Q857&lt;&gt;"", SUMIF(Bets!$D:$D, Q857, Bets!AD:AD), "")</f>
        <v/>
      </c>
      <c r="S857" s="162"/>
      <c r="T857" s="148"/>
      <c r="U857" s="161"/>
      <c r="V857" s="146" t="str">
        <f>IF(U857&lt;&gt;"", SUMIF(Bets!$D:$D, U857, Bets!AE:AE), "")</f>
        <v/>
      </c>
      <c r="W857" s="162"/>
      <c r="X857" s="148"/>
      <c r="Y857" s="161"/>
      <c r="Z857" s="146" t="str">
        <f>IF(Y857&lt;&gt;"", SUMIF(Bets!$D:$D, Y857, Bets!AF:AF), "")</f>
        <v/>
      </c>
      <c r="AA857" s="162"/>
      <c r="AB857" s="148"/>
      <c r="AC857" s="161"/>
      <c r="AD857" s="146" t="str">
        <f>IF(AC857&lt;&gt;"", SUMIF(Bets!$D:$D, AC857, Bets!AG:AG), "")</f>
        <v/>
      </c>
      <c r="AE857" s="162"/>
      <c r="AF857" s="148"/>
    </row>
    <row r="858">
      <c r="A858" s="161"/>
      <c r="B858" s="146" t="str">
        <f>IF(A858&lt;&gt;"", SUMIF(Bets!$D:$D, A858, Bets!Z:Z), "")</f>
        <v/>
      </c>
      <c r="C858" s="162"/>
      <c r="D858" s="148"/>
      <c r="E858" s="161"/>
      <c r="F858" s="146" t="str">
        <f>IF(E858&lt;&gt;"", SUMIF(Bets!$D:$D, E858, Bets!AB:AB), "")</f>
        <v/>
      </c>
      <c r="G858" s="162"/>
      <c r="H858" s="148"/>
      <c r="I858" s="161"/>
      <c r="J858" s="146" t="str">
        <f>IF(I858&lt;&gt;"", SUMIF(Bets!$D:$D, I858, Bets!AA:AA), "")</f>
        <v/>
      </c>
      <c r="K858" s="162"/>
      <c r="L858" s="148"/>
      <c r="M858" s="161"/>
      <c r="N858" s="146"/>
      <c r="O858" s="162"/>
      <c r="P858" s="148"/>
      <c r="Q858" s="161"/>
      <c r="R858" s="146" t="str">
        <f>IF(Q858&lt;&gt;"", SUMIF(Bets!$D:$D, Q858, Bets!AD:AD), "")</f>
        <v/>
      </c>
      <c r="S858" s="162"/>
      <c r="T858" s="148"/>
      <c r="U858" s="161"/>
      <c r="V858" s="146" t="str">
        <f>IF(U858&lt;&gt;"", SUMIF(Bets!$D:$D, U858, Bets!AE:AE), "")</f>
        <v/>
      </c>
      <c r="W858" s="162"/>
      <c r="X858" s="148"/>
      <c r="Y858" s="161"/>
      <c r="Z858" s="146" t="str">
        <f>IF(Y858&lt;&gt;"", SUMIF(Bets!$D:$D, Y858, Bets!AF:AF), "")</f>
        <v/>
      </c>
      <c r="AA858" s="162"/>
      <c r="AB858" s="148"/>
      <c r="AC858" s="161"/>
      <c r="AD858" s="146" t="str">
        <f>IF(AC858&lt;&gt;"", SUMIF(Bets!$D:$D, AC858, Bets!AG:AG), "")</f>
        <v/>
      </c>
      <c r="AE858" s="162"/>
      <c r="AF858" s="148"/>
    </row>
    <row r="859">
      <c r="A859" s="161"/>
      <c r="B859" s="146" t="str">
        <f>IF(A859&lt;&gt;"", SUMIF(Bets!$D:$D, A859, Bets!Z:Z), "")</f>
        <v/>
      </c>
      <c r="C859" s="162"/>
      <c r="D859" s="148"/>
      <c r="E859" s="161"/>
      <c r="F859" s="146" t="str">
        <f>IF(E859&lt;&gt;"", SUMIF(Bets!$D:$D, E859, Bets!AB:AB), "")</f>
        <v/>
      </c>
      <c r="G859" s="162"/>
      <c r="H859" s="148"/>
      <c r="I859" s="161"/>
      <c r="J859" s="146" t="str">
        <f>IF(I859&lt;&gt;"", SUMIF(Bets!$D:$D, I859, Bets!AA:AA), "")</f>
        <v/>
      </c>
      <c r="K859" s="162"/>
      <c r="L859" s="148"/>
      <c r="M859" s="161"/>
      <c r="N859" s="146"/>
      <c r="O859" s="162"/>
      <c r="P859" s="148"/>
      <c r="Q859" s="161"/>
      <c r="R859" s="146" t="str">
        <f>IF(Q859&lt;&gt;"", SUMIF(Bets!$D:$D, Q859, Bets!AD:AD), "")</f>
        <v/>
      </c>
      <c r="S859" s="162"/>
      <c r="T859" s="148"/>
      <c r="U859" s="161"/>
      <c r="V859" s="146" t="str">
        <f>IF(U859&lt;&gt;"", SUMIF(Bets!$D:$D, U859, Bets!AE:AE), "")</f>
        <v/>
      </c>
      <c r="W859" s="162"/>
      <c r="X859" s="148"/>
      <c r="Y859" s="161"/>
      <c r="Z859" s="146" t="str">
        <f>IF(Y859&lt;&gt;"", SUMIF(Bets!$D:$D, Y859, Bets!AF:AF), "")</f>
        <v/>
      </c>
      <c r="AA859" s="162"/>
      <c r="AB859" s="148"/>
      <c r="AC859" s="161"/>
      <c r="AD859" s="146" t="str">
        <f>IF(AC859&lt;&gt;"", SUMIF(Bets!$D:$D, AC859, Bets!AG:AG), "")</f>
        <v/>
      </c>
      <c r="AE859" s="162"/>
      <c r="AF859" s="148"/>
    </row>
    <row r="860">
      <c r="A860" s="161"/>
      <c r="B860" s="146" t="str">
        <f>IF(A860&lt;&gt;"", SUMIF(Bets!$D:$D, A860, Bets!Z:Z), "")</f>
        <v/>
      </c>
      <c r="C860" s="162"/>
      <c r="D860" s="148"/>
      <c r="E860" s="161"/>
      <c r="F860" s="146" t="str">
        <f>IF(E860&lt;&gt;"", SUMIF(Bets!$D:$D, E860, Bets!AB:AB), "")</f>
        <v/>
      </c>
      <c r="G860" s="162"/>
      <c r="H860" s="148"/>
      <c r="I860" s="161"/>
      <c r="J860" s="146" t="str">
        <f>IF(I860&lt;&gt;"", SUMIF(Bets!$D:$D, I860, Bets!AA:AA), "")</f>
        <v/>
      </c>
      <c r="K860" s="162"/>
      <c r="L860" s="148"/>
      <c r="M860" s="161"/>
      <c r="N860" s="146"/>
      <c r="O860" s="162"/>
      <c r="P860" s="148"/>
      <c r="Q860" s="161"/>
      <c r="R860" s="146" t="str">
        <f>IF(Q860&lt;&gt;"", SUMIF(Bets!$D:$D, Q860, Bets!AD:AD), "")</f>
        <v/>
      </c>
      <c r="S860" s="162"/>
      <c r="T860" s="148"/>
      <c r="U860" s="161"/>
      <c r="V860" s="146" t="str">
        <f>IF(U860&lt;&gt;"", SUMIF(Bets!$D:$D, U860, Bets!AE:AE), "")</f>
        <v/>
      </c>
      <c r="W860" s="162"/>
      <c r="X860" s="148"/>
      <c r="Y860" s="161"/>
      <c r="Z860" s="146" t="str">
        <f>IF(Y860&lt;&gt;"", SUMIF(Bets!$D:$D, Y860, Bets!AF:AF), "")</f>
        <v/>
      </c>
      <c r="AA860" s="162"/>
      <c r="AB860" s="148"/>
      <c r="AC860" s="161"/>
      <c r="AD860" s="146" t="str">
        <f>IF(AC860&lt;&gt;"", SUMIF(Bets!$D:$D, AC860, Bets!AG:AG), "")</f>
        <v/>
      </c>
      <c r="AE860" s="162"/>
      <c r="AF860" s="148"/>
    </row>
    <row r="861">
      <c r="A861" s="161"/>
      <c r="B861" s="146" t="str">
        <f>IF(A861&lt;&gt;"", SUMIF(Bets!$D:$D, A861, Bets!Z:Z), "")</f>
        <v/>
      </c>
      <c r="C861" s="162"/>
      <c r="D861" s="148"/>
      <c r="E861" s="161"/>
      <c r="F861" s="146" t="str">
        <f>IF(E861&lt;&gt;"", SUMIF(Bets!$D:$D, E861, Bets!AB:AB), "")</f>
        <v/>
      </c>
      <c r="G861" s="162"/>
      <c r="H861" s="148"/>
      <c r="I861" s="161"/>
      <c r="J861" s="146" t="str">
        <f>IF(I861&lt;&gt;"", SUMIF(Bets!$D:$D, I861, Bets!AA:AA), "")</f>
        <v/>
      </c>
      <c r="K861" s="162"/>
      <c r="L861" s="148"/>
      <c r="M861" s="161"/>
      <c r="N861" s="146"/>
      <c r="O861" s="162"/>
      <c r="P861" s="148"/>
      <c r="Q861" s="161"/>
      <c r="R861" s="146" t="str">
        <f>IF(Q861&lt;&gt;"", SUMIF(Bets!$D:$D, Q861, Bets!AD:AD), "")</f>
        <v/>
      </c>
      <c r="S861" s="162"/>
      <c r="T861" s="148"/>
      <c r="U861" s="161"/>
      <c r="V861" s="146" t="str">
        <f>IF(U861&lt;&gt;"", SUMIF(Bets!$D:$D, U861, Bets!AE:AE), "")</f>
        <v/>
      </c>
      <c r="W861" s="162"/>
      <c r="X861" s="148"/>
      <c r="Y861" s="161"/>
      <c r="Z861" s="146" t="str">
        <f>IF(Y861&lt;&gt;"", SUMIF(Bets!$D:$D, Y861, Bets!AF:AF), "")</f>
        <v/>
      </c>
      <c r="AA861" s="162"/>
      <c r="AB861" s="148"/>
      <c r="AC861" s="161"/>
      <c r="AD861" s="146" t="str">
        <f>IF(AC861&lt;&gt;"", SUMIF(Bets!$D:$D, AC861, Bets!AG:AG), "")</f>
        <v/>
      </c>
      <c r="AE861" s="162"/>
      <c r="AF861" s="148"/>
    </row>
    <row r="862">
      <c r="A862" s="161"/>
      <c r="B862" s="146" t="str">
        <f>IF(A862&lt;&gt;"", SUMIF(Bets!$D:$D, A862, Bets!Z:Z), "")</f>
        <v/>
      </c>
      <c r="C862" s="162"/>
      <c r="D862" s="148"/>
      <c r="E862" s="161"/>
      <c r="F862" s="146" t="str">
        <f>IF(E862&lt;&gt;"", SUMIF(Bets!$D:$D, E862, Bets!AB:AB), "")</f>
        <v/>
      </c>
      <c r="G862" s="162"/>
      <c r="H862" s="148"/>
      <c r="I862" s="161"/>
      <c r="J862" s="146" t="str">
        <f>IF(I862&lt;&gt;"", SUMIF(Bets!$D:$D, I862, Bets!AA:AA), "")</f>
        <v/>
      </c>
      <c r="K862" s="162"/>
      <c r="L862" s="148"/>
      <c r="M862" s="161"/>
      <c r="N862" s="146"/>
      <c r="O862" s="162"/>
      <c r="P862" s="148"/>
      <c r="Q862" s="161"/>
      <c r="R862" s="146" t="str">
        <f>IF(Q862&lt;&gt;"", SUMIF(Bets!$D:$D, Q862, Bets!AD:AD), "")</f>
        <v/>
      </c>
      <c r="S862" s="162"/>
      <c r="T862" s="148"/>
      <c r="U862" s="161"/>
      <c r="V862" s="146" t="str">
        <f>IF(U862&lt;&gt;"", SUMIF(Bets!$D:$D, U862, Bets!AE:AE), "")</f>
        <v/>
      </c>
      <c r="W862" s="162"/>
      <c r="X862" s="148"/>
      <c r="Y862" s="161"/>
      <c r="Z862" s="146" t="str">
        <f>IF(Y862&lt;&gt;"", SUMIF(Bets!$D:$D, Y862, Bets!AF:AF), "")</f>
        <v/>
      </c>
      <c r="AA862" s="162"/>
      <c r="AB862" s="148"/>
      <c r="AC862" s="161"/>
      <c r="AD862" s="146" t="str">
        <f>IF(AC862&lt;&gt;"", SUMIF(Bets!$D:$D, AC862, Bets!AG:AG), "")</f>
        <v/>
      </c>
      <c r="AE862" s="162"/>
      <c r="AF862" s="148"/>
    </row>
    <row r="863">
      <c r="A863" s="161"/>
      <c r="B863" s="146" t="str">
        <f>IF(A863&lt;&gt;"", SUMIF(Bets!$D:$D, A863, Bets!Z:Z), "")</f>
        <v/>
      </c>
      <c r="C863" s="162"/>
      <c r="D863" s="148"/>
      <c r="E863" s="161"/>
      <c r="F863" s="146" t="str">
        <f>IF(E863&lt;&gt;"", SUMIF(Bets!$D:$D, E863, Bets!AB:AB), "")</f>
        <v/>
      </c>
      <c r="G863" s="162"/>
      <c r="H863" s="148"/>
      <c r="I863" s="161"/>
      <c r="J863" s="146" t="str">
        <f>IF(I863&lt;&gt;"", SUMIF(Bets!$D:$D, I863, Bets!AA:AA), "")</f>
        <v/>
      </c>
      <c r="K863" s="162"/>
      <c r="L863" s="148"/>
      <c r="M863" s="161"/>
      <c r="N863" s="146"/>
      <c r="O863" s="162"/>
      <c r="P863" s="148"/>
      <c r="Q863" s="161"/>
      <c r="R863" s="146" t="str">
        <f>IF(Q863&lt;&gt;"", SUMIF(Bets!$D:$D, Q863, Bets!AD:AD), "")</f>
        <v/>
      </c>
      <c r="S863" s="162"/>
      <c r="T863" s="148"/>
      <c r="U863" s="161"/>
      <c r="V863" s="146" t="str">
        <f>IF(U863&lt;&gt;"", SUMIF(Bets!$D:$D, U863, Bets!AE:AE), "")</f>
        <v/>
      </c>
      <c r="W863" s="162"/>
      <c r="X863" s="148"/>
      <c r="Y863" s="161"/>
      <c r="Z863" s="146" t="str">
        <f>IF(Y863&lt;&gt;"", SUMIF(Bets!$D:$D, Y863, Bets!AF:AF), "")</f>
        <v/>
      </c>
      <c r="AA863" s="162"/>
      <c r="AB863" s="148"/>
      <c r="AC863" s="161"/>
      <c r="AD863" s="146" t="str">
        <f>IF(AC863&lt;&gt;"", SUMIF(Bets!$D:$D, AC863, Bets!AG:AG), "")</f>
        <v/>
      </c>
      <c r="AE863" s="162"/>
      <c r="AF863" s="148"/>
    </row>
    <row r="864">
      <c r="A864" s="161"/>
      <c r="B864" s="146" t="str">
        <f>IF(A864&lt;&gt;"", SUMIF(Bets!$D:$D, A864, Bets!Z:Z), "")</f>
        <v/>
      </c>
      <c r="C864" s="162"/>
      <c r="D864" s="148"/>
      <c r="E864" s="161"/>
      <c r="F864" s="146" t="str">
        <f>IF(E864&lt;&gt;"", SUMIF(Bets!$D:$D, E864, Bets!AB:AB), "")</f>
        <v/>
      </c>
      <c r="G864" s="162"/>
      <c r="H864" s="148"/>
      <c r="I864" s="161"/>
      <c r="J864" s="146" t="str">
        <f>IF(I864&lt;&gt;"", SUMIF(Bets!$D:$D, I864, Bets!AA:AA), "")</f>
        <v/>
      </c>
      <c r="K864" s="162"/>
      <c r="L864" s="148"/>
      <c r="M864" s="161"/>
      <c r="N864" s="146"/>
      <c r="O864" s="162"/>
      <c r="P864" s="148"/>
      <c r="Q864" s="161"/>
      <c r="R864" s="146" t="str">
        <f>IF(Q864&lt;&gt;"", SUMIF(Bets!$D:$D, Q864, Bets!AD:AD), "")</f>
        <v/>
      </c>
      <c r="S864" s="162"/>
      <c r="T864" s="148"/>
      <c r="U864" s="161"/>
      <c r="V864" s="146" t="str">
        <f>IF(U864&lt;&gt;"", SUMIF(Bets!$D:$D, U864, Bets!AE:AE), "")</f>
        <v/>
      </c>
      <c r="W864" s="162"/>
      <c r="X864" s="148"/>
      <c r="Y864" s="161"/>
      <c r="Z864" s="146" t="str">
        <f>IF(Y864&lt;&gt;"", SUMIF(Bets!$D:$D, Y864, Bets!AF:AF), "")</f>
        <v/>
      </c>
      <c r="AA864" s="162"/>
      <c r="AB864" s="148"/>
      <c r="AC864" s="161"/>
      <c r="AD864" s="146" t="str">
        <f>IF(AC864&lt;&gt;"", SUMIF(Bets!$D:$D, AC864, Bets!AG:AG), "")</f>
        <v/>
      </c>
      <c r="AE864" s="162"/>
      <c r="AF864" s="148"/>
    </row>
    <row r="865">
      <c r="A865" s="161"/>
      <c r="B865" s="146" t="str">
        <f>IF(A865&lt;&gt;"", SUMIF(Bets!$D:$D, A865, Bets!Z:Z), "")</f>
        <v/>
      </c>
      <c r="C865" s="162"/>
      <c r="D865" s="148"/>
      <c r="E865" s="161"/>
      <c r="F865" s="146" t="str">
        <f>IF(E865&lt;&gt;"", SUMIF(Bets!$D:$D, E865, Bets!AB:AB), "")</f>
        <v/>
      </c>
      <c r="G865" s="162"/>
      <c r="H865" s="148"/>
      <c r="I865" s="161"/>
      <c r="J865" s="146" t="str">
        <f>IF(I865&lt;&gt;"", SUMIF(Bets!$D:$D, I865, Bets!AA:AA), "")</f>
        <v/>
      </c>
      <c r="K865" s="162"/>
      <c r="L865" s="148"/>
      <c r="M865" s="161"/>
      <c r="N865" s="146"/>
      <c r="O865" s="162"/>
      <c r="P865" s="148"/>
      <c r="Q865" s="161"/>
      <c r="R865" s="146" t="str">
        <f>IF(Q865&lt;&gt;"", SUMIF(Bets!$D:$D, Q865, Bets!AD:AD), "")</f>
        <v/>
      </c>
      <c r="S865" s="162"/>
      <c r="T865" s="148"/>
      <c r="U865" s="161"/>
      <c r="V865" s="146" t="str">
        <f>IF(U865&lt;&gt;"", SUMIF(Bets!$D:$D, U865, Bets!AE:AE), "")</f>
        <v/>
      </c>
      <c r="W865" s="162"/>
      <c r="X865" s="148"/>
      <c r="Y865" s="161"/>
      <c r="Z865" s="146" t="str">
        <f>IF(Y865&lt;&gt;"", SUMIF(Bets!$D:$D, Y865, Bets!AF:AF), "")</f>
        <v/>
      </c>
      <c r="AA865" s="162"/>
      <c r="AB865" s="148"/>
      <c r="AC865" s="161"/>
      <c r="AD865" s="146" t="str">
        <f>IF(AC865&lt;&gt;"", SUMIF(Bets!$D:$D, AC865, Bets!AG:AG), "")</f>
        <v/>
      </c>
      <c r="AE865" s="162"/>
      <c r="AF865" s="148"/>
    </row>
    <row r="866">
      <c r="A866" s="161"/>
      <c r="B866" s="146" t="str">
        <f>IF(A866&lt;&gt;"", SUMIF(Bets!$D:$D, A866, Bets!Z:Z), "")</f>
        <v/>
      </c>
      <c r="C866" s="162"/>
      <c r="D866" s="148"/>
      <c r="E866" s="161"/>
      <c r="F866" s="146" t="str">
        <f>IF(E866&lt;&gt;"", SUMIF(Bets!$D:$D, E866, Bets!AB:AB), "")</f>
        <v/>
      </c>
      <c r="G866" s="162"/>
      <c r="H866" s="148"/>
      <c r="I866" s="161"/>
      <c r="J866" s="146" t="str">
        <f>IF(I866&lt;&gt;"", SUMIF(Bets!$D:$D, I866, Bets!AA:AA), "")</f>
        <v/>
      </c>
      <c r="K866" s="162"/>
      <c r="L866" s="148"/>
      <c r="M866" s="161"/>
      <c r="N866" s="146"/>
      <c r="O866" s="162"/>
      <c r="P866" s="148"/>
      <c r="Q866" s="161"/>
      <c r="R866" s="146" t="str">
        <f>IF(Q866&lt;&gt;"", SUMIF(Bets!$D:$D, Q866, Bets!AD:AD), "")</f>
        <v/>
      </c>
      <c r="S866" s="162"/>
      <c r="T866" s="148"/>
      <c r="U866" s="161"/>
      <c r="V866" s="146" t="str">
        <f>IF(U866&lt;&gt;"", SUMIF(Bets!$D:$D, U866, Bets!AE:AE), "")</f>
        <v/>
      </c>
      <c r="W866" s="162"/>
      <c r="X866" s="148"/>
      <c r="Y866" s="161"/>
      <c r="Z866" s="146" t="str">
        <f>IF(Y866&lt;&gt;"", SUMIF(Bets!$D:$D, Y866, Bets!AF:AF), "")</f>
        <v/>
      </c>
      <c r="AA866" s="162"/>
      <c r="AB866" s="148"/>
      <c r="AC866" s="161"/>
      <c r="AD866" s="146" t="str">
        <f>IF(AC866&lt;&gt;"", SUMIF(Bets!$D:$D, AC866, Bets!AG:AG), "")</f>
        <v/>
      </c>
      <c r="AE866" s="162"/>
      <c r="AF866" s="148"/>
    </row>
    <row r="867">
      <c r="A867" s="161"/>
      <c r="B867" s="146" t="str">
        <f>IF(A867&lt;&gt;"", SUMIF(Bets!$D:$D, A867, Bets!Z:Z), "")</f>
        <v/>
      </c>
      <c r="C867" s="162"/>
      <c r="D867" s="148"/>
      <c r="E867" s="161"/>
      <c r="F867" s="146" t="str">
        <f>IF(E867&lt;&gt;"", SUMIF(Bets!$D:$D, E867, Bets!AB:AB), "")</f>
        <v/>
      </c>
      <c r="G867" s="162"/>
      <c r="H867" s="148"/>
      <c r="I867" s="161"/>
      <c r="J867" s="146" t="str">
        <f>IF(I867&lt;&gt;"", SUMIF(Bets!$D:$D, I867, Bets!AA:AA), "")</f>
        <v/>
      </c>
      <c r="K867" s="162"/>
      <c r="L867" s="148"/>
      <c r="M867" s="161"/>
      <c r="N867" s="146"/>
      <c r="O867" s="162"/>
      <c r="P867" s="148"/>
      <c r="Q867" s="161"/>
      <c r="R867" s="146" t="str">
        <f>IF(Q867&lt;&gt;"", SUMIF(Bets!$D:$D, Q867, Bets!AD:AD), "")</f>
        <v/>
      </c>
      <c r="S867" s="162"/>
      <c r="T867" s="148"/>
      <c r="U867" s="161"/>
      <c r="V867" s="146" t="str">
        <f>IF(U867&lt;&gt;"", SUMIF(Bets!$D:$D, U867, Bets!AE:AE), "")</f>
        <v/>
      </c>
      <c r="W867" s="162"/>
      <c r="X867" s="148"/>
      <c r="Y867" s="161"/>
      <c r="Z867" s="146" t="str">
        <f>IF(Y867&lt;&gt;"", SUMIF(Bets!$D:$D, Y867, Bets!AF:AF), "")</f>
        <v/>
      </c>
      <c r="AA867" s="162"/>
      <c r="AB867" s="148"/>
      <c r="AC867" s="161"/>
      <c r="AD867" s="146" t="str">
        <f>IF(AC867&lt;&gt;"", SUMIF(Bets!$D:$D, AC867, Bets!AG:AG), "")</f>
        <v/>
      </c>
      <c r="AE867" s="162"/>
      <c r="AF867" s="148"/>
    </row>
    <row r="868">
      <c r="A868" s="161"/>
      <c r="B868" s="146" t="str">
        <f>IF(A868&lt;&gt;"", SUMIF(Bets!$D:$D, A868, Bets!Z:Z), "")</f>
        <v/>
      </c>
      <c r="C868" s="162"/>
      <c r="D868" s="148"/>
      <c r="E868" s="161"/>
      <c r="F868" s="146" t="str">
        <f>IF(E868&lt;&gt;"", SUMIF(Bets!$D:$D, E868, Bets!AB:AB), "")</f>
        <v/>
      </c>
      <c r="G868" s="162"/>
      <c r="H868" s="148"/>
      <c r="I868" s="161"/>
      <c r="J868" s="146" t="str">
        <f>IF(I868&lt;&gt;"", SUMIF(Bets!$D:$D, I868, Bets!AA:AA), "")</f>
        <v/>
      </c>
      <c r="K868" s="162"/>
      <c r="L868" s="148"/>
      <c r="M868" s="161"/>
      <c r="N868" s="146"/>
      <c r="O868" s="162"/>
      <c r="P868" s="148"/>
      <c r="Q868" s="161"/>
      <c r="R868" s="146" t="str">
        <f>IF(Q868&lt;&gt;"", SUMIF(Bets!$D:$D, Q868, Bets!AD:AD), "")</f>
        <v/>
      </c>
      <c r="S868" s="162"/>
      <c r="T868" s="148"/>
      <c r="U868" s="161"/>
      <c r="V868" s="146" t="str">
        <f>IF(U868&lt;&gt;"", SUMIF(Bets!$D:$D, U868, Bets!AE:AE), "")</f>
        <v/>
      </c>
      <c r="W868" s="162"/>
      <c r="X868" s="148"/>
      <c r="Y868" s="161"/>
      <c r="Z868" s="146" t="str">
        <f>IF(Y868&lt;&gt;"", SUMIF(Bets!$D:$D, Y868, Bets!AF:AF), "")</f>
        <v/>
      </c>
      <c r="AA868" s="162"/>
      <c r="AB868" s="148"/>
      <c r="AC868" s="161"/>
      <c r="AD868" s="146" t="str">
        <f>IF(AC868&lt;&gt;"", SUMIF(Bets!$D:$D, AC868, Bets!AG:AG), "")</f>
        <v/>
      </c>
      <c r="AE868" s="162"/>
      <c r="AF868" s="148"/>
    </row>
    <row r="869">
      <c r="A869" s="161"/>
      <c r="B869" s="146" t="str">
        <f>IF(A869&lt;&gt;"", SUMIF(Bets!$D:$D, A869, Bets!Z:Z), "")</f>
        <v/>
      </c>
      <c r="C869" s="162"/>
      <c r="D869" s="148"/>
      <c r="E869" s="161"/>
      <c r="F869" s="146" t="str">
        <f>IF(E869&lt;&gt;"", SUMIF(Bets!$D:$D, E869, Bets!AB:AB), "")</f>
        <v/>
      </c>
      <c r="G869" s="162"/>
      <c r="H869" s="148"/>
      <c r="I869" s="161"/>
      <c r="J869" s="146" t="str">
        <f>IF(I869&lt;&gt;"", SUMIF(Bets!$D:$D, I869, Bets!AA:AA), "")</f>
        <v/>
      </c>
      <c r="K869" s="162"/>
      <c r="L869" s="148"/>
      <c r="M869" s="161"/>
      <c r="N869" s="146"/>
      <c r="O869" s="162"/>
      <c r="P869" s="148"/>
      <c r="Q869" s="161"/>
      <c r="R869" s="146" t="str">
        <f>IF(Q869&lt;&gt;"", SUMIF(Bets!$D:$D, Q869, Bets!AD:AD), "")</f>
        <v/>
      </c>
      <c r="S869" s="162"/>
      <c r="T869" s="148"/>
      <c r="U869" s="161"/>
      <c r="V869" s="146" t="str">
        <f>IF(U869&lt;&gt;"", SUMIF(Bets!$D:$D, U869, Bets!AE:AE), "")</f>
        <v/>
      </c>
      <c r="W869" s="162"/>
      <c r="X869" s="148"/>
      <c r="Y869" s="161"/>
      <c r="Z869" s="146" t="str">
        <f>IF(Y869&lt;&gt;"", SUMIF(Bets!$D:$D, Y869, Bets!AF:AF), "")</f>
        <v/>
      </c>
      <c r="AA869" s="162"/>
      <c r="AB869" s="148"/>
      <c r="AC869" s="161"/>
      <c r="AD869" s="146" t="str">
        <f>IF(AC869&lt;&gt;"", SUMIF(Bets!$D:$D, AC869, Bets!AG:AG), "")</f>
        <v/>
      </c>
      <c r="AE869" s="162"/>
      <c r="AF869" s="148"/>
    </row>
    <row r="870">
      <c r="A870" s="161"/>
      <c r="B870" s="146" t="str">
        <f>IF(A870&lt;&gt;"", SUMIF(Bets!$D:$D, A870, Bets!Z:Z), "")</f>
        <v/>
      </c>
      <c r="C870" s="162"/>
      <c r="D870" s="148"/>
      <c r="E870" s="161"/>
      <c r="F870" s="146" t="str">
        <f>IF(E870&lt;&gt;"", SUMIF(Bets!$D:$D, E870, Bets!AB:AB), "")</f>
        <v/>
      </c>
      <c r="G870" s="162"/>
      <c r="H870" s="148"/>
      <c r="I870" s="161"/>
      <c r="J870" s="146" t="str">
        <f>IF(I870&lt;&gt;"", SUMIF(Bets!$D:$D, I870, Bets!AA:AA), "")</f>
        <v/>
      </c>
      <c r="K870" s="162"/>
      <c r="L870" s="148"/>
      <c r="M870" s="161"/>
      <c r="N870" s="146"/>
      <c r="O870" s="162"/>
      <c r="P870" s="148"/>
      <c r="Q870" s="161"/>
      <c r="R870" s="146" t="str">
        <f>IF(Q870&lt;&gt;"", SUMIF(Bets!$D:$D, Q870, Bets!AD:AD), "")</f>
        <v/>
      </c>
      <c r="S870" s="162"/>
      <c r="T870" s="148"/>
      <c r="U870" s="161"/>
      <c r="V870" s="146" t="str">
        <f>IF(U870&lt;&gt;"", SUMIF(Bets!$D:$D, U870, Bets!AE:AE), "")</f>
        <v/>
      </c>
      <c r="W870" s="162"/>
      <c r="X870" s="148"/>
      <c r="Y870" s="161"/>
      <c r="Z870" s="146" t="str">
        <f>IF(Y870&lt;&gt;"", SUMIF(Bets!$D:$D, Y870, Bets!AF:AF), "")</f>
        <v/>
      </c>
      <c r="AA870" s="162"/>
      <c r="AB870" s="148"/>
      <c r="AC870" s="161"/>
      <c r="AD870" s="146" t="str">
        <f>IF(AC870&lt;&gt;"", SUMIF(Bets!$D:$D, AC870, Bets!AG:AG), "")</f>
        <v/>
      </c>
      <c r="AE870" s="162"/>
      <c r="AF870" s="148"/>
    </row>
    <row r="871">
      <c r="A871" s="161"/>
      <c r="B871" s="146" t="str">
        <f>IF(A871&lt;&gt;"", SUMIF(Bets!$D:$D, A871, Bets!Z:Z), "")</f>
        <v/>
      </c>
      <c r="C871" s="162"/>
      <c r="D871" s="148"/>
      <c r="E871" s="161"/>
      <c r="F871" s="146" t="str">
        <f>IF(E871&lt;&gt;"", SUMIF(Bets!$D:$D, E871, Bets!AB:AB), "")</f>
        <v/>
      </c>
      <c r="G871" s="162"/>
      <c r="H871" s="148"/>
      <c r="I871" s="161"/>
      <c r="J871" s="146" t="str">
        <f>IF(I871&lt;&gt;"", SUMIF(Bets!$D:$D, I871, Bets!AA:AA), "")</f>
        <v/>
      </c>
      <c r="K871" s="162"/>
      <c r="L871" s="148"/>
      <c r="M871" s="161"/>
      <c r="N871" s="146"/>
      <c r="O871" s="162"/>
      <c r="P871" s="148"/>
      <c r="Q871" s="161"/>
      <c r="R871" s="146" t="str">
        <f>IF(Q871&lt;&gt;"", SUMIF(Bets!$D:$D, Q871, Bets!AD:AD), "")</f>
        <v/>
      </c>
      <c r="S871" s="162"/>
      <c r="T871" s="148"/>
      <c r="U871" s="161"/>
      <c r="V871" s="146" t="str">
        <f>IF(U871&lt;&gt;"", SUMIF(Bets!$D:$D, U871, Bets!AE:AE), "")</f>
        <v/>
      </c>
      <c r="W871" s="162"/>
      <c r="X871" s="148"/>
      <c r="Y871" s="161"/>
      <c r="Z871" s="146" t="str">
        <f>IF(Y871&lt;&gt;"", SUMIF(Bets!$D:$D, Y871, Bets!AF:AF), "")</f>
        <v/>
      </c>
      <c r="AA871" s="162"/>
      <c r="AB871" s="148"/>
      <c r="AC871" s="161"/>
      <c r="AD871" s="146" t="str">
        <f>IF(AC871&lt;&gt;"", SUMIF(Bets!$D:$D, AC871, Bets!AG:AG), "")</f>
        <v/>
      </c>
      <c r="AE871" s="162"/>
      <c r="AF871" s="148"/>
    </row>
    <row r="872">
      <c r="A872" s="161"/>
      <c r="B872" s="146" t="str">
        <f>IF(A872&lt;&gt;"", SUMIF(Bets!$D:$D, A872, Bets!Z:Z), "")</f>
        <v/>
      </c>
      <c r="C872" s="162"/>
      <c r="D872" s="148"/>
      <c r="E872" s="161"/>
      <c r="F872" s="146" t="str">
        <f>IF(E872&lt;&gt;"", SUMIF(Bets!$D:$D, E872, Bets!AB:AB), "")</f>
        <v/>
      </c>
      <c r="G872" s="162"/>
      <c r="H872" s="148"/>
      <c r="I872" s="161"/>
      <c r="J872" s="146" t="str">
        <f>IF(I872&lt;&gt;"", SUMIF(Bets!$D:$D, I872, Bets!AA:AA), "")</f>
        <v/>
      </c>
      <c r="K872" s="162"/>
      <c r="L872" s="148"/>
      <c r="M872" s="161"/>
      <c r="N872" s="146"/>
      <c r="O872" s="162"/>
      <c r="P872" s="148"/>
      <c r="Q872" s="161"/>
      <c r="R872" s="146" t="str">
        <f>IF(Q872&lt;&gt;"", SUMIF(Bets!$D:$D, Q872, Bets!AD:AD), "")</f>
        <v/>
      </c>
      <c r="S872" s="162"/>
      <c r="T872" s="148"/>
      <c r="U872" s="161"/>
      <c r="V872" s="146" t="str">
        <f>IF(U872&lt;&gt;"", SUMIF(Bets!$D:$D, U872, Bets!AE:AE), "")</f>
        <v/>
      </c>
      <c r="W872" s="162"/>
      <c r="X872" s="148"/>
      <c r="Y872" s="161"/>
      <c r="Z872" s="146" t="str">
        <f>IF(Y872&lt;&gt;"", SUMIF(Bets!$D:$D, Y872, Bets!AF:AF), "")</f>
        <v/>
      </c>
      <c r="AA872" s="162"/>
      <c r="AB872" s="148"/>
      <c r="AC872" s="161"/>
      <c r="AD872" s="146" t="str">
        <f>IF(AC872&lt;&gt;"", SUMIF(Bets!$D:$D, AC872, Bets!AG:AG), "")</f>
        <v/>
      </c>
      <c r="AE872" s="162"/>
      <c r="AF872" s="148"/>
    </row>
    <row r="873">
      <c r="A873" s="161"/>
      <c r="B873" s="146" t="str">
        <f>IF(A873&lt;&gt;"", SUMIF(Bets!$D:$D, A873, Bets!Z:Z), "")</f>
        <v/>
      </c>
      <c r="C873" s="162"/>
      <c r="D873" s="148"/>
      <c r="E873" s="161"/>
      <c r="F873" s="146" t="str">
        <f>IF(E873&lt;&gt;"", SUMIF(Bets!$D:$D, E873, Bets!AB:AB), "")</f>
        <v/>
      </c>
      <c r="G873" s="162"/>
      <c r="H873" s="148"/>
      <c r="I873" s="161"/>
      <c r="J873" s="146" t="str">
        <f>IF(I873&lt;&gt;"", SUMIF(Bets!$D:$D, I873, Bets!AA:AA), "")</f>
        <v/>
      </c>
      <c r="K873" s="162"/>
      <c r="L873" s="148"/>
      <c r="M873" s="161"/>
      <c r="N873" s="146"/>
      <c r="O873" s="162"/>
      <c r="P873" s="148"/>
      <c r="Q873" s="161"/>
      <c r="R873" s="146" t="str">
        <f>IF(Q873&lt;&gt;"", SUMIF(Bets!$D:$D, Q873, Bets!AD:AD), "")</f>
        <v/>
      </c>
      <c r="S873" s="162"/>
      <c r="T873" s="148"/>
      <c r="U873" s="161"/>
      <c r="V873" s="146" t="str">
        <f>IF(U873&lt;&gt;"", SUMIF(Bets!$D:$D, U873, Bets!AE:AE), "")</f>
        <v/>
      </c>
      <c r="W873" s="162"/>
      <c r="X873" s="148"/>
      <c r="Y873" s="161"/>
      <c r="Z873" s="146" t="str">
        <f>IF(Y873&lt;&gt;"", SUMIF(Bets!$D:$D, Y873, Bets!AF:AF), "")</f>
        <v/>
      </c>
      <c r="AA873" s="162"/>
      <c r="AB873" s="148"/>
      <c r="AC873" s="161"/>
      <c r="AD873" s="146" t="str">
        <f>IF(AC873&lt;&gt;"", SUMIF(Bets!$D:$D, AC873, Bets!AG:AG), "")</f>
        <v/>
      </c>
      <c r="AE873" s="162"/>
      <c r="AF873" s="148"/>
    </row>
    <row r="874">
      <c r="A874" s="161"/>
      <c r="B874" s="146" t="str">
        <f>IF(A874&lt;&gt;"", SUMIF(Bets!$D:$D, A874, Bets!Z:Z), "")</f>
        <v/>
      </c>
      <c r="C874" s="162"/>
      <c r="D874" s="148"/>
      <c r="E874" s="161"/>
      <c r="F874" s="146" t="str">
        <f>IF(E874&lt;&gt;"", SUMIF(Bets!$D:$D, E874, Bets!AB:AB), "")</f>
        <v/>
      </c>
      <c r="G874" s="162"/>
      <c r="H874" s="148"/>
      <c r="I874" s="161"/>
      <c r="J874" s="146" t="str">
        <f>IF(I874&lt;&gt;"", SUMIF(Bets!$D:$D, I874, Bets!AA:AA), "")</f>
        <v/>
      </c>
      <c r="K874" s="162"/>
      <c r="L874" s="148"/>
      <c r="M874" s="161"/>
      <c r="N874" s="146"/>
      <c r="O874" s="162"/>
      <c r="P874" s="148"/>
      <c r="Q874" s="161"/>
      <c r="R874" s="146" t="str">
        <f>IF(Q874&lt;&gt;"", SUMIF(Bets!$D:$D, Q874, Bets!AD:AD), "")</f>
        <v/>
      </c>
      <c r="S874" s="162"/>
      <c r="T874" s="148"/>
      <c r="U874" s="161"/>
      <c r="V874" s="146" t="str">
        <f>IF(U874&lt;&gt;"", SUMIF(Bets!$D:$D, U874, Bets!AE:AE), "")</f>
        <v/>
      </c>
      <c r="W874" s="162"/>
      <c r="X874" s="148"/>
      <c r="Y874" s="161"/>
      <c r="Z874" s="146" t="str">
        <f>IF(Y874&lt;&gt;"", SUMIF(Bets!$D:$D, Y874, Bets!AF:AF), "")</f>
        <v/>
      </c>
      <c r="AA874" s="162"/>
      <c r="AB874" s="148"/>
      <c r="AC874" s="161"/>
      <c r="AD874" s="146" t="str">
        <f>IF(AC874&lt;&gt;"", SUMIF(Bets!$D:$D, AC874, Bets!AG:AG), "")</f>
        <v/>
      </c>
      <c r="AE874" s="162"/>
      <c r="AF874" s="148"/>
    </row>
    <row r="875">
      <c r="A875" s="161"/>
      <c r="B875" s="146" t="str">
        <f>IF(A875&lt;&gt;"", SUMIF(Bets!$D:$D, A875, Bets!Z:Z), "")</f>
        <v/>
      </c>
      <c r="C875" s="162"/>
      <c r="D875" s="148"/>
      <c r="E875" s="161"/>
      <c r="F875" s="146" t="str">
        <f>IF(E875&lt;&gt;"", SUMIF(Bets!$D:$D, E875, Bets!AB:AB), "")</f>
        <v/>
      </c>
      <c r="G875" s="162"/>
      <c r="H875" s="148"/>
      <c r="I875" s="161"/>
      <c r="J875" s="146" t="str">
        <f>IF(I875&lt;&gt;"", SUMIF(Bets!$D:$D, I875, Bets!AA:AA), "")</f>
        <v/>
      </c>
      <c r="K875" s="162"/>
      <c r="L875" s="148"/>
      <c r="M875" s="161"/>
      <c r="N875" s="146"/>
      <c r="O875" s="162"/>
      <c r="P875" s="148"/>
      <c r="Q875" s="161"/>
      <c r="R875" s="146" t="str">
        <f>IF(Q875&lt;&gt;"", SUMIF(Bets!$D:$D, Q875, Bets!AD:AD), "")</f>
        <v/>
      </c>
      <c r="S875" s="162"/>
      <c r="T875" s="148"/>
      <c r="U875" s="161"/>
      <c r="V875" s="146" t="str">
        <f>IF(U875&lt;&gt;"", SUMIF(Bets!$D:$D, U875, Bets!AE:AE), "")</f>
        <v/>
      </c>
      <c r="W875" s="162"/>
      <c r="X875" s="148"/>
      <c r="Y875" s="161"/>
      <c r="Z875" s="146" t="str">
        <f>IF(Y875&lt;&gt;"", SUMIF(Bets!$D:$D, Y875, Bets!AF:AF), "")</f>
        <v/>
      </c>
      <c r="AA875" s="162"/>
      <c r="AB875" s="148"/>
      <c r="AC875" s="161"/>
      <c r="AD875" s="146" t="str">
        <f>IF(AC875&lt;&gt;"", SUMIF(Bets!$D:$D, AC875, Bets!AG:AG), "")</f>
        <v/>
      </c>
      <c r="AE875" s="162"/>
      <c r="AF875" s="148"/>
    </row>
    <row r="876">
      <c r="A876" s="161"/>
      <c r="B876" s="146" t="str">
        <f>IF(A876&lt;&gt;"", SUMIF(Bets!$D:$D, A876, Bets!Z:Z), "")</f>
        <v/>
      </c>
      <c r="C876" s="162"/>
      <c r="D876" s="148"/>
      <c r="E876" s="161"/>
      <c r="F876" s="146" t="str">
        <f>IF(E876&lt;&gt;"", SUMIF(Bets!$D:$D, E876, Bets!AB:AB), "")</f>
        <v/>
      </c>
      <c r="G876" s="162"/>
      <c r="H876" s="148"/>
      <c r="I876" s="161"/>
      <c r="J876" s="146" t="str">
        <f>IF(I876&lt;&gt;"", SUMIF(Bets!$D:$D, I876, Bets!AA:AA), "")</f>
        <v/>
      </c>
      <c r="K876" s="162"/>
      <c r="L876" s="148"/>
      <c r="M876" s="161"/>
      <c r="N876" s="146"/>
      <c r="O876" s="162"/>
      <c r="P876" s="148"/>
      <c r="Q876" s="161"/>
      <c r="R876" s="146" t="str">
        <f>IF(Q876&lt;&gt;"", SUMIF(Bets!$D:$D, Q876, Bets!AD:AD), "")</f>
        <v/>
      </c>
      <c r="S876" s="162"/>
      <c r="T876" s="148"/>
      <c r="U876" s="161"/>
      <c r="V876" s="146" t="str">
        <f>IF(U876&lt;&gt;"", SUMIF(Bets!$D:$D, U876, Bets!AE:AE), "")</f>
        <v/>
      </c>
      <c r="W876" s="162"/>
      <c r="X876" s="148"/>
      <c r="Y876" s="161"/>
      <c r="Z876" s="146" t="str">
        <f>IF(Y876&lt;&gt;"", SUMIF(Bets!$D:$D, Y876, Bets!AF:AF), "")</f>
        <v/>
      </c>
      <c r="AA876" s="162"/>
      <c r="AB876" s="148"/>
      <c r="AC876" s="161"/>
      <c r="AD876" s="146" t="str">
        <f>IF(AC876&lt;&gt;"", SUMIF(Bets!$D:$D, AC876, Bets!AG:AG), "")</f>
        <v/>
      </c>
      <c r="AE876" s="162"/>
      <c r="AF876" s="148"/>
    </row>
    <row r="877">
      <c r="A877" s="161"/>
      <c r="B877" s="146" t="str">
        <f>IF(A877&lt;&gt;"", SUMIF(Bets!$D:$D, A877, Bets!Z:Z), "")</f>
        <v/>
      </c>
      <c r="C877" s="162"/>
      <c r="D877" s="148"/>
      <c r="E877" s="161"/>
      <c r="F877" s="146" t="str">
        <f>IF(E877&lt;&gt;"", SUMIF(Bets!$D:$D, E877, Bets!AB:AB), "")</f>
        <v/>
      </c>
      <c r="G877" s="162"/>
      <c r="H877" s="148"/>
      <c r="I877" s="161"/>
      <c r="J877" s="146" t="str">
        <f>IF(I877&lt;&gt;"", SUMIF(Bets!$D:$D, I877, Bets!AA:AA), "")</f>
        <v/>
      </c>
      <c r="K877" s="162"/>
      <c r="L877" s="148"/>
      <c r="M877" s="161"/>
      <c r="N877" s="146"/>
      <c r="O877" s="162"/>
      <c r="P877" s="148"/>
      <c r="Q877" s="161"/>
      <c r="R877" s="146" t="str">
        <f>IF(Q877&lt;&gt;"", SUMIF(Bets!$D:$D, Q877, Bets!AD:AD), "")</f>
        <v/>
      </c>
      <c r="S877" s="162"/>
      <c r="T877" s="148"/>
      <c r="U877" s="161"/>
      <c r="V877" s="146" t="str">
        <f>IF(U877&lt;&gt;"", SUMIF(Bets!$D:$D, U877, Bets!AE:AE), "")</f>
        <v/>
      </c>
      <c r="W877" s="162"/>
      <c r="X877" s="148"/>
      <c r="Y877" s="161"/>
      <c r="Z877" s="146" t="str">
        <f>IF(Y877&lt;&gt;"", SUMIF(Bets!$D:$D, Y877, Bets!AF:AF), "")</f>
        <v/>
      </c>
      <c r="AA877" s="162"/>
      <c r="AB877" s="148"/>
      <c r="AC877" s="161"/>
      <c r="AD877" s="146" t="str">
        <f>IF(AC877&lt;&gt;"", SUMIF(Bets!$D:$D, AC877, Bets!AG:AG), "")</f>
        <v/>
      </c>
      <c r="AE877" s="162"/>
      <c r="AF877" s="148"/>
    </row>
    <row r="878">
      <c r="A878" s="161"/>
      <c r="B878" s="146" t="str">
        <f>IF(A878&lt;&gt;"", SUMIF(Bets!$D:$D, A878, Bets!Z:Z), "")</f>
        <v/>
      </c>
      <c r="C878" s="162"/>
      <c r="D878" s="148"/>
      <c r="E878" s="161"/>
      <c r="F878" s="146" t="str">
        <f>IF(E878&lt;&gt;"", SUMIF(Bets!$D:$D, E878, Bets!AB:AB), "")</f>
        <v/>
      </c>
      <c r="G878" s="162"/>
      <c r="H878" s="148"/>
      <c r="I878" s="161"/>
      <c r="J878" s="146" t="str">
        <f>IF(I878&lt;&gt;"", SUMIF(Bets!$D:$D, I878, Bets!AA:AA), "")</f>
        <v/>
      </c>
      <c r="K878" s="162"/>
      <c r="L878" s="148"/>
      <c r="M878" s="161"/>
      <c r="N878" s="146"/>
      <c r="O878" s="162"/>
      <c r="P878" s="148"/>
      <c r="Q878" s="161"/>
      <c r="R878" s="146" t="str">
        <f>IF(Q878&lt;&gt;"", SUMIF(Bets!$D:$D, Q878, Bets!AD:AD), "")</f>
        <v/>
      </c>
      <c r="S878" s="162"/>
      <c r="T878" s="148"/>
      <c r="U878" s="161"/>
      <c r="V878" s="146" t="str">
        <f>IF(U878&lt;&gt;"", SUMIF(Bets!$D:$D, U878, Bets!AE:AE), "")</f>
        <v/>
      </c>
      <c r="W878" s="162"/>
      <c r="X878" s="148"/>
      <c r="Y878" s="161"/>
      <c r="Z878" s="146" t="str">
        <f>IF(Y878&lt;&gt;"", SUMIF(Bets!$D:$D, Y878, Bets!AF:AF), "")</f>
        <v/>
      </c>
      <c r="AA878" s="162"/>
      <c r="AB878" s="148"/>
      <c r="AC878" s="161"/>
      <c r="AD878" s="146" t="str">
        <f>IF(AC878&lt;&gt;"", SUMIF(Bets!$D:$D, AC878, Bets!AG:AG), "")</f>
        <v/>
      </c>
      <c r="AE878" s="162"/>
      <c r="AF878" s="148"/>
    </row>
    <row r="879">
      <c r="A879" s="161"/>
      <c r="B879" s="146" t="str">
        <f>IF(A879&lt;&gt;"", SUMIF(Bets!$D:$D, A879, Bets!Z:Z), "")</f>
        <v/>
      </c>
      <c r="C879" s="162"/>
      <c r="D879" s="148"/>
      <c r="E879" s="161"/>
      <c r="F879" s="146" t="str">
        <f>IF(E879&lt;&gt;"", SUMIF(Bets!$D:$D, E879, Bets!AB:AB), "")</f>
        <v/>
      </c>
      <c r="G879" s="162"/>
      <c r="H879" s="148"/>
      <c r="I879" s="161"/>
      <c r="J879" s="146" t="str">
        <f>IF(I879&lt;&gt;"", SUMIF(Bets!$D:$D, I879, Bets!AA:AA), "")</f>
        <v/>
      </c>
      <c r="K879" s="162"/>
      <c r="L879" s="148"/>
      <c r="M879" s="161"/>
      <c r="N879" s="146"/>
      <c r="O879" s="162"/>
      <c r="P879" s="148"/>
      <c r="Q879" s="161"/>
      <c r="R879" s="146" t="str">
        <f>IF(Q879&lt;&gt;"", SUMIF(Bets!$D:$D, Q879, Bets!AD:AD), "")</f>
        <v/>
      </c>
      <c r="S879" s="162"/>
      <c r="T879" s="148"/>
      <c r="U879" s="161"/>
      <c r="V879" s="146" t="str">
        <f>IF(U879&lt;&gt;"", SUMIF(Bets!$D:$D, U879, Bets!AE:AE), "")</f>
        <v/>
      </c>
      <c r="W879" s="162"/>
      <c r="X879" s="148"/>
      <c r="Y879" s="161"/>
      <c r="Z879" s="146" t="str">
        <f>IF(Y879&lt;&gt;"", SUMIF(Bets!$D:$D, Y879, Bets!AF:AF), "")</f>
        <v/>
      </c>
      <c r="AA879" s="162"/>
      <c r="AB879" s="148"/>
      <c r="AC879" s="161"/>
      <c r="AD879" s="146" t="str">
        <f>IF(AC879&lt;&gt;"", SUMIF(Bets!$D:$D, AC879, Bets!AG:AG), "")</f>
        <v/>
      </c>
      <c r="AE879" s="162"/>
      <c r="AF879" s="148"/>
    </row>
    <row r="880">
      <c r="A880" s="161"/>
      <c r="B880" s="146" t="str">
        <f>IF(A880&lt;&gt;"", SUMIF(Bets!$D:$D, A880, Bets!Z:Z), "")</f>
        <v/>
      </c>
      <c r="C880" s="162"/>
      <c r="D880" s="148"/>
      <c r="E880" s="161"/>
      <c r="F880" s="146" t="str">
        <f>IF(E880&lt;&gt;"", SUMIF(Bets!$D:$D, E880, Bets!AB:AB), "")</f>
        <v/>
      </c>
      <c r="G880" s="162"/>
      <c r="H880" s="148"/>
      <c r="I880" s="161"/>
      <c r="J880" s="146" t="str">
        <f>IF(I880&lt;&gt;"", SUMIF(Bets!$D:$D, I880, Bets!AA:AA), "")</f>
        <v/>
      </c>
      <c r="K880" s="162"/>
      <c r="L880" s="148"/>
      <c r="M880" s="161"/>
      <c r="N880" s="146"/>
      <c r="O880" s="162"/>
      <c r="P880" s="148"/>
      <c r="Q880" s="161"/>
      <c r="R880" s="146" t="str">
        <f>IF(Q880&lt;&gt;"", SUMIF(Bets!$D:$D, Q880, Bets!AD:AD), "")</f>
        <v/>
      </c>
      <c r="S880" s="162"/>
      <c r="T880" s="148"/>
      <c r="U880" s="161"/>
      <c r="V880" s="146" t="str">
        <f>IF(U880&lt;&gt;"", SUMIF(Bets!$D:$D, U880, Bets!AE:AE), "")</f>
        <v/>
      </c>
      <c r="W880" s="162"/>
      <c r="X880" s="148"/>
      <c r="Y880" s="161"/>
      <c r="Z880" s="146" t="str">
        <f>IF(Y880&lt;&gt;"", SUMIF(Bets!$D:$D, Y880, Bets!AF:AF), "")</f>
        <v/>
      </c>
      <c r="AA880" s="162"/>
      <c r="AB880" s="148"/>
      <c r="AC880" s="161"/>
      <c r="AD880" s="146" t="str">
        <f>IF(AC880&lt;&gt;"", SUMIF(Bets!$D:$D, AC880, Bets!AG:AG), "")</f>
        <v/>
      </c>
      <c r="AE880" s="162"/>
      <c r="AF880" s="148"/>
    </row>
    <row r="881">
      <c r="A881" s="161"/>
      <c r="B881" s="146" t="str">
        <f>IF(A881&lt;&gt;"", SUMIF(Bets!$D:$D, A881, Bets!Z:Z), "")</f>
        <v/>
      </c>
      <c r="C881" s="162"/>
      <c r="D881" s="148"/>
      <c r="E881" s="161"/>
      <c r="F881" s="146" t="str">
        <f>IF(E881&lt;&gt;"", SUMIF(Bets!$D:$D, E881, Bets!AB:AB), "")</f>
        <v/>
      </c>
      <c r="G881" s="162"/>
      <c r="H881" s="148"/>
      <c r="I881" s="161"/>
      <c r="J881" s="146" t="str">
        <f>IF(I881&lt;&gt;"", SUMIF(Bets!$D:$D, I881, Bets!AA:AA), "")</f>
        <v/>
      </c>
      <c r="K881" s="162"/>
      <c r="L881" s="148"/>
      <c r="M881" s="161"/>
      <c r="N881" s="146"/>
      <c r="O881" s="162"/>
      <c r="P881" s="148"/>
      <c r="Q881" s="161"/>
      <c r="R881" s="146" t="str">
        <f>IF(Q881&lt;&gt;"", SUMIF(Bets!$D:$D, Q881, Bets!AD:AD), "")</f>
        <v/>
      </c>
      <c r="S881" s="162"/>
      <c r="T881" s="148"/>
      <c r="U881" s="161"/>
      <c r="V881" s="146" t="str">
        <f>IF(U881&lt;&gt;"", SUMIF(Bets!$D:$D, U881, Bets!AE:AE), "")</f>
        <v/>
      </c>
      <c r="W881" s="162"/>
      <c r="X881" s="148"/>
      <c r="Y881" s="161"/>
      <c r="Z881" s="146" t="str">
        <f>IF(Y881&lt;&gt;"", SUMIF(Bets!$D:$D, Y881, Bets!AF:AF), "")</f>
        <v/>
      </c>
      <c r="AA881" s="162"/>
      <c r="AB881" s="148"/>
      <c r="AC881" s="161"/>
      <c r="AD881" s="146" t="str">
        <f>IF(AC881&lt;&gt;"", SUMIF(Bets!$D:$D, AC881, Bets!AG:AG), "")</f>
        <v/>
      </c>
      <c r="AE881" s="162"/>
      <c r="AF881" s="148"/>
    </row>
    <row r="882">
      <c r="A882" s="161"/>
      <c r="B882" s="146" t="str">
        <f>IF(A882&lt;&gt;"", SUMIF(Bets!$D:$D, A882, Bets!Z:Z), "")</f>
        <v/>
      </c>
      <c r="C882" s="162"/>
      <c r="D882" s="148"/>
      <c r="E882" s="161"/>
      <c r="F882" s="146" t="str">
        <f>IF(E882&lt;&gt;"", SUMIF(Bets!$D:$D, E882, Bets!AB:AB), "")</f>
        <v/>
      </c>
      <c r="G882" s="162"/>
      <c r="H882" s="148"/>
      <c r="I882" s="161"/>
      <c r="J882" s="146" t="str">
        <f>IF(I882&lt;&gt;"", SUMIF(Bets!$D:$D, I882, Bets!AA:AA), "")</f>
        <v/>
      </c>
      <c r="K882" s="162"/>
      <c r="L882" s="148"/>
      <c r="M882" s="161"/>
      <c r="N882" s="146"/>
      <c r="O882" s="162"/>
      <c r="P882" s="148"/>
      <c r="Q882" s="161"/>
      <c r="R882" s="146" t="str">
        <f>IF(Q882&lt;&gt;"", SUMIF(Bets!$D:$D, Q882, Bets!AD:AD), "")</f>
        <v/>
      </c>
      <c r="S882" s="162"/>
      <c r="T882" s="148"/>
      <c r="U882" s="161"/>
      <c r="V882" s="146" t="str">
        <f>IF(U882&lt;&gt;"", SUMIF(Bets!$D:$D, U882, Bets!AE:AE), "")</f>
        <v/>
      </c>
      <c r="W882" s="162"/>
      <c r="X882" s="148"/>
      <c r="Y882" s="161"/>
      <c r="Z882" s="146" t="str">
        <f>IF(Y882&lt;&gt;"", SUMIF(Bets!$D:$D, Y882, Bets!AF:AF), "")</f>
        <v/>
      </c>
      <c r="AA882" s="162"/>
      <c r="AB882" s="148"/>
      <c r="AC882" s="161"/>
      <c r="AD882" s="146" t="str">
        <f>IF(AC882&lt;&gt;"", SUMIF(Bets!$D:$D, AC882, Bets!AG:AG), "")</f>
        <v/>
      </c>
      <c r="AE882" s="162"/>
      <c r="AF882" s="148"/>
    </row>
    <row r="883">
      <c r="A883" s="161"/>
      <c r="B883" s="146" t="str">
        <f>IF(A883&lt;&gt;"", SUMIF(Bets!$D:$D, A883, Bets!Z:Z), "")</f>
        <v/>
      </c>
      <c r="C883" s="162"/>
      <c r="D883" s="148"/>
      <c r="E883" s="161"/>
      <c r="F883" s="146" t="str">
        <f>IF(E883&lt;&gt;"", SUMIF(Bets!$D:$D, E883, Bets!AB:AB), "")</f>
        <v/>
      </c>
      <c r="G883" s="162"/>
      <c r="H883" s="148"/>
      <c r="I883" s="161"/>
      <c r="J883" s="146" t="str">
        <f>IF(I883&lt;&gt;"", SUMIF(Bets!$D:$D, I883, Bets!AA:AA), "")</f>
        <v/>
      </c>
      <c r="K883" s="162"/>
      <c r="L883" s="148"/>
      <c r="M883" s="161"/>
      <c r="N883" s="146"/>
      <c r="O883" s="162"/>
      <c r="P883" s="148"/>
      <c r="Q883" s="161"/>
      <c r="R883" s="146" t="str">
        <f>IF(Q883&lt;&gt;"", SUMIF(Bets!$D:$D, Q883, Bets!AD:AD), "")</f>
        <v/>
      </c>
      <c r="S883" s="162"/>
      <c r="T883" s="148"/>
      <c r="U883" s="161"/>
      <c r="V883" s="146" t="str">
        <f>IF(U883&lt;&gt;"", SUMIF(Bets!$D:$D, U883, Bets!AE:AE), "")</f>
        <v/>
      </c>
      <c r="W883" s="162"/>
      <c r="X883" s="148"/>
      <c r="Y883" s="161"/>
      <c r="Z883" s="146" t="str">
        <f>IF(Y883&lt;&gt;"", SUMIF(Bets!$D:$D, Y883, Bets!AF:AF), "")</f>
        <v/>
      </c>
      <c r="AA883" s="162"/>
      <c r="AB883" s="148"/>
      <c r="AC883" s="161"/>
      <c r="AD883" s="146" t="str">
        <f>IF(AC883&lt;&gt;"", SUMIF(Bets!$D:$D, AC883, Bets!AG:AG), "")</f>
        <v/>
      </c>
      <c r="AE883" s="162"/>
      <c r="AF883" s="148"/>
    </row>
    <row r="884">
      <c r="A884" s="161"/>
      <c r="B884" s="146" t="str">
        <f>IF(A884&lt;&gt;"", SUMIF(Bets!$D:$D, A884, Bets!Z:Z), "")</f>
        <v/>
      </c>
      <c r="C884" s="162"/>
      <c r="D884" s="148"/>
      <c r="E884" s="161"/>
      <c r="F884" s="146" t="str">
        <f>IF(E884&lt;&gt;"", SUMIF(Bets!$D:$D, E884, Bets!AB:AB), "")</f>
        <v/>
      </c>
      <c r="G884" s="162"/>
      <c r="H884" s="148"/>
      <c r="I884" s="161"/>
      <c r="J884" s="146" t="str">
        <f>IF(I884&lt;&gt;"", SUMIF(Bets!$D:$D, I884, Bets!AA:AA), "")</f>
        <v/>
      </c>
      <c r="K884" s="162"/>
      <c r="L884" s="148"/>
      <c r="M884" s="161"/>
      <c r="N884" s="146"/>
      <c r="O884" s="162"/>
      <c r="P884" s="148"/>
      <c r="Q884" s="161"/>
      <c r="R884" s="146" t="str">
        <f>IF(Q884&lt;&gt;"", SUMIF(Bets!$D:$D, Q884, Bets!AD:AD), "")</f>
        <v/>
      </c>
      <c r="S884" s="162"/>
      <c r="T884" s="148"/>
      <c r="U884" s="161"/>
      <c r="V884" s="146" t="str">
        <f>IF(U884&lt;&gt;"", SUMIF(Bets!$D:$D, U884, Bets!AE:AE), "")</f>
        <v/>
      </c>
      <c r="W884" s="162"/>
      <c r="X884" s="148"/>
      <c r="Y884" s="161"/>
      <c r="Z884" s="146" t="str">
        <f>IF(Y884&lt;&gt;"", SUMIF(Bets!$D:$D, Y884, Bets!AF:AF), "")</f>
        <v/>
      </c>
      <c r="AA884" s="162"/>
      <c r="AB884" s="148"/>
      <c r="AC884" s="161"/>
      <c r="AD884" s="146" t="str">
        <f>IF(AC884&lt;&gt;"", SUMIF(Bets!$D:$D, AC884, Bets!AG:AG), "")</f>
        <v/>
      </c>
      <c r="AE884" s="162"/>
      <c r="AF884" s="148"/>
    </row>
    <row r="885">
      <c r="A885" s="161"/>
      <c r="B885" s="146" t="str">
        <f>IF(A885&lt;&gt;"", SUMIF(Bets!$D:$D, A885, Bets!Z:Z), "")</f>
        <v/>
      </c>
      <c r="C885" s="162"/>
      <c r="D885" s="148"/>
      <c r="E885" s="161"/>
      <c r="F885" s="146" t="str">
        <f>IF(E885&lt;&gt;"", SUMIF(Bets!$D:$D, E885, Bets!AB:AB), "")</f>
        <v/>
      </c>
      <c r="G885" s="162"/>
      <c r="H885" s="148"/>
      <c r="I885" s="161"/>
      <c r="J885" s="146" t="str">
        <f>IF(I885&lt;&gt;"", SUMIF(Bets!$D:$D, I885, Bets!AA:AA), "")</f>
        <v/>
      </c>
      <c r="K885" s="162"/>
      <c r="L885" s="148"/>
      <c r="M885" s="161"/>
      <c r="N885" s="146"/>
      <c r="O885" s="162"/>
      <c r="P885" s="148"/>
      <c r="Q885" s="161"/>
      <c r="R885" s="146" t="str">
        <f>IF(Q885&lt;&gt;"", SUMIF(Bets!$D:$D, Q885, Bets!AD:AD), "")</f>
        <v/>
      </c>
      <c r="S885" s="162"/>
      <c r="T885" s="148"/>
      <c r="U885" s="161"/>
      <c r="V885" s="146" t="str">
        <f>IF(U885&lt;&gt;"", SUMIF(Bets!$D:$D, U885, Bets!AE:AE), "")</f>
        <v/>
      </c>
      <c r="W885" s="162"/>
      <c r="X885" s="148"/>
      <c r="Y885" s="161"/>
      <c r="Z885" s="146" t="str">
        <f>IF(Y885&lt;&gt;"", SUMIF(Bets!$D:$D, Y885, Bets!AF:AF), "")</f>
        <v/>
      </c>
      <c r="AA885" s="162"/>
      <c r="AB885" s="148"/>
      <c r="AC885" s="161"/>
      <c r="AD885" s="146" t="str">
        <f>IF(AC885&lt;&gt;"", SUMIF(Bets!$D:$D, AC885, Bets!AG:AG), "")</f>
        <v/>
      </c>
      <c r="AE885" s="162"/>
      <c r="AF885" s="148"/>
    </row>
    <row r="886">
      <c r="A886" s="161"/>
      <c r="B886" s="146" t="str">
        <f>IF(A886&lt;&gt;"", SUMIF(Bets!$D:$D, A886, Bets!Z:Z), "")</f>
        <v/>
      </c>
      <c r="C886" s="162"/>
      <c r="D886" s="148"/>
      <c r="E886" s="161"/>
      <c r="F886" s="146" t="str">
        <f>IF(E886&lt;&gt;"", SUMIF(Bets!$D:$D, E886, Bets!AB:AB), "")</f>
        <v/>
      </c>
      <c r="G886" s="162"/>
      <c r="H886" s="148"/>
      <c r="I886" s="161"/>
      <c r="J886" s="146" t="str">
        <f>IF(I886&lt;&gt;"", SUMIF(Bets!$D:$D, I886, Bets!AA:AA), "")</f>
        <v/>
      </c>
      <c r="K886" s="162"/>
      <c r="L886" s="148"/>
      <c r="M886" s="161"/>
      <c r="N886" s="146"/>
      <c r="O886" s="162"/>
      <c r="P886" s="148"/>
      <c r="Q886" s="161"/>
      <c r="R886" s="146" t="str">
        <f>IF(Q886&lt;&gt;"", SUMIF(Bets!$D:$D, Q886, Bets!AD:AD), "")</f>
        <v/>
      </c>
      <c r="S886" s="162"/>
      <c r="T886" s="148"/>
      <c r="U886" s="161"/>
      <c r="V886" s="146" t="str">
        <f>IF(U886&lt;&gt;"", SUMIF(Bets!$D:$D, U886, Bets!AE:AE), "")</f>
        <v/>
      </c>
      <c r="W886" s="162"/>
      <c r="X886" s="148"/>
      <c r="Y886" s="161"/>
      <c r="Z886" s="146" t="str">
        <f>IF(Y886&lt;&gt;"", SUMIF(Bets!$D:$D, Y886, Bets!AF:AF), "")</f>
        <v/>
      </c>
      <c r="AA886" s="162"/>
      <c r="AB886" s="148"/>
      <c r="AC886" s="161"/>
      <c r="AD886" s="146" t="str">
        <f>IF(AC886&lt;&gt;"", SUMIF(Bets!$D:$D, AC886, Bets!AG:AG), "")</f>
        <v/>
      </c>
      <c r="AE886" s="162"/>
      <c r="AF886" s="148"/>
    </row>
    <row r="887">
      <c r="A887" s="161"/>
      <c r="B887" s="146" t="str">
        <f>IF(A887&lt;&gt;"", SUMIF(Bets!$D:$D, A887, Bets!Z:Z), "")</f>
        <v/>
      </c>
      <c r="C887" s="162"/>
      <c r="D887" s="148"/>
      <c r="E887" s="161"/>
      <c r="F887" s="146" t="str">
        <f>IF(E887&lt;&gt;"", SUMIF(Bets!$D:$D, E887, Bets!AB:AB), "")</f>
        <v/>
      </c>
      <c r="G887" s="162"/>
      <c r="H887" s="148"/>
      <c r="I887" s="161"/>
      <c r="J887" s="146" t="str">
        <f>IF(I887&lt;&gt;"", SUMIF(Bets!$D:$D, I887, Bets!AA:AA), "")</f>
        <v/>
      </c>
      <c r="K887" s="162"/>
      <c r="L887" s="148"/>
      <c r="M887" s="161"/>
      <c r="N887" s="146"/>
      <c r="O887" s="162"/>
      <c r="P887" s="148"/>
      <c r="Q887" s="161"/>
      <c r="R887" s="146" t="str">
        <f>IF(Q887&lt;&gt;"", SUMIF(Bets!$D:$D, Q887, Bets!AD:AD), "")</f>
        <v/>
      </c>
      <c r="S887" s="162"/>
      <c r="T887" s="148"/>
      <c r="U887" s="161"/>
      <c r="V887" s="146" t="str">
        <f>IF(U887&lt;&gt;"", SUMIF(Bets!$D:$D, U887, Bets!AE:AE), "")</f>
        <v/>
      </c>
      <c r="W887" s="162"/>
      <c r="X887" s="148"/>
      <c r="Y887" s="161"/>
      <c r="Z887" s="146" t="str">
        <f>IF(Y887&lt;&gt;"", SUMIF(Bets!$D:$D, Y887, Bets!AF:AF), "")</f>
        <v/>
      </c>
      <c r="AA887" s="162"/>
      <c r="AB887" s="148"/>
      <c r="AC887" s="161"/>
      <c r="AD887" s="146" t="str">
        <f>IF(AC887&lt;&gt;"", SUMIF(Bets!$D:$D, AC887, Bets!AG:AG), "")</f>
        <v/>
      </c>
      <c r="AE887" s="162"/>
      <c r="AF887" s="148"/>
    </row>
    <row r="888">
      <c r="A888" s="161"/>
      <c r="B888" s="146" t="str">
        <f>IF(A888&lt;&gt;"", SUMIF(Bets!$D:$D, A888, Bets!Z:Z), "")</f>
        <v/>
      </c>
      <c r="C888" s="162"/>
      <c r="D888" s="148"/>
      <c r="E888" s="161"/>
      <c r="F888" s="146" t="str">
        <f>IF(E888&lt;&gt;"", SUMIF(Bets!$D:$D, E888, Bets!AB:AB), "")</f>
        <v/>
      </c>
      <c r="G888" s="162"/>
      <c r="H888" s="148"/>
      <c r="I888" s="161"/>
      <c r="J888" s="146" t="str">
        <f>IF(I888&lt;&gt;"", SUMIF(Bets!$D:$D, I888, Bets!AA:AA), "")</f>
        <v/>
      </c>
      <c r="K888" s="162"/>
      <c r="L888" s="148"/>
      <c r="M888" s="161"/>
      <c r="N888" s="146"/>
      <c r="O888" s="162"/>
      <c r="P888" s="148"/>
      <c r="Q888" s="161"/>
      <c r="R888" s="146" t="str">
        <f>IF(Q888&lt;&gt;"", SUMIF(Bets!$D:$D, Q888, Bets!AD:AD), "")</f>
        <v/>
      </c>
      <c r="S888" s="162"/>
      <c r="T888" s="148"/>
      <c r="U888" s="161"/>
      <c r="V888" s="146" t="str">
        <f>IF(U888&lt;&gt;"", SUMIF(Bets!$D:$D, U888, Bets!AE:AE), "")</f>
        <v/>
      </c>
      <c r="W888" s="162"/>
      <c r="X888" s="148"/>
      <c r="Y888" s="161"/>
      <c r="Z888" s="146" t="str">
        <f>IF(Y888&lt;&gt;"", SUMIF(Bets!$D:$D, Y888, Bets!AF:AF), "")</f>
        <v/>
      </c>
      <c r="AA888" s="162"/>
      <c r="AB888" s="148"/>
      <c r="AC888" s="161"/>
      <c r="AD888" s="146" t="str">
        <f>IF(AC888&lt;&gt;"", SUMIF(Bets!$D:$D, AC888, Bets!AG:AG), "")</f>
        <v/>
      </c>
      <c r="AE888" s="162"/>
      <c r="AF888" s="148"/>
    </row>
    <row r="889">
      <c r="A889" s="161"/>
      <c r="B889" s="146" t="str">
        <f>IF(A889&lt;&gt;"", SUMIF(Bets!$D:$D, A889, Bets!Z:Z), "")</f>
        <v/>
      </c>
      <c r="C889" s="162"/>
      <c r="D889" s="148"/>
      <c r="E889" s="161"/>
      <c r="F889" s="146" t="str">
        <f>IF(E889&lt;&gt;"", SUMIF(Bets!$D:$D, E889, Bets!AB:AB), "")</f>
        <v/>
      </c>
      <c r="G889" s="162"/>
      <c r="H889" s="148"/>
      <c r="I889" s="161"/>
      <c r="J889" s="146" t="str">
        <f>IF(I889&lt;&gt;"", SUMIF(Bets!$D:$D, I889, Bets!AA:AA), "")</f>
        <v/>
      </c>
      <c r="K889" s="162"/>
      <c r="L889" s="148"/>
      <c r="M889" s="161"/>
      <c r="N889" s="146"/>
      <c r="O889" s="162"/>
      <c r="P889" s="148"/>
      <c r="Q889" s="161"/>
      <c r="R889" s="146" t="str">
        <f>IF(Q889&lt;&gt;"", SUMIF(Bets!$D:$D, Q889, Bets!AD:AD), "")</f>
        <v/>
      </c>
      <c r="S889" s="162"/>
      <c r="T889" s="148"/>
      <c r="U889" s="161"/>
      <c r="V889" s="146" t="str">
        <f>IF(U889&lt;&gt;"", SUMIF(Bets!$D:$D, U889, Bets!AE:AE), "")</f>
        <v/>
      </c>
      <c r="W889" s="162"/>
      <c r="X889" s="148"/>
      <c r="Y889" s="161"/>
      <c r="Z889" s="146" t="str">
        <f>IF(Y889&lt;&gt;"", SUMIF(Bets!$D:$D, Y889, Bets!AF:AF), "")</f>
        <v/>
      </c>
      <c r="AA889" s="162"/>
      <c r="AB889" s="148"/>
      <c r="AC889" s="161"/>
      <c r="AD889" s="146" t="str">
        <f>IF(AC889&lt;&gt;"", SUMIF(Bets!$D:$D, AC889, Bets!AG:AG), "")</f>
        <v/>
      </c>
      <c r="AE889" s="162"/>
      <c r="AF889" s="148"/>
    </row>
    <row r="890">
      <c r="A890" s="161"/>
      <c r="B890" s="146" t="str">
        <f>IF(A890&lt;&gt;"", SUMIF(Bets!$D:$D, A890, Bets!Z:Z), "")</f>
        <v/>
      </c>
      <c r="C890" s="162"/>
      <c r="D890" s="148"/>
      <c r="E890" s="161"/>
      <c r="F890" s="146" t="str">
        <f>IF(E890&lt;&gt;"", SUMIF(Bets!$D:$D, E890, Bets!AB:AB), "")</f>
        <v/>
      </c>
      <c r="G890" s="162"/>
      <c r="H890" s="148"/>
      <c r="I890" s="161"/>
      <c r="J890" s="146" t="str">
        <f>IF(I890&lt;&gt;"", SUMIF(Bets!$D:$D, I890, Bets!AA:AA), "")</f>
        <v/>
      </c>
      <c r="K890" s="162"/>
      <c r="L890" s="148"/>
      <c r="M890" s="161"/>
      <c r="N890" s="146"/>
      <c r="O890" s="162"/>
      <c r="P890" s="148"/>
      <c r="Q890" s="161"/>
      <c r="R890" s="146" t="str">
        <f>IF(Q890&lt;&gt;"", SUMIF(Bets!$D:$D, Q890, Bets!AD:AD), "")</f>
        <v/>
      </c>
      <c r="S890" s="162"/>
      <c r="T890" s="148"/>
      <c r="U890" s="161"/>
      <c r="V890" s="146" t="str">
        <f>IF(U890&lt;&gt;"", SUMIF(Bets!$D:$D, U890, Bets!AE:AE), "")</f>
        <v/>
      </c>
      <c r="W890" s="162"/>
      <c r="X890" s="148"/>
      <c r="Y890" s="161"/>
      <c r="Z890" s="146" t="str">
        <f>IF(Y890&lt;&gt;"", SUMIF(Bets!$D:$D, Y890, Bets!AF:AF), "")</f>
        <v/>
      </c>
      <c r="AA890" s="162"/>
      <c r="AB890" s="148"/>
      <c r="AC890" s="161"/>
      <c r="AD890" s="146" t="str">
        <f>IF(AC890&lt;&gt;"", SUMIF(Bets!$D:$D, AC890, Bets!AG:AG), "")</f>
        <v/>
      </c>
      <c r="AE890" s="162"/>
      <c r="AF890" s="148"/>
    </row>
    <row r="891">
      <c r="A891" s="161"/>
      <c r="B891" s="146" t="str">
        <f>IF(A891&lt;&gt;"", SUMIF(Bets!$D:$D, A891, Bets!Z:Z), "")</f>
        <v/>
      </c>
      <c r="C891" s="162"/>
      <c r="D891" s="148"/>
      <c r="E891" s="161"/>
      <c r="F891" s="146" t="str">
        <f>IF(E891&lt;&gt;"", SUMIF(Bets!$D:$D, E891, Bets!AB:AB), "")</f>
        <v/>
      </c>
      <c r="G891" s="162"/>
      <c r="H891" s="148"/>
      <c r="I891" s="161"/>
      <c r="J891" s="146" t="str">
        <f>IF(I891&lt;&gt;"", SUMIF(Bets!$D:$D, I891, Bets!AA:AA), "")</f>
        <v/>
      </c>
      <c r="K891" s="162"/>
      <c r="L891" s="148"/>
      <c r="M891" s="161"/>
      <c r="N891" s="146"/>
      <c r="O891" s="162"/>
      <c r="P891" s="148"/>
      <c r="Q891" s="161"/>
      <c r="R891" s="146" t="str">
        <f>IF(Q891&lt;&gt;"", SUMIF(Bets!$D:$D, Q891, Bets!AD:AD), "")</f>
        <v/>
      </c>
      <c r="S891" s="162"/>
      <c r="T891" s="148"/>
      <c r="U891" s="161"/>
      <c r="V891" s="146" t="str">
        <f>IF(U891&lt;&gt;"", SUMIF(Bets!$D:$D, U891, Bets!AE:AE), "")</f>
        <v/>
      </c>
      <c r="W891" s="162"/>
      <c r="X891" s="148"/>
      <c r="Y891" s="161"/>
      <c r="Z891" s="146" t="str">
        <f>IF(Y891&lt;&gt;"", SUMIF(Bets!$D:$D, Y891, Bets!AF:AF), "")</f>
        <v/>
      </c>
      <c r="AA891" s="162"/>
      <c r="AB891" s="148"/>
      <c r="AC891" s="161"/>
      <c r="AD891" s="146" t="str">
        <f>IF(AC891&lt;&gt;"", SUMIF(Bets!$D:$D, AC891, Bets!AG:AG), "")</f>
        <v/>
      </c>
      <c r="AE891" s="162"/>
      <c r="AF891" s="148"/>
    </row>
    <row r="892">
      <c r="A892" s="161"/>
      <c r="B892" s="146" t="str">
        <f>IF(A892&lt;&gt;"", SUMIF(Bets!$D:$D, A892, Bets!Z:Z), "")</f>
        <v/>
      </c>
      <c r="C892" s="162"/>
      <c r="D892" s="148"/>
      <c r="E892" s="161"/>
      <c r="F892" s="146" t="str">
        <f>IF(E892&lt;&gt;"", SUMIF(Bets!$D:$D, E892, Bets!AB:AB), "")</f>
        <v/>
      </c>
      <c r="G892" s="162"/>
      <c r="H892" s="148"/>
      <c r="I892" s="161"/>
      <c r="J892" s="146" t="str">
        <f>IF(I892&lt;&gt;"", SUMIF(Bets!$D:$D, I892, Bets!AA:AA), "")</f>
        <v/>
      </c>
      <c r="K892" s="162"/>
      <c r="L892" s="148"/>
      <c r="M892" s="161"/>
      <c r="N892" s="146"/>
      <c r="O892" s="162"/>
      <c r="P892" s="148"/>
      <c r="Q892" s="161"/>
      <c r="R892" s="146" t="str">
        <f>IF(Q892&lt;&gt;"", SUMIF(Bets!$D:$D, Q892, Bets!AD:AD), "")</f>
        <v/>
      </c>
      <c r="S892" s="162"/>
      <c r="T892" s="148"/>
      <c r="U892" s="161"/>
      <c r="V892" s="146" t="str">
        <f>IF(U892&lt;&gt;"", SUMIF(Bets!$D:$D, U892, Bets!AE:AE), "")</f>
        <v/>
      </c>
      <c r="W892" s="162"/>
      <c r="X892" s="148"/>
      <c r="Y892" s="161"/>
      <c r="Z892" s="146" t="str">
        <f>IF(Y892&lt;&gt;"", SUMIF(Bets!$D:$D, Y892, Bets!AF:AF), "")</f>
        <v/>
      </c>
      <c r="AA892" s="162"/>
      <c r="AB892" s="148"/>
      <c r="AC892" s="161"/>
      <c r="AD892" s="146" t="str">
        <f>IF(AC892&lt;&gt;"", SUMIF(Bets!$D:$D, AC892, Bets!AG:AG), "")</f>
        <v/>
      </c>
      <c r="AE892" s="162"/>
      <c r="AF892" s="148"/>
    </row>
    <row r="893">
      <c r="A893" s="161"/>
      <c r="B893" s="146" t="str">
        <f>IF(A893&lt;&gt;"", SUMIF(Bets!$D:$D, A893, Bets!Z:Z), "")</f>
        <v/>
      </c>
      <c r="C893" s="162"/>
      <c r="D893" s="148"/>
      <c r="E893" s="161"/>
      <c r="F893" s="146" t="str">
        <f>IF(E893&lt;&gt;"", SUMIF(Bets!$D:$D, E893, Bets!AB:AB), "")</f>
        <v/>
      </c>
      <c r="G893" s="162"/>
      <c r="H893" s="148"/>
      <c r="I893" s="161"/>
      <c r="J893" s="146" t="str">
        <f>IF(I893&lt;&gt;"", SUMIF(Bets!$D:$D, I893, Bets!AA:AA), "")</f>
        <v/>
      </c>
      <c r="K893" s="162"/>
      <c r="L893" s="148"/>
      <c r="M893" s="161"/>
      <c r="N893" s="146"/>
      <c r="O893" s="162"/>
      <c r="P893" s="148"/>
      <c r="Q893" s="161"/>
      <c r="R893" s="146" t="str">
        <f>IF(Q893&lt;&gt;"", SUMIF(Bets!$D:$D, Q893, Bets!AD:AD), "")</f>
        <v/>
      </c>
      <c r="S893" s="162"/>
      <c r="T893" s="148"/>
      <c r="U893" s="161"/>
      <c r="V893" s="146" t="str">
        <f>IF(U893&lt;&gt;"", SUMIF(Bets!$D:$D, U893, Bets!AE:AE), "")</f>
        <v/>
      </c>
      <c r="W893" s="162"/>
      <c r="X893" s="148"/>
      <c r="Y893" s="161"/>
      <c r="Z893" s="146" t="str">
        <f>IF(Y893&lt;&gt;"", SUMIF(Bets!$D:$D, Y893, Bets!AF:AF), "")</f>
        <v/>
      </c>
      <c r="AA893" s="162"/>
      <c r="AB893" s="148"/>
      <c r="AC893" s="161"/>
      <c r="AD893" s="146" t="str">
        <f>IF(AC893&lt;&gt;"", SUMIF(Bets!$D:$D, AC893, Bets!AG:AG), "")</f>
        <v/>
      </c>
      <c r="AE893" s="162"/>
      <c r="AF893" s="148"/>
    </row>
    <row r="894">
      <c r="A894" s="161"/>
      <c r="B894" s="146" t="str">
        <f>IF(A894&lt;&gt;"", SUMIF(Bets!$D:$D, A894, Bets!Z:Z), "")</f>
        <v/>
      </c>
      <c r="C894" s="162"/>
      <c r="D894" s="148"/>
      <c r="E894" s="161"/>
      <c r="F894" s="146" t="str">
        <f>IF(E894&lt;&gt;"", SUMIF(Bets!$D:$D, E894, Bets!AB:AB), "")</f>
        <v/>
      </c>
      <c r="G894" s="162"/>
      <c r="H894" s="148"/>
      <c r="I894" s="161"/>
      <c r="J894" s="146" t="str">
        <f>IF(I894&lt;&gt;"", SUMIF(Bets!$D:$D, I894, Bets!AA:AA), "")</f>
        <v/>
      </c>
      <c r="K894" s="162"/>
      <c r="L894" s="148"/>
      <c r="M894" s="161"/>
      <c r="N894" s="146"/>
      <c r="O894" s="162"/>
      <c r="P894" s="148"/>
      <c r="Q894" s="161"/>
      <c r="R894" s="146" t="str">
        <f>IF(Q894&lt;&gt;"", SUMIF(Bets!$D:$D, Q894, Bets!AD:AD), "")</f>
        <v/>
      </c>
      <c r="S894" s="162"/>
      <c r="T894" s="148"/>
      <c r="U894" s="161"/>
      <c r="V894" s="146" t="str">
        <f>IF(U894&lt;&gt;"", SUMIF(Bets!$D:$D, U894, Bets!AE:AE), "")</f>
        <v/>
      </c>
      <c r="W894" s="162"/>
      <c r="X894" s="148"/>
      <c r="Y894" s="161"/>
      <c r="Z894" s="146" t="str">
        <f>IF(Y894&lt;&gt;"", SUMIF(Bets!$D:$D, Y894, Bets!AF:AF), "")</f>
        <v/>
      </c>
      <c r="AA894" s="162"/>
      <c r="AB894" s="148"/>
      <c r="AC894" s="161"/>
      <c r="AD894" s="146" t="str">
        <f>IF(AC894&lt;&gt;"", SUMIF(Bets!$D:$D, AC894, Bets!AG:AG), "")</f>
        <v/>
      </c>
      <c r="AE894" s="162"/>
      <c r="AF894" s="148"/>
    </row>
    <row r="895">
      <c r="A895" s="161"/>
      <c r="B895" s="146" t="str">
        <f>IF(A895&lt;&gt;"", SUMIF(Bets!$D:$D, A895, Bets!Z:Z), "")</f>
        <v/>
      </c>
      <c r="C895" s="162"/>
      <c r="D895" s="148"/>
      <c r="E895" s="161"/>
      <c r="F895" s="146" t="str">
        <f>IF(E895&lt;&gt;"", SUMIF(Bets!$D:$D, E895, Bets!AB:AB), "")</f>
        <v/>
      </c>
      <c r="G895" s="162"/>
      <c r="H895" s="148"/>
      <c r="I895" s="161"/>
      <c r="J895" s="146" t="str">
        <f>IF(I895&lt;&gt;"", SUMIF(Bets!$D:$D, I895, Bets!AA:AA), "")</f>
        <v/>
      </c>
      <c r="K895" s="162"/>
      <c r="L895" s="148"/>
      <c r="M895" s="161"/>
      <c r="N895" s="146"/>
      <c r="O895" s="162"/>
      <c r="P895" s="148"/>
      <c r="Q895" s="161"/>
      <c r="R895" s="146" t="str">
        <f>IF(Q895&lt;&gt;"", SUMIF(Bets!$D:$D, Q895, Bets!AD:AD), "")</f>
        <v/>
      </c>
      <c r="S895" s="162"/>
      <c r="T895" s="148"/>
      <c r="U895" s="161"/>
      <c r="V895" s="146" t="str">
        <f>IF(U895&lt;&gt;"", SUMIF(Bets!$D:$D, U895, Bets!AE:AE), "")</f>
        <v/>
      </c>
      <c r="W895" s="162"/>
      <c r="X895" s="148"/>
      <c r="Y895" s="161"/>
      <c r="Z895" s="146" t="str">
        <f>IF(Y895&lt;&gt;"", SUMIF(Bets!$D:$D, Y895, Bets!AF:AF), "")</f>
        <v/>
      </c>
      <c r="AA895" s="162"/>
      <c r="AB895" s="148"/>
      <c r="AC895" s="161"/>
      <c r="AD895" s="146" t="str">
        <f>IF(AC895&lt;&gt;"", SUMIF(Bets!$D:$D, AC895, Bets!AG:AG), "")</f>
        <v/>
      </c>
      <c r="AE895" s="162"/>
      <c r="AF895" s="148"/>
    </row>
    <row r="896">
      <c r="A896" s="161"/>
      <c r="B896" s="146" t="str">
        <f>IF(A896&lt;&gt;"", SUMIF(Bets!$D:$D, A896, Bets!Z:Z), "")</f>
        <v/>
      </c>
      <c r="C896" s="162"/>
      <c r="D896" s="148"/>
      <c r="E896" s="161"/>
      <c r="F896" s="146" t="str">
        <f>IF(E896&lt;&gt;"", SUMIF(Bets!$D:$D, E896, Bets!AB:AB), "")</f>
        <v/>
      </c>
      <c r="G896" s="162"/>
      <c r="H896" s="148"/>
      <c r="I896" s="161"/>
      <c r="J896" s="146" t="str">
        <f>IF(I896&lt;&gt;"", SUMIF(Bets!$D:$D, I896, Bets!AA:AA), "")</f>
        <v/>
      </c>
      <c r="K896" s="162"/>
      <c r="L896" s="148"/>
      <c r="M896" s="161"/>
      <c r="N896" s="146"/>
      <c r="O896" s="162"/>
      <c r="P896" s="148"/>
      <c r="Q896" s="161"/>
      <c r="R896" s="146" t="str">
        <f>IF(Q896&lt;&gt;"", SUMIF(Bets!$D:$D, Q896, Bets!AD:AD), "")</f>
        <v/>
      </c>
      <c r="S896" s="162"/>
      <c r="T896" s="148"/>
      <c r="U896" s="161"/>
      <c r="V896" s="146" t="str">
        <f>IF(U896&lt;&gt;"", SUMIF(Bets!$D:$D, U896, Bets!AE:AE), "")</f>
        <v/>
      </c>
      <c r="W896" s="162"/>
      <c r="X896" s="148"/>
      <c r="Y896" s="161"/>
      <c r="Z896" s="146" t="str">
        <f>IF(Y896&lt;&gt;"", SUMIF(Bets!$D:$D, Y896, Bets!AF:AF), "")</f>
        <v/>
      </c>
      <c r="AA896" s="162"/>
      <c r="AB896" s="148"/>
      <c r="AC896" s="161"/>
      <c r="AD896" s="146" t="str">
        <f>IF(AC896&lt;&gt;"", SUMIF(Bets!$D:$D, AC896, Bets!AG:AG), "")</f>
        <v/>
      </c>
      <c r="AE896" s="162"/>
      <c r="AF896" s="148"/>
    </row>
    <row r="897">
      <c r="A897" s="161"/>
      <c r="B897" s="146" t="str">
        <f>IF(A897&lt;&gt;"", SUMIF(Bets!$D:$D, A897, Bets!Z:Z), "")</f>
        <v/>
      </c>
      <c r="C897" s="162"/>
      <c r="D897" s="148"/>
      <c r="E897" s="161"/>
      <c r="F897" s="146" t="str">
        <f>IF(E897&lt;&gt;"", SUMIF(Bets!$D:$D, E897, Bets!AB:AB), "")</f>
        <v/>
      </c>
      <c r="G897" s="162"/>
      <c r="H897" s="148"/>
      <c r="I897" s="161"/>
      <c r="J897" s="146" t="str">
        <f>IF(I897&lt;&gt;"", SUMIF(Bets!$D:$D, I897, Bets!AA:AA), "")</f>
        <v/>
      </c>
      <c r="K897" s="162"/>
      <c r="L897" s="148"/>
      <c r="M897" s="161"/>
      <c r="N897" s="146"/>
      <c r="O897" s="162"/>
      <c r="P897" s="148"/>
      <c r="Q897" s="161"/>
      <c r="R897" s="146" t="str">
        <f>IF(Q897&lt;&gt;"", SUMIF(Bets!$D:$D, Q897, Bets!AD:AD), "")</f>
        <v/>
      </c>
      <c r="S897" s="162"/>
      <c r="T897" s="148"/>
      <c r="U897" s="161"/>
      <c r="V897" s="146" t="str">
        <f>IF(U897&lt;&gt;"", SUMIF(Bets!$D:$D, U897, Bets!AE:AE), "")</f>
        <v/>
      </c>
      <c r="W897" s="162"/>
      <c r="X897" s="148"/>
      <c r="Y897" s="161"/>
      <c r="Z897" s="146" t="str">
        <f>IF(Y897&lt;&gt;"", SUMIF(Bets!$D:$D, Y897, Bets!AF:AF), "")</f>
        <v/>
      </c>
      <c r="AA897" s="162"/>
      <c r="AB897" s="148"/>
      <c r="AC897" s="161"/>
      <c r="AD897" s="146" t="str">
        <f>IF(AC897&lt;&gt;"", SUMIF(Bets!$D:$D, AC897, Bets!AG:AG), "")</f>
        <v/>
      </c>
      <c r="AE897" s="162"/>
      <c r="AF897" s="148"/>
    </row>
    <row r="898">
      <c r="A898" s="161"/>
      <c r="B898" s="146" t="str">
        <f>IF(A898&lt;&gt;"", SUMIF(Bets!$D:$D, A898, Bets!Z:Z), "")</f>
        <v/>
      </c>
      <c r="C898" s="162"/>
      <c r="D898" s="148"/>
      <c r="E898" s="161"/>
      <c r="F898" s="146" t="str">
        <f>IF(E898&lt;&gt;"", SUMIF(Bets!$D:$D, E898, Bets!AB:AB), "")</f>
        <v/>
      </c>
      <c r="G898" s="162"/>
      <c r="H898" s="148"/>
      <c r="I898" s="161"/>
      <c r="J898" s="146" t="str">
        <f>IF(I898&lt;&gt;"", SUMIF(Bets!$D:$D, I898, Bets!AA:AA), "")</f>
        <v/>
      </c>
      <c r="K898" s="162"/>
      <c r="L898" s="148"/>
      <c r="M898" s="161"/>
      <c r="N898" s="146"/>
      <c r="O898" s="162"/>
      <c r="P898" s="148"/>
      <c r="Q898" s="161"/>
      <c r="R898" s="146" t="str">
        <f>IF(Q898&lt;&gt;"", SUMIF(Bets!$D:$D, Q898, Bets!AD:AD), "")</f>
        <v/>
      </c>
      <c r="S898" s="162"/>
      <c r="T898" s="148"/>
      <c r="U898" s="161"/>
      <c r="V898" s="146" t="str">
        <f>IF(U898&lt;&gt;"", SUMIF(Bets!$D:$D, U898, Bets!AE:AE), "")</f>
        <v/>
      </c>
      <c r="W898" s="162"/>
      <c r="X898" s="148"/>
      <c r="Y898" s="161"/>
      <c r="Z898" s="146" t="str">
        <f>IF(Y898&lt;&gt;"", SUMIF(Bets!$D:$D, Y898, Bets!AF:AF), "")</f>
        <v/>
      </c>
      <c r="AA898" s="162"/>
      <c r="AB898" s="148"/>
      <c r="AC898" s="161"/>
      <c r="AD898" s="146" t="str">
        <f>IF(AC898&lt;&gt;"", SUMIF(Bets!$D:$D, AC898, Bets!AG:AG), "")</f>
        <v/>
      </c>
      <c r="AE898" s="162"/>
      <c r="AF898" s="148"/>
    </row>
    <row r="899">
      <c r="A899" s="161"/>
      <c r="B899" s="146" t="str">
        <f>IF(A899&lt;&gt;"", SUMIF(Bets!$D:$D, A899, Bets!Z:Z), "")</f>
        <v/>
      </c>
      <c r="C899" s="162"/>
      <c r="D899" s="148"/>
      <c r="E899" s="161"/>
      <c r="F899" s="146" t="str">
        <f>IF(E899&lt;&gt;"", SUMIF(Bets!$D:$D, E899, Bets!AB:AB), "")</f>
        <v/>
      </c>
      <c r="G899" s="162"/>
      <c r="H899" s="148"/>
      <c r="I899" s="161"/>
      <c r="J899" s="146" t="str">
        <f>IF(I899&lt;&gt;"", SUMIF(Bets!$D:$D, I899, Bets!AA:AA), "")</f>
        <v/>
      </c>
      <c r="K899" s="162"/>
      <c r="L899" s="148"/>
      <c r="M899" s="161"/>
      <c r="N899" s="146"/>
      <c r="O899" s="162"/>
      <c r="P899" s="148"/>
      <c r="Q899" s="161"/>
      <c r="R899" s="146" t="str">
        <f>IF(Q899&lt;&gt;"", SUMIF(Bets!$D:$D, Q899, Bets!AD:AD), "")</f>
        <v/>
      </c>
      <c r="S899" s="162"/>
      <c r="T899" s="148"/>
      <c r="U899" s="161"/>
      <c r="V899" s="146" t="str">
        <f>IF(U899&lt;&gt;"", SUMIF(Bets!$D:$D, U899, Bets!AE:AE), "")</f>
        <v/>
      </c>
      <c r="W899" s="162"/>
      <c r="X899" s="148"/>
      <c r="Y899" s="161"/>
      <c r="Z899" s="146" t="str">
        <f>IF(Y899&lt;&gt;"", SUMIF(Bets!$D:$D, Y899, Bets!AF:AF), "")</f>
        <v/>
      </c>
      <c r="AA899" s="162"/>
      <c r="AB899" s="148"/>
      <c r="AC899" s="161"/>
      <c r="AD899" s="146" t="str">
        <f>IF(AC899&lt;&gt;"", SUMIF(Bets!$D:$D, AC899, Bets!AG:AG), "")</f>
        <v/>
      </c>
      <c r="AE899" s="162"/>
      <c r="AF899" s="148"/>
    </row>
    <row r="900">
      <c r="A900" s="161"/>
      <c r="B900" s="146" t="str">
        <f>IF(A900&lt;&gt;"", SUMIF(Bets!$D:$D, A900, Bets!Z:Z), "")</f>
        <v/>
      </c>
      <c r="C900" s="162"/>
      <c r="D900" s="148"/>
      <c r="E900" s="161"/>
      <c r="F900" s="146" t="str">
        <f>IF(E900&lt;&gt;"", SUMIF(Bets!$D:$D, E900, Bets!AB:AB), "")</f>
        <v/>
      </c>
      <c r="G900" s="162"/>
      <c r="H900" s="148"/>
      <c r="I900" s="161"/>
      <c r="J900" s="146" t="str">
        <f>IF(I900&lt;&gt;"", SUMIF(Bets!$D:$D, I900, Bets!AA:AA), "")</f>
        <v/>
      </c>
      <c r="K900" s="162"/>
      <c r="L900" s="148"/>
      <c r="M900" s="161"/>
      <c r="N900" s="146"/>
      <c r="O900" s="162"/>
      <c r="P900" s="148"/>
      <c r="Q900" s="161"/>
      <c r="R900" s="146" t="str">
        <f>IF(Q900&lt;&gt;"", SUMIF(Bets!$D:$D, Q900, Bets!AD:AD), "")</f>
        <v/>
      </c>
      <c r="S900" s="162"/>
      <c r="T900" s="148"/>
      <c r="U900" s="161"/>
      <c r="V900" s="146" t="str">
        <f>IF(U900&lt;&gt;"", SUMIF(Bets!$D:$D, U900, Bets!AE:AE), "")</f>
        <v/>
      </c>
      <c r="W900" s="162"/>
      <c r="X900" s="148"/>
      <c r="Y900" s="161"/>
      <c r="Z900" s="146" t="str">
        <f>IF(Y900&lt;&gt;"", SUMIF(Bets!$D:$D, Y900, Bets!AF:AF), "")</f>
        <v/>
      </c>
      <c r="AA900" s="162"/>
      <c r="AB900" s="148"/>
      <c r="AC900" s="161"/>
      <c r="AD900" s="146" t="str">
        <f>IF(AC900&lt;&gt;"", SUMIF(Bets!$D:$D, AC900, Bets!AG:AG), "")</f>
        <v/>
      </c>
      <c r="AE900" s="162"/>
      <c r="AF900" s="148"/>
    </row>
    <row r="901">
      <c r="A901" s="161"/>
      <c r="B901" s="146" t="str">
        <f>IF(A901&lt;&gt;"", SUMIF(Bets!$D:$D, A901, Bets!Z:Z), "")</f>
        <v/>
      </c>
      <c r="C901" s="162"/>
      <c r="D901" s="148"/>
      <c r="E901" s="161"/>
      <c r="F901" s="146" t="str">
        <f>IF(E901&lt;&gt;"", SUMIF(Bets!$D:$D, E901, Bets!AB:AB), "")</f>
        <v/>
      </c>
      <c r="G901" s="162"/>
      <c r="H901" s="148"/>
      <c r="I901" s="161"/>
      <c r="J901" s="146" t="str">
        <f>IF(I901&lt;&gt;"", SUMIF(Bets!$D:$D, I901, Bets!AA:AA), "")</f>
        <v/>
      </c>
      <c r="K901" s="162"/>
      <c r="L901" s="148"/>
      <c r="M901" s="161"/>
      <c r="N901" s="146"/>
      <c r="O901" s="162"/>
      <c r="P901" s="148"/>
      <c r="Q901" s="161"/>
      <c r="R901" s="146" t="str">
        <f>IF(Q901&lt;&gt;"", SUMIF(Bets!$D:$D, Q901, Bets!AD:AD), "")</f>
        <v/>
      </c>
      <c r="S901" s="162"/>
      <c r="T901" s="148"/>
      <c r="U901" s="161"/>
      <c r="V901" s="146" t="str">
        <f>IF(U901&lt;&gt;"", SUMIF(Bets!$D:$D, U901, Bets!AE:AE), "")</f>
        <v/>
      </c>
      <c r="W901" s="162"/>
      <c r="X901" s="148"/>
      <c r="Y901" s="161"/>
      <c r="Z901" s="146" t="str">
        <f>IF(Y901&lt;&gt;"", SUMIF(Bets!$D:$D, Y901, Bets!AF:AF), "")</f>
        <v/>
      </c>
      <c r="AA901" s="162"/>
      <c r="AB901" s="148"/>
      <c r="AC901" s="161"/>
      <c r="AD901" s="146" t="str">
        <f>IF(AC901&lt;&gt;"", SUMIF(Bets!$D:$D, AC901, Bets!AG:AG), "")</f>
        <v/>
      </c>
      <c r="AE901" s="162"/>
      <c r="AF901" s="148"/>
    </row>
    <row r="902">
      <c r="A902" s="161"/>
      <c r="B902" s="146" t="str">
        <f>IF(A902&lt;&gt;"", SUMIF(Bets!$D:$D, A902, Bets!Z:Z), "")</f>
        <v/>
      </c>
      <c r="C902" s="162"/>
      <c r="D902" s="148"/>
      <c r="E902" s="161"/>
      <c r="F902" s="146" t="str">
        <f>IF(E902&lt;&gt;"", SUMIF(Bets!$D:$D, E902, Bets!AB:AB), "")</f>
        <v/>
      </c>
      <c r="G902" s="162"/>
      <c r="H902" s="148"/>
      <c r="I902" s="161"/>
      <c r="J902" s="146" t="str">
        <f>IF(I902&lt;&gt;"", SUMIF(Bets!$D:$D, I902, Bets!AA:AA), "")</f>
        <v/>
      </c>
      <c r="K902" s="162"/>
      <c r="L902" s="148"/>
      <c r="M902" s="161"/>
      <c r="N902" s="146"/>
      <c r="O902" s="162"/>
      <c r="P902" s="148"/>
      <c r="Q902" s="161"/>
      <c r="R902" s="146" t="str">
        <f>IF(Q902&lt;&gt;"", SUMIF(Bets!$D:$D, Q902, Bets!AD:AD), "")</f>
        <v/>
      </c>
      <c r="S902" s="162"/>
      <c r="T902" s="148"/>
      <c r="U902" s="161"/>
      <c r="V902" s="146" t="str">
        <f>IF(U902&lt;&gt;"", SUMIF(Bets!$D:$D, U902, Bets!AE:AE), "")</f>
        <v/>
      </c>
      <c r="W902" s="162"/>
      <c r="X902" s="148"/>
      <c r="Y902" s="161"/>
      <c r="Z902" s="146" t="str">
        <f>IF(Y902&lt;&gt;"", SUMIF(Bets!$D:$D, Y902, Bets!AF:AF), "")</f>
        <v/>
      </c>
      <c r="AA902" s="162"/>
      <c r="AB902" s="148"/>
      <c r="AC902" s="161"/>
      <c r="AD902" s="146" t="str">
        <f>IF(AC902&lt;&gt;"", SUMIF(Bets!$D:$D, AC902, Bets!AG:AG), "")</f>
        <v/>
      </c>
      <c r="AE902" s="162"/>
      <c r="AF902" s="148"/>
    </row>
    <row r="903">
      <c r="A903" s="161"/>
      <c r="B903" s="146" t="str">
        <f>IF(A903&lt;&gt;"", SUMIF(Bets!$D:$D, A903, Bets!Z:Z), "")</f>
        <v/>
      </c>
      <c r="C903" s="162"/>
      <c r="D903" s="148"/>
      <c r="E903" s="161"/>
      <c r="F903" s="146" t="str">
        <f>IF(E903&lt;&gt;"", SUMIF(Bets!$D:$D, E903, Bets!AB:AB), "")</f>
        <v/>
      </c>
      <c r="G903" s="162"/>
      <c r="H903" s="148"/>
      <c r="I903" s="161"/>
      <c r="J903" s="146" t="str">
        <f>IF(I903&lt;&gt;"", SUMIF(Bets!$D:$D, I903, Bets!AA:AA), "")</f>
        <v/>
      </c>
      <c r="K903" s="162"/>
      <c r="L903" s="148"/>
      <c r="M903" s="161"/>
      <c r="N903" s="146"/>
      <c r="O903" s="162"/>
      <c r="P903" s="148"/>
      <c r="Q903" s="161"/>
      <c r="R903" s="146" t="str">
        <f>IF(Q903&lt;&gt;"", SUMIF(Bets!$D:$D, Q903, Bets!AD:AD), "")</f>
        <v/>
      </c>
      <c r="S903" s="162"/>
      <c r="T903" s="148"/>
      <c r="U903" s="161"/>
      <c r="V903" s="146" t="str">
        <f>IF(U903&lt;&gt;"", SUMIF(Bets!$D:$D, U903, Bets!AE:AE), "")</f>
        <v/>
      </c>
      <c r="W903" s="162"/>
      <c r="X903" s="148"/>
      <c r="Y903" s="161"/>
      <c r="Z903" s="146" t="str">
        <f>IF(Y903&lt;&gt;"", SUMIF(Bets!$D:$D, Y903, Bets!AF:AF), "")</f>
        <v/>
      </c>
      <c r="AA903" s="162"/>
      <c r="AB903" s="148"/>
      <c r="AC903" s="161"/>
      <c r="AD903" s="146" t="str">
        <f>IF(AC903&lt;&gt;"", SUMIF(Bets!$D:$D, AC903, Bets!AG:AG), "")</f>
        <v/>
      </c>
      <c r="AE903" s="162"/>
      <c r="AF903" s="148"/>
    </row>
    <row r="904">
      <c r="A904" s="161"/>
      <c r="B904" s="146" t="str">
        <f>IF(A904&lt;&gt;"", SUMIF(Bets!$D:$D, A904, Bets!Z:Z), "")</f>
        <v/>
      </c>
      <c r="C904" s="162"/>
      <c r="D904" s="148"/>
      <c r="E904" s="161"/>
      <c r="F904" s="146" t="str">
        <f>IF(E904&lt;&gt;"", SUMIF(Bets!$D:$D, E904, Bets!AB:AB), "")</f>
        <v/>
      </c>
      <c r="G904" s="162"/>
      <c r="H904" s="148"/>
      <c r="I904" s="161"/>
      <c r="J904" s="146" t="str">
        <f>IF(I904&lt;&gt;"", SUMIF(Bets!$D:$D, I904, Bets!AA:AA), "")</f>
        <v/>
      </c>
      <c r="K904" s="162"/>
      <c r="L904" s="148"/>
      <c r="M904" s="161"/>
      <c r="N904" s="146"/>
      <c r="O904" s="162"/>
      <c r="P904" s="148"/>
      <c r="Q904" s="161"/>
      <c r="R904" s="146" t="str">
        <f>IF(Q904&lt;&gt;"", SUMIF(Bets!$D:$D, Q904, Bets!AD:AD), "")</f>
        <v/>
      </c>
      <c r="S904" s="162"/>
      <c r="T904" s="148"/>
      <c r="U904" s="161"/>
      <c r="V904" s="146" t="str">
        <f>IF(U904&lt;&gt;"", SUMIF(Bets!$D:$D, U904, Bets!AE:AE), "")</f>
        <v/>
      </c>
      <c r="W904" s="162"/>
      <c r="X904" s="148"/>
      <c r="Y904" s="161"/>
      <c r="Z904" s="146" t="str">
        <f>IF(Y904&lt;&gt;"", SUMIF(Bets!$D:$D, Y904, Bets!AF:AF), "")</f>
        <v/>
      </c>
      <c r="AA904" s="162"/>
      <c r="AB904" s="148"/>
      <c r="AC904" s="161"/>
      <c r="AD904" s="146" t="str">
        <f>IF(AC904&lt;&gt;"", SUMIF(Bets!$D:$D, AC904, Bets!AG:AG), "")</f>
        <v/>
      </c>
      <c r="AE904" s="162"/>
      <c r="AF904" s="148"/>
    </row>
    <row r="905">
      <c r="A905" s="161"/>
      <c r="B905" s="146" t="str">
        <f>IF(A905&lt;&gt;"", SUMIF(Bets!$D:$D, A905, Bets!Z:Z), "")</f>
        <v/>
      </c>
      <c r="C905" s="162"/>
      <c r="D905" s="148"/>
      <c r="E905" s="161"/>
      <c r="F905" s="146" t="str">
        <f>IF(E905&lt;&gt;"", SUMIF(Bets!$D:$D, E905, Bets!AB:AB), "")</f>
        <v/>
      </c>
      <c r="G905" s="162"/>
      <c r="H905" s="148"/>
      <c r="I905" s="161"/>
      <c r="J905" s="146" t="str">
        <f>IF(I905&lt;&gt;"", SUMIF(Bets!$D:$D, I905, Bets!AA:AA), "")</f>
        <v/>
      </c>
      <c r="K905" s="162"/>
      <c r="L905" s="148"/>
      <c r="M905" s="161"/>
      <c r="N905" s="146"/>
      <c r="O905" s="162"/>
      <c r="P905" s="148"/>
      <c r="Q905" s="161"/>
      <c r="R905" s="146" t="str">
        <f>IF(Q905&lt;&gt;"", SUMIF(Bets!$D:$D, Q905, Bets!AD:AD), "")</f>
        <v/>
      </c>
      <c r="S905" s="162"/>
      <c r="T905" s="148"/>
      <c r="U905" s="161"/>
      <c r="V905" s="146" t="str">
        <f>IF(U905&lt;&gt;"", SUMIF(Bets!$D:$D, U905, Bets!AE:AE), "")</f>
        <v/>
      </c>
      <c r="W905" s="162"/>
      <c r="X905" s="148"/>
      <c r="Y905" s="161"/>
      <c r="Z905" s="146" t="str">
        <f>IF(Y905&lt;&gt;"", SUMIF(Bets!$D:$D, Y905, Bets!AF:AF), "")</f>
        <v/>
      </c>
      <c r="AA905" s="162"/>
      <c r="AB905" s="148"/>
      <c r="AC905" s="161"/>
      <c r="AD905" s="146" t="str">
        <f>IF(AC905&lt;&gt;"", SUMIF(Bets!$D:$D, AC905, Bets!AG:AG), "")</f>
        <v/>
      </c>
      <c r="AE905" s="162"/>
      <c r="AF905" s="148"/>
    </row>
    <row r="906">
      <c r="A906" s="161"/>
      <c r="B906" s="146" t="str">
        <f>IF(A906&lt;&gt;"", SUMIF(Bets!$D:$D, A906, Bets!Z:Z), "")</f>
        <v/>
      </c>
      <c r="C906" s="162"/>
      <c r="D906" s="148"/>
      <c r="E906" s="161"/>
      <c r="F906" s="146" t="str">
        <f>IF(E906&lt;&gt;"", SUMIF(Bets!$D:$D, E906, Bets!AB:AB), "")</f>
        <v/>
      </c>
      <c r="G906" s="162"/>
      <c r="H906" s="148"/>
      <c r="I906" s="161"/>
      <c r="J906" s="146" t="str">
        <f>IF(I906&lt;&gt;"", SUMIF(Bets!$D:$D, I906, Bets!AA:AA), "")</f>
        <v/>
      </c>
      <c r="K906" s="162"/>
      <c r="L906" s="148"/>
      <c r="M906" s="161"/>
      <c r="N906" s="146"/>
      <c r="O906" s="162"/>
      <c r="P906" s="148"/>
      <c r="Q906" s="161"/>
      <c r="R906" s="146" t="str">
        <f>IF(Q906&lt;&gt;"", SUMIF(Bets!$D:$D, Q906, Bets!AD:AD), "")</f>
        <v/>
      </c>
      <c r="S906" s="162"/>
      <c r="T906" s="148"/>
      <c r="U906" s="161"/>
      <c r="V906" s="146" t="str">
        <f>IF(U906&lt;&gt;"", SUMIF(Bets!$D:$D, U906, Bets!AE:AE), "")</f>
        <v/>
      </c>
      <c r="W906" s="162"/>
      <c r="X906" s="148"/>
      <c r="Y906" s="161"/>
      <c r="Z906" s="146" t="str">
        <f>IF(Y906&lt;&gt;"", SUMIF(Bets!$D:$D, Y906, Bets!AF:AF), "")</f>
        <v/>
      </c>
      <c r="AA906" s="162"/>
      <c r="AB906" s="148"/>
      <c r="AC906" s="161"/>
      <c r="AD906" s="146" t="str">
        <f>IF(AC906&lt;&gt;"", SUMIF(Bets!$D:$D, AC906, Bets!AG:AG), "")</f>
        <v/>
      </c>
      <c r="AE906" s="162"/>
      <c r="AF906" s="148"/>
    </row>
    <row r="907">
      <c r="A907" s="161"/>
      <c r="B907" s="146" t="str">
        <f>IF(A907&lt;&gt;"", SUMIF(Bets!$D:$D, A907, Bets!Z:Z), "")</f>
        <v/>
      </c>
      <c r="C907" s="162"/>
      <c r="D907" s="148"/>
      <c r="E907" s="161"/>
      <c r="F907" s="146" t="str">
        <f>IF(E907&lt;&gt;"", SUMIF(Bets!$D:$D, E907, Bets!AB:AB), "")</f>
        <v/>
      </c>
      <c r="G907" s="162"/>
      <c r="H907" s="148"/>
      <c r="I907" s="161"/>
      <c r="J907" s="146" t="str">
        <f>IF(I907&lt;&gt;"", SUMIF(Bets!$D:$D, I907, Bets!AA:AA), "")</f>
        <v/>
      </c>
      <c r="K907" s="162"/>
      <c r="L907" s="148"/>
      <c r="M907" s="161"/>
      <c r="N907" s="146"/>
      <c r="O907" s="162"/>
      <c r="P907" s="148"/>
      <c r="Q907" s="161"/>
      <c r="R907" s="146" t="str">
        <f>IF(Q907&lt;&gt;"", SUMIF(Bets!$D:$D, Q907, Bets!AD:AD), "")</f>
        <v/>
      </c>
      <c r="S907" s="162"/>
      <c r="T907" s="148"/>
      <c r="U907" s="161"/>
      <c r="V907" s="146" t="str">
        <f>IF(U907&lt;&gt;"", SUMIF(Bets!$D:$D, U907, Bets!AE:AE), "")</f>
        <v/>
      </c>
      <c r="W907" s="162"/>
      <c r="X907" s="148"/>
      <c r="Y907" s="161"/>
      <c r="Z907" s="146" t="str">
        <f>IF(Y907&lt;&gt;"", SUMIF(Bets!$D:$D, Y907, Bets!AF:AF), "")</f>
        <v/>
      </c>
      <c r="AA907" s="162"/>
      <c r="AB907" s="148"/>
      <c r="AC907" s="161"/>
      <c r="AD907" s="146" t="str">
        <f>IF(AC907&lt;&gt;"", SUMIF(Bets!$D:$D, AC907, Bets!AG:AG), "")</f>
        <v/>
      </c>
      <c r="AE907" s="162"/>
      <c r="AF907" s="148"/>
    </row>
    <row r="908">
      <c r="A908" s="161"/>
      <c r="B908" s="146" t="str">
        <f>IF(A908&lt;&gt;"", SUMIF(Bets!$D:$D, A908, Bets!Z:Z), "")</f>
        <v/>
      </c>
      <c r="C908" s="162"/>
      <c r="D908" s="148"/>
      <c r="E908" s="161"/>
      <c r="F908" s="146" t="str">
        <f>IF(E908&lt;&gt;"", SUMIF(Bets!$D:$D, E908, Bets!AB:AB), "")</f>
        <v/>
      </c>
      <c r="G908" s="162"/>
      <c r="H908" s="148"/>
      <c r="I908" s="161"/>
      <c r="J908" s="146" t="str">
        <f>IF(I908&lt;&gt;"", SUMIF(Bets!$D:$D, I908, Bets!AA:AA), "")</f>
        <v/>
      </c>
      <c r="K908" s="162"/>
      <c r="L908" s="148"/>
      <c r="M908" s="161"/>
      <c r="N908" s="146"/>
      <c r="O908" s="162"/>
      <c r="P908" s="148"/>
      <c r="Q908" s="161"/>
      <c r="R908" s="146" t="str">
        <f>IF(Q908&lt;&gt;"", SUMIF(Bets!$D:$D, Q908, Bets!AD:AD), "")</f>
        <v/>
      </c>
      <c r="S908" s="162"/>
      <c r="T908" s="148"/>
      <c r="U908" s="161"/>
      <c r="V908" s="146" t="str">
        <f>IF(U908&lt;&gt;"", SUMIF(Bets!$D:$D, U908, Bets!AE:AE), "")</f>
        <v/>
      </c>
      <c r="W908" s="162"/>
      <c r="X908" s="148"/>
      <c r="Y908" s="161"/>
      <c r="Z908" s="146" t="str">
        <f>IF(Y908&lt;&gt;"", SUMIF(Bets!$D:$D, Y908, Bets!AF:AF), "")</f>
        <v/>
      </c>
      <c r="AA908" s="162"/>
      <c r="AB908" s="148"/>
      <c r="AC908" s="161"/>
      <c r="AD908" s="146" t="str">
        <f>IF(AC908&lt;&gt;"", SUMIF(Bets!$D:$D, AC908, Bets!AG:AG), "")</f>
        <v/>
      </c>
      <c r="AE908" s="162"/>
      <c r="AF908" s="148"/>
    </row>
    <row r="909">
      <c r="A909" s="161"/>
      <c r="B909" s="146" t="str">
        <f>IF(A909&lt;&gt;"", SUMIF(Bets!$D:$D, A909, Bets!Z:Z), "")</f>
        <v/>
      </c>
      <c r="C909" s="162"/>
      <c r="D909" s="148"/>
      <c r="E909" s="161"/>
      <c r="F909" s="146" t="str">
        <f>IF(E909&lt;&gt;"", SUMIF(Bets!$D:$D, E909, Bets!AB:AB), "")</f>
        <v/>
      </c>
      <c r="G909" s="162"/>
      <c r="H909" s="148"/>
      <c r="I909" s="161"/>
      <c r="J909" s="146" t="str">
        <f>IF(I909&lt;&gt;"", SUMIF(Bets!$D:$D, I909, Bets!AA:AA), "")</f>
        <v/>
      </c>
      <c r="K909" s="162"/>
      <c r="L909" s="148"/>
      <c r="M909" s="161"/>
      <c r="N909" s="146"/>
      <c r="O909" s="162"/>
      <c r="P909" s="148"/>
      <c r="Q909" s="161"/>
      <c r="R909" s="146" t="str">
        <f>IF(Q909&lt;&gt;"", SUMIF(Bets!$D:$D, Q909, Bets!AD:AD), "")</f>
        <v/>
      </c>
      <c r="S909" s="162"/>
      <c r="T909" s="148"/>
      <c r="U909" s="161"/>
      <c r="V909" s="146" t="str">
        <f>IF(U909&lt;&gt;"", SUMIF(Bets!$D:$D, U909, Bets!AE:AE), "")</f>
        <v/>
      </c>
      <c r="W909" s="162"/>
      <c r="X909" s="148"/>
      <c r="Y909" s="161"/>
      <c r="Z909" s="146" t="str">
        <f>IF(Y909&lt;&gt;"", SUMIF(Bets!$D:$D, Y909, Bets!AF:AF), "")</f>
        <v/>
      </c>
      <c r="AA909" s="162"/>
      <c r="AB909" s="148"/>
      <c r="AC909" s="161"/>
      <c r="AD909" s="146" t="str">
        <f>IF(AC909&lt;&gt;"", SUMIF(Bets!$D:$D, AC909, Bets!AG:AG), "")</f>
        <v/>
      </c>
      <c r="AE909" s="162"/>
      <c r="AF909" s="148"/>
    </row>
    <row r="910">
      <c r="A910" s="161"/>
      <c r="B910" s="146" t="str">
        <f>IF(A910&lt;&gt;"", SUMIF(Bets!$D:$D, A910, Bets!Z:Z), "")</f>
        <v/>
      </c>
      <c r="C910" s="162"/>
      <c r="D910" s="148"/>
      <c r="E910" s="161"/>
      <c r="F910" s="146" t="str">
        <f>IF(E910&lt;&gt;"", SUMIF(Bets!$D:$D, E910, Bets!AB:AB), "")</f>
        <v/>
      </c>
      <c r="G910" s="162"/>
      <c r="H910" s="148"/>
      <c r="I910" s="161"/>
      <c r="J910" s="146" t="str">
        <f>IF(I910&lt;&gt;"", SUMIF(Bets!$D:$D, I910, Bets!AA:AA), "")</f>
        <v/>
      </c>
      <c r="K910" s="162"/>
      <c r="L910" s="148"/>
      <c r="M910" s="161"/>
      <c r="N910" s="146"/>
      <c r="O910" s="162"/>
      <c r="P910" s="148"/>
      <c r="Q910" s="161"/>
      <c r="R910" s="146" t="str">
        <f>IF(Q910&lt;&gt;"", SUMIF(Bets!$D:$D, Q910, Bets!AD:AD), "")</f>
        <v/>
      </c>
      <c r="S910" s="162"/>
      <c r="T910" s="148"/>
      <c r="U910" s="161"/>
      <c r="V910" s="146" t="str">
        <f>IF(U910&lt;&gt;"", SUMIF(Bets!$D:$D, U910, Bets!AE:AE), "")</f>
        <v/>
      </c>
      <c r="W910" s="162"/>
      <c r="X910" s="148"/>
      <c r="Y910" s="161"/>
      <c r="Z910" s="146" t="str">
        <f>IF(Y910&lt;&gt;"", SUMIF(Bets!$D:$D, Y910, Bets!AF:AF), "")</f>
        <v/>
      </c>
      <c r="AA910" s="162"/>
      <c r="AB910" s="148"/>
      <c r="AC910" s="161"/>
      <c r="AD910" s="146" t="str">
        <f>IF(AC910&lt;&gt;"", SUMIF(Bets!$D:$D, AC910, Bets!AG:AG), "")</f>
        <v/>
      </c>
      <c r="AE910" s="162"/>
      <c r="AF910" s="148"/>
    </row>
    <row r="911">
      <c r="A911" s="161"/>
      <c r="B911" s="146" t="str">
        <f>IF(A911&lt;&gt;"", SUMIF(Bets!$D:$D, A911, Bets!Z:Z), "")</f>
        <v/>
      </c>
      <c r="C911" s="162"/>
      <c r="D911" s="148"/>
      <c r="E911" s="161"/>
      <c r="F911" s="146" t="str">
        <f>IF(E911&lt;&gt;"", SUMIF(Bets!$D:$D, E911, Bets!AB:AB), "")</f>
        <v/>
      </c>
      <c r="G911" s="162"/>
      <c r="H911" s="148"/>
      <c r="I911" s="161"/>
      <c r="J911" s="146" t="str">
        <f>IF(I911&lt;&gt;"", SUMIF(Bets!$D:$D, I911, Bets!AA:AA), "")</f>
        <v/>
      </c>
      <c r="K911" s="162"/>
      <c r="L911" s="148"/>
      <c r="M911" s="161"/>
      <c r="N911" s="146"/>
      <c r="O911" s="162"/>
      <c r="P911" s="148"/>
      <c r="Q911" s="161"/>
      <c r="R911" s="146" t="str">
        <f>IF(Q911&lt;&gt;"", SUMIF(Bets!$D:$D, Q911, Bets!AD:AD), "")</f>
        <v/>
      </c>
      <c r="S911" s="162"/>
      <c r="T911" s="148"/>
      <c r="U911" s="161"/>
      <c r="V911" s="146" t="str">
        <f>IF(U911&lt;&gt;"", SUMIF(Bets!$D:$D, U911, Bets!AE:AE), "")</f>
        <v/>
      </c>
      <c r="W911" s="162"/>
      <c r="X911" s="148"/>
      <c r="Y911" s="161"/>
      <c r="Z911" s="146" t="str">
        <f>IF(Y911&lt;&gt;"", SUMIF(Bets!$D:$D, Y911, Bets!AF:AF), "")</f>
        <v/>
      </c>
      <c r="AA911" s="162"/>
      <c r="AB911" s="148"/>
      <c r="AC911" s="161"/>
      <c r="AD911" s="146" t="str">
        <f>IF(AC911&lt;&gt;"", SUMIF(Bets!$D:$D, AC911, Bets!AG:AG), "")</f>
        <v/>
      </c>
      <c r="AE911" s="162"/>
      <c r="AF911" s="148"/>
    </row>
    <row r="912">
      <c r="A912" s="161"/>
      <c r="B912" s="146" t="str">
        <f>IF(A912&lt;&gt;"", SUMIF(Bets!$D:$D, A912, Bets!Z:Z), "")</f>
        <v/>
      </c>
      <c r="C912" s="162"/>
      <c r="D912" s="148"/>
      <c r="E912" s="161"/>
      <c r="F912" s="146" t="str">
        <f>IF(E912&lt;&gt;"", SUMIF(Bets!$D:$D, E912, Bets!AB:AB), "")</f>
        <v/>
      </c>
      <c r="G912" s="162"/>
      <c r="H912" s="148"/>
      <c r="I912" s="161"/>
      <c r="J912" s="146" t="str">
        <f>IF(I912&lt;&gt;"", SUMIF(Bets!$D:$D, I912, Bets!AA:AA), "")</f>
        <v/>
      </c>
      <c r="K912" s="162"/>
      <c r="L912" s="148"/>
      <c r="M912" s="161"/>
      <c r="N912" s="146"/>
      <c r="O912" s="162"/>
      <c r="P912" s="148"/>
      <c r="Q912" s="161"/>
      <c r="R912" s="146" t="str">
        <f>IF(Q912&lt;&gt;"", SUMIF(Bets!$D:$D, Q912, Bets!AD:AD), "")</f>
        <v/>
      </c>
      <c r="S912" s="162"/>
      <c r="T912" s="148"/>
      <c r="U912" s="161"/>
      <c r="V912" s="146" t="str">
        <f>IF(U912&lt;&gt;"", SUMIF(Bets!$D:$D, U912, Bets!AE:AE), "")</f>
        <v/>
      </c>
      <c r="W912" s="162"/>
      <c r="X912" s="148"/>
      <c r="Y912" s="161"/>
      <c r="Z912" s="146" t="str">
        <f>IF(Y912&lt;&gt;"", SUMIF(Bets!$D:$D, Y912, Bets!AF:AF), "")</f>
        <v/>
      </c>
      <c r="AA912" s="162"/>
      <c r="AB912" s="148"/>
      <c r="AC912" s="161"/>
      <c r="AD912" s="146" t="str">
        <f>IF(AC912&lt;&gt;"", SUMIF(Bets!$D:$D, AC912, Bets!AG:AG), "")</f>
        <v/>
      </c>
      <c r="AE912" s="162"/>
      <c r="AF912" s="148"/>
    </row>
    <row r="913">
      <c r="A913" s="161"/>
      <c r="B913" s="146" t="str">
        <f>IF(A913&lt;&gt;"", SUMIF(Bets!$D:$D, A913, Bets!Z:Z), "")</f>
        <v/>
      </c>
      <c r="C913" s="162"/>
      <c r="D913" s="148"/>
      <c r="E913" s="161"/>
      <c r="F913" s="146" t="str">
        <f>IF(E913&lt;&gt;"", SUMIF(Bets!$D:$D, E913, Bets!AB:AB), "")</f>
        <v/>
      </c>
      <c r="G913" s="162"/>
      <c r="H913" s="148"/>
      <c r="I913" s="161"/>
      <c r="J913" s="146" t="str">
        <f>IF(I913&lt;&gt;"", SUMIF(Bets!$D:$D, I913, Bets!AA:AA), "")</f>
        <v/>
      </c>
      <c r="K913" s="162"/>
      <c r="L913" s="148"/>
      <c r="M913" s="161"/>
      <c r="N913" s="146"/>
      <c r="O913" s="162"/>
      <c r="P913" s="148"/>
      <c r="Q913" s="161"/>
      <c r="R913" s="146" t="str">
        <f>IF(Q913&lt;&gt;"", SUMIF(Bets!$D:$D, Q913, Bets!AD:AD), "")</f>
        <v/>
      </c>
      <c r="S913" s="162"/>
      <c r="T913" s="148"/>
      <c r="U913" s="161"/>
      <c r="V913" s="146" t="str">
        <f>IF(U913&lt;&gt;"", SUMIF(Bets!$D:$D, U913, Bets!AE:AE), "")</f>
        <v/>
      </c>
      <c r="W913" s="162"/>
      <c r="X913" s="148"/>
      <c r="Y913" s="161"/>
      <c r="Z913" s="146" t="str">
        <f>IF(Y913&lt;&gt;"", SUMIF(Bets!$D:$D, Y913, Bets!AF:AF), "")</f>
        <v/>
      </c>
      <c r="AA913" s="162"/>
      <c r="AB913" s="148"/>
      <c r="AC913" s="161"/>
      <c r="AD913" s="146" t="str">
        <f>IF(AC913&lt;&gt;"", SUMIF(Bets!$D:$D, AC913, Bets!AG:AG), "")</f>
        <v/>
      </c>
      <c r="AE913" s="162"/>
      <c r="AF913" s="148"/>
    </row>
    <row r="914">
      <c r="A914" s="161"/>
      <c r="B914" s="146" t="str">
        <f>IF(A914&lt;&gt;"", SUMIF(Bets!$D:$D, A914, Bets!Z:Z), "")</f>
        <v/>
      </c>
      <c r="C914" s="162"/>
      <c r="D914" s="148"/>
      <c r="E914" s="161"/>
      <c r="F914" s="146" t="str">
        <f>IF(E914&lt;&gt;"", SUMIF(Bets!$D:$D, E914, Bets!AB:AB), "")</f>
        <v/>
      </c>
      <c r="G914" s="162"/>
      <c r="H914" s="148"/>
      <c r="I914" s="161"/>
      <c r="J914" s="146" t="str">
        <f>IF(I914&lt;&gt;"", SUMIF(Bets!$D:$D, I914, Bets!AA:AA), "")</f>
        <v/>
      </c>
      <c r="K914" s="162"/>
      <c r="L914" s="148"/>
      <c r="M914" s="161"/>
      <c r="N914" s="146"/>
      <c r="O914" s="162"/>
      <c r="P914" s="148"/>
      <c r="Q914" s="161"/>
      <c r="R914" s="146" t="str">
        <f>IF(Q914&lt;&gt;"", SUMIF(Bets!$D:$D, Q914, Bets!AD:AD), "")</f>
        <v/>
      </c>
      <c r="S914" s="162"/>
      <c r="T914" s="148"/>
      <c r="U914" s="161"/>
      <c r="V914" s="146" t="str">
        <f>IF(U914&lt;&gt;"", SUMIF(Bets!$D:$D, U914, Bets!AE:AE), "")</f>
        <v/>
      </c>
      <c r="W914" s="162"/>
      <c r="X914" s="148"/>
      <c r="Y914" s="161"/>
      <c r="Z914" s="146" t="str">
        <f>IF(Y914&lt;&gt;"", SUMIF(Bets!$D:$D, Y914, Bets!AF:AF), "")</f>
        <v/>
      </c>
      <c r="AA914" s="162"/>
      <c r="AB914" s="148"/>
      <c r="AC914" s="161"/>
      <c r="AD914" s="146" t="str">
        <f>IF(AC914&lt;&gt;"", SUMIF(Bets!$D:$D, AC914, Bets!AG:AG), "")</f>
        <v/>
      </c>
      <c r="AE914" s="162"/>
      <c r="AF914" s="148"/>
    </row>
    <row r="915">
      <c r="A915" s="161"/>
      <c r="B915" s="146" t="str">
        <f>IF(A915&lt;&gt;"", SUMIF(Bets!$D:$D, A915, Bets!Z:Z), "")</f>
        <v/>
      </c>
      <c r="C915" s="162"/>
      <c r="D915" s="148"/>
      <c r="E915" s="161"/>
      <c r="F915" s="146" t="str">
        <f>IF(E915&lt;&gt;"", SUMIF(Bets!$D:$D, E915, Bets!AB:AB), "")</f>
        <v/>
      </c>
      <c r="G915" s="162"/>
      <c r="H915" s="148"/>
      <c r="I915" s="161"/>
      <c r="J915" s="146" t="str">
        <f>IF(I915&lt;&gt;"", SUMIF(Bets!$D:$D, I915, Bets!AA:AA), "")</f>
        <v/>
      </c>
      <c r="K915" s="162"/>
      <c r="L915" s="148"/>
      <c r="M915" s="161"/>
      <c r="N915" s="146"/>
      <c r="O915" s="162"/>
      <c r="P915" s="148"/>
      <c r="Q915" s="161"/>
      <c r="R915" s="146" t="str">
        <f>IF(Q915&lt;&gt;"", SUMIF(Bets!$D:$D, Q915, Bets!AD:AD), "")</f>
        <v/>
      </c>
      <c r="S915" s="162"/>
      <c r="T915" s="148"/>
      <c r="U915" s="161"/>
      <c r="V915" s="146" t="str">
        <f>IF(U915&lt;&gt;"", SUMIF(Bets!$D:$D, U915, Bets!AE:AE), "")</f>
        <v/>
      </c>
      <c r="W915" s="162"/>
      <c r="X915" s="148"/>
      <c r="Y915" s="161"/>
      <c r="Z915" s="146" t="str">
        <f>IF(Y915&lt;&gt;"", SUMIF(Bets!$D:$D, Y915, Bets!AF:AF), "")</f>
        <v/>
      </c>
      <c r="AA915" s="162"/>
      <c r="AB915" s="148"/>
      <c r="AC915" s="161"/>
      <c r="AD915" s="146" t="str">
        <f>IF(AC915&lt;&gt;"", SUMIF(Bets!$D:$D, AC915, Bets!AG:AG), "")</f>
        <v/>
      </c>
      <c r="AE915" s="162"/>
      <c r="AF915" s="148"/>
    </row>
    <row r="916">
      <c r="A916" s="161"/>
      <c r="B916" s="146" t="str">
        <f>IF(A916&lt;&gt;"", SUMIF(Bets!$D:$D, A916, Bets!Z:Z), "")</f>
        <v/>
      </c>
      <c r="C916" s="162"/>
      <c r="D916" s="148"/>
      <c r="E916" s="161"/>
      <c r="F916" s="146" t="str">
        <f>IF(E916&lt;&gt;"", SUMIF(Bets!$D:$D, E916, Bets!AB:AB), "")</f>
        <v/>
      </c>
      <c r="G916" s="162"/>
      <c r="H916" s="148"/>
      <c r="I916" s="161"/>
      <c r="J916" s="146" t="str">
        <f>IF(I916&lt;&gt;"", SUMIF(Bets!$D:$D, I916, Bets!AA:AA), "")</f>
        <v/>
      </c>
      <c r="K916" s="162"/>
      <c r="L916" s="148"/>
      <c r="M916" s="161"/>
      <c r="N916" s="146"/>
      <c r="O916" s="162"/>
      <c r="P916" s="148"/>
      <c r="Q916" s="161"/>
      <c r="R916" s="146" t="str">
        <f>IF(Q916&lt;&gt;"", SUMIF(Bets!$D:$D, Q916, Bets!AD:AD), "")</f>
        <v/>
      </c>
      <c r="S916" s="162"/>
      <c r="T916" s="148"/>
      <c r="U916" s="161"/>
      <c r="V916" s="146" t="str">
        <f>IF(U916&lt;&gt;"", SUMIF(Bets!$D:$D, U916, Bets!AE:AE), "")</f>
        <v/>
      </c>
      <c r="W916" s="162"/>
      <c r="X916" s="148"/>
      <c r="Y916" s="161"/>
      <c r="Z916" s="146" t="str">
        <f>IF(Y916&lt;&gt;"", SUMIF(Bets!$D:$D, Y916, Bets!AF:AF), "")</f>
        <v/>
      </c>
      <c r="AA916" s="162"/>
      <c r="AB916" s="148"/>
      <c r="AC916" s="161"/>
      <c r="AD916" s="146" t="str">
        <f>IF(AC916&lt;&gt;"", SUMIF(Bets!$D:$D, AC916, Bets!AG:AG), "")</f>
        <v/>
      </c>
      <c r="AE916" s="162"/>
      <c r="AF916" s="148"/>
    </row>
    <row r="917">
      <c r="A917" s="161"/>
      <c r="B917" s="146" t="str">
        <f>IF(A917&lt;&gt;"", SUMIF(Bets!$D:$D, A917, Bets!Z:Z), "")</f>
        <v/>
      </c>
      <c r="C917" s="162"/>
      <c r="D917" s="148"/>
      <c r="E917" s="161"/>
      <c r="F917" s="146" t="str">
        <f>IF(E917&lt;&gt;"", SUMIF(Bets!$D:$D, E917, Bets!AB:AB), "")</f>
        <v/>
      </c>
      <c r="G917" s="162"/>
      <c r="H917" s="148"/>
      <c r="I917" s="161"/>
      <c r="J917" s="146" t="str">
        <f>IF(I917&lt;&gt;"", SUMIF(Bets!$D:$D, I917, Bets!AA:AA), "")</f>
        <v/>
      </c>
      <c r="K917" s="162"/>
      <c r="L917" s="148"/>
      <c r="M917" s="161"/>
      <c r="N917" s="146"/>
      <c r="O917" s="162"/>
      <c r="P917" s="148"/>
      <c r="Q917" s="161"/>
      <c r="R917" s="146" t="str">
        <f>IF(Q917&lt;&gt;"", SUMIF(Bets!$D:$D, Q917, Bets!AD:AD), "")</f>
        <v/>
      </c>
      <c r="S917" s="162"/>
      <c r="T917" s="148"/>
      <c r="U917" s="161"/>
      <c r="V917" s="146" t="str">
        <f>IF(U917&lt;&gt;"", SUMIF(Bets!$D:$D, U917, Bets!AE:AE), "")</f>
        <v/>
      </c>
      <c r="W917" s="162"/>
      <c r="X917" s="148"/>
      <c r="Y917" s="161"/>
      <c r="Z917" s="146" t="str">
        <f>IF(Y917&lt;&gt;"", SUMIF(Bets!$D:$D, Y917, Bets!AF:AF), "")</f>
        <v/>
      </c>
      <c r="AA917" s="162"/>
      <c r="AB917" s="148"/>
      <c r="AC917" s="161"/>
      <c r="AD917" s="146" t="str">
        <f>IF(AC917&lt;&gt;"", SUMIF(Bets!$D:$D, AC917, Bets!AG:AG), "")</f>
        <v/>
      </c>
      <c r="AE917" s="162"/>
      <c r="AF917" s="148"/>
    </row>
    <row r="918">
      <c r="A918" s="161"/>
      <c r="B918" s="146" t="str">
        <f>IF(A918&lt;&gt;"", SUMIF(Bets!$D:$D, A918, Bets!Z:Z), "")</f>
        <v/>
      </c>
      <c r="C918" s="162"/>
      <c r="D918" s="148"/>
      <c r="E918" s="161"/>
      <c r="F918" s="146" t="str">
        <f>IF(E918&lt;&gt;"", SUMIF(Bets!$D:$D, E918, Bets!AB:AB), "")</f>
        <v/>
      </c>
      <c r="G918" s="162"/>
      <c r="H918" s="148"/>
      <c r="I918" s="161"/>
      <c r="J918" s="146" t="str">
        <f>IF(I918&lt;&gt;"", SUMIF(Bets!$D:$D, I918, Bets!AA:AA), "")</f>
        <v/>
      </c>
      <c r="K918" s="162"/>
      <c r="L918" s="148"/>
      <c r="M918" s="161"/>
      <c r="N918" s="146"/>
      <c r="O918" s="162"/>
      <c r="P918" s="148"/>
      <c r="Q918" s="161"/>
      <c r="R918" s="146" t="str">
        <f>IF(Q918&lt;&gt;"", SUMIF(Bets!$D:$D, Q918, Bets!AD:AD), "")</f>
        <v/>
      </c>
      <c r="S918" s="162"/>
      <c r="T918" s="148"/>
      <c r="U918" s="161"/>
      <c r="V918" s="146" t="str">
        <f>IF(U918&lt;&gt;"", SUMIF(Bets!$D:$D, U918, Bets!AE:AE), "")</f>
        <v/>
      </c>
      <c r="W918" s="162"/>
      <c r="X918" s="148"/>
      <c r="Y918" s="161"/>
      <c r="Z918" s="146" t="str">
        <f>IF(Y918&lt;&gt;"", SUMIF(Bets!$D:$D, Y918, Bets!AF:AF), "")</f>
        <v/>
      </c>
      <c r="AA918" s="162"/>
      <c r="AB918" s="148"/>
      <c r="AC918" s="161"/>
      <c r="AD918" s="146" t="str">
        <f>IF(AC918&lt;&gt;"", SUMIF(Bets!$D:$D, AC918, Bets!AG:AG), "")</f>
        <v/>
      </c>
      <c r="AE918" s="162"/>
      <c r="AF918" s="148"/>
    </row>
    <row r="919">
      <c r="A919" s="161"/>
      <c r="B919" s="146" t="str">
        <f>IF(A919&lt;&gt;"", SUMIF(Bets!$D:$D, A919, Bets!Z:Z), "")</f>
        <v/>
      </c>
      <c r="C919" s="162"/>
      <c r="D919" s="148"/>
      <c r="E919" s="161"/>
      <c r="F919" s="146" t="str">
        <f>IF(E919&lt;&gt;"", SUMIF(Bets!$D:$D, E919, Bets!AB:AB), "")</f>
        <v/>
      </c>
      <c r="G919" s="162"/>
      <c r="H919" s="148"/>
      <c r="I919" s="161"/>
      <c r="J919" s="146" t="str">
        <f>IF(I919&lt;&gt;"", SUMIF(Bets!$D:$D, I919, Bets!AA:AA), "")</f>
        <v/>
      </c>
      <c r="K919" s="162"/>
      <c r="L919" s="148"/>
      <c r="M919" s="161"/>
      <c r="N919" s="146"/>
      <c r="O919" s="162"/>
      <c r="P919" s="148"/>
      <c r="Q919" s="161"/>
      <c r="R919" s="146" t="str">
        <f>IF(Q919&lt;&gt;"", SUMIF(Bets!$D:$D, Q919, Bets!AD:AD), "")</f>
        <v/>
      </c>
      <c r="S919" s="162"/>
      <c r="T919" s="148"/>
      <c r="U919" s="161"/>
      <c r="V919" s="146" t="str">
        <f>IF(U919&lt;&gt;"", SUMIF(Bets!$D:$D, U919, Bets!AE:AE), "")</f>
        <v/>
      </c>
      <c r="W919" s="162"/>
      <c r="X919" s="148"/>
      <c r="Y919" s="161"/>
      <c r="Z919" s="146" t="str">
        <f>IF(Y919&lt;&gt;"", SUMIF(Bets!$D:$D, Y919, Bets!AF:AF), "")</f>
        <v/>
      </c>
      <c r="AA919" s="162"/>
      <c r="AB919" s="148"/>
      <c r="AC919" s="161"/>
      <c r="AD919" s="146" t="str">
        <f>IF(AC919&lt;&gt;"", SUMIF(Bets!$D:$D, AC919, Bets!AG:AG), "")</f>
        <v/>
      </c>
      <c r="AE919" s="162"/>
      <c r="AF919" s="148"/>
    </row>
    <row r="920">
      <c r="A920" s="161"/>
      <c r="B920" s="146" t="str">
        <f>IF(A920&lt;&gt;"", SUMIF(Bets!$D:$D, A920, Bets!Z:Z), "")</f>
        <v/>
      </c>
      <c r="C920" s="162"/>
      <c r="D920" s="148"/>
      <c r="E920" s="161"/>
      <c r="F920" s="146" t="str">
        <f>IF(E920&lt;&gt;"", SUMIF(Bets!$D:$D, E920, Bets!AB:AB), "")</f>
        <v/>
      </c>
      <c r="G920" s="162"/>
      <c r="H920" s="148"/>
      <c r="I920" s="161"/>
      <c r="J920" s="146" t="str">
        <f>IF(I920&lt;&gt;"", SUMIF(Bets!$D:$D, I920, Bets!AA:AA), "")</f>
        <v/>
      </c>
      <c r="K920" s="162"/>
      <c r="L920" s="148"/>
      <c r="M920" s="161"/>
      <c r="N920" s="146"/>
      <c r="O920" s="162"/>
      <c r="P920" s="148"/>
      <c r="Q920" s="161"/>
      <c r="R920" s="146" t="str">
        <f>IF(Q920&lt;&gt;"", SUMIF(Bets!$D:$D, Q920, Bets!AD:AD), "")</f>
        <v/>
      </c>
      <c r="S920" s="162"/>
      <c r="T920" s="148"/>
      <c r="U920" s="161"/>
      <c r="V920" s="146" t="str">
        <f>IF(U920&lt;&gt;"", SUMIF(Bets!$D:$D, U920, Bets!AE:AE), "")</f>
        <v/>
      </c>
      <c r="W920" s="162"/>
      <c r="X920" s="148"/>
      <c r="Y920" s="161"/>
      <c r="Z920" s="146" t="str">
        <f>IF(Y920&lt;&gt;"", SUMIF(Bets!$D:$D, Y920, Bets!AF:AF), "")</f>
        <v/>
      </c>
      <c r="AA920" s="162"/>
      <c r="AB920" s="148"/>
      <c r="AC920" s="161"/>
      <c r="AD920" s="146" t="str">
        <f>IF(AC920&lt;&gt;"", SUMIF(Bets!$D:$D, AC920, Bets!AG:AG), "")</f>
        <v/>
      </c>
      <c r="AE920" s="162"/>
      <c r="AF920" s="148"/>
    </row>
    <row r="921">
      <c r="A921" s="161"/>
      <c r="B921" s="146" t="str">
        <f>IF(A921&lt;&gt;"", SUMIF(Bets!$D:$D, A921, Bets!Z:Z), "")</f>
        <v/>
      </c>
      <c r="C921" s="162"/>
      <c r="D921" s="148"/>
      <c r="E921" s="161"/>
      <c r="F921" s="146" t="str">
        <f>IF(E921&lt;&gt;"", SUMIF(Bets!$D:$D, E921, Bets!AB:AB), "")</f>
        <v/>
      </c>
      <c r="G921" s="162"/>
      <c r="H921" s="148"/>
      <c r="I921" s="161"/>
      <c r="J921" s="146" t="str">
        <f>IF(I921&lt;&gt;"", SUMIF(Bets!$D:$D, I921, Bets!AA:AA), "")</f>
        <v/>
      </c>
      <c r="K921" s="162"/>
      <c r="L921" s="148"/>
      <c r="M921" s="161"/>
      <c r="N921" s="146"/>
      <c r="O921" s="162"/>
      <c r="P921" s="148"/>
      <c r="Q921" s="161"/>
      <c r="R921" s="146" t="str">
        <f>IF(Q921&lt;&gt;"", SUMIF(Bets!$D:$D, Q921, Bets!AD:AD), "")</f>
        <v/>
      </c>
      <c r="S921" s="162"/>
      <c r="T921" s="148"/>
      <c r="U921" s="161"/>
      <c r="V921" s="146" t="str">
        <f>IF(U921&lt;&gt;"", SUMIF(Bets!$D:$D, U921, Bets!AE:AE), "")</f>
        <v/>
      </c>
      <c r="W921" s="162"/>
      <c r="X921" s="148"/>
      <c r="Y921" s="161"/>
      <c r="Z921" s="146" t="str">
        <f>IF(Y921&lt;&gt;"", SUMIF(Bets!$D:$D, Y921, Bets!AF:AF), "")</f>
        <v/>
      </c>
      <c r="AA921" s="162"/>
      <c r="AB921" s="148"/>
      <c r="AC921" s="161"/>
      <c r="AD921" s="146" t="str">
        <f>IF(AC921&lt;&gt;"", SUMIF(Bets!$D:$D, AC921, Bets!AG:AG), "")</f>
        <v/>
      </c>
      <c r="AE921" s="162"/>
      <c r="AF921" s="148"/>
    </row>
    <row r="922">
      <c r="A922" s="161"/>
      <c r="B922" s="146" t="str">
        <f>IF(A922&lt;&gt;"", SUMIF(Bets!$D:$D, A922, Bets!Z:Z), "")</f>
        <v/>
      </c>
      <c r="C922" s="162"/>
      <c r="D922" s="148"/>
      <c r="E922" s="161"/>
      <c r="F922" s="146" t="str">
        <f>IF(E922&lt;&gt;"", SUMIF(Bets!$D:$D, E922, Bets!AB:AB), "")</f>
        <v/>
      </c>
      <c r="G922" s="162"/>
      <c r="H922" s="148"/>
      <c r="I922" s="161"/>
      <c r="J922" s="146" t="str">
        <f>IF(I922&lt;&gt;"", SUMIF(Bets!$D:$D, I922, Bets!AA:AA), "")</f>
        <v/>
      </c>
      <c r="K922" s="162"/>
      <c r="L922" s="148"/>
      <c r="M922" s="161"/>
      <c r="N922" s="146"/>
      <c r="O922" s="162"/>
      <c r="P922" s="148"/>
      <c r="Q922" s="161"/>
      <c r="R922" s="146" t="str">
        <f>IF(Q922&lt;&gt;"", SUMIF(Bets!$D:$D, Q922, Bets!AD:AD), "")</f>
        <v/>
      </c>
      <c r="S922" s="162"/>
      <c r="T922" s="148"/>
      <c r="U922" s="161"/>
      <c r="V922" s="146" t="str">
        <f>IF(U922&lt;&gt;"", SUMIF(Bets!$D:$D, U922, Bets!AE:AE), "")</f>
        <v/>
      </c>
      <c r="W922" s="162"/>
      <c r="X922" s="148"/>
      <c r="Y922" s="161"/>
      <c r="Z922" s="146" t="str">
        <f>IF(Y922&lt;&gt;"", SUMIF(Bets!$D:$D, Y922, Bets!AF:AF), "")</f>
        <v/>
      </c>
      <c r="AA922" s="162"/>
      <c r="AB922" s="148"/>
      <c r="AC922" s="161"/>
      <c r="AD922" s="146" t="str">
        <f>IF(AC922&lt;&gt;"", SUMIF(Bets!$D:$D, AC922, Bets!AG:AG), "")</f>
        <v/>
      </c>
      <c r="AE922" s="162"/>
      <c r="AF922" s="148"/>
    </row>
    <row r="923">
      <c r="A923" s="161"/>
      <c r="B923" s="146" t="str">
        <f>IF(A923&lt;&gt;"", SUMIF(Bets!$D:$D, A923, Bets!Z:Z), "")</f>
        <v/>
      </c>
      <c r="C923" s="162"/>
      <c r="D923" s="148"/>
      <c r="E923" s="161"/>
      <c r="F923" s="146" t="str">
        <f>IF(E923&lt;&gt;"", SUMIF(Bets!$D:$D, E923, Bets!AB:AB), "")</f>
        <v/>
      </c>
      <c r="G923" s="162"/>
      <c r="H923" s="148"/>
      <c r="I923" s="161"/>
      <c r="J923" s="146" t="str">
        <f>IF(I923&lt;&gt;"", SUMIF(Bets!$D:$D, I923, Bets!AA:AA), "")</f>
        <v/>
      </c>
      <c r="K923" s="162"/>
      <c r="L923" s="148"/>
      <c r="M923" s="161"/>
      <c r="N923" s="146"/>
      <c r="O923" s="162"/>
      <c r="P923" s="148"/>
      <c r="Q923" s="161"/>
      <c r="R923" s="146" t="str">
        <f>IF(Q923&lt;&gt;"", SUMIF(Bets!$D:$D, Q923, Bets!AD:AD), "")</f>
        <v/>
      </c>
      <c r="S923" s="162"/>
      <c r="T923" s="148"/>
      <c r="U923" s="161"/>
      <c r="V923" s="146" t="str">
        <f>IF(U923&lt;&gt;"", SUMIF(Bets!$D:$D, U923, Bets!AE:AE), "")</f>
        <v/>
      </c>
      <c r="W923" s="162"/>
      <c r="X923" s="148"/>
      <c r="Y923" s="161"/>
      <c r="Z923" s="146" t="str">
        <f>IF(Y923&lt;&gt;"", SUMIF(Bets!$D:$D, Y923, Bets!AF:AF), "")</f>
        <v/>
      </c>
      <c r="AA923" s="162"/>
      <c r="AB923" s="148"/>
      <c r="AC923" s="161"/>
      <c r="AD923" s="146" t="str">
        <f>IF(AC923&lt;&gt;"", SUMIF(Bets!$D:$D, AC923, Bets!AG:AG), "")</f>
        <v/>
      </c>
      <c r="AE923" s="162"/>
      <c r="AF923" s="148"/>
    </row>
    <row r="924">
      <c r="A924" s="161"/>
      <c r="B924" s="146" t="str">
        <f>IF(A924&lt;&gt;"", SUMIF(Bets!$D:$D, A924, Bets!Z:Z), "")</f>
        <v/>
      </c>
      <c r="C924" s="162"/>
      <c r="D924" s="148"/>
      <c r="E924" s="161"/>
      <c r="F924" s="146" t="str">
        <f>IF(E924&lt;&gt;"", SUMIF(Bets!$D:$D, E924, Bets!AB:AB), "")</f>
        <v/>
      </c>
      <c r="G924" s="162"/>
      <c r="H924" s="148"/>
      <c r="I924" s="161"/>
      <c r="J924" s="146" t="str">
        <f>IF(I924&lt;&gt;"", SUMIF(Bets!$D:$D, I924, Bets!AA:AA), "")</f>
        <v/>
      </c>
      <c r="K924" s="162"/>
      <c r="L924" s="148"/>
      <c r="M924" s="161"/>
      <c r="N924" s="146"/>
      <c r="O924" s="162"/>
      <c r="P924" s="148"/>
      <c r="Q924" s="161"/>
      <c r="R924" s="146" t="str">
        <f>IF(Q924&lt;&gt;"", SUMIF(Bets!$D:$D, Q924, Bets!AD:AD), "")</f>
        <v/>
      </c>
      <c r="S924" s="162"/>
      <c r="T924" s="148"/>
      <c r="U924" s="161"/>
      <c r="V924" s="146" t="str">
        <f>IF(U924&lt;&gt;"", SUMIF(Bets!$D:$D, U924, Bets!AE:AE), "")</f>
        <v/>
      </c>
      <c r="W924" s="162"/>
      <c r="X924" s="148"/>
      <c r="Y924" s="161"/>
      <c r="Z924" s="146" t="str">
        <f>IF(Y924&lt;&gt;"", SUMIF(Bets!$D:$D, Y924, Bets!AF:AF), "")</f>
        <v/>
      </c>
      <c r="AA924" s="162"/>
      <c r="AB924" s="148"/>
      <c r="AC924" s="161"/>
      <c r="AD924" s="146" t="str">
        <f>IF(AC924&lt;&gt;"", SUMIF(Bets!$D:$D, AC924, Bets!AG:AG), "")</f>
        <v/>
      </c>
      <c r="AE924" s="162"/>
      <c r="AF924" s="148"/>
    </row>
    <row r="925">
      <c r="A925" s="161"/>
      <c r="B925" s="146" t="str">
        <f>IF(A925&lt;&gt;"", SUMIF(Bets!$D:$D, A925, Bets!Z:Z), "")</f>
        <v/>
      </c>
      <c r="C925" s="162"/>
      <c r="D925" s="148"/>
      <c r="E925" s="161"/>
      <c r="F925" s="146" t="str">
        <f>IF(E925&lt;&gt;"", SUMIF(Bets!$D:$D, E925, Bets!AB:AB), "")</f>
        <v/>
      </c>
      <c r="G925" s="162"/>
      <c r="H925" s="148"/>
      <c r="I925" s="161"/>
      <c r="J925" s="146" t="str">
        <f>IF(I925&lt;&gt;"", SUMIF(Bets!$D:$D, I925, Bets!AA:AA), "")</f>
        <v/>
      </c>
      <c r="K925" s="162"/>
      <c r="L925" s="148"/>
      <c r="M925" s="161"/>
      <c r="N925" s="146"/>
      <c r="O925" s="162"/>
      <c r="P925" s="148"/>
      <c r="Q925" s="161"/>
      <c r="R925" s="146" t="str">
        <f>IF(Q925&lt;&gt;"", SUMIF(Bets!$D:$D, Q925, Bets!AD:AD), "")</f>
        <v/>
      </c>
      <c r="S925" s="162"/>
      <c r="T925" s="148"/>
      <c r="U925" s="161"/>
      <c r="V925" s="146" t="str">
        <f>IF(U925&lt;&gt;"", SUMIF(Bets!$D:$D, U925, Bets!AE:AE), "")</f>
        <v/>
      </c>
      <c r="W925" s="162"/>
      <c r="X925" s="148"/>
      <c r="Y925" s="161"/>
      <c r="Z925" s="146" t="str">
        <f>IF(Y925&lt;&gt;"", SUMIF(Bets!$D:$D, Y925, Bets!AF:AF), "")</f>
        <v/>
      </c>
      <c r="AA925" s="162"/>
      <c r="AB925" s="148"/>
      <c r="AC925" s="161"/>
      <c r="AD925" s="146" t="str">
        <f>IF(AC925&lt;&gt;"", SUMIF(Bets!$D:$D, AC925, Bets!AG:AG), "")</f>
        <v/>
      </c>
      <c r="AE925" s="162"/>
      <c r="AF925" s="148"/>
    </row>
    <row r="926">
      <c r="A926" s="161"/>
      <c r="B926" s="146" t="str">
        <f>IF(A926&lt;&gt;"", SUMIF(Bets!$D:$D, A926, Bets!Z:Z), "")</f>
        <v/>
      </c>
      <c r="C926" s="162"/>
      <c r="D926" s="148"/>
      <c r="E926" s="161"/>
      <c r="F926" s="146" t="str">
        <f>IF(E926&lt;&gt;"", SUMIF(Bets!$D:$D, E926, Bets!AB:AB), "")</f>
        <v/>
      </c>
      <c r="G926" s="162"/>
      <c r="H926" s="148"/>
      <c r="I926" s="161"/>
      <c r="J926" s="146" t="str">
        <f>IF(I926&lt;&gt;"", SUMIF(Bets!$D:$D, I926, Bets!AA:AA), "")</f>
        <v/>
      </c>
      <c r="K926" s="162"/>
      <c r="L926" s="148"/>
      <c r="M926" s="161"/>
      <c r="N926" s="146"/>
      <c r="O926" s="162"/>
      <c r="P926" s="148"/>
      <c r="Q926" s="161"/>
      <c r="R926" s="146" t="str">
        <f>IF(Q926&lt;&gt;"", SUMIF(Bets!$D:$D, Q926, Bets!AD:AD), "")</f>
        <v/>
      </c>
      <c r="S926" s="162"/>
      <c r="T926" s="148"/>
      <c r="U926" s="161"/>
      <c r="V926" s="146" t="str">
        <f>IF(U926&lt;&gt;"", SUMIF(Bets!$D:$D, U926, Bets!AE:AE), "")</f>
        <v/>
      </c>
      <c r="W926" s="162"/>
      <c r="X926" s="148"/>
      <c r="Y926" s="161"/>
      <c r="Z926" s="146" t="str">
        <f>IF(Y926&lt;&gt;"", SUMIF(Bets!$D:$D, Y926, Bets!AF:AF), "")</f>
        <v/>
      </c>
      <c r="AA926" s="162"/>
      <c r="AB926" s="148"/>
      <c r="AC926" s="161"/>
      <c r="AD926" s="146" t="str">
        <f>IF(AC926&lt;&gt;"", SUMIF(Bets!$D:$D, AC926, Bets!AG:AG), "")</f>
        <v/>
      </c>
      <c r="AE926" s="162"/>
      <c r="AF926" s="148"/>
    </row>
    <row r="927">
      <c r="A927" s="161"/>
      <c r="B927" s="146" t="str">
        <f>IF(A927&lt;&gt;"", SUMIF(Bets!$D:$D, A927, Bets!Z:Z), "")</f>
        <v/>
      </c>
      <c r="C927" s="162"/>
      <c r="D927" s="148"/>
      <c r="E927" s="161"/>
      <c r="F927" s="146" t="str">
        <f>IF(E927&lt;&gt;"", SUMIF(Bets!$D:$D, E927, Bets!AB:AB), "")</f>
        <v/>
      </c>
      <c r="G927" s="162"/>
      <c r="H927" s="148"/>
      <c r="I927" s="161"/>
      <c r="J927" s="146" t="str">
        <f>IF(I927&lt;&gt;"", SUMIF(Bets!$D:$D, I927, Bets!AA:AA), "")</f>
        <v/>
      </c>
      <c r="K927" s="162"/>
      <c r="L927" s="148"/>
      <c r="M927" s="161"/>
      <c r="N927" s="146"/>
      <c r="O927" s="162"/>
      <c r="P927" s="148"/>
      <c r="Q927" s="161"/>
      <c r="R927" s="146" t="str">
        <f>IF(Q927&lt;&gt;"", SUMIF(Bets!$D:$D, Q927, Bets!AD:AD), "")</f>
        <v/>
      </c>
      <c r="S927" s="162"/>
      <c r="T927" s="148"/>
      <c r="U927" s="161"/>
      <c r="V927" s="146" t="str">
        <f>IF(U927&lt;&gt;"", SUMIF(Bets!$D:$D, U927, Bets!AE:AE), "")</f>
        <v/>
      </c>
      <c r="W927" s="162"/>
      <c r="X927" s="148"/>
      <c r="Y927" s="161"/>
      <c r="Z927" s="146" t="str">
        <f>IF(Y927&lt;&gt;"", SUMIF(Bets!$D:$D, Y927, Bets!AF:AF), "")</f>
        <v/>
      </c>
      <c r="AA927" s="162"/>
      <c r="AB927" s="148"/>
      <c r="AC927" s="161"/>
      <c r="AD927" s="146" t="str">
        <f>IF(AC927&lt;&gt;"", SUMIF(Bets!$D:$D, AC927, Bets!AG:AG), "")</f>
        <v/>
      </c>
      <c r="AE927" s="162"/>
      <c r="AF927" s="148"/>
    </row>
    <row r="928">
      <c r="A928" s="161"/>
      <c r="B928" s="146" t="str">
        <f>IF(A928&lt;&gt;"", SUMIF(Bets!$D:$D, A928, Bets!Z:Z), "")</f>
        <v/>
      </c>
      <c r="C928" s="162"/>
      <c r="D928" s="148"/>
      <c r="E928" s="161"/>
      <c r="F928" s="146" t="str">
        <f>IF(E928&lt;&gt;"", SUMIF(Bets!$D:$D, E928, Bets!AB:AB), "")</f>
        <v/>
      </c>
      <c r="G928" s="162"/>
      <c r="H928" s="148"/>
      <c r="I928" s="161"/>
      <c r="J928" s="146" t="str">
        <f>IF(I928&lt;&gt;"", SUMIF(Bets!$D:$D, I928, Bets!AA:AA), "")</f>
        <v/>
      </c>
      <c r="K928" s="162"/>
      <c r="L928" s="148"/>
      <c r="M928" s="161"/>
      <c r="N928" s="146"/>
      <c r="O928" s="162"/>
      <c r="P928" s="148"/>
      <c r="Q928" s="161"/>
      <c r="R928" s="146" t="str">
        <f>IF(Q928&lt;&gt;"", SUMIF(Bets!$D:$D, Q928, Bets!AD:AD), "")</f>
        <v/>
      </c>
      <c r="S928" s="162"/>
      <c r="T928" s="148"/>
      <c r="U928" s="161"/>
      <c r="V928" s="146" t="str">
        <f>IF(U928&lt;&gt;"", SUMIF(Bets!$D:$D, U928, Bets!AE:AE), "")</f>
        <v/>
      </c>
      <c r="W928" s="162"/>
      <c r="X928" s="148"/>
      <c r="Y928" s="161"/>
      <c r="Z928" s="146" t="str">
        <f>IF(Y928&lt;&gt;"", SUMIF(Bets!$D:$D, Y928, Bets!AF:AF), "")</f>
        <v/>
      </c>
      <c r="AA928" s="162"/>
      <c r="AB928" s="148"/>
      <c r="AC928" s="161"/>
      <c r="AD928" s="146" t="str">
        <f>IF(AC928&lt;&gt;"", SUMIF(Bets!$D:$D, AC928, Bets!AG:AG), "")</f>
        <v/>
      </c>
      <c r="AE928" s="162"/>
      <c r="AF928" s="148"/>
    </row>
    <row r="929">
      <c r="A929" s="161"/>
      <c r="B929" s="146" t="str">
        <f>IF(A929&lt;&gt;"", SUMIF(Bets!$D:$D, A929, Bets!Z:Z), "")</f>
        <v/>
      </c>
      <c r="C929" s="162"/>
      <c r="D929" s="148"/>
      <c r="E929" s="161"/>
      <c r="F929" s="146" t="str">
        <f>IF(E929&lt;&gt;"", SUMIF(Bets!$D:$D, E929, Bets!AB:AB), "")</f>
        <v/>
      </c>
      <c r="G929" s="162"/>
      <c r="H929" s="148"/>
      <c r="I929" s="161"/>
      <c r="J929" s="146" t="str">
        <f>IF(I929&lt;&gt;"", SUMIF(Bets!$D:$D, I929, Bets!AA:AA), "")</f>
        <v/>
      </c>
      <c r="K929" s="162"/>
      <c r="L929" s="148"/>
      <c r="M929" s="161"/>
      <c r="N929" s="146"/>
      <c r="O929" s="162"/>
      <c r="P929" s="148"/>
      <c r="Q929" s="161"/>
      <c r="R929" s="146" t="str">
        <f>IF(Q929&lt;&gt;"", SUMIF(Bets!$D:$D, Q929, Bets!AD:AD), "")</f>
        <v/>
      </c>
      <c r="S929" s="162"/>
      <c r="T929" s="148"/>
      <c r="U929" s="161"/>
      <c r="V929" s="146" t="str">
        <f>IF(U929&lt;&gt;"", SUMIF(Bets!$D:$D, U929, Bets!AE:AE), "")</f>
        <v/>
      </c>
      <c r="W929" s="162"/>
      <c r="X929" s="148"/>
      <c r="Y929" s="161"/>
      <c r="Z929" s="146" t="str">
        <f>IF(Y929&lt;&gt;"", SUMIF(Bets!$D:$D, Y929, Bets!AF:AF), "")</f>
        <v/>
      </c>
      <c r="AA929" s="162"/>
      <c r="AB929" s="148"/>
      <c r="AC929" s="161"/>
      <c r="AD929" s="146" t="str">
        <f>IF(AC929&lt;&gt;"", SUMIF(Bets!$D:$D, AC929, Bets!AG:AG), "")</f>
        <v/>
      </c>
      <c r="AE929" s="162"/>
      <c r="AF929" s="148"/>
    </row>
    <row r="930">
      <c r="A930" s="161"/>
      <c r="B930" s="146" t="str">
        <f>IF(A930&lt;&gt;"", SUMIF(Bets!$D:$D, A930, Bets!Z:Z), "")</f>
        <v/>
      </c>
      <c r="C930" s="162"/>
      <c r="D930" s="148"/>
      <c r="E930" s="161"/>
      <c r="F930" s="146" t="str">
        <f>IF(E930&lt;&gt;"", SUMIF(Bets!$D:$D, E930, Bets!AB:AB), "")</f>
        <v/>
      </c>
      <c r="G930" s="162"/>
      <c r="H930" s="148"/>
      <c r="I930" s="161"/>
      <c r="J930" s="146" t="str">
        <f>IF(I930&lt;&gt;"", SUMIF(Bets!$D:$D, I930, Bets!AA:AA), "")</f>
        <v/>
      </c>
      <c r="K930" s="162"/>
      <c r="L930" s="148"/>
      <c r="M930" s="161"/>
      <c r="N930" s="146"/>
      <c r="O930" s="162"/>
      <c r="P930" s="148"/>
      <c r="Q930" s="161"/>
      <c r="R930" s="146" t="str">
        <f>IF(Q930&lt;&gt;"", SUMIF(Bets!$D:$D, Q930, Bets!AD:AD), "")</f>
        <v/>
      </c>
      <c r="S930" s="162"/>
      <c r="T930" s="148"/>
      <c r="U930" s="161"/>
      <c r="V930" s="146" t="str">
        <f>IF(U930&lt;&gt;"", SUMIF(Bets!$D:$D, U930, Bets!AE:AE), "")</f>
        <v/>
      </c>
      <c r="W930" s="162"/>
      <c r="X930" s="148"/>
      <c r="Y930" s="161"/>
      <c r="Z930" s="146" t="str">
        <f>IF(Y930&lt;&gt;"", SUMIF(Bets!$D:$D, Y930, Bets!AF:AF), "")</f>
        <v/>
      </c>
      <c r="AA930" s="162"/>
      <c r="AB930" s="148"/>
      <c r="AC930" s="161"/>
      <c r="AD930" s="146" t="str">
        <f>IF(AC930&lt;&gt;"", SUMIF(Bets!$D:$D, AC930, Bets!AG:AG), "")</f>
        <v/>
      </c>
      <c r="AE930" s="162"/>
      <c r="AF930" s="148"/>
    </row>
    <row r="931">
      <c r="A931" s="161"/>
      <c r="B931" s="146" t="str">
        <f>IF(A931&lt;&gt;"", SUMIF(Bets!$D:$D, A931, Bets!Z:Z), "")</f>
        <v/>
      </c>
      <c r="C931" s="162"/>
      <c r="D931" s="148"/>
      <c r="E931" s="161"/>
      <c r="F931" s="146" t="str">
        <f>IF(E931&lt;&gt;"", SUMIF(Bets!$D:$D, E931, Bets!AB:AB), "")</f>
        <v/>
      </c>
      <c r="G931" s="162"/>
      <c r="H931" s="148"/>
      <c r="I931" s="161"/>
      <c r="J931" s="146" t="str">
        <f>IF(I931&lt;&gt;"", SUMIF(Bets!$D:$D, I931, Bets!AA:AA), "")</f>
        <v/>
      </c>
      <c r="K931" s="162"/>
      <c r="L931" s="148"/>
      <c r="M931" s="161"/>
      <c r="N931" s="146"/>
      <c r="O931" s="162"/>
      <c r="P931" s="148"/>
      <c r="Q931" s="161"/>
      <c r="R931" s="146" t="str">
        <f>IF(Q931&lt;&gt;"", SUMIF(Bets!$D:$D, Q931, Bets!AD:AD), "")</f>
        <v/>
      </c>
      <c r="S931" s="162"/>
      <c r="T931" s="148"/>
      <c r="U931" s="161"/>
      <c r="V931" s="146" t="str">
        <f>IF(U931&lt;&gt;"", SUMIF(Bets!$D:$D, U931, Bets!AE:AE), "")</f>
        <v/>
      </c>
      <c r="W931" s="162"/>
      <c r="X931" s="148"/>
      <c r="Y931" s="161"/>
      <c r="Z931" s="146" t="str">
        <f>IF(Y931&lt;&gt;"", SUMIF(Bets!$D:$D, Y931, Bets!AF:AF), "")</f>
        <v/>
      </c>
      <c r="AA931" s="162"/>
      <c r="AB931" s="148"/>
      <c r="AC931" s="161"/>
      <c r="AD931" s="146" t="str">
        <f>IF(AC931&lt;&gt;"", SUMIF(Bets!$D:$D, AC931, Bets!AG:AG), "")</f>
        <v/>
      </c>
      <c r="AE931" s="162"/>
      <c r="AF931" s="148"/>
    </row>
    <row r="932">
      <c r="A932" s="161"/>
      <c r="B932" s="146" t="str">
        <f>IF(A932&lt;&gt;"", SUMIF(Bets!$D:$D, A932, Bets!Z:Z), "")</f>
        <v/>
      </c>
      <c r="C932" s="162"/>
      <c r="D932" s="148"/>
      <c r="E932" s="161"/>
      <c r="F932" s="146" t="str">
        <f>IF(E932&lt;&gt;"", SUMIF(Bets!$D:$D, E932, Bets!AB:AB), "")</f>
        <v/>
      </c>
      <c r="G932" s="162"/>
      <c r="H932" s="148"/>
      <c r="I932" s="161"/>
      <c r="J932" s="146" t="str">
        <f>IF(I932&lt;&gt;"", SUMIF(Bets!$D:$D, I932, Bets!AA:AA), "")</f>
        <v/>
      </c>
      <c r="K932" s="162"/>
      <c r="L932" s="148"/>
      <c r="M932" s="161"/>
      <c r="N932" s="146"/>
      <c r="O932" s="162"/>
      <c r="P932" s="148"/>
      <c r="Q932" s="161"/>
      <c r="R932" s="146" t="str">
        <f>IF(Q932&lt;&gt;"", SUMIF(Bets!$D:$D, Q932, Bets!AD:AD), "")</f>
        <v/>
      </c>
      <c r="S932" s="162"/>
      <c r="T932" s="148"/>
      <c r="U932" s="161"/>
      <c r="V932" s="146" t="str">
        <f>IF(U932&lt;&gt;"", SUMIF(Bets!$D:$D, U932, Bets!AE:AE), "")</f>
        <v/>
      </c>
      <c r="W932" s="162"/>
      <c r="X932" s="148"/>
      <c r="Y932" s="161"/>
      <c r="Z932" s="146" t="str">
        <f>IF(Y932&lt;&gt;"", SUMIF(Bets!$D:$D, Y932, Bets!AF:AF), "")</f>
        <v/>
      </c>
      <c r="AA932" s="162"/>
      <c r="AB932" s="148"/>
      <c r="AC932" s="161"/>
      <c r="AD932" s="146" t="str">
        <f>IF(AC932&lt;&gt;"", SUMIF(Bets!$D:$D, AC932, Bets!AG:AG), "")</f>
        <v/>
      </c>
      <c r="AE932" s="162"/>
      <c r="AF932" s="148"/>
    </row>
    <row r="933">
      <c r="A933" s="161"/>
      <c r="B933" s="146" t="str">
        <f>IF(A933&lt;&gt;"", SUMIF(Bets!$D:$D, A933, Bets!Z:Z), "")</f>
        <v/>
      </c>
      <c r="C933" s="162"/>
      <c r="D933" s="148"/>
      <c r="E933" s="161"/>
      <c r="F933" s="146" t="str">
        <f>IF(E933&lt;&gt;"", SUMIF(Bets!$D:$D, E933, Bets!AB:AB), "")</f>
        <v/>
      </c>
      <c r="G933" s="162"/>
      <c r="H933" s="148"/>
      <c r="I933" s="161"/>
      <c r="J933" s="146" t="str">
        <f>IF(I933&lt;&gt;"", SUMIF(Bets!$D:$D, I933, Bets!AA:AA), "")</f>
        <v/>
      </c>
      <c r="K933" s="162"/>
      <c r="L933" s="148"/>
      <c r="M933" s="161"/>
      <c r="N933" s="146"/>
      <c r="O933" s="162"/>
      <c r="P933" s="148"/>
      <c r="Q933" s="161"/>
      <c r="R933" s="146" t="str">
        <f>IF(Q933&lt;&gt;"", SUMIF(Bets!$D:$D, Q933, Bets!AD:AD), "")</f>
        <v/>
      </c>
      <c r="S933" s="162"/>
      <c r="T933" s="148"/>
      <c r="U933" s="161"/>
      <c r="V933" s="146" t="str">
        <f>IF(U933&lt;&gt;"", SUMIF(Bets!$D:$D, U933, Bets!AE:AE), "")</f>
        <v/>
      </c>
      <c r="W933" s="162"/>
      <c r="X933" s="148"/>
      <c r="Y933" s="161"/>
      <c r="Z933" s="146" t="str">
        <f>IF(Y933&lt;&gt;"", SUMIF(Bets!$D:$D, Y933, Bets!AF:AF), "")</f>
        <v/>
      </c>
      <c r="AA933" s="162"/>
      <c r="AB933" s="148"/>
      <c r="AC933" s="161"/>
      <c r="AD933" s="146" t="str">
        <f>IF(AC933&lt;&gt;"", SUMIF(Bets!$D:$D, AC933, Bets!AG:AG), "")</f>
        <v/>
      </c>
      <c r="AE933" s="162"/>
      <c r="AF933" s="148"/>
    </row>
    <row r="934">
      <c r="A934" s="161"/>
      <c r="B934" s="146" t="str">
        <f>IF(A934&lt;&gt;"", SUMIF(Bets!$D:$D, A934, Bets!Z:Z), "")</f>
        <v/>
      </c>
      <c r="C934" s="162"/>
      <c r="D934" s="148"/>
      <c r="E934" s="161"/>
      <c r="F934" s="146" t="str">
        <f>IF(E934&lt;&gt;"", SUMIF(Bets!$D:$D, E934, Bets!AB:AB), "")</f>
        <v/>
      </c>
      <c r="G934" s="162"/>
      <c r="H934" s="148"/>
      <c r="I934" s="161"/>
      <c r="J934" s="146" t="str">
        <f>IF(I934&lt;&gt;"", SUMIF(Bets!$D:$D, I934, Bets!AA:AA), "")</f>
        <v/>
      </c>
      <c r="K934" s="162"/>
      <c r="L934" s="148"/>
      <c r="M934" s="161"/>
      <c r="N934" s="146"/>
      <c r="O934" s="162"/>
      <c r="P934" s="148"/>
      <c r="Q934" s="161"/>
      <c r="R934" s="146" t="str">
        <f>IF(Q934&lt;&gt;"", SUMIF(Bets!$D:$D, Q934, Bets!AD:AD), "")</f>
        <v/>
      </c>
      <c r="S934" s="162"/>
      <c r="T934" s="148"/>
      <c r="U934" s="161"/>
      <c r="V934" s="146" t="str">
        <f>IF(U934&lt;&gt;"", SUMIF(Bets!$D:$D, U934, Bets!AE:AE), "")</f>
        <v/>
      </c>
      <c r="W934" s="162"/>
      <c r="X934" s="148"/>
      <c r="Y934" s="161"/>
      <c r="Z934" s="146" t="str">
        <f>IF(Y934&lt;&gt;"", SUMIF(Bets!$D:$D, Y934, Bets!AF:AF), "")</f>
        <v/>
      </c>
      <c r="AA934" s="162"/>
      <c r="AB934" s="148"/>
      <c r="AC934" s="161"/>
      <c r="AD934" s="146" t="str">
        <f>IF(AC934&lt;&gt;"", SUMIF(Bets!$D:$D, AC934, Bets!AG:AG), "")</f>
        <v/>
      </c>
      <c r="AE934" s="162"/>
      <c r="AF934" s="148"/>
    </row>
    <row r="935">
      <c r="A935" s="161"/>
      <c r="B935" s="146" t="str">
        <f>IF(A935&lt;&gt;"", SUMIF(Bets!$D:$D, A935, Bets!Z:Z), "")</f>
        <v/>
      </c>
      <c r="C935" s="162"/>
      <c r="D935" s="148"/>
      <c r="E935" s="161"/>
      <c r="F935" s="146" t="str">
        <f>IF(E935&lt;&gt;"", SUMIF(Bets!$D:$D, E935, Bets!AB:AB), "")</f>
        <v/>
      </c>
      <c r="G935" s="162"/>
      <c r="H935" s="148"/>
      <c r="I935" s="161"/>
      <c r="J935" s="146" t="str">
        <f>IF(I935&lt;&gt;"", SUMIF(Bets!$D:$D, I935, Bets!AA:AA), "")</f>
        <v/>
      </c>
      <c r="K935" s="162"/>
      <c r="L935" s="148"/>
      <c r="M935" s="161"/>
      <c r="N935" s="146"/>
      <c r="O935" s="162"/>
      <c r="P935" s="148"/>
      <c r="Q935" s="161"/>
      <c r="R935" s="146" t="str">
        <f>IF(Q935&lt;&gt;"", SUMIF(Bets!$D:$D, Q935, Bets!AD:AD), "")</f>
        <v/>
      </c>
      <c r="S935" s="162"/>
      <c r="T935" s="148"/>
      <c r="U935" s="161"/>
      <c r="V935" s="146" t="str">
        <f>IF(U935&lt;&gt;"", SUMIF(Bets!$D:$D, U935, Bets!AE:AE), "")</f>
        <v/>
      </c>
      <c r="W935" s="162"/>
      <c r="X935" s="148"/>
      <c r="Y935" s="161"/>
      <c r="Z935" s="146" t="str">
        <f>IF(Y935&lt;&gt;"", SUMIF(Bets!$D:$D, Y935, Bets!AF:AF), "")</f>
        <v/>
      </c>
      <c r="AA935" s="162"/>
      <c r="AB935" s="148"/>
      <c r="AC935" s="161"/>
      <c r="AD935" s="146" t="str">
        <f>IF(AC935&lt;&gt;"", SUMIF(Bets!$D:$D, AC935, Bets!AG:AG), "")</f>
        <v/>
      </c>
      <c r="AE935" s="162"/>
      <c r="AF935" s="148"/>
    </row>
    <row r="936">
      <c r="A936" s="161"/>
      <c r="B936" s="146" t="str">
        <f>IF(A936&lt;&gt;"", SUMIF(Bets!$D:$D, A936, Bets!Z:Z), "")</f>
        <v/>
      </c>
      <c r="C936" s="162"/>
      <c r="D936" s="148"/>
      <c r="E936" s="161"/>
      <c r="F936" s="146" t="str">
        <f>IF(E936&lt;&gt;"", SUMIF(Bets!$D:$D, E936, Bets!AB:AB), "")</f>
        <v/>
      </c>
      <c r="G936" s="162"/>
      <c r="H936" s="148"/>
      <c r="I936" s="161"/>
      <c r="J936" s="146" t="str">
        <f>IF(I936&lt;&gt;"", SUMIF(Bets!$D:$D, I936, Bets!AA:AA), "")</f>
        <v/>
      </c>
      <c r="K936" s="162"/>
      <c r="L936" s="148"/>
      <c r="M936" s="161"/>
      <c r="N936" s="146"/>
      <c r="O936" s="162"/>
      <c r="P936" s="148"/>
      <c r="Q936" s="161"/>
      <c r="R936" s="146" t="str">
        <f>IF(Q936&lt;&gt;"", SUMIF(Bets!$D:$D, Q936, Bets!AD:AD), "")</f>
        <v/>
      </c>
      <c r="S936" s="162"/>
      <c r="T936" s="148"/>
      <c r="U936" s="161"/>
      <c r="V936" s="146" t="str">
        <f>IF(U936&lt;&gt;"", SUMIF(Bets!$D:$D, U936, Bets!AE:AE), "")</f>
        <v/>
      </c>
      <c r="W936" s="162"/>
      <c r="X936" s="148"/>
      <c r="Y936" s="161"/>
      <c r="Z936" s="146" t="str">
        <f>IF(Y936&lt;&gt;"", SUMIF(Bets!$D:$D, Y936, Bets!AF:AF), "")</f>
        <v/>
      </c>
      <c r="AA936" s="162"/>
      <c r="AB936" s="148"/>
      <c r="AC936" s="161"/>
      <c r="AD936" s="146" t="str">
        <f>IF(AC936&lt;&gt;"", SUMIF(Bets!$D:$D, AC936, Bets!AG:AG), "")</f>
        <v/>
      </c>
      <c r="AE936" s="162"/>
      <c r="AF936" s="148"/>
    </row>
    <row r="937">
      <c r="A937" s="161"/>
      <c r="B937" s="146" t="str">
        <f>IF(A937&lt;&gt;"", SUMIF(Bets!$D:$D, A937, Bets!Z:Z), "")</f>
        <v/>
      </c>
      <c r="C937" s="162"/>
      <c r="D937" s="148"/>
      <c r="E937" s="161"/>
      <c r="F937" s="146" t="str">
        <f>IF(E937&lt;&gt;"", SUMIF(Bets!$D:$D, E937, Bets!AB:AB), "")</f>
        <v/>
      </c>
      <c r="G937" s="162"/>
      <c r="H937" s="148"/>
      <c r="I937" s="161"/>
      <c r="J937" s="146" t="str">
        <f>IF(I937&lt;&gt;"", SUMIF(Bets!$D:$D, I937, Bets!AA:AA), "")</f>
        <v/>
      </c>
      <c r="K937" s="162"/>
      <c r="L937" s="148"/>
      <c r="M937" s="161"/>
      <c r="N937" s="146"/>
      <c r="O937" s="162"/>
      <c r="P937" s="148"/>
      <c r="Q937" s="161"/>
      <c r="R937" s="146" t="str">
        <f>IF(Q937&lt;&gt;"", SUMIF(Bets!$D:$D, Q937, Bets!AD:AD), "")</f>
        <v/>
      </c>
      <c r="S937" s="162"/>
      <c r="T937" s="148"/>
      <c r="U937" s="161"/>
      <c r="V937" s="146" t="str">
        <f>IF(U937&lt;&gt;"", SUMIF(Bets!$D:$D, U937, Bets!AE:AE), "")</f>
        <v/>
      </c>
      <c r="W937" s="162"/>
      <c r="X937" s="148"/>
      <c r="Y937" s="161"/>
      <c r="Z937" s="146" t="str">
        <f>IF(Y937&lt;&gt;"", SUMIF(Bets!$D:$D, Y937, Bets!AF:AF), "")</f>
        <v/>
      </c>
      <c r="AA937" s="162"/>
      <c r="AB937" s="148"/>
      <c r="AC937" s="161"/>
      <c r="AD937" s="146" t="str">
        <f>IF(AC937&lt;&gt;"", SUMIF(Bets!$D:$D, AC937, Bets!AG:AG), "")</f>
        <v/>
      </c>
      <c r="AE937" s="162"/>
      <c r="AF937" s="148"/>
    </row>
    <row r="938">
      <c r="A938" s="161"/>
      <c r="B938" s="146" t="str">
        <f>IF(A938&lt;&gt;"", SUMIF(Bets!$D:$D, A938, Bets!Z:Z), "")</f>
        <v/>
      </c>
      <c r="C938" s="162"/>
      <c r="D938" s="148"/>
      <c r="E938" s="161"/>
      <c r="F938" s="146" t="str">
        <f>IF(E938&lt;&gt;"", SUMIF(Bets!$D:$D, E938, Bets!AB:AB), "")</f>
        <v/>
      </c>
      <c r="G938" s="162"/>
      <c r="H938" s="148"/>
      <c r="I938" s="161"/>
      <c r="J938" s="146" t="str">
        <f>IF(I938&lt;&gt;"", SUMIF(Bets!$D:$D, I938, Bets!AA:AA), "")</f>
        <v/>
      </c>
      <c r="K938" s="162"/>
      <c r="L938" s="148"/>
      <c r="M938" s="161"/>
      <c r="N938" s="146"/>
      <c r="O938" s="162"/>
      <c r="P938" s="148"/>
      <c r="Q938" s="161"/>
      <c r="R938" s="146" t="str">
        <f>IF(Q938&lt;&gt;"", SUMIF(Bets!$D:$D, Q938, Bets!AD:AD), "")</f>
        <v/>
      </c>
      <c r="S938" s="162"/>
      <c r="T938" s="148"/>
      <c r="U938" s="161"/>
      <c r="V938" s="146" t="str">
        <f>IF(U938&lt;&gt;"", SUMIF(Bets!$D:$D, U938, Bets!AE:AE), "")</f>
        <v/>
      </c>
      <c r="W938" s="162"/>
      <c r="X938" s="148"/>
      <c r="Y938" s="161"/>
      <c r="Z938" s="146" t="str">
        <f>IF(Y938&lt;&gt;"", SUMIF(Bets!$D:$D, Y938, Bets!AF:AF), "")</f>
        <v/>
      </c>
      <c r="AA938" s="162"/>
      <c r="AB938" s="148"/>
      <c r="AC938" s="161"/>
      <c r="AD938" s="146" t="str">
        <f>IF(AC938&lt;&gt;"", SUMIF(Bets!$D:$D, AC938, Bets!AG:AG), "")</f>
        <v/>
      </c>
      <c r="AE938" s="162"/>
      <c r="AF938" s="148"/>
    </row>
    <row r="939">
      <c r="A939" s="161"/>
      <c r="B939" s="146" t="str">
        <f>IF(A939&lt;&gt;"", SUMIF(Bets!$D:$D, A939, Bets!Z:Z), "")</f>
        <v/>
      </c>
      <c r="C939" s="162"/>
      <c r="D939" s="148"/>
      <c r="E939" s="161"/>
      <c r="F939" s="146" t="str">
        <f>IF(E939&lt;&gt;"", SUMIF(Bets!$D:$D, E939, Bets!AB:AB), "")</f>
        <v/>
      </c>
      <c r="G939" s="162"/>
      <c r="H939" s="148"/>
      <c r="I939" s="161"/>
      <c r="J939" s="146" t="str">
        <f>IF(I939&lt;&gt;"", SUMIF(Bets!$D:$D, I939, Bets!AA:AA), "")</f>
        <v/>
      </c>
      <c r="K939" s="162"/>
      <c r="L939" s="148"/>
      <c r="M939" s="161"/>
      <c r="N939" s="146"/>
      <c r="O939" s="162"/>
      <c r="P939" s="148"/>
      <c r="Q939" s="161"/>
      <c r="R939" s="146" t="str">
        <f>IF(Q939&lt;&gt;"", SUMIF(Bets!$D:$D, Q939, Bets!AD:AD), "")</f>
        <v/>
      </c>
      <c r="S939" s="162"/>
      <c r="T939" s="148"/>
      <c r="U939" s="161"/>
      <c r="V939" s="146" t="str">
        <f>IF(U939&lt;&gt;"", SUMIF(Bets!$D:$D, U939, Bets!AE:AE), "")</f>
        <v/>
      </c>
      <c r="W939" s="162"/>
      <c r="X939" s="148"/>
      <c r="Y939" s="161"/>
      <c r="Z939" s="146" t="str">
        <f>IF(Y939&lt;&gt;"", SUMIF(Bets!$D:$D, Y939, Bets!AF:AF), "")</f>
        <v/>
      </c>
      <c r="AA939" s="162"/>
      <c r="AB939" s="148"/>
      <c r="AC939" s="161"/>
      <c r="AD939" s="146" t="str">
        <f>IF(AC939&lt;&gt;"", SUMIF(Bets!$D:$D, AC939, Bets!AG:AG), "")</f>
        <v/>
      </c>
      <c r="AE939" s="162"/>
      <c r="AF939" s="148"/>
    </row>
    <row r="940">
      <c r="A940" s="161"/>
      <c r="B940" s="146" t="str">
        <f>IF(A940&lt;&gt;"", SUMIF(Bets!$D:$D, A940, Bets!Z:Z), "")</f>
        <v/>
      </c>
      <c r="C940" s="162"/>
      <c r="D940" s="148"/>
      <c r="E940" s="161"/>
      <c r="F940" s="146" t="str">
        <f>IF(E940&lt;&gt;"", SUMIF(Bets!$D:$D, E940, Bets!AB:AB), "")</f>
        <v/>
      </c>
      <c r="G940" s="162"/>
      <c r="H940" s="148"/>
      <c r="I940" s="161"/>
      <c r="J940" s="146" t="str">
        <f>IF(I940&lt;&gt;"", SUMIF(Bets!$D:$D, I940, Bets!AA:AA), "")</f>
        <v/>
      </c>
      <c r="K940" s="162"/>
      <c r="L940" s="148"/>
      <c r="M940" s="161"/>
      <c r="N940" s="146"/>
      <c r="O940" s="162"/>
      <c r="P940" s="148"/>
      <c r="Q940" s="161"/>
      <c r="R940" s="146" t="str">
        <f>IF(Q940&lt;&gt;"", SUMIF(Bets!$D:$D, Q940, Bets!AD:AD), "")</f>
        <v/>
      </c>
      <c r="S940" s="162"/>
      <c r="T940" s="148"/>
      <c r="U940" s="161"/>
      <c r="V940" s="146" t="str">
        <f>IF(U940&lt;&gt;"", SUMIF(Bets!$D:$D, U940, Bets!AE:AE), "")</f>
        <v/>
      </c>
      <c r="W940" s="162"/>
      <c r="X940" s="148"/>
      <c r="Y940" s="161"/>
      <c r="Z940" s="146" t="str">
        <f>IF(Y940&lt;&gt;"", SUMIF(Bets!$D:$D, Y940, Bets!AF:AF), "")</f>
        <v/>
      </c>
      <c r="AA940" s="162"/>
      <c r="AB940" s="148"/>
      <c r="AC940" s="161"/>
      <c r="AD940" s="146" t="str">
        <f>IF(AC940&lt;&gt;"", SUMIF(Bets!$D:$D, AC940, Bets!AG:AG), "")</f>
        <v/>
      </c>
      <c r="AE940" s="162"/>
      <c r="AF940" s="148"/>
    </row>
    <row r="941">
      <c r="A941" s="161"/>
      <c r="B941" s="146" t="str">
        <f>IF(A941&lt;&gt;"", SUMIF(Bets!$D:$D, A941, Bets!Z:Z), "")</f>
        <v/>
      </c>
      <c r="C941" s="162"/>
      <c r="D941" s="148"/>
      <c r="E941" s="161"/>
      <c r="F941" s="146" t="str">
        <f>IF(E941&lt;&gt;"", SUMIF(Bets!$D:$D, E941, Bets!AB:AB), "")</f>
        <v/>
      </c>
      <c r="G941" s="162"/>
      <c r="H941" s="148"/>
      <c r="I941" s="161"/>
      <c r="J941" s="146" t="str">
        <f>IF(I941&lt;&gt;"", SUMIF(Bets!$D:$D, I941, Bets!AA:AA), "")</f>
        <v/>
      </c>
      <c r="K941" s="162"/>
      <c r="L941" s="148"/>
      <c r="M941" s="161"/>
      <c r="N941" s="146"/>
      <c r="O941" s="162"/>
      <c r="P941" s="148"/>
      <c r="Q941" s="161"/>
      <c r="R941" s="146" t="str">
        <f>IF(Q941&lt;&gt;"", SUMIF(Bets!$D:$D, Q941, Bets!AD:AD), "")</f>
        <v/>
      </c>
      <c r="S941" s="162"/>
      <c r="T941" s="148"/>
      <c r="U941" s="161"/>
      <c r="V941" s="146" t="str">
        <f>IF(U941&lt;&gt;"", SUMIF(Bets!$D:$D, U941, Bets!AE:AE), "")</f>
        <v/>
      </c>
      <c r="W941" s="162"/>
      <c r="X941" s="148"/>
      <c r="Y941" s="161"/>
      <c r="Z941" s="146" t="str">
        <f>IF(Y941&lt;&gt;"", SUMIF(Bets!$D:$D, Y941, Bets!AF:AF), "")</f>
        <v/>
      </c>
      <c r="AA941" s="162"/>
      <c r="AB941" s="148"/>
      <c r="AC941" s="161"/>
      <c r="AD941" s="146" t="str">
        <f>IF(AC941&lt;&gt;"", SUMIF(Bets!$D:$D, AC941, Bets!AG:AG), "")</f>
        <v/>
      </c>
      <c r="AE941" s="162"/>
      <c r="AF941" s="148"/>
    </row>
    <row r="942">
      <c r="A942" s="161"/>
      <c r="B942" s="146" t="str">
        <f>IF(A942&lt;&gt;"", SUMIF(Bets!$D:$D, A942, Bets!Z:Z), "")</f>
        <v/>
      </c>
      <c r="C942" s="162"/>
      <c r="D942" s="148"/>
      <c r="E942" s="161"/>
      <c r="F942" s="146" t="str">
        <f>IF(E942&lt;&gt;"", SUMIF(Bets!$D:$D, E942, Bets!AB:AB), "")</f>
        <v/>
      </c>
      <c r="G942" s="162"/>
      <c r="H942" s="148"/>
      <c r="I942" s="161"/>
      <c r="J942" s="146" t="str">
        <f>IF(I942&lt;&gt;"", SUMIF(Bets!$D:$D, I942, Bets!AA:AA), "")</f>
        <v/>
      </c>
      <c r="K942" s="162"/>
      <c r="L942" s="148"/>
      <c r="M942" s="161"/>
      <c r="N942" s="146"/>
      <c r="O942" s="162"/>
      <c r="P942" s="148"/>
      <c r="Q942" s="161"/>
      <c r="R942" s="146" t="str">
        <f>IF(Q942&lt;&gt;"", SUMIF(Bets!$D:$D, Q942, Bets!AD:AD), "")</f>
        <v/>
      </c>
      <c r="S942" s="162"/>
      <c r="T942" s="148"/>
      <c r="U942" s="161"/>
      <c r="V942" s="146" t="str">
        <f>IF(U942&lt;&gt;"", SUMIF(Bets!$D:$D, U942, Bets!AE:AE), "")</f>
        <v/>
      </c>
      <c r="W942" s="162"/>
      <c r="X942" s="148"/>
      <c r="Y942" s="161"/>
      <c r="Z942" s="146" t="str">
        <f>IF(Y942&lt;&gt;"", SUMIF(Bets!$D:$D, Y942, Bets!AF:AF), "")</f>
        <v/>
      </c>
      <c r="AA942" s="162"/>
      <c r="AB942" s="148"/>
      <c r="AC942" s="161"/>
      <c r="AD942" s="146" t="str">
        <f>IF(AC942&lt;&gt;"", SUMIF(Bets!$D:$D, AC942, Bets!AG:AG), "")</f>
        <v/>
      </c>
      <c r="AE942" s="162"/>
      <c r="AF942" s="148"/>
    </row>
    <row r="943">
      <c r="A943" s="161"/>
      <c r="B943" s="146" t="str">
        <f>IF(A943&lt;&gt;"", SUMIF(Bets!$D:$D, A943, Bets!Z:Z), "")</f>
        <v/>
      </c>
      <c r="C943" s="162"/>
      <c r="D943" s="148"/>
      <c r="E943" s="161"/>
      <c r="F943" s="146" t="str">
        <f>IF(E943&lt;&gt;"", SUMIF(Bets!$D:$D, E943, Bets!AB:AB), "")</f>
        <v/>
      </c>
      <c r="G943" s="162"/>
      <c r="H943" s="148"/>
      <c r="I943" s="161"/>
      <c r="J943" s="146" t="str">
        <f>IF(I943&lt;&gt;"", SUMIF(Bets!$D:$D, I943, Bets!AA:AA), "")</f>
        <v/>
      </c>
      <c r="K943" s="162"/>
      <c r="L943" s="148"/>
      <c r="M943" s="161"/>
      <c r="N943" s="146"/>
      <c r="O943" s="162"/>
      <c r="P943" s="148"/>
      <c r="Q943" s="161"/>
      <c r="R943" s="146" t="str">
        <f>IF(Q943&lt;&gt;"", SUMIF(Bets!$D:$D, Q943, Bets!AD:AD), "")</f>
        <v/>
      </c>
      <c r="S943" s="162"/>
      <c r="T943" s="148"/>
      <c r="U943" s="161"/>
      <c r="V943" s="146" t="str">
        <f>IF(U943&lt;&gt;"", SUMIF(Bets!$D:$D, U943, Bets!AE:AE), "")</f>
        <v/>
      </c>
      <c r="W943" s="162"/>
      <c r="X943" s="148"/>
      <c r="Y943" s="161"/>
      <c r="Z943" s="146" t="str">
        <f>IF(Y943&lt;&gt;"", SUMIF(Bets!$D:$D, Y943, Bets!AF:AF), "")</f>
        <v/>
      </c>
      <c r="AA943" s="162"/>
      <c r="AB943" s="148"/>
      <c r="AC943" s="161"/>
      <c r="AD943" s="146" t="str">
        <f>IF(AC943&lt;&gt;"", SUMIF(Bets!$D:$D, AC943, Bets!AG:AG), "")</f>
        <v/>
      </c>
      <c r="AE943" s="162"/>
      <c r="AF943" s="148"/>
    </row>
    <row r="944">
      <c r="A944" s="161"/>
      <c r="B944" s="146" t="str">
        <f>IF(A944&lt;&gt;"", SUMIF(Bets!$D:$D, A944, Bets!Z:Z), "")</f>
        <v/>
      </c>
      <c r="C944" s="162"/>
      <c r="D944" s="148"/>
      <c r="E944" s="161"/>
      <c r="F944" s="146" t="str">
        <f>IF(E944&lt;&gt;"", SUMIF(Bets!$D:$D, E944, Bets!AB:AB), "")</f>
        <v/>
      </c>
      <c r="G944" s="162"/>
      <c r="H944" s="148"/>
      <c r="I944" s="161"/>
      <c r="J944" s="146" t="str">
        <f>IF(I944&lt;&gt;"", SUMIF(Bets!$D:$D, I944, Bets!AA:AA), "")</f>
        <v/>
      </c>
      <c r="K944" s="162"/>
      <c r="L944" s="148"/>
      <c r="M944" s="161"/>
      <c r="N944" s="146"/>
      <c r="O944" s="162"/>
      <c r="P944" s="148"/>
      <c r="Q944" s="161"/>
      <c r="R944" s="146" t="str">
        <f>IF(Q944&lt;&gt;"", SUMIF(Bets!$D:$D, Q944, Bets!AD:AD), "")</f>
        <v/>
      </c>
      <c r="S944" s="162"/>
      <c r="T944" s="148"/>
      <c r="U944" s="161"/>
      <c r="V944" s="146" t="str">
        <f>IF(U944&lt;&gt;"", SUMIF(Bets!$D:$D, U944, Bets!AE:AE), "")</f>
        <v/>
      </c>
      <c r="W944" s="162"/>
      <c r="X944" s="148"/>
      <c r="Y944" s="161"/>
      <c r="Z944" s="146" t="str">
        <f>IF(Y944&lt;&gt;"", SUMIF(Bets!$D:$D, Y944, Bets!AF:AF), "")</f>
        <v/>
      </c>
      <c r="AA944" s="162"/>
      <c r="AB944" s="148"/>
      <c r="AC944" s="161"/>
      <c r="AD944" s="146" t="str">
        <f>IF(AC944&lt;&gt;"", SUMIF(Bets!$D:$D, AC944, Bets!AG:AG), "")</f>
        <v/>
      </c>
      <c r="AE944" s="162"/>
      <c r="AF944" s="148"/>
    </row>
    <row r="945">
      <c r="A945" s="161"/>
      <c r="B945" s="146" t="str">
        <f>IF(A945&lt;&gt;"", SUMIF(Bets!$D:$D, A945, Bets!Z:Z), "")</f>
        <v/>
      </c>
      <c r="C945" s="162"/>
      <c r="D945" s="148"/>
      <c r="E945" s="161"/>
      <c r="F945" s="146" t="str">
        <f>IF(E945&lt;&gt;"", SUMIF(Bets!$D:$D, E945, Bets!AB:AB), "")</f>
        <v/>
      </c>
      <c r="G945" s="162"/>
      <c r="H945" s="148"/>
      <c r="I945" s="161"/>
      <c r="J945" s="146" t="str">
        <f>IF(I945&lt;&gt;"", SUMIF(Bets!$D:$D, I945, Bets!AA:AA), "")</f>
        <v/>
      </c>
      <c r="K945" s="162"/>
      <c r="L945" s="148"/>
      <c r="M945" s="161"/>
      <c r="N945" s="146"/>
      <c r="O945" s="162"/>
      <c r="P945" s="148"/>
      <c r="Q945" s="161"/>
      <c r="R945" s="146" t="str">
        <f>IF(Q945&lt;&gt;"", SUMIF(Bets!$D:$D, Q945, Bets!AD:AD), "")</f>
        <v/>
      </c>
      <c r="S945" s="162"/>
      <c r="T945" s="148"/>
      <c r="U945" s="161"/>
      <c r="V945" s="146" t="str">
        <f>IF(U945&lt;&gt;"", SUMIF(Bets!$D:$D, U945, Bets!AE:AE), "")</f>
        <v/>
      </c>
      <c r="W945" s="162"/>
      <c r="X945" s="148"/>
      <c r="Y945" s="161"/>
      <c r="Z945" s="146" t="str">
        <f>IF(Y945&lt;&gt;"", SUMIF(Bets!$D:$D, Y945, Bets!AF:AF), "")</f>
        <v/>
      </c>
      <c r="AA945" s="162"/>
      <c r="AB945" s="148"/>
      <c r="AC945" s="161"/>
      <c r="AD945" s="146" t="str">
        <f>IF(AC945&lt;&gt;"", SUMIF(Bets!$D:$D, AC945, Bets!AG:AG), "")</f>
        <v/>
      </c>
      <c r="AE945" s="162"/>
      <c r="AF945" s="148"/>
    </row>
    <row r="946">
      <c r="A946" s="161"/>
      <c r="B946" s="146" t="str">
        <f>IF(A946&lt;&gt;"", SUMIF(Bets!$D:$D, A946, Bets!Z:Z), "")</f>
        <v/>
      </c>
      <c r="C946" s="162"/>
      <c r="D946" s="148"/>
      <c r="E946" s="161"/>
      <c r="F946" s="146" t="str">
        <f>IF(E946&lt;&gt;"", SUMIF(Bets!$D:$D, E946, Bets!AB:AB), "")</f>
        <v/>
      </c>
      <c r="G946" s="162"/>
      <c r="H946" s="148"/>
      <c r="I946" s="161"/>
      <c r="J946" s="146" t="str">
        <f>IF(I946&lt;&gt;"", SUMIF(Bets!$D:$D, I946, Bets!AA:AA), "")</f>
        <v/>
      </c>
      <c r="K946" s="162"/>
      <c r="L946" s="148"/>
      <c r="M946" s="161"/>
      <c r="N946" s="146"/>
      <c r="O946" s="162"/>
      <c r="P946" s="148"/>
      <c r="Q946" s="161"/>
      <c r="R946" s="146" t="str">
        <f>IF(Q946&lt;&gt;"", SUMIF(Bets!$D:$D, Q946, Bets!AD:AD), "")</f>
        <v/>
      </c>
      <c r="S946" s="162"/>
      <c r="T946" s="148"/>
      <c r="U946" s="161"/>
      <c r="V946" s="146" t="str">
        <f>IF(U946&lt;&gt;"", SUMIF(Bets!$D:$D, U946, Bets!AE:AE), "")</f>
        <v/>
      </c>
      <c r="W946" s="162"/>
      <c r="X946" s="148"/>
      <c r="Y946" s="161"/>
      <c r="Z946" s="146" t="str">
        <f>IF(Y946&lt;&gt;"", SUMIF(Bets!$D:$D, Y946, Bets!AF:AF), "")</f>
        <v/>
      </c>
      <c r="AA946" s="162"/>
      <c r="AB946" s="148"/>
      <c r="AC946" s="161"/>
      <c r="AD946" s="146" t="str">
        <f>IF(AC946&lt;&gt;"", SUMIF(Bets!$D:$D, AC946, Bets!AG:AG), "")</f>
        <v/>
      </c>
      <c r="AE946" s="162"/>
      <c r="AF946" s="148"/>
    </row>
    <row r="947">
      <c r="A947" s="161"/>
      <c r="B947" s="146" t="str">
        <f>IF(A947&lt;&gt;"", SUMIF(Bets!$D:$D, A947, Bets!Z:Z), "")</f>
        <v/>
      </c>
      <c r="C947" s="162"/>
      <c r="D947" s="148"/>
      <c r="E947" s="161"/>
      <c r="F947" s="146" t="str">
        <f>IF(E947&lt;&gt;"", SUMIF(Bets!$D:$D, E947, Bets!AB:AB), "")</f>
        <v/>
      </c>
      <c r="G947" s="162"/>
      <c r="H947" s="148"/>
      <c r="I947" s="161"/>
      <c r="J947" s="146" t="str">
        <f>IF(I947&lt;&gt;"", SUMIF(Bets!$D:$D, I947, Bets!AA:AA), "")</f>
        <v/>
      </c>
      <c r="K947" s="162"/>
      <c r="L947" s="148"/>
      <c r="M947" s="161"/>
      <c r="N947" s="146"/>
      <c r="O947" s="162"/>
      <c r="P947" s="148"/>
      <c r="Q947" s="161"/>
      <c r="R947" s="146" t="str">
        <f>IF(Q947&lt;&gt;"", SUMIF(Bets!$D:$D, Q947, Bets!AD:AD), "")</f>
        <v/>
      </c>
      <c r="S947" s="162"/>
      <c r="T947" s="148"/>
      <c r="U947" s="161"/>
      <c r="V947" s="146" t="str">
        <f>IF(U947&lt;&gt;"", SUMIF(Bets!$D:$D, U947, Bets!AE:AE), "")</f>
        <v/>
      </c>
      <c r="W947" s="162"/>
      <c r="X947" s="148"/>
      <c r="Y947" s="161"/>
      <c r="Z947" s="146" t="str">
        <f>IF(Y947&lt;&gt;"", SUMIF(Bets!$D:$D, Y947, Bets!AF:AF), "")</f>
        <v/>
      </c>
      <c r="AA947" s="162"/>
      <c r="AB947" s="148"/>
      <c r="AC947" s="161"/>
      <c r="AD947" s="146" t="str">
        <f>IF(AC947&lt;&gt;"", SUMIF(Bets!$D:$D, AC947, Bets!AG:AG), "")</f>
        <v/>
      </c>
      <c r="AE947" s="162"/>
      <c r="AF947" s="148"/>
    </row>
    <row r="948">
      <c r="A948" s="161"/>
      <c r="B948" s="146" t="str">
        <f>IF(A948&lt;&gt;"", SUMIF(Bets!$D:$D, A948, Bets!Z:Z), "")</f>
        <v/>
      </c>
      <c r="C948" s="162"/>
      <c r="D948" s="148"/>
      <c r="E948" s="161"/>
      <c r="F948" s="146" t="str">
        <f>IF(E948&lt;&gt;"", SUMIF(Bets!$D:$D, E948, Bets!AB:AB), "")</f>
        <v/>
      </c>
      <c r="G948" s="162"/>
      <c r="H948" s="148"/>
      <c r="I948" s="161"/>
      <c r="J948" s="146" t="str">
        <f>IF(I948&lt;&gt;"", SUMIF(Bets!$D:$D, I948, Bets!AA:AA), "")</f>
        <v/>
      </c>
      <c r="K948" s="162"/>
      <c r="L948" s="148"/>
      <c r="M948" s="161"/>
      <c r="N948" s="146"/>
      <c r="O948" s="162"/>
      <c r="P948" s="148"/>
      <c r="Q948" s="161"/>
      <c r="R948" s="146" t="str">
        <f>IF(Q948&lt;&gt;"", SUMIF(Bets!$D:$D, Q948, Bets!AD:AD), "")</f>
        <v/>
      </c>
      <c r="S948" s="162"/>
      <c r="T948" s="148"/>
      <c r="U948" s="161"/>
      <c r="V948" s="146" t="str">
        <f>IF(U948&lt;&gt;"", SUMIF(Bets!$D:$D, U948, Bets!AE:AE), "")</f>
        <v/>
      </c>
      <c r="W948" s="162"/>
      <c r="X948" s="148"/>
      <c r="Y948" s="161"/>
      <c r="Z948" s="146" t="str">
        <f>IF(Y948&lt;&gt;"", SUMIF(Bets!$D:$D, Y948, Bets!AF:AF), "")</f>
        <v/>
      </c>
      <c r="AA948" s="162"/>
      <c r="AB948" s="148"/>
      <c r="AC948" s="161"/>
      <c r="AD948" s="146" t="str">
        <f>IF(AC948&lt;&gt;"", SUMIF(Bets!$D:$D, AC948, Bets!AG:AG), "")</f>
        <v/>
      </c>
      <c r="AE948" s="162"/>
      <c r="AF948" s="148"/>
    </row>
    <row r="949">
      <c r="A949" s="161"/>
      <c r="B949" s="146" t="str">
        <f>IF(A949&lt;&gt;"", SUMIF(Bets!$D:$D, A949, Bets!Z:Z), "")</f>
        <v/>
      </c>
      <c r="C949" s="162"/>
      <c r="D949" s="148"/>
      <c r="E949" s="161"/>
      <c r="F949" s="146" t="str">
        <f>IF(E949&lt;&gt;"", SUMIF(Bets!$D:$D, E949, Bets!AB:AB), "")</f>
        <v/>
      </c>
      <c r="G949" s="162"/>
      <c r="H949" s="148"/>
      <c r="I949" s="161"/>
      <c r="J949" s="146" t="str">
        <f>IF(I949&lt;&gt;"", SUMIF(Bets!$D:$D, I949, Bets!AA:AA), "")</f>
        <v/>
      </c>
      <c r="K949" s="162"/>
      <c r="L949" s="148"/>
      <c r="M949" s="161"/>
      <c r="N949" s="146"/>
      <c r="O949" s="162"/>
      <c r="P949" s="148"/>
      <c r="Q949" s="161"/>
      <c r="R949" s="146" t="str">
        <f>IF(Q949&lt;&gt;"", SUMIF(Bets!$D:$D, Q949, Bets!AD:AD), "")</f>
        <v/>
      </c>
      <c r="S949" s="162"/>
      <c r="T949" s="148"/>
      <c r="U949" s="161"/>
      <c r="V949" s="146" t="str">
        <f>IF(U949&lt;&gt;"", SUMIF(Bets!$D:$D, U949, Bets!AE:AE), "")</f>
        <v/>
      </c>
      <c r="W949" s="162"/>
      <c r="X949" s="148"/>
      <c r="Y949" s="161"/>
      <c r="Z949" s="146" t="str">
        <f>IF(Y949&lt;&gt;"", SUMIF(Bets!$D:$D, Y949, Bets!AF:AF), "")</f>
        <v/>
      </c>
      <c r="AA949" s="162"/>
      <c r="AB949" s="148"/>
      <c r="AC949" s="161"/>
      <c r="AD949" s="146" t="str">
        <f>IF(AC949&lt;&gt;"", SUMIF(Bets!$D:$D, AC949, Bets!AG:AG), "")</f>
        <v/>
      </c>
      <c r="AE949" s="162"/>
      <c r="AF949" s="148"/>
    </row>
    <row r="950">
      <c r="A950" s="161"/>
      <c r="B950" s="146" t="str">
        <f>IF(A950&lt;&gt;"", SUMIF(Bets!$D:$D, A950, Bets!Z:Z), "")</f>
        <v/>
      </c>
      <c r="C950" s="162"/>
      <c r="D950" s="148"/>
      <c r="E950" s="161"/>
      <c r="F950" s="146" t="str">
        <f>IF(E950&lt;&gt;"", SUMIF(Bets!$D:$D, E950, Bets!AB:AB), "")</f>
        <v/>
      </c>
      <c r="G950" s="162"/>
      <c r="H950" s="148"/>
      <c r="I950" s="161"/>
      <c r="J950" s="146" t="str">
        <f>IF(I950&lt;&gt;"", SUMIF(Bets!$D:$D, I950, Bets!AA:AA), "")</f>
        <v/>
      </c>
      <c r="K950" s="162"/>
      <c r="L950" s="148"/>
      <c r="M950" s="161"/>
      <c r="N950" s="146"/>
      <c r="O950" s="162"/>
      <c r="P950" s="148"/>
      <c r="Q950" s="161"/>
      <c r="R950" s="146" t="str">
        <f>IF(Q950&lt;&gt;"", SUMIF(Bets!$D:$D, Q950, Bets!AD:AD), "")</f>
        <v/>
      </c>
      <c r="S950" s="162"/>
      <c r="T950" s="148"/>
      <c r="U950" s="161"/>
      <c r="V950" s="146" t="str">
        <f>IF(U950&lt;&gt;"", SUMIF(Bets!$D:$D, U950, Bets!AE:AE), "")</f>
        <v/>
      </c>
      <c r="W950" s="162"/>
      <c r="X950" s="148"/>
      <c r="Y950" s="161"/>
      <c r="Z950" s="146" t="str">
        <f>IF(Y950&lt;&gt;"", SUMIF(Bets!$D:$D, Y950, Bets!AF:AF), "")</f>
        <v/>
      </c>
      <c r="AA950" s="162"/>
      <c r="AB950" s="148"/>
      <c r="AC950" s="161"/>
      <c r="AD950" s="146" t="str">
        <f>IF(AC950&lt;&gt;"", SUMIF(Bets!$D:$D, AC950, Bets!AG:AG), "")</f>
        <v/>
      </c>
      <c r="AE950" s="162"/>
      <c r="AF950" s="148"/>
    </row>
    <row r="951">
      <c r="A951" s="161"/>
      <c r="B951" s="146" t="str">
        <f>IF(A951&lt;&gt;"", SUMIF(Bets!$D:$D, A951, Bets!Z:Z), "")</f>
        <v/>
      </c>
      <c r="C951" s="162"/>
      <c r="D951" s="148"/>
      <c r="E951" s="161"/>
      <c r="F951" s="146" t="str">
        <f>IF(E951&lt;&gt;"", SUMIF(Bets!$D:$D, E951, Bets!AB:AB), "")</f>
        <v/>
      </c>
      <c r="G951" s="162"/>
      <c r="H951" s="148"/>
      <c r="I951" s="161"/>
      <c r="J951" s="146" t="str">
        <f>IF(I951&lt;&gt;"", SUMIF(Bets!$D:$D, I951, Bets!AA:AA), "")</f>
        <v/>
      </c>
      <c r="K951" s="162"/>
      <c r="L951" s="148"/>
      <c r="M951" s="161"/>
      <c r="N951" s="146"/>
      <c r="O951" s="162"/>
      <c r="P951" s="148"/>
      <c r="Q951" s="161"/>
      <c r="R951" s="146" t="str">
        <f>IF(Q951&lt;&gt;"", SUMIF(Bets!$D:$D, Q951, Bets!AD:AD), "")</f>
        <v/>
      </c>
      <c r="S951" s="162"/>
      <c r="T951" s="148"/>
      <c r="U951" s="161"/>
      <c r="V951" s="146" t="str">
        <f>IF(U951&lt;&gt;"", SUMIF(Bets!$D:$D, U951, Bets!AE:AE), "")</f>
        <v/>
      </c>
      <c r="W951" s="162"/>
      <c r="X951" s="148"/>
      <c r="Y951" s="161"/>
      <c r="Z951" s="146" t="str">
        <f>IF(Y951&lt;&gt;"", SUMIF(Bets!$D:$D, Y951, Bets!AF:AF), "")</f>
        <v/>
      </c>
      <c r="AA951" s="162"/>
      <c r="AB951" s="148"/>
      <c r="AC951" s="161"/>
      <c r="AD951" s="146" t="str">
        <f>IF(AC951&lt;&gt;"", SUMIF(Bets!$D:$D, AC951, Bets!AG:AG), "")</f>
        <v/>
      </c>
      <c r="AE951" s="162"/>
      <c r="AF951" s="148"/>
    </row>
    <row r="952">
      <c r="A952" s="161"/>
      <c r="B952" s="146" t="str">
        <f>IF(A952&lt;&gt;"", SUMIF(Bets!$D:$D, A952, Bets!Z:Z), "")</f>
        <v/>
      </c>
      <c r="C952" s="162"/>
      <c r="D952" s="148"/>
      <c r="E952" s="161"/>
      <c r="F952" s="146" t="str">
        <f>IF(E952&lt;&gt;"", SUMIF(Bets!$D:$D, E952, Bets!AB:AB), "")</f>
        <v/>
      </c>
      <c r="G952" s="162"/>
      <c r="H952" s="148"/>
      <c r="I952" s="161"/>
      <c r="J952" s="146" t="str">
        <f>IF(I952&lt;&gt;"", SUMIF(Bets!$D:$D, I952, Bets!AA:AA), "")</f>
        <v/>
      </c>
      <c r="K952" s="162"/>
      <c r="L952" s="148"/>
      <c r="M952" s="161"/>
      <c r="N952" s="146"/>
      <c r="O952" s="162"/>
      <c r="P952" s="148"/>
      <c r="Q952" s="161"/>
      <c r="R952" s="146" t="str">
        <f>IF(Q952&lt;&gt;"", SUMIF(Bets!$D:$D, Q952, Bets!AD:AD), "")</f>
        <v/>
      </c>
      <c r="S952" s="162"/>
      <c r="T952" s="148"/>
      <c r="U952" s="161"/>
      <c r="V952" s="146" t="str">
        <f>IF(U952&lt;&gt;"", SUMIF(Bets!$D:$D, U952, Bets!AE:AE), "")</f>
        <v/>
      </c>
      <c r="W952" s="162"/>
      <c r="X952" s="148"/>
      <c r="Y952" s="161"/>
      <c r="Z952" s="146" t="str">
        <f>IF(Y952&lt;&gt;"", SUMIF(Bets!$D:$D, Y952, Bets!AF:AF), "")</f>
        <v/>
      </c>
      <c r="AA952" s="162"/>
      <c r="AB952" s="148"/>
      <c r="AC952" s="161"/>
      <c r="AD952" s="146" t="str">
        <f>IF(AC952&lt;&gt;"", SUMIF(Bets!$D:$D, AC952, Bets!AG:AG), "")</f>
        <v/>
      </c>
      <c r="AE952" s="162"/>
      <c r="AF952" s="148"/>
    </row>
    <row r="953">
      <c r="A953" s="161"/>
      <c r="B953" s="146" t="str">
        <f>IF(A953&lt;&gt;"", SUMIF(Bets!$D:$D, A953, Bets!Z:Z), "")</f>
        <v/>
      </c>
      <c r="C953" s="162"/>
      <c r="D953" s="148"/>
      <c r="E953" s="161"/>
      <c r="F953" s="146" t="str">
        <f>IF(E953&lt;&gt;"", SUMIF(Bets!$D:$D, E953, Bets!AB:AB), "")</f>
        <v/>
      </c>
      <c r="G953" s="162"/>
      <c r="H953" s="148"/>
      <c r="I953" s="161"/>
      <c r="J953" s="146" t="str">
        <f>IF(I953&lt;&gt;"", SUMIF(Bets!$D:$D, I953, Bets!AA:AA), "")</f>
        <v/>
      </c>
      <c r="K953" s="162"/>
      <c r="L953" s="148"/>
      <c r="M953" s="161"/>
      <c r="N953" s="146"/>
      <c r="O953" s="162"/>
      <c r="P953" s="148"/>
      <c r="Q953" s="161"/>
      <c r="R953" s="146" t="str">
        <f>IF(Q953&lt;&gt;"", SUMIF(Bets!$D:$D, Q953, Bets!AD:AD), "")</f>
        <v/>
      </c>
      <c r="S953" s="162"/>
      <c r="T953" s="148"/>
      <c r="U953" s="161"/>
      <c r="V953" s="146" t="str">
        <f>IF(U953&lt;&gt;"", SUMIF(Bets!$D:$D, U953, Bets!AE:AE), "")</f>
        <v/>
      </c>
      <c r="W953" s="162"/>
      <c r="X953" s="148"/>
      <c r="Y953" s="161"/>
      <c r="Z953" s="146" t="str">
        <f>IF(Y953&lt;&gt;"", SUMIF(Bets!$D:$D, Y953, Bets!AF:AF), "")</f>
        <v/>
      </c>
      <c r="AA953" s="162"/>
      <c r="AB953" s="148"/>
      <c r="AC953" s="161"/>
      <c r="AD953" s="146" t="str">
        <f>IF(AC953&lt;&gt;"", SUMIF(Bets!$D:$D, AC953, Bets!AG:AG), "")</f>
        <v/>
      </c>
      <c r="AE953" s="162"/>
      <c r="AF953" s="148"/>
    </row>
    <row r="954">
      <c r="A954" s="161"/>
      <c r="B954" s="146" t="str">
        <f>IF(A954&lt;&gt;"", SUMIF(Bets!$D:$D, A954, Bets!Z:Z), "")</f>
        <v/>
      </c>
      <c r="C954" s="162"/>
      <c r="D954" s="148"/>
      <c r="E954" s="161"/>
      <c r="F954" s="146" t="str">
        <f>IF(E954&lt;&gt;"", SUMIF(Bets!$D:$D, E954, Bets!AB:AB), "")</f>
        <v/>
      </c>
      <c r="G954" s="162"/>
      <c r="H954" s="148"/>
      <c r="I954" s="161"/>
      <c r="J954" s="146" t="str">
        <f>IF(I954&lt;&gt;"", SUMIF(Bets!$D:$D, I954, Bets!AA:AA), "")</f>
        <v/>
      </c>
      <c r="K954" s="162"/>
      <c r="L954" s="148"/>
      <c r="M954" s="161"/>
      <c r="N954" s="146"/>
      <c r="O954" s="162"/>
      <c r="P954" s="148"/>
      <c r="Q954" s="161"/>
      <c r="R954" s="146" t="str">
        <f>IF(Q954&lt;&gt;"", SUMIF(Bets!$D:$D, Q954, Bets!AD:AD), "")</f>
        <v/>
      </c>
      <c r="S954" s="162"/>
      <c r="T954" s="148"/>
      <c r="U954" s="161"/>
      <c r="V954" s="146" t="str">
        <f>IF(U954&lt;&gt;"", SUMIF(Bets!$D:$D, U954, Bets!AE:AE), "")</f>
        <v/>
      </c>
      <c r="W954" s="162"/>
      <c r="X954" s="148"/>
      <c r="Y954" s="161"/>
      <c r="Z954" s="146" t="str">
        <f>IF(Y954&lt;&gt;"", SUMIF(Bets!$D:$D, Y954, Bets!AF:AF), "")</f>
        <v/>
      </c>
      <c r="AA954" s="162"/>
      <c r="AB954" s="148"/>
      <c r="AC954" s="161"/>
      <c r="AD954" s="146" t="str">
        <f>IF(AC954&lt;&gt;"", SUMIF(Bets!$D:$D, AC954, Bets!AG:AG), "")</f>
        <v/>
      </c>
      <c r="AE954" s="162"/>
      <c r="AF954" s="148"/>
    </row>
    <row r="955">
      <c r="A955" s="161"/>
      <c r="B955" s="146" t="str">
        <f>IF(A955&lt;&gt;"", SUMIF(Bets!$D:$D, A955, Bets!Z:Z), "")</f>
        <v/>
      </c>
      <c r="C955" s="162"/>
      <c r="D955" s="148"/>
      <c r="E955" s="161"/>
      <c r="F955" s="146" t="str">
        <f>IF(E955&lt;&gt;"", SUMIF(Bets!$D:$D, E955, Bets!AB:AB), "")</f>
        <v/>
      </c>
      <c r="G955" s="162"/>
      <c r="H955" s="148"/>
      <c r="I955" s="161"/>
      <c r="J955" s="146" t="str">
        <f>IF(I955&lt;&gt;"", SUMIF(Bets!$D:$D, I955, Bets!AA:AA), "")</f>
        <v/>
      </c>
      <c r="K955" s="162"/>
      <c r="L955" s="148"/>
      <c r="M955" s="161"/>
      <c r="N955" s="146"/>
      <c r="O955" s="162"/>
      <c r="P955" s="148"/>
      <c r="Q955" s="161"/>
      <c r="R955" s="146" t="str">
        <f>IF(Q955&lt;&gt;"", SUMIF(Bets!$D:$D, Q955, Bets!AD:AD), "")</f>
        <v/>
      </c>
      <c r="S955" s="162"/>
      <c r="T955" s="148"/>
      <c r="U955" s="161"/>
      <c r="V955" s="146" t="str">
        <f>IF(U955&lt;&gt;"", SUMIF(Bets!$D:$D, U955, Bets!AE:AE), "")</f>
        <v/>
      </c>
      <c r="W955" s="162"/>
      <c r="X955" s="148"/>
      <c r="Y955" s="161"/>
      <c r="Z955" s="146" t="str">
        <f>IF(Y955&lt;&gt;"", SUMIF(Bets!$D:$D, Y955, Bets!AF:AF), "")</f>
        <v/>
      </c>
      <c r="AA955" s="162"/>
      <c r="AB955" s="148"/>
      <c r="AC955" s="161"/>
      <c r="AD955" s="146" t="str">
        <f>IF(AC955&lt;&gt;"", SUMIF(Bets!$D:$D, AC955, Bets!AG:AG), "")</f>
        <v/>
      </c>
      <c r="AE955" s="162"/>
      <c r="AF955" s="148"/>
    </row>
    <row r="956">
      <c r="A956" s="161"/>
      <c r="B956" s="146" t="str">
        <f>IF(A956&lt;&gt;"", SUMIF(Bets!$D:$D, A956, Bets!Z:Z), "")</f>
        <v/>
      </c>
      <c r="C956" s="162"/>
      <c r="D956" s="148"/>
      <c r="E956" s="161"/>
      <c r="F956" s="146" t="str">
        <f>IF(E956&lt;&gt;"", SUMIF(Bets!$D:$D, E956, Bets!AB:AB), "")</f>
        <v/>
      </c>
      <c r="G956" s="162"/>
      <c r="H956" s="148"/>
      <c r="I956" s="161"/>
      <c r="J956" s="146" t="str">
        <f>IF(I956&lt;&gt;"", SUMIF(Bets!$D:$D, I956, Bets!AA:AA), "")</f>
        <v/>
      </c>
      <c r="K956" s="162"/>
      <c r="L956" s="148"/>
      <c r="M956" s="161"/>
      <c r="N956" s="146"/>
      <c r="O956" s="162"/>
      <c r="P956" s="148"/>
      <c r="Q956" s="161"/>
      <c r="R956" s="146" t="str">
        <f>IF(Q956&lt;&gt;"", SUMIF(Bets!$D:$D, Q956, Bets!AD:AD), "")</f>
        <v/>
      </c>
      <c r="S956" s="162"/>
      <c r="T956" s="148"/>
      <c r="U956" s="161"/>
      <c r="V956" s="146" t="str">
        <f>IF(U956&lt;&gt;"", SUMIF(Bets!$D:$D, U956, Bets!AE:AE), "")</f>
        <v/>
      </c>
      <c r="W956" s="162"/>
      <c r="X956" s="148"/>
      <c r="Y956" s="161"/>
      <c r="Z956" s="146" t="str">
        <f>IF(Y956&lt;&gt;"", SUMIF(Bets!$D:$D, Y956, Bets!AF:AF), "")</f>
        <v/>
      </c>
      <c r="AA956" s="162"/>
      <c r="AB956" s="148"/>
      <c r="AC956" s="161"/>
      <c r="AD956" s="146" t="str">
        <f>IF(AC956&lt;&gt;"", SUMIF(Bets!$D:$D, AC956, Bets!AG:AG), "")</f>
        <v/>
      </c>
      <c r="AE956" s="162"/>
      <c r="AF956" s="148"/>
    </row>
    <row r="957">
      <c r="A957" s="161"/>
      <c r="B957" s="146" t="str">
        <f>IF(A957&lt;&gt;"", SUMIF(Bets!$D:$D, A957, Bets!Z:Z), "")</f>
        <v/>
      </c>
      <c r="C957" s="162"/>
      <c r="D957" s="148"/>
      <c r="E957" s="161"/>
      <c r="F957" s="146" t="str">
        <f>IF(E957&lt;&gt;"", SUMIF(Bets!$D:$D, E957, Bets!AB:AB), "")</f>
        <v/>
      </c>
      <c r="G957" s="162"/>
      <c r="H957" s="148"/>
      <c r="I957" s="161"/>
      <c r="J957" s="146" t="str">
        <f>IF(I957&lt;&gt;"", SUMIF(Bets!$D:$D, I957, Bets!AA:AA), "")</f>
        <v/>
      </c>
      <c r="K957" s="162"/>
      <c r="L957" s="148"/>
      <c r="M957" s="161"/>
      <c r="N957" s="146"/>
      <c r="O957" s="162"/>
      <c r="P957" s="148"/>
      <c r="Q957" s="161"/>
      <c r="R957" s="146" t="str">
        <f>IF(Q957&lt;&gt;"", SUMIF(Bets!$D:$D, Q957, Bets!AD:AD), "")</f>
        <v/>
      </c>
      <c r="S957" s="162"/>
      <c r="T957" s="148"/>
      <c r="U957" s="161"/>
      <c r="V957" s="146" t="str">
        <f>IF(U957&lt;&gt;"", SUMIF(Bets!$D:$D, U957, Bets!AE:AE), "")</f>
        <v/>
      </c>
      <c r="W957" s="162"/>
      <c r="X957" s="148"/>
      <c r="Y957" s="161"/>
      <c r="Z957" s="146" t="str">
        <f>IF(Y957&lt;&gt;"", SUMIF(Bets!$D:$D, Y957, Bets!AF:AF), "")</f>
        <v/>
      </c>
      <c r="AA957" s="162"/>
      <c r="AB957" s="148"/>
      <c r="AC957" s="161"/>
      <c r="AD957" s="146" t="str">
        <f>IF(AC957&lt;&gt;"", SUMIF(Bets!$D:$D, AC957, Bets!AG:AG), "")</f>
        <v/>
      </c>
      <c r="AE957" s="162"/>
      <c r="AF957" s="148"/>
    </row>
    <row r="958">
      <c r="A958" s="161"/>
      <c r="B958" s="146" t="str">
        <f>IF(A958&lt;&gt;"", SUMIF(Bets!$D:$D, A958, Bets!Z:Z), "")</f>
        <v/>
      </c>
      <c r="C958" s="162"/>
      <c r="D958" s="148"/>
      <c r="E958" s="161"/>
      <c r="F958" s="146" t="str">
        <f>IF(E958&lt;&gt;"", SUMIF(Bets!$D:$D, E958, Bets!AB:AB), "")</f>
        <v/>
      </c>
      <c r="G958" s="162"/>
      <c r="H958" s="148"/>
      <c r="I958" s="161"/>
      <c r="J958" s="146" t="str">
        <f>IF(I958&lt;&gt;"", SUMIF(Bets!$D:$D, I958, Bets!AA:AA), "")</f>
        <v/>
      </c>
      <c r="K958" s="162"/>
      <c r="L958" s="148"/>
      <c r="M958" s="161"/>
      <c r="N958" s="146"/>
      <c r="O958" s="162"/>
      <c r="P958" s="148"/>
      <c r="Q958" s="161"/>
      <c r="R958" s="146" t="str">
        <f>IF(Q958&lt;&gt;"", SUMIF(Bets!$D:$D, Q958, Bets!AD:AD), "")</f>
        <v/>
      </c>
      <c r="S958" s="162"/>
      <c r="T958" s="148"/>
      <c r="U958" s="161"/>
      <c r="V958" s="146" t="str">
        <f>IF(U958&lt;&gt;"", SUMIF(Bets!$D:$D, U958, Bets!AE:AE), "")</f>
        <v/>
      </c>
      <c r="W958" s="162"/>
      <c r="X958" s="148"/>
      <c r="Y958" s="161"/>
      <c r="Z958" s="146" t="str">
        <f>IF(Y958&lt;&gt;"", SUMIF(Bets!$D:$D, Y958, Bets!AF:AF), "")</f>
        <v/>
      </c>
      <c r="AA958" s="162"/>
      <c r="AB958" s="148"/>
      <c r="AC958" s="161"/>
      <c r="AD958" s="146" t="str">
        <f>IF(AC958&lt;&gt;"", SUMIF(Bets!$D:$D, AC958, Bets!AG:AG), "")</f>
        <v/>
      </c>
      <c r="AE958" s="162"/>
      <c r="AF958" s="148"/>
    </row>
    <row r="959">
      <c r="A959" s="161"/>
      <c r="B959" s="146" t="str">
        <f>IF(A959&lt;&gt;"", SUMIF(Bets!$D:$D, A959, Bets!Z:Z), "")</f>
        <v/>
      </c>
      <c r="C959" s="162"/>
      <c r="D959" s="148"/>
      <c r="E959" s="161"/>
      <c r="F959" s="146" t="str">
        <f>IF(E959&lt;&gt;"", SUMIF(Bets!$D:$D, E959, Bets!AB:AB), "")</f>
        <v/>
      </c>
      <c r="G959" s="162"/>
      <c r="H959" s="148"/>
      <c r="I959" s="161"/>
      <c r="J959" s="146" t="str">
        <f>IF(I959&lt;&gt;"", SUMIF(Bets!$D:$D, I959, Bets!AA:AA), "")</f>
        <v/>
      </c>
      <c r="K959" s="162"/>
      <c r="L959" s="148"/>
      <c r="M959" s="161"/>
      <c r="N959" s="146"/>
      <c r="O959" s="162"/>
      <c r="P959" s="148"/>
      <c r="Q959" s="161"/>
      <c r="R959" s="146" t="str">
        <f>IF(Q959&lt;&gt;"", SUMIF(Bets!$D:$D, Q959, Bets!AD:AD), "")</f>
        <v/>
      </c>
      <c r="S959" s="162"/>
      <c r="T959" s="148"/>
      <c r="U959" s="161"/>
      <c r="V959" s="146" t="str">
        <f>IF(U959&lt;&gt;"", SUMIF(Bets!$D:$D, U959, Bets!AE:AE), "")</f>
        <v/>
      </c>
      <c r="W959" s="162"/>
      <c r="X959" s="148"/>
      <c r="Y959" s="161"/>
      <c r="Z959" s="146" t="str">
        <f>IF(Y959&lt;&gt;"", SUMIF(Bets!$D:$D, Y959, Bets!AF:AF), "")</f>
        <v/>
      </c>
      <c r="AA959" s="162"/>
      <c r="AB959" s="148"/>
      <c r="AC959" s="161"/>
      <c r="AD959" s="146" t="str">
        <f>IF(AC959&lt;&gt;"", SUMIF(Bets!$D:$D, AC959, Bets!AG:AG), "")</f>
        <v/>
      </c>
      <c r="AE959" s="162"/>
      <c r="AF959" s="148"/>
    </row>
    <row r="960">
      <c r="A960" s="161"/>
      <c r="B960" s="146" t="str">
        <f>IF(A960&lt;&gt;"", SUMIF(Bets!$D:$D, A960, Bets!Z:Z), "")</f>
        <v/>
      </c>
      <c r="C960" s="162"/>
      <c r="D960" s="148"/>
      <c r="E960" s="161"/>
      <c r="F960" s="146" t="str">
        <f>IF(E960&lt;&gt;"", SUMIF(Bets!$D:$D, E960, Bets!AB:AB), "")</f>
        <v/>
      </c>
      <c r="G960" s="162"/>
      <c r="H960" s="148"/>
      <c r="I960" s="161"/>
      <c r="J960" s="146" t="str">
        <f>IF(I960&lt;&gt;"", SUMIF(Bets!$D:$D, I960, Bets!AA:AA), "")</f>
        <v/>
      </c>
      <c r="K960" s="162"/>
      <c r="L960" s="148"/>
      <c r="M960" s="161"/>
      <c r="N960" s="146"/>
      <c r="O960" s="162"/>
      <c r="P960" s="148"/>
      <c r="Q960" s="161"/>
      <c r="R960" s="146" t="str">
        <f>IF(Q960&lt;&gt;"", SUMIF(Bets!$D:$D, Q960, Bets!AD:AD), "")</f>
        <v/>
      </c>
      <c r="S960" s="162"/>
      <c r="T960" s="148"/>
      <c r="U960" s="161"/>
      <c r="V960" s="146" t="str">
        <f>IF(U960&lt;&gt;"", SUMIF(Bets!$D:$D, U960, Bets!AE:AE), "")</f>
        <v/>
      </c>
      <c r="W960" s="162"/>
      <c r="X960" s="148"/>
      <c r="Y960" s="161"/>
      <c r="Z960" s="146" t="str">
        <f>IF(Y960&lt;&gt;"", SUMIF(Bets!$D:$D, Y960, Bets!AF:AF), "")</f>
        <v/>
      </c>
      <c r="AA960" s="162"/>
      <c r="AB960" s="148"/>
      <c r="AC960" s="161"/>
      <c r="AD960" s="146" t="str">
        <f>IF(AC960&lt;&gt;"", SUMIF(Bets!$D:$D, AC960, Bets!AG:AG), "")</f>
        <v/>
      </c>
      <c r="AE960" s="162"/>
      <c r="AF960" s="148"/>
    </row>
    <row r="961">
      <c r="A961" s="161"/>
      <c r="B961" s="146" t="str">
        <f>IF(A961&lt;&gt;"", SUMIF(Bets!$D:$D, A961, Bets!Z:Z), "")</f>
        <v/>
      </c>
      <c r="C961" s="162"/>
      <c r="D961" s="148"/>
      <c r="E961" s="161"/>
      <c r="F961" s="146" t="str">
        <f>IF(E961&lt;&gt;"", SUMIF(Bets!$D:$D, E961, Bets!AB:AB), "")</f>
        <v/>
      </c>
      <c r="G961" s="162"/>
      <c r="H961" s="148"/>
      <c r="I961" s="161"/>
      <c r="J961" s="146" t="str">
        <f>IF(I961&lt;&gt;"", SUMIF(Bets!$D:$D, I961, Bets!AA:AA), "")</f>
        <v/>
      </c>
      <c r="K961" s="162"/>
      <c r="L961" s="148"/>
      <c r="M961" s="161"/>
      <c r="N961" s="146"/>
      <c r="O961" s="162"/>
      <c r="P961" s="148"/>
      <c r="Q961" s="161"/>
      <c r="R961" s="146" t="str">
        <f>IF(Q961&lt;&gt;"", SUMIF(Bets!$D:$D, Q961, Bets!AD:AD), "")</f>
        <v/>
      </c>
      <c r="S961" s="162"/>
      <c r="T961" s="148"/>
      <c r="U961" s="161"/>
      <c r="V961" s="146" t="str">
        <f>IF(U961&lt;&gt;"", SUMIF(Bets!$D:$D, U961, Bets!AE:AE), "")</f>
        <v/>
      </c>
      <c r="W961" s="162"/>
      <c r="X961" s="148"/>
      <c r="Y961" s="161"/>
      <c r="Z961" s="146" t="str">
        <f>IF(Y961&lt;&gt;"", SUMIF(Bets!$D:$D, Y961, Bets!AF:AF), "")</f>
        <v/>
      </c>
      <c r="AA961" s="162"/>
      <c r="AB961" s="148"/>
      <c r="AC961" s="161"/>
      <c r="AD961" s="146" t="str">
        <f>IF(AC961&lt;&gt;"", SUMIF(Bets!$D:$D, AC961, Bets!AG:AG), "")</f>
        <v/>
      </c>
      <c r="AE961" s="162"/>
      <c r="AF961" s="148"/>
    </row>
    <row r="962">
      <c r="A962" s="161"/>
      <c r="B962" s="146" t="str">
        <f>IF(A962&lt;&gt;"", SUMIF(Bets!$D:$D, A962, Bets!Z:Z), "")</f>
        <v/>
      </c>
      <c r="C962" s="162"/>
      <c r="D962" s="148"/>
      <c r="E962" s="161"/>
      <c r="F962" s="146" t="str">
        <f>IF(E962&lt;&gt;"", SUMIF(Bets!$D:$D, E962, Bets!AB:AB), "")</f>
        <v/>
      </c>
      <c r="G962" s="162"/>
      <c r="H962" s="148"/>
      <c r="I962" s="161"/>
      <c r="J962" s="146" t="str">
        <f>IF(I962&lt;&gt;"", SUMIF(Bets!$D:$D, I962, Bets!AA:AA), "")</f>
        <v/>
      </c>
      <c r="K962" s="162"/>
      <c r="L962" s="148"/>
      <c r="M962" s="161"/>
      <c r="N962" s="146"/>
      <c r="O962" s="162"/>
      <c r="P962" s="148"/>
      <c r="Q962" s="161"/>
      <c r="R962" s="146" t="str">
        <f>IF(Q962&lt;&gt;"", SUMIF(Bets!$D:$D, Q962, Bets!AD:AD), "")</f>
        <v/>
      </c>
      <c r="S962" s="162"/>
      <c r="T962" s="148"/>
      <c r="U962" s="161"/>
      <c r="V962" s="146" t="str">
        <f>IF(U962&lt;&gt;"", SUMIF(Bets!$D:$D, U962, Bets!AE:AE), "")</f>
        <v/>
      </c>
      <c r="W962" s="162"/>
      <c r="X962" s="148"/>
      <c r="Y962" s="161"/>
      <c r="Z962" s="146" t="str">
        <f>IF(Y962&lt;&gt;"", SUMIF(Bets!$D:$D, Y962, Bets!AF:AF), "")</f>
        <v/>
      </c>
      <c r="AA962" s="162"/>
      <c r="AB962" s="148"/>
      <c r="AC962" s="161"/>
      <c r="AD962" s="146" t="str">
        <f>IF(AC962&lt;&gt;"", SUMIF(Bets!$D:$D, AC962, Bets!AG:AG), "")</f>
        <v/>
      </c>
      <c r="AE962" s="162"/>
      <c r="AF962" s="148"/>
    </row>
    <row r="963">
      <c r="A963" s="161"/>
      <c r="B963" s="146" t="str">
        <f>IF(A963&lt;&gt;"", SUMIF(Bets!$D:$D, A963, Bets!Z:Z), "")</f>
        <v/>
      </c>
      <c r="C963" s="162"/>
      <c r="D963" s="148"/>
      <c r="E963" s="161"/>
      <c r="F963" s="146" t="str">
        <f>IF(E963&lt;&gt;"", SUMIF(Bets!$D:$D, E963, Bets!AB:AB), "")</f>
        <v/>
      </c>
      <c r="G963" s="162"/>
      <c r="H963" s="148"/>
      <c r="I963" s="161"/>
      <c r="J963" s="146" t="str">
        <f>IF(I963&lt;&gt;"", SUMIF(Bets!$D:$D, I963, Bets!AA:AA), "")</f>
        <v/>
      </c>
      <c r="K963" s="162"/>
      <c r="L963" s="148"/>
      <c r="M963" s="161"/>
      <c r="N963" s="146"/>
      <c r="O963" s="162"/>
      <c r="P963" s="148"/>
      <c r="Q963" s="161"/>
      <c r="R963" s="146" t="str">
        <f>IF(Q963&lt;&gt;"", SUMIF(Bets!$D:$D, Q963, Bets!AD:AD), "")</f>
        <v/>
      </c>
      <c r="S963" s="162"/>
      <c r="T963" s="148"/>
      <c r="U963" s="161"/>
      <c r="V963" s="146" t="str">
        <f>IF(U963&lt;&gt;"", SUMIF(Bets!$D:$D, U963, Bets!AE:AE), "")</f>
        <v/>
      </c>
      <c r="W963" s="162"/>
      <c r="X963" s="148"/>
      <c r="Y963" s="161"/>
      <c r="Z963" s="146" t="str">
        <f>IF(Y963&lt;&gt;"", SUMIF(Bets!$D:$D, Y963, Bets!AF:AF), "")</f>
        <v/>
      </c>
      <c r="AA963" s="162"/>
      <c r="AB963" s="148"/>
      <c r="AC963" s="161"/>
      <c r="AD963" s="146" t="str">
        <f>IF(AC963&lt;&gt;"", SUMIF(Bets!$D:$D, AC963, Bets!AG:AG), "")</f>
        <v/>
      </c>
      <c r="AE963" s="162"/>
      <c r="AF963" s="148"/>
    </row>
    <row r="964">
      <c r="A964" s="161"/>
      <c r="B964" s="146" t="str">
        <f>IF(A964&lt;&gt;"", SUMIF(Bets!$D:$D, A964, Bets!Z:Z), "")</f>
        <v/>
      </c>
      <c r="C964" s="162"/>
      <c r="D964" s="148"/>
      <c r="E964" s="161"/>
      <c r="F964" s="146" t="str">
        <f>IF(E964&lt;&gt;"", SUMIF(Bets!$D:$D, E964, Bets!AB:AB), "")</f>
        <v/>
      </c>
      <c r="G964" s="162"/>
      <c r="H964" s="148"/>
      <c r="I964" s="161"/>
      <c r="J964" s="146" t="str">
        <f>IF(I964&lt;&gt;"", SUMIF(Bets!$D:$D, I964, Bets!AA:AA), "")</f>
        <v/>
      </c>
      <c r="K964" s="162"/>
      <c r="L964" s="148"/>
      <c r="M964" s="161"/>
      <c r="N964" s="146"/>
      <c r="O964" s="162"/>
      <c r="P964" s="148"/>
      <c r="Q964" s="161"/>
      <c r="R964" s="146" t="str">
        <f>IF(Q964&lt;&gt;"", SUMIF(Bets!$D:$D, Q964, Bets!AD:AD), "")</f>
        <v/>
      </c>
      <c r="S964" s="162"/>
      <c r="T964" s="148"/>
      <c r="U964" s="161"/>
      <c r="V964" s="146" t="str">
        <f>IF(U964&lt;&gt;"", SUMIF(Bets!$D:$D, U964, Bets!AE:AE), "")</f>
        <v/>
      </c>
      <c r="W964" s="162"/>
      <c r="X964" s="148"/>
      <c r="Y964" s="161"/>
      <c r="Z964" s="146" t="str">
        <f>IF(Y964&lt;&gt;"", SUMIF(Bets!$D:$D, Y964, Bets!AF:AF), "")</f>
        <v/>
      </c>
      <c r="AA964" s="162"/>
      <c r="AB964" s="148"/>
      <c r="AC964" s="161"/>
      <c r="AD964" s="146" t="str">
        <f>IF(AC964&lt;&gt;"", SUMIF(Bets!$D:$D, AC964, Bets!AG:AG), "")</f>
        <v/>
      </c>
      <c r="AE964" s="162"/>
      <c r="AF964" s="148"/>
    </row>
    <row r="965">
      <c r="A965" s="161"/>
      <c r="B965" s="146" t="str">
        <f>IF(A965&lt;&gt;"", SUMIF(Bets!$D:$D, A965, Bets!Z:Z), "")</f>
        <v/>
      </c>
      <c r="C965" s="162"/>
      <c r="D965" s="148"/>
      <c r="E965" s="161"/>
      <c r="F965" s="146" t="str">
        <f>IF(E965&lt;&gt;"", SUMIF(Bets!$D:$D, E965, Bets!AB:AB), "")</f>
        <v/>
      </c>
      <c r="G965" s="162"/>
      <c r="H965" s="148"/>
      <c r="I965" s="161"/>
      <c r="J965" s="146" t="str">
        <f>IF(I965&lt;&gt;"", SUMIF(Bets!$D:$D, I965, Bets!AA:AA), "")</f>
        <v/>
      </c>
      <c r="K965" s="162"/>
      <c r="L965" s="148"/>
      <c r="M965" s="161"/>
      <c r="N965" s="146"/>
      <c r="O965" s="162"/>
      <c r="P965" s="148"/>
      <c r="Q965" s="161"/>
      <c r="R965" s="146" t="str">
        <f>IF(Q965&lt;&gt;"", SUMIF(Bets!$D:$D, Q965, Bets!AD:AD), "")</f>
        <v/>
      </c>
      <c r="S965" s="162"/>
      <c r="T965" s="148"/>
      <c r="U965" s="161"/>
      <c r="V965" s="146" t="str">
        <f>IF(U965&lt;&gt;"", SUMIF(Bets!$D:$D, U965, Bets!AE:AE), "")</f>
        <v/>
      </c>
      <c r="W965" s="162"/>
      <c r="X965" s="148"/>
      <c r="Y965" s="161"/>
      <c r="Z965" s="146" t="str">
        <f>IF(Y965&lt;&gt;"", SUMIF(Bets!$D:$D, Y965, Bets!AF:AF), "")</f>
        <v/>
      </c>
      <c r="AA965" s="162"/>
      <c r="AB965" s="148"/>
      <c r="AC965" s="161"/>
      <c r="AD965" s="146" t="str">
        <f>IF(AC965&lt;&gt;"", SUMIF(Bets!$D:$D, AC965, Bets!AG:AG), "")</f>
        <v/>
      </c>
      <c r="AE965" s="162"/>
      <c r="AF965" s="148"/>
    </row>
    <row r="966">
      <c r="A966" s="161"/>
      <c r="B966" s="146" t="str">
        <f>IF(A966&lt;&gt;"", SUMIF(Bets!$D:$D, A966, Bets!Z:Z), "")</f>
        <v/>
      </c>
      <c r="C966" s="162"/>
      <c r="D966" s="148"/>
      <c r="E966" s="161"/>
      <c r="F966" s="146" t="str">
        <f>IF(E966&lt;&gt;"", SUMIF(Bets!$D:$D, E966, Bets!AB:AB), "")</f>
        <v/>
      </c>
      <c r="G966" s="162"/>
      <c r="H966" s="148"/>
      <c r="I966" s="161"/>
      <c r="J966" s="146" t="str">
        <f>IF(I966&lt;&gt;"", SUMIF(Bets!$D:$D, I966, Bets!AA:AA), "")</f>
        <v/>
      </c>
      <c r="K966" s="162"/>
      <c r="L966" s="148"/>
      <c r="M966" s="161"/>
      <c r="N966" s="146"/>
      <c r="O966" s="162"/>
      <c r="P966" s="148"/>
      <c r="Q966" s="161"/>
      <c r="R966" s="146" t="str">
        <f>IF(Q966&lt;&gt;"", SUMIF(Bets!$D:$D, Q966, Bets!AD:AD), "")</f>
        <v/>
      </c>
      <c r="S966" s="162"/>
      <c r="T966" s="148"/>
      <c r="U966" s="161"/>
      <c r="V966" s="146" t="str">
        <f>IF(U966&lt;&gt;"", SUMIF(Bets!$D:$D, U966, Bets!AE:AE), "")</f>
        <v/>
      </c>
      <c r="W966" s="162"/>
      <c r="X966" s="148"/>
      <c r="Y966" s="161"/>
      <c r="Z966" s="146" t="str">
        <f>IF(Y966&lt;&gt;"", SUMIF(Bets!$D:$D, Y966, Bets!AF:AF), "")</f>
        <v/>
      </c>
      <c r="AA966" s="162"/>
      <c r="AB966" s="148"/>
      <c r="AC966" s="161"/>
      <c r="AD966" s="146" t="str">
        <f>IF(AC966&lt;&gt;"", SUMIF(Bets!$D:$D, AC966, Bets!AG:AG), "")</f>
        <v/>
      </c>
      <c r="AE966" s="162"/>
      <c r="AF966" s="148"/>
    </row>
    <row r="967">
      <c r="A967" s="161"/>
      <c r="B967" s="146" t="str">
        <f>IF(A967&lt;&gt;"", SUMIF(Bets!$D:$D, A967, Bets!Z:Z), "")</f>
        <v/>
      </c>
      <c r="C967" s="162"/>
      <c r="D967" s="148"/>
      <c r="E967" s="161"/>
      <c r="F967" s="146" t="str">
        <f>IF(E967&lt;&gt;"", SUMIF(Bets!$D:$D, E967, Bets!AB:AB), "")</f>
        <v/>
      </c>
      <c r="G967" s="162"/>
      <c r="H967" s="148"/>
      <c r="I967" s="161"/>
      <c r="J967" s="146" t="str">
        <f>IF(I967&lt;&gt;"", SUMIF(Bets!$D:$D, I967, Bets!AA:AA), "")</f>
        <v/>
      </c>
      <c r="K967" s="162"/>
      <c r="L967" s="148"/>
      <c r="M967" s="161"/>
      <c r="N967" s="146"/>
      <c r="O967" s="162"/>
      <c r="P967" s="148"/>
      <c r="Q967" s="161"/>
      <c r="R967" s="146" t="str">
        <f>IF(Q967&lt;&gt;"", SUMIF(Bets!$D:$D, Q967, Bets!AD:AD), "")</f>
        <v/>
      </c>
      <c r="S967" s="162"/>
      <c r="T967" s="148"/>
      <c r="U967" s="161"/>
      <c r="V967" s="146" t="str">
        <f>IF(U967&lt;&gt;"", SUMIF(Bets!$D:$D, U967, Bets!AE:AE), "")</f>
        <v/>
      </c>
      <c r="W967" s="162"/>
      <c r="X967" s="148"/>
      <c r="Y967" s="161"/>
      <c r="Z967" s="146" t="str">
        <f>IF(Y967&lt;&gt;"", SUMIF(Bets!$D:$D, Y967, Bets!AF:AF), "")</f>
        <v/>
      </c>
      <c r="AA967" s="162"/>
      <c r="AB967" s="148"/>
      <c r="AC967" s="161"/>
      <c r="AD967" s="146" t="str">
        <f>IF(AC967&lt;&gt;"", SUMIF(Bets!$D:$D, AC967, Bets!AG:AG), "")</f>
        <v/>
      </c>
      <c r="AE967" s="162"/>
      <c r="AF967" s="148"/>
    </row>
    <row r="968">
      <c r="A968" s="161"/>
      <c r="B968" s="146" t="str">
        <f>IF(A968&lt;&gt;"", SUMIF(Bets!$D:$D, A968, Bets!Z:Z), "")</f>
        <v/>
      </c>
      <c r="C968" s="162"/>
      <c r="D968" s="148"/>
      <c r="E968" s="161"/>
      <c r="F968" s="146" t="str">
        <f>IF(E968&lt;&gt;"", SUMIF(Bets!$D:$D, E968, Bets!AB:AB), "")</f>
        <v/>
      </c>
      <c r="G968" s="162"/>
      <c r="H968" s="148"/>
      <c r="I968" s="161"/>
      <c r="J968" s="146" t="str">
        <f>IF(I968&lt;&gt;"", SUMIF(Bets!$D:$D, I968, Bets!AA:AA), "")</f>
        <v/>
      </c>
      <c r="K968" s="162"/>
      <c r="L968" s="148"/>
      <c r="M968" s="161"/>
      <c r="N968" s="146"/>
      <c r="O968" s="162"/>
      <c r="P968" s="148"/>
      <c r="Q968" s="161"/>
      <c r="R968" s="146" t="str">
        <f>IF(Q968&lt;&gt;"", SUMIF(Bets!$D:$D, Q968, Bets!AD:AD), "")</f>
        <v/>
      </c>
      <c r="S968" s="162"/>
      <c r="T968" s="148"/>
      <c r="U968" s="161"/>
      <c r="V968" s="146" t="str">
        <f>IF(U968&lt;&gt;"", SUMIF(Bets!$D:$D, U968, Bets!AE:AE), "")</f>
        <v/>
      </c>
      <c r="W968" s="162"/>
      <c r="X968" s="148"/>
      <c r="Y968" s="161"/>
      <c r="Z968" s="146" t="str">
        <f>IF(Y968&lt;&gt;"", SUMIF(Bets!$D:$D, Y968, Bets!AF:AF), "")</f>
        <v/>
      </c>
      <c r="AA968" s="162"/>
      <c r="AB968" s="148"/>
      <c r="AC968" s="161"/>
      <c r="AD968" s="146" t="str">
        <f>IF(AC968&lt;&gt;"", SUMIF(Bets!$D:$D, AC968, Bets!AG:AG), "")</f>
        <v/>
      </c>
      <c r="AE968" s="162"/>
      <c r="AF968" s="148"/>
    </row>
    <row r="969">
      <c r="A969" s="161"/>
      <c r="B969" s="146" t="str">
        <f>IF(A969&lt;&gt;"", SUMIF(Bets!$D:$D, A969, Bets!Z:Z), "")</f>
        <v/>
      </c>
      <c r="C969" s="162"/>
      <c r="D969" s="148"/>
      <c r="E969" s="161"/>
      <c r="F969" s="146" t="str">
        <f>IF(E969&lt;&gt;"", SUMIF(Bets!$D:$D, E969, Bets!AB:AB), "")</f>
        <v/>
      </c>
      <c r="G969" s="162"/>
      <c r="H969" s="148"/>
      <c r="I969" s="161"/>
      <c r="J969" s="146" t="str">
        <f>IF(I969&lt;&gt;"", SUMIF(Bets!$D:$D, I969, Bets!AA:AA), "")</f>
        <v/>
      </c>
      <c r="K969" s="162"/>
      <c r="L969" s="148"/>
      <c r="M969" s="161"/>
      <c r="N969" s="146"/>
      <c r="O969" s="162"/>
      <c r="P969" s="148"/>
      <c r="Q969" s="161"/>
      <c r="R969" s="146" t="str">
        <f>IF(Q969&lt;&gt;"", SUMIF(Bets!$D:$D, Q969, Bets!AD:AD), "")</f>
        <v/>
      </c>
      <c r="S969" s="162"/>
      <c r="T969" s="148"/>
      <c r="U969" s="161"/>
      <c r="V969" s="146" t="str">
        <f>IF(U969&lt;&gt;"", SUMIF(Bets!$D:$D, U969, Bets!AE:AE), "")</f>
        <v/>
      </c>
      <c r="W969" s="162"/>
      <c r="X969" s="148"/>
      <c r="Y969" s="161"/>
      <c r="Z969" s="146" t="str">
        <f>IF(Y969&lt;&gt;"", SUMIF(Bets!$D:$D, Y969, Bets!AF:AF), "")</f>
        <v/>
      </c>
      <c r="AA969" s="162"/>
      <c r="AB969" s="148"/>
      <c r="AC969" s="161"/>
      <c r="AD969" s="146" t="str">
        <f>IF(AC969&lt;&gt;"", SUMIF(Bets!$D:$D, AC969, Bets!AG:AG), "")</f>
        <v/>
      </c>
      <c r="AE969" s="162"/>
      <c r="AF969" s="148"/>
    </row>
    <row r="970">
      <c r="A970" s="161"/>
      <c r="B970" s="146" t="str">
        <f>IF(A970&lt;&gt;"", SUMIF(Bets!$D:$D, A970, Bets!Z:Z), "")</f>
        <v/>
      </c>
      <c r="C970" s="162"/>
      <c r="D970" s="148"/>
      <c r="E970" s="161"/>
      <c r="F970" s="146" t="str">
        <f>IF(E970&lt;&gt;"", SUMIF(Bets!$D:$D, E970, Bets!AB:AB), "")</f>
        <v/>
      </c>
      <c r="G970" s="162"/>
      <c r="H970" s="148"/>
      <c r="I970" s="161"/>
      <c r="J970" s="146" t="str">
        <f>IF(I970&lt;&gt;"", SUMIF(Bets!$D:$D, I970, Bets!AA:AA), "")</f>
        <v/>
      </c>
      <c r="K970" s="162"/>
      <c r="L970" s="148"/>
      <c r="M970" s="161"/>
      <c r="N970" s="146"/>
      <c r="O970" s="162"/>
      <c r="P970" s="148"/>
      <c r="Q970" s="161"/>
      <c r="R970" s="146" t="str">
        <f>IF(Q970&lt;&gt;"", SUMIF(Bets!$D:$D, Q970, Bets!AD:AD), "")</f>
        <v/>
      </c>
      <c r="S970" s="162"/>
      <c r="T970" s="148"/>
      <c r="U970" s="161"/>
      <c r="V970" s="146" t="str">
        <f>IF(U970&lt;&gt;"", SUMIF(Bets!$D:$D, U970, Bets!AE:AE), "")</f>
        <v/>
      </c>
      <c r="W970" s="162"/>
      <c r="X970" s="148"/>
      <c r="Y970" s="161"/>
      <c r="Z970" s="146" t="str">
        <f>IF(Y970&lt;&gt;"", SUMIF(Bets!$D:$D, Y970, Bets!AF:AF), "")</f>
        <v/>
      </c>
      <c r="AA970" s="162"/>
      <c r="AB970" s="148"/>
      <c r="AC970" s="161"/>
      <c r="AD970" s="146" t="str">
        <f>IF(AC970&lt;&gt;"", SUMIF(Bets!$D:$D, AC970, Bets!AG:AG), "")</f>
        <v/>
      </c>
      <c r="AE970" s="162"/>
      <c r="AF970" s="148"/>
    </row>
    <row r="971">
      <c r="A971" s="161"/>
      <c r="B971" s="146" t="str">
        <f>IF(A971&lt;&gt;"", SUMIF(Bets!$D:$D, A971, Bets!Z:Z), "")</f>
        <v/>
      </c>
      <c r="C971" s="162"/>
      <c r="D971" s="148"/>
      <c r="E971" s="161"/>
      <c r="F971" s="146" t="str">
        <f>IF(E971&lt;&gt;"", SUMIF(Bets!$D:$D, E971, Bets!AB:AB), "")</f>
        <v/>
      </c>
      <c r="G971" s="162"/>
      <c r="H971" s="148"/>
      <c r="I971" s="161"/>
      <c r="J971" s="146" t="str">
        <f>IF(I971&lt;&gt;"", SUMIF(Bets!$D:$D, I971, Bets!AA:AA), "")</f>
        <v/>
      </c>
      <c r="K971" s="162"/>
      <c r="L971" s="148"/>
      <c r="M971" s="161"/>
      <c r="N971" s="146"/>
      <c r="O971" s="162"/>
      <c r="P971" s="148"/>
      <c r="Q971" s="161"/>
      <c r="R971" s="146" t="str">
        <f>IF(Q971&lt;&gt;"", SUMIF(Bets!$D:$D, Q971, Bets!AD:AD), "")</f>
        <v/>
      </c>
      <c r="S971" s="162"/>
      <c r="T971" s="148"/>
      <c r="U971" s="161"/>
      <c r="V971" s="146" t="str">
        <f>IF(U971&lt;&gt;"", SUMIF(Bets!$D:$D, U971, Bets!AE:AE), "")</f>
        <v/>
      </c>
      <c r="W971" s="162"/>
      <c r="X971" s="148"/>
      <c r="Y971" s="161"/>
      <c r="Z971" s="146" t="str">
        <f>IF(Y971&lt;&gt;"", SUMIF(Bets!$D:$D, Y971, Bets!AF:AF), "")</f>
        <v/>
      </c>
      <c r="AA971" s="162"/>
      <c r="AB971" s="148"/>
      <c r="AC971" s="161"/>
      <c r="AD971" s="146" t="str">
        <f>IF(AC971&lt;&gt;"", SUMIF(Bets!$D:$D, AC971, Bets!AG:AG), "")</f>
        <v/>
      </c>
      <c r="AE971" s="162"/>
      <c r="AF971" s="148"/>
    </row>
    <row r="972">
      <c r="A972" s="161"/>
      <c r="B972" s="146" t="str">
        <f>IF(A972&lt;&gt;"", SUMIF(Bets!$D:$D, A972, Bets!Z:Z), "")</f>
        <v/>
      </c>
      <c r="C972" s="162"/>
      <c r="D972" s="148"/>
      <c r="E972" s="161"/>
      <c r="F972" s="146" t="str">
        <f>IF(E972&lt;&gt;"", SUMIF(Bets!$D:$D, E972, Bets!AB:AB), "")</f>
        <v/>
      </c>
      <c r="G972" s="162"/>
      <c r="H972" s="148"/>
      <c r="I972" s="161"/>
      <c r="J972" s="146" t="str">
        <f>IF(I972&lt;&gt;"", SUMIF(Bets!$D:$D, I972, Bets!AA:AA), "")</f>
        <v/>
      </c>
      <c r="K972" s="162"/>
      <c r="L972" s="148"/>
      <c r="M972" s="161"/>
      <c r="N972" s="146"/>
      <c r="O972" s="162"/>
      <c r="P972" s="148"/>
      <c r="Q972" s="161"/>
      <c r="R972" s="146" t="str">
        <f>IF(Q972&lt;&gt;"", SUMIF(Bets!$D:$D, Q972, Bets!AD:AD), "")</f>
        <v/>
      </c>
      <c r="S972" s="162"/>
      <c r="T972" s="148"/>
      <c r="U972" s="161"/>
      <c r="V972" s="146" t="str">
        <f>IF(U972&lt;&gt;"", SUMIF(Bets!$D:$D, U972, Bets!AE:AE), "")</f>
        <v/>
      </c>
      <c r="W972" s="162"/>
      <c r="X972" s="148"/>
      <c r="Y972" s="161"/>
      <c r="Z972" s="146" t="str">
        <f>IF(Y972&lt;&gt;"", SUMIF(Bets!$D:$D, Y972, Bets!AF:AF), "")</f>
        <v/>
      </c>
      <c r="AA972" s="162"/>
      <c r="AB972" s="148"/>
      <c r="AC972" s="161"/>
      <c r="AD972" s="146" t="str">
        <f>IF(AC972&lt;&gt;"", SUMIF(Bets!$D:$D, AC972, Bets!AG:AG), "")</f>
        <v/>
      </c>
      <c r="AE972" s="162"/>
      <c r="AF972" s="148"/>
    </row>
    <row r="973">
      <c r="A973" s="161"/>
      <c r="B973" s="146" t="str">
        <f>IF(A973&lt;&gt;"", SUMIF(Bets!$D:$D, A973, Bets!Z:Z), "")</f>
        <v/>
      </c>
      <c r="C973" s="162"/>
      <c r="D973" s="148"/>
      <c r="E973" s="161"/>
      <c r="F973" s="146" t="str">
        <f>IF(E973&lt;&gt;"", SUMIF(Bets!$D:$D, E973, Bets!AB:AB), "")</f>
        <v/>
      </c>
      <c r="G973" s="162"/>
      <c r="H973" s="148"/>
      <c r="I973" s="161"/>
      <c r="J973" s="146" t="str">
        <f>IF(I973&lt;&gt;"", SUMIF(Bets!$D:$D, I973, Bets!AA:AA), "")</f>
        <v/>
      </c>
      <c r="K973" s="162"/>
      <c r="L973" s="148"/>
      <c r="M973" s="161"/>
      <c r="N973" s="146"/>
      <c r="O973" s="162"/>
      <c r="P973" s="148"/>
      <c r="Q973" s="161"/>
      <c r="R973" s="146" t="str">
        <f>IF(Q973&lt;&gt;"", SUMIF(Bets!$D:$D, Q973, Bets!AD:AD), "")</f>
        <v/>
      </c>
      <c r="S973" s="162"/>
      <c r="T973" s="148"/>
      <c r="U973" s="161"/>
      <c r="V973" s="146" t="str">
        <f>IF(U973&lt;&gt;"", SUMIF(Bets!$D:$D, U973, Bets!AE:AE), "")</f>
        <v/>
      </c>
      <c r="W973" s="162"/>
      <c r="X973" s="148"/>
      <c r="Y973" s="161"/>
      <c r="Z973" s="146" t="str">
        <f>IF(Y973&lt;&gt;"", SUMIF(Bets!$D:$D, Y973, Bets!AF:AF), "")</f>
        <v/>
      </c>
      <c r="AA973" s="162"/>
      <c r="AB973" s="148"/>
      <c r="AC973" s="161"/>
      <c r="AD973" s="146" t="str">
        <f>IF(AC973&lt;&gt;"", SUMIF(Bets!$D:$D, AC973, Bets!AG:AG), "")</f>
        <v/>
      </c>
      <c r="AE973" s="162"/>
      <c r="AF973" s="148"/>
    </row>
    <row r="974">
      <c r="A974" s="161"/>
      <c r="B974" s="146" t="str">
        <f>IF(A974&lt;&gt;"", SUMIF(Bets!$D:$D, A974, Bets!Z:Z), "")</f>
        <v/>
      </c>
      <c r="C974" s="162"/>
      <c r="D974" s="148"/>
      <c r="E974" s="161"/>
      <c r="F974" s="146" t="str">
        <f>IF(E974&lt;&gt;"", SUMIF(Bets!$D:$D, E974, Bets!AB:AB), "")</f>
        <v/>
      </c>
      <c r="G974" s="162"/>
      <c r="H974" s="148"/>
      <c r="I974" s="161"/>
      <c r="J974" s="146" t="str">
        <f>IF(I974&lt;&gt;"", SUMIF(Bets!$D:$D, I974, Bets!AA:AA), "")</f>
        <v/>
      </c>
      <c r="K974" s="162"/>
      <c r="L974" s="148"/>
      <c r="M974" s="161"/>
      <c r="N974" s="146"/>
      <c r="O974" s="162"/>
      <c r="P974" s="148"/>
      <c r="Q974" s="161"/>
      <c r="R974" s="146" t="str">
        <f>IF(Q974&lt;&gt;"", SUMIF(Bets!$D:$D, Q974, Bets!AD:AD), "")</f>
        <v/>
      </c>
      <c r="S974" s="162"/>
      <c r="T974" s="148"/>
      <c r="U974" s="161"/>
      <c r="V974" s="146" t="str">
        <f>IF(U974&lt;&gt;"", SUMIF(Bets!$D:$D, U974, Bets!AE:AE), "")</f>
        <v/>
      </c>
      <c r="W974" s="162"/>
      <c r="X974" s="148"/>
      <c r="Y974" s="161"/>
      <c r="Z974" s="146" t="str">
        <f>IF(Y974&lt;&gt;"", SUMIF(Bets!$D:$D, Y974, Bets!AF:AF), "")</f>
        <v/>
      </c>
      <c r="AA974" s="162"/>
      <c r="AB974" s="148"/>
      <c r="AC974" s="161"/>
      <c r="AD974" s="146" t="str">
        <f>IF(AC974&lt;&gt;"", SUMIF(Bets!$D:$D, AC974, Bets!AG:AG), "")</f>
        <v/>
      </c>
      <c r="AE974" s="162"/>
      <c r="AF974" s="148"/>
    </row>
    <row r="975">
      <c r="A975" s="161"/>
      <c r="B975" s="146" t="str">
        <f>IF(A975&lt;&gt;"", SUMIF(Bets!$D:$D, A975, Bets!Z:Z), "")</f>
        <v/>
      </c>
      <c r="C975" s="162"/>
      <c r="D975" s="148"/>
      <c r="E975" s="161"/>
      <c r="F975" s="146" t="str">
        <f>IF(E975&lt;&gt;"", SUMIF(Bets!$D:$D, E975, Bets!AB:AB), "")</f>
        <v/>
      </c>
      <c r="G975" s="162"/>
      <c r="H975" s="148"/>
      <c r="I975" s="161"/>
      <c r="J975" s="146" t="str">
        <f>IF(I975&lt;&gt;"", SUMIF(Bets!$D:$D, I975, Bets!AA:AA), "")</f>
        <v/>
      </c>
      <c r="K975" s="162"/>
      <c r="L975" s="148"/>
      <c r="M975" s="161"/>
      <c r="N975" s="146"/>
      <c r="O975" s="162"/>
      <c r="P975" s="148"/>
      <c r="Q975" s="161"/>
      <c r="R975" s="146" t="str">
        <f>IF(Q975&lt;&gt;"", SUMIF(Bets!$D:$D, Q975, Bets!AD:AD), "")</f>
        <v/>
      </c>
      <c r="S975" s="162"/>
      <c r="T975" s="148"/>
      <c r="U975" s="161"/>
      <c r="V975" s="146" t="str">
        <f>IF(U975&lt;&gt;"", SUMIF(Bets!$D:$D, U975, Bets!AE:AE), "")</f>
        <v/>
      </c>
      <c r="W975" s="162"/>
      <c r="X975" s="148"/>
      <c r="Y975" s="161"/>
      <c r="Z975" s="146" t="str">
        <f>IF(Y975&lt;&gt;"", SUMIF(Bets!$D:$D, Y975, Bets!AF:AF), "")</f>
        <v/>
      </c>
      <c r="AA975" s="162"/>
      <c r="AB975" s="148"/>
      <c r="AC975" s="161"/>
      <c r="AD975" s="146" t="str">
        <f>IF(AC975&lt;&gt;"", SUMIF(Bets!$D:$D, AC975, Bets!AG:AG), "")</f>
        <v/>
      </c>
      <c r="AE975" s="162"/>
      <c r="AF975" s="148"/>
    </row>
    <row r="976">
      <c r="A976" s="161"/>
      <c r="B976" s="146" t="str">
        <f>IF(A976&lt;&gt;"", SUMIF(Bets!$D:$D, A976, Bets!Z:Z), "")</f>
        <v/>
      </c>
      <c r="C976" s="162"/>
      <c r="D976" s="148"/>
      <c r="E976" s="161"/>
      <c r="F976" s="146" t="str">
        <f>IF(E976&lt;&gt;"", SUMIF(Bets!$D:$D, E976, Bets!AB:AB), "")</f>
        <v/>
      </c>
      <c r="G976" s="162"/>
      <c r="H976" s="148"/>
      <c r="I976" s="161"/>
      <c r="J976" s="146" t="str">
        <f>IF(I976&lt;&gt;"", SUMIF(Bets!$D:$D, I976, Bets!AA:AA), "")</f>
        <v/>
      </c>
      <c r="K976" s="162"/>
      <c r="L976" s="148"/>
      <c r="M976" s="161"/>
      <c r="N976" s="146"/>
      <c r="O976" s="162"/>
      <c r="P976" s="148"/>
      <c r="Q976" s="161"/>
      <c r="R976" s="146" t="str">
        <f>IF(Q976&lt;&gt;"", SUMIF(Bets!$D:$D, Q976, Bets!AD:AD), "")</f>
        <v/>
      </c>
      <c r="S976" s="162"/>
      <c r="T976" s="148"/>
      <c r="U976" s="161"/>
      <c r="V976" s="146" t="str">
        <f>IF(U976&lt;&gt;"", SUMIF(Bets!$D:$D, U976, Bets!AE:AE), "")</f>
        <v/>
      </c>
      <c r="W976" s="162"/>
      <c r="X976" s="148"/>
      <c r="Y976" s="161"/>
      <c r="Z976" s="146" t="str">
        <f>IF(Y976&lt;&gt;"", SUMIF(Bets!$D:$D, Y976, Bets!AF:AF), "")</f>
        <v/>
      </c>
      <c r="AA976" s="162"/>
      <c r="AB976" s="148"/>
      <c r="AC976" s="161"/>
      <c r="AD976" s="146" t="str">
        <f>IF(AC976&lt;&gt;"", SUMIF(Bets!$D:$D, AC976, Bets!AG:AG), "")</f>
        <v/>
      </c>
      <c r="AE976" s="162"/>
      <c r="AF976" s="148"/>
    </row>
    <row r="977">
      <c r="A977" s="161"/>
      <c r="B977" s="146" t="str">
        <f>IF(A977&lt;&gt;"", SUMIF(Bets!$D:$D, A977, Bets!Z:Z), "")</f>
        <v/>
      </c>
      <c r="C977" s="162"/>
      <c r="D977" s="148"/>
      <c r="E977" s="161"/>
      <c r="F977" s="146" t="str">
        <f>IF(E977&lt;&gt;"", SUMIF(Bets!$D:$D, E977, Bets!AB:AB), "")</f>
        <v/>
      </c>
      <c r="G977" s="162"/>
      <c r="H977" s="148"/>
      <c r="I977" s="161"/>
      <c r="J977" s="146" t="str">
        <f>IF(I977&lt;&gt;"", SUMIF(Bets!$D:$D, I977, Bets!AA:AA), "")</f>
        <v/>
      </c>
      <c r="K977" s="162"/>
      <c r="L977" s="148"/>
      <c r="M977" s="161"/>
      <c r="N977" s="146"/>
      <c r="O977" s="162"/>
      <c r="P977" s="148"/>
      <c r="Q977" s="161"/>
      <c r="R977" s="146" t="str">
        <f>IF(Q977&lt;&gt;"", SUMIF(Bets!$D:$D, Q977, Bets!AD:AD), "")</f>
        <v/>
      </c>
      <c r="S977" s="162"/>
      <c r="T977" s="148"/>
      <c r="U977" s="161"/>
      <c r="V977" s="146" t="str">
        <f>IF(U977&lt;&gt;"", SUMIF(Bets!$D:$D, U977, Bets!AE:AE), "")</f>
        <v/>
      </c>
      <c r="W977" s="162"/>
      <c r="X977" s="148"/>
      <c r="Y977" s="161"/>
      <c r="Z977" s="146" t="str">
        <f>IF(Y977&lt;&gt;"", SUMIF(Bets!$D:$D, Y977, Bets!AF:AF), "")</f>
        <v/>
      </c>
      <c r="AA977" s="162"/>
      <c r="AB977" s="148"/>
      <c r="AC977" s="161"/>
      <c r="AD977" s="146" t="str">
        <f>IF(AC977&lt;&gt;"", SUMIF(Bets!$D:$D, AC977, Bets!AG:AG), "")</f>
        <v/>
      </c>
      <c r="AE977" s="162"/>
      <c r="AF977" s="148"/>
    </row>
    <row r="978">
      <c r="A978" s="161"/>
      <c r="B978" s="146" t="str">
        <f>IF(A978&lt;&gt;"", SUMIF(Bets!$D:$D, A978, Bets!Z:Z), "")</f>
        <v/>
      </c>
      <c r="C978" s="162"/>
      <c r="D978" s="148"/>
      <c r="E978" s="161"/>
      <c r="F978" s="146" t="str">
        <f>IF(E978&lt;&gt;"", SUMIF(Bets!$D:$D, E978, Bets!AB:AB), "")</f>
        <v/>
      </c>
      <c r="G978" s="162"/>
      <c r="H978" s="148"/>
      <c r="I978" s="161"/>
      <c r="J978" s="146" t="str">
        <f>IF(I978&lt;&gt;"", SUMIF(Bets!$D:$D, I978, Bets!AA:AA), "")</f>
        <v/>
      </c>
      <c r="K978" s="162"/>
      <c r="L978" s="148"/>
      <c r="M978" s="161"/>
      <c r="N978" s="146"/>
      <c r="O978" s="162"/>
      <c r="P978" s="148"/>
      <c r="Q978" s="161"/>
      <c r="R978" s="146" t="str">
        <f>IF(Q978&lt;&gt;"", SUMIF(Bets!$D:$D, Q978, Bets!AD:AD), "")</f>
        <v/>
      </c>
      <c r="S978" s="162"/>
      <c r="T978" s="148"/>
      <c r="U978" s="161"/>
      <c r="V978" s="146" t="str">
        <f>IF(U978&lt;&gt;"", SUMIF(Bets!$D:$D, U978, Bets!AE:AE), "")</f>
        <v/>
      </c>
      <c r="W978" s="162"/>
      <c r="X978" s="148"/>
      <c r="Y978" s="161"/>
      <c r="Z978" s="146" t="str">
        <f>IF(Y978&lt;&gt;"", SUMIF(Bets!$D:$D, Y978, Bets!AF:AF), "")</f>
        <v/>
      </c>
      <c r="AA978" s="162"/>
      <c r="AB978" s="148"/>
      <c r="AC978" s="161"/>
      <c r="AD978" s="146" t="str">
        <f>IF(AC978&lt;&gt;"", SUMIF(Bets!$D:$D, AC978, Bets!AG:AG), "")</f>
        <v/>
      </c>
      <c r="AE978" s="162"/>
      <c r="AF978" s="148"/>
    </row>
    <row r="979">
      <c r="A979" s="161"/>
      <c r="B979" s="146" t="str">
        <f>IF(A979&lt;&gt;"", SUMIF(Bets!$D:$D, A979, Bets!Z:Z), "")</f>
        <v/>
      </c>
      <c r="C979" s="162"/>
      <c r="D979" s="148"/>
      <c r="E979" s="161"/>
      <c r="F979" s="146" t="str">
        <f>IF(E979&lt;&gt;"", SUMIF(Bets!$D:$D, E979, Bets!AB:AB), "")</f>
        <v/>
      </c>
      <c r="G979" s="162"/>
      <c r="H979" s="148"/>
      <c r="I979" s="161"/>
      <c r="J979" s="146" t="str">
        <f>IF(I979&lt;&gt;"", SUMIF(Bets!$D:$D, I979, Bets!AA:AA), "")</f>
        <v/>
      </c>
      <c r="K979" s="162"/>
      <c r="L979" s="148"/>
      <c r="M979" s="161"/>
      <c r="N979" s="146"/>
      <c r="O979" s="162"/>
      <c r="P979" s="148"/>
      <c r="Q979" s="161"/>
      <c r="R979" s="146" t="str">
        <f>IF(Q979&lt;&gt;"", SUMIF(Bets!$D:$D, Q979, Bets!AD:AD), "")</f>
        <v/>
      </c>
      <c r="S979" s="162"/>
      <c r="T979" s="148"/>
      <c r="U979" s="161"/>
      <c r="V979" s="146" t="str">
        <f>IF(U979&lt;&gt;"", SUMIF(Bets!$D:$D, U979, Bets!AE:AE), "")</f>
        <v/>
      </c>
      <c r="W979" s="162"/>
      <c r="X979" s="148"/>
      <c r="Y979" s="161"/>
      <c r="Z979" s="146" t="str">
        <f>IF(Y979&lt;&gt;"", SUMIF(Bets!$D:$D, Y979, Bets!AF:AF), "")</f>
        <v/>
      </c>
      <c r="AA979" s="162"/>
      <c r="AB979" s="148"/>
      <c r="AC979" s="161"/>
      <c r="AD979" s="146" t="str">
        <f>IF(AC979&lt;&gt;"", SUMIF(Bets!$D:$D, AC979, Bets!AG:AG), "")</f>
        <v/>
      </c>
      <c r="AE979" s="162"/>
      <c r="AF979" s="148"/>
    </row>
    <row r="980">
      <c r="A980" s="161"/>
      <c r="B980" s="146" t="str">
        <f>IF(A980&lt;&gt;"", SUMIF(Bets!$D:$D, A980, Bets!Z:Z), "")</f>
        <v/>
      </c>
      <c r="C980" s="162"/>
      <c r="D980" s="148"/>
      <c r="E980" s="161"/>
      <c r="F980" s="146" t="str">
        <f>IF(E980&lt;&gt;"", SUMIF(Bets!$D:$D, E980, Bets!AB:AB), "")</f>
        <v/>
      </c>
      <c r="G980" s="162"/>
      <c r="H980" s="148"/>
      <c r="I980" s="161"/>
      <c r="J980" s="146" t="str">
        <f>IF(I980&lt;&gt;"", SUMIF(Bets!$D:$D, I980, Bets!AA:AA), "")</f>
        <v/>
      </c>
      <c r="K980" s="162"/>
      <c r="L980" s="148"/>
      <c r="M980" s="161"/>
      <c r="N980" s="146"/>
      <c r="O980" s="162"/>
      <c r="P980" s="148"/>
      <c r="Q980" s="161"/>
      <c r="R980" s="146" t="str">
        <f>IF(Q980&lt;&gt;"", SUMIF(Bets!$D:$D, Q980, Bets!AD:AD), "")</f>
        <v/>
      </c>
      <c r="S980" s="162"/>
      <c r="T980" s="148"/>
      <c r="U980" s="161"/>
      <c r="V980" s="146" t="str">
        <f>IF(U980&lt;&gt;"", SUMIF(Bets!$D:$D, U980, Bets!AE:AE), "")</f>
        <v/>
      </c>
      <c r="W980" s="162"/>
      <c r="X980" s="148"/>
      <c r="Y980" s="161"/>
      <c r="Z980" s="146" t="str">
        <f>IF(Y980&lt;&gt;"", SUMIF(Bets!$D:$D, Y980, Bets!AF:AF), "")</f>
        <v/>
      </c>
      <c r="AA980" s="162"/>
      <c r="AB980" s="148"/>
      <c r="AC980" s="161"/>
      <c r="AD980" s="146" t="str">
        <f>IF(AC980&lt;&gt;"", SUMIF(Bets!$D:$D, AC980, Bets!AG:AG), "")</f>
        <v/>
      </c>
      <c r="AE980" s="162"/>
      <c r="AF980" s="148"/>
    </row>
    <row r="981">
      <c r="A981" s="161"/>
      <c r="B981" s="146" t="str">
        <f>IF(A981&lt;&gt;"", SUMIF(Bets!$D:$D, A981, Bets!Z:Z), "")</f>
        <v/>
      </c>
      <c r="C981" s="162"/>
      <c r="D981" s="148"/>
      <c r="E981" s="161"/>
      <c r="F981" s="146" t="str">
        <f>IF(E981&lt;&gt;"", SUMIF(Bets!$D:$D, E981, Bets!AB:AB), "")</f>
        <v/>
      </c>
      <c r="G981" s="162"/>
      <c r="H981" s="148"/>
      <c r="I981" s="161"/>
      <c r="J981" s="146" t="str">
        <f>IF(I981&lt;&gt;"", SUMIF(Bets!$D:$D, I981, Bets!AA:AA), "")</f>
        <v/>
      </c>
      <c r="K981" s="162"/>
      <c r="L981" s="148"/>
      <c r="M981" s="161"/>
      <c r="N981" s="146"/>
      <c r="O981" s="162"/>
      <c r="P981" s="148"/>
      <c r="Q981" s="161"/>
      <c r="R981" s="146" t="str">
        <f>IF(Q981&lt;&gt;"", SUMIF(Bets!$D:$D, Q981, Bets!AD:AD), "")</f>
        <v/>
      </c>
      <c r="S981" s="162"/>
      <c r="T981" s="148"/>
      <c r="U981" s="161"/>
      <c r="V981" s="146" t="str">
        <f>IF(U981&lt;&gt;"", SUMIF(Bets!$D:$D, U981, Bets!AE:AE), "")</f>
        <v/>
      </c>
      <c r="W981" s="162"/>
      <c r="X981" s="148"/>
      <c r="Y981" s="161"/>
      <c r="Z981" s="146" t="str">
        <f>IF(Y981&lt;&gt;"", SUMIF(Bets!$D:$D, Y981, Bets!AF:AF), "")</f>
        <v/>
      </c>
      <c r="AA981" s="162"/>
      <c r="AB981" s="148"/>
      <c r="AC981" s="161"/>
      <c r="AD981" s="146" t="str">
        <f>IF(AC981&lt;&gt;"", SUMIF(Bets!$D:$D, AC981, Bets!AG:AG), "")</f>
        <v/>
      </c>
      <c r="AE981" s="162"/>
      <c r="AF981" s="148"/>
    </row>
    <row r="982">
      <c r="A982" s="161"/>
      <c r="B982" s="146" t="str">
        <f>IF(A982&lt;&gt;"", SUMIF(Bets!$D:$D, A982, Bets!Z:Z), "")</f>
        <v/>
      </c>
      <c r="C982" s="162"/>
      <c r="D982" s="148"/>
      <c r="E982" s="161"/>
      <c r="F982" s="146" t="str">
        <f>IF(E982&lt;&gt;"", SUMIF(Bets!$D:$D, E982, Bets!AB:AB), "")</f>
        <v/>
      </c>
      <c r="G982" s="162"/>
      <c r="H982" s="148"/>
      <c r="I982" s="161"/>
      <c r="J982" s="146" t="str">
        <f>IF(I982&lt;&gt;"", SUMIF(Bets!$D:$D, I982, Bets!AA:AA), "")</f>
        <v/>
      </c>
      <c r="K982" s="162"/>
      <c r="L982" s="148"/>
      <c r="M982" s="161"/>
      <c r="N982" s="146"/>
      <c r="O982" s="162"/>
      <c r="P982" s="148"/>
      <c r="Q982" s="161"/>
      <c r="R982" s="146" t="str">
        <f>IF(Q982&lt;&gt;"", SUMIF(Bets!$D:$D, Q982, Bets!AD:AD), "")</f>
        <v/>
      </c>
      <c r="S982" s="162"/>
      <c r="T982" s="148"/>
      <c r="U982" s="161"/>
      <c r="V982" s="146" t="str">
        <f>IF(U982&lt;&gt;"", SUMIF(Bets!$D:$D, U982, Bets!AE:AE), "")</f>
        <v/>
      </c>
      <c r="W982" s="162"/>
      <c r="X982" s="148"/>
      <c r="Y982" s="161"/>
      <c r="Z982" s="146" t="str">
        <f>IF(Y982&lt;&gt;"", SUMIF(Bets!$D:$D, Y982, Bets!AF:AF), "")</f>
        <v/>
      </c>
      <c r="AA982" s="162"/>
      <c r="AB982" s="148"/>
      <c r="AC982" s="161"/>
      <c r="AD982" s="146" t="str">
        <f>IF(AC982&lt;&gt;"", SUMIF(Bets!$D:$D, AC982, Bets!AG:AG), "")</f>
        <v/>
      </c>
      <c r="AE982" s="162"/>
      <c r="AF982" s="148"/>
    </row>
    <row r="983">
      <c r="A983" s="161"/>
      <c r="B983" s="146" t="str">
        <f>IF(A983&lt;&gt;"", SUMIF(Bets!$D:$D, A983, Bets!Z:Z), "")</f>
        <v/>
      </c>
      <c r="C983" s="162"/>
      <c r="D983" s="148"/>
      <c r="E983" s="161"/>
      <c r="F983" s="146" t="str">
        <f>IF(E983&lt;&gt;"", SUMIF(Bets!$D:$D, E983, Bets!AB:AB), "")</f>
        <v/>
      </c>
      <c r="G983" s="162"/>
      <c r="H983" s="148"/>
      <c r="I983" s="161"/>
      <c r="J983" s="146" t="str">
        <f>IF(I983&lt;&gt;"", SUMIF(Bets!$D:$D, I983, Bets!AA:AA), "")</f>
        <v/>
      </c>
      <c r="K983" s="162"/>
      <c r="L983" s="148"/>
      <c r="M983" s="161"/>
      <c r="N983" s="146"/>
      <c r="O983" s="162"/>
      <c r="P983" s="148"/>
      <c r="Q983" s="161"/>
      <c r="R983" s="146" t="str">
        <f>IF(Q983&lt;&gt;"", SUMIF(Bets!$D:$D, Q983, Bets!AD:AD), "")</f>
        <v/>
      </c>
      <c r="S983" s="162"/>
      <c r="T983" s="148"/>
      <c r="U983" s="161"/>
      <c r="V983" s="146" t="str">
        <f>IF(U983&lt;&gt;"", SUMIF(Bets!$D:$D, U983, Bets!AE:AE), "")</f>
        <v/>
      </c>
      <c r="W983" s="162"/>
      <c r="X983" s="148"/>
      <c r="Y983" s="161"/>
      <c r="Z983" s="146" t="str">
        <f>IF(Y983&lt;&gt;"", SUMIF(Bets!$D:$D, Y983, Bets!AF:AF), "")</f>
        <v/>
      </c>
      <c r="AA983" s="162"/>
      <c r="AB983" s="148"/>
      <c r="AC983" s="161"/>
      <c r="AD983" s="146" t="str">
        <f>IF(AC983&lt;&gt;"", SUMIF(Bets!$D:$D, AC983, Bets!AG:AG), "")</f>
        <v/>
      </c>
      <c r="AE983" s="162"/>
      <c r="AF983" s="148"/>
    </row>
    <row r="984">
      <c r="A984" s="161"/>
      <c r="B984" s="146" t="str">
        <f>IF(A984&lt;&gt;"", SUMIF(Bets!$D:$D, A984, Bets!Z:Z), "")</f>
        <v/>
      </c>
      <c r="C984" s="162"/>
      <c r="D984" s="148"/>
      <c r="E984" s="161"/>
      <c r="F984" s="146" t="str">
        <f>IF(E984&lt;&gt;"", SUMIF(Bets!$D:$D, E984, Bets!AB:AB), "")</f>
        <v/>
      </c>
      <c r="G984" s="162"/>
      <c r="H984" s="148"/>
      <c r="I984" s="161"/>
      <c r="J984" s="146" t="str">
        <f>IF(I984&lt;&gt;"", SUMIF(Bets!$D:$D, I984, Bets!AA:AA), "")</f>
        <v/>
      </c>
      <c r="K984" s="162"/>
      <c r="L984" s="148"/>
      <c r="M984" s="161"/>
      <c r="N984" s="146"/>
      <c r="O984" s="162"/>
      <c r="P984" s="148"/>
      <c r="Q984" s="161"/>
      <c r="R984" s="146" t="str">
        <f>IF(Q984&lt;&gt;"", SUMIF(Bets!$D:$D, Q984, Bets!AD:AD), "")</f>
        <v/>
      </c>
      <c r="S984" s="162"/>
      <c r="T984" s="148"/>
      <c r="U984" s="161"/>
      <c r="V984" s="146" t="str">
        <f>IF(U984&lt;&gt;"", SUMIF(Bets!$D:$D, U984, Bets!AE:AE), "")</f>
        <v/>
      </c>
      <c r="W984" s="162"/>
      <c r="X984" s="148"/>
      <c r="Y984" s="161"/>
      <c r="Z984" s="146" t="str">
        <f>IF(Y984&lt;&gt;"", SUMIF(Bets!$D:$D, Y984, Bets!AF:AF), "")</f>
        <v/>
      </c>
      <c r="AA984" s="162"/>
      <c r="AB984" s="148"/>
      <c r="AC984" s="161"/>
      <c r="AD984" s="146" t="str">
        <f>IF(AC984&lt;&gt;"", SUMIF(Bets!$D:$D, AC984, Bets!AG:AG), "")</f>
        <v/>
      </c>
      <c r="AE984" s="162"/>
      <c r="AF984" s="148"/>
    </row>
    <row r="985">
      <c r="A985" s="161"/>
      <c r="B985" s="146" t="str">
        <f>IF(A985&lt;&gt;"", SUMIF(Bets!$D:$D, A985, Bets!Z:Z), "")</f>
        <v/>
      </c>
      <c r="C985" s="162"/>
      <c r="D985" s="148"/>
      <c r="E985" s="161"/>
      <c r="F985" s="146" t="str">
        <f>IF(E985&lt;&gt;"", SUMIF(Bets!$D:$D, E985, Bets!AB:AB), "")</f>
        <v/>
      </c>
      <c r="G985" s="162"/>
      <c r="H985" s="148"/>
      <c r="I985" s="161"/>
      <c r="J985" s="146" t="str">
        <f>IF(I985&lt;&gt;"", SUMIF(Bets!$D:$D, I985, Bets!AA:AA), "")</f>
        <v/>
      </c>
      <c r="K985" s="162"/>
      <c r="L985" s="148"/>
      <c r="M985" s="161"/>
      <c r="N985" s="146"/>
      <c r="O985" s="162"/>
      <c r="P985" s="148"/>
      <c r="Q985" s="161"/>
      <c r="R985" s="146" t="str">
        <f>IF(Q985&lt;&gt;"", SUMIF(Bets!$D:$D, Q985, Bets!AD:AD), "")</f>
        <v/>
      </c>
      <c r="S985" s="162"/>
      <c r="T985" s="148"/>
      <c r="U985" s="161"/>
      <c r="V985" s="146" t="str">
        <f>IF(U985&lt;&gt;"", SUMIF(Bets!$D:$D, U985, Bets!AE:AE), "")</f>
        <v/>
      </c>
      <c r="W985" s="162"/>
      <c r="X985" s="148"/>
      <c r="Y985" s="161"/>
      <c r="Z985" s="146" t="str">
        <f>IF(Y985&lt;&gt;"", SUMIF(Bets!$D:$D, Y985, Bets!AF:AF), "")</f>
        <v/>
      </c>
      <c r="AA985" s="162"/>
      <c r="AB985" s="148"/>
      <c r="AC985" s="161"/>
      <c r="AD985" s="146" t="str">
        <f>IF(AC985&lt;&gt;"", SUMIF(Bets!$D:$D, AC985, Bets!AG:AG), "")</f>
        <v/>
      </c>
      <c r="AE985" s="162"/>
      <c r="AF985" s="148"/>
    </row>
    <row r="986">
      <c r="A986" s="161"/>
      <c r="B986" s="146" t="str">
        <f>IF(A986&lt;&gt;"", SUMIF(Bets!$D:$D, A986, Bets!Z:Z), "")</f>
        <v/>
      </c>
      <c r="C986" s="162"/>
      <c r="D986" s="148"/>
      <c r="E986" s="161"/>
      <c r="F986" s="146" t="str">
        <f>IF(E986&lt;&gt;"", SUMIF(Bets!$D:$D, E986, Bets!AB:AB), "")</f>
        <v/>
      </c>
      <c r="G986" s="162"/>
      <c r="H986" s="148"/>
      <c r="I986" s="161"/>
      <c r="J986" s="146" t="str">
        <f>IF(I986&lt;&gt;"", SUMIF(Bets!$D:$D, I986, Bets!AA:AA), "")</f>
        <v/>
      </c>
      <c r="K986" s="162"/>
      <c r="L986" s="148"/>
      <c r="M986" s="161"/>
      <c r="N986" s="146"/>
      <c r="O986" s="162"/>
      <c r="P986" s="148"/>
      <c r="Q986" s="161"/>
      <c r="R986" s="146" t="str">
        <f>IF(Q986&lt;&gt;"", SUMIF(Bets!$D:$D, Q986, Bets!AD:AD), "")</f>
        <v/>
      </c>
      <c r="S986" s="162"/>
      <c r="T986" s="148"/>
      <c r="U986" s="161"/>
      <c r="V986" s="146" t="str">
        <f>IF(U986&lt;&gt;"", SUMIF(Bets!$D:$D, U986, Bets!AE:AE), "")</f>
        <v/>
      </c>
      <c r="W986" s="162"/>
      <c r="X986" s="148"/>
      <c r="Y986" s="161"/>
      <c r="Z986" s="146" t="str">
        <f>IF(Y986&lt;&gt;"", SUMIF(Bets!$D:$D, Y986, Bets!AF:AF), "")</f>
        <v/>
      </c>
      <c r="AA986" s="162"/>
      <c r="AB986" s="148"/>
      <c r="AC986" s="161"/>
      <c r="AD986" s="146" t="str">
        <f>IF(AC986&lt;&gt;"", SUMIF(Bets!$D:$D, AC986, Bets!AG:AG), "")</f>
        <v/>
      </c>
      <c r="AE986" s="162"/>
      <c r="AF986" s="148"/>
    </row>
    <row r="987">
      <c r="A987" s="161"/>
      <c r="B987" s="146" t="str">
        <f>IF(A987&lt;&gt;"", SUMIF(Bets!$D:$D, A987, Bets!Z:Z), "")</f>
        <v/>
      </c>
      <c r="C987" s="162"/>
      <c r="D987" s="148"/>
      <c r="E987" s="161"/>
      <c r="F987" s="146" t="str">
        <f>IF(E987&lt;&gt;"", SUMIF(Bets!$D:$D, E987, Bets!AB:AB), "")</f>
        <v/>
      </c>
      <c r="G987" s="162"/>
      <c r="H987" s="148"/>
      <c r="I987" s="161"/>
      <c r="J987" s="146" t="str">
        <f>IF(I987&lt;&gt;"", SUMIF(Bets!$D:$D, I987, Bets!AA:AA), "")</f>
        <v/>
      </c>
      <c r="K987" s="162"/>
      <c r="L987" s="148"/>
      <c r="M987" s="161"/>
      <c r="N987" s="146"/>
      <c r="O987" s="162"/>
      <c r="P987" s="148"/>
      <c r="Q987" s="161"/>
      <c r="R987" s="146" t="str">
        <f>IF(Q987&lt;&gt;"", SUMIF(Bets!$D:$D, Q987, Bets!AD:AD), "")</f>
        <v/>
      </c>
      <c r="S987" s="162"/>
      <c r="T987" s="148"/>
      <c r="U987" s="161"/>
      <c r="V987" s="146" t="str">
        <f>IF(U987&lt;&gt;"", SUMIF(Bets!$D:$D, U987, Bets!AE:AE), "")</f>
        <v/>
      </c>
      <c r="W987" s="162"/>
      <c r="X987" s="148"/>
      <c r="Y987" s="161"/>
      <c r="Z987" s="146" t="str">
        <f>IF(Y987&lt;&gt;"", SUMIF(Bets!$D:$D, Y987, Bets!AF:AF), "")</f>
        <v/>
      </c>
      <c r="AA987" s="162"/>
      <c r="AB987" s="148"/>
      <c r="AC987" s="161"/>
      <c r="AD987" s="146" t="str">
        <f>IF(AC987&lt;&gt;"", SUMIF(Bets!$D:$D, AC987, Bets!AG:AG), "")</f>
        <v/>
      </c>
      <c r="AE987" s="162"/>
      <c r="AF987" s="148"/>
    </row>
    <row r="988">
      <c r="A988" s="161"/>
      <c r="B988" s="146" t="str">
        <f>IF(A988&lt;&gt;"", SUMIF(Bets!$D:$D, A988, Bets!Z:Z), "")</f>
        <v/>
      </c>
      <c r="C988" s="162"/>
      <c r="D988" s="148"/>
      <c r="E988" s="161"/>
      <c r="F988" s="146" t="str">
        <f>IF(E988&lt;&gt;"", SUMIF(Bets!$D:$D, E988, Bets!AB:AB), "")</f>
        <v/>
      </c>
      <c r="G988" s="162"/>
      <c r="H988" s="148"/>
      <c r="I988" s="161"/>
      <c r="J988" s="146" t="str">
        <f>IF(I988&lt;&gt;"", SUMIF(Bets!$D:$D, I988, Bets!AA:AA), "")</f>
        <v/>
      </c>
      <c r="K988" s="162"/>
      <c r="L988" s="148"/>
      <c r="M988" s="161"/>
      <c r="N988" s="146"/>
      <c r="O988" s="162"/>
      <c r="P988" s="148"/>
      <c r="Q988" s="161"/>
      <c r="R988" s="146" t="str">
        <f>IF(Q988&lt;&gt;"", SUMIF(Bets!$D:$D, Q988, Bets!AD:AD), "")</f>
        <v/>
      </c>
      <c r="S988" s="162"/>
      <c r="T988" s="148"/>
      <c r="U988" s="161"/>
      <c r="V988" s="146" t="str">
        <f>IF(U988&lt;&gt;"", SUMIF(Bets!$D:$D, U988, Bets!AE:AE), "")</f>
        <v/>
      </c>
      <c r="W988" s="162"/>
      <c r="X988" s="148"/>
      <c r="Y988" s="161"/>
      <c r="Z988" s="146" t="str">
        <f>IF(Y988&lt;&gt;"", SUMIF(Bets!$D:$D, Y988, Bets!AF:AF), "")</f>
        <v/>
      </c>
      <c r="AA988" s="162"/>
      <c r="AB988" s="148"/>
      <c r="AC988" s="161"/>
      <c r="AD988" s="146" t="str">
        <f>IF(AC988&lt;&gt;"", SUMIF(Bets!$D:$D, AC988, Bets!AG:AG), "")</f>
        <v/>
      </c>
      <c r="AE988" s="162"/>
      <c r="AF988" s="148"/>
    </row>
    <row r="989">
      <c r="A989" s="161"/>
      <c r="B989" s="146" t="str">
        <f>IF(A989&lt;&gt;"", SUMIF(Bets!$D:$D, A989, Bets!Z:Z), "")</f>
        <v/>
      </c>
      <c r="C989" s="162"/>
      <c r="D989" s="148"/>
      <c r="E989" s="161"/>
      <c r="F989" s="146" t="str">
        <f>IF(E989&lt;&gt;"", SUMIF(Bets!$D:$D, E989, Bets!AB:AB), "")</f>
        <v/>
      </c>
      <c r="G989" s="162"/>
      <c r="H989" s="148"/>
      <c r="I989" s="161"/>
      <c r="J989" s="146" t="str">
        <f>IF(I989&lt;&gt;"", SUMIF(Bets!$D:$D, I989, Bets!AA:AA), "")</f>
        <v/>
      </c>
      <c r="K989" s="162"/>
      <c r="L989" s="148"/>
      <c r="M989" s="161"/>
      <c r="N989" s="146"/>
      <c r="O989" s="162"/>
      <c r="P989" s="148"/>
      <c r="Q989" s="161"/>
      <c r="R989" s="146" t="str">
        <f>IF(Q989&lt;&gt;"", SUMIF(Bets!$D:$D, Q989, Bets!AD:AD), "")</f>
        <v/>
      </c>
      <c r="S989" s="162"/>
      <c r="T989" s="148"/>
      <c r="U989" s="161"/>
      <c r="V989" s="146" t="str">
        <f>IF(U989&lt;&gt;"", SUMIF(Bets!$D:$D, U989, Bets!AE:AE), "")</f>
        <v/>
      </c>
      <c r="W989" s="162"/>
      <c r="X989" s="148"/>
      <c r="Y989" s="161"/>
      <c r="Z989" s="146" t="str">
        <f>IF(Y989&lt;&gt;"", SUMIF(Bets!$D:$D, Y989, Bets!AF:AF), "")</f>
        <v/>
      </c>
      <c r="AA989" s="162"/>
      <c r="AB989" s="148"/>
      <c r="AC989" s="161"/>
      <c r="AD989" s="146" t="str">
        <f>IF(AC989&lt;&gt;"", SUMIF(Bets!$D:$D, AC989, Bets!AG:AG), "")</f>
        <v/>
      </c>
      <c r="AE989" s="162"/>
      <c r="AF989" s="148"/>
    </row>
    <row r="990">
      <c r="A990" s="161"/>
      <c r="B990" s="146" t="str">
        <f>IF(A990&lt;&gt;"", SUMIF(Bets!$D:$D, A990, Bets!Z:Z), "")</f>
        <v/>
      </c>
      <c r="C990" s="162"/>
      <c r="D990" s="148"/>
      <c r="E990" s="161"/>
      <c r="F990" s="146" t="str">
        <f>IF(E990&lt;&gt;"", SUMIF(Bets!$D:$D, E990, Bets!AB:AB), "")</f>
        <v/>
      </c>
      <c r="G990" s="162"/>
      <c r="H990" s="148"/>
      <c r="I990" s="161"/>
      <c r="J990" s="146" t="str">
        <f>IF(I990&lt;&gt;"", SUMIF(Bets!$D:$D, I990, Bets!AA:AA), "")</f>
        <v/>
      </c>
      <c r="K990" s="162"/>
      <c r="L990" s="148"/>
      <c r="M990" s="161"/>
      <c r="N990" s="146"/>
      <c r="O990" s="162"/>
      <c r="P990" s="148"/>
      <c r="Q990" s="161"/>
      <c r="R990" s="146" t="str">
        <f>IF(Q990&lt;&gt;"", SUMIF(Bets!$D:$D, Q990, Bets!AD:AD), "")</f>
        <v/>
      </c>
      <c r="S990" s="162"/>
      <c r="T990" s="148"/>
      <c r="U990" s="161"/>
      <c r="V990" s="146" t="str">
        <f>IF(U990&lt;&gt;"", SUMIF(Bets!$D:$D, U990, Bets!AE:AE), "")</f>
        <v/>
      </c>
      <c r="W990" s="162"/>
      <c r="X990" s="148"/>
      <c r="Y990" s="161"/>
      <c r="Z990" s="146" t="str">
        <f>IF(Y990&lt;&gt;"", SUMIF(Bets!$D:$D, Y990, Bets!AF:AF), "")</f>
        <v/>
      </c>
      <c r="AA990" s="162"/>
      <c r="AB990" s="148"/>
      <c r="AC990" s="161"/>
      <c r="AD990" s="146" t="str">
        <f>IF(AC990&lt;&gt;"", SUMIF(Bets!$D:$D, AC990, Bets!AG:AG), "")</f>
        <v/>
      </c>
      <c r="AE990" s="162"/>
      <c r="AF990" s="148"/>
    </row>
    <row r="991">
      <c r="A991" s="161"/>
      <c r="B991" s="146" t="str">
        <f>IF(A991&lt;&gt;"", SUMIF(Bets!$D:$D, A991, Bets!Z:Z), "")</f>
        <v/>
      </c>
      <c r="C991" s="162"/>
      <c r="D991" s="148"/>
      <c r="E991" s="161"/>
      <c r="F991" s="146" t="str">
        <f>IF(E991&lt;&gt;"", SUMIF(Bets!$D:$D, E991, Bets!AB:AB), "")</f>
        <v/>
      </c>
      <c r="G991" s="162"/>
      <c r="H991" s="148"/>
      <c r="I991" s="161"/>
      <c r="J991" s="146" t="str">
        <f>IF(I991&lt;&gt;"", SUMIF(Bets!$D:$D, I991, Bets!AA:AA), "")</f>
        <v/>
      </c>
      <c r="K991" s="162"/>
      <c r="L991" s="148"/>
      <c r="M991" s="161"/>
      <c r="N991" s="146"/>
      <c r="O991" s="162"/>
      <c r="P991" s="148"/>
      <c r="Q991" s="161"/>
      <c r="R991" s="146" t="str">
        <f>IF(Q991&lt;&gt;"", SUMIF(Bets!$D:$D, Q991, Bets!AD:AD), "")</f>
        <v/>
      </c>
      <c r="S991" s="162"/>
      <c r="T991" s="148"/>
      <c r="U991" s="161"/>
      <c r="V991" s="146" t="str">
        <f>IF(U991&lt;&gt;"", SUMIF(Bets!$D:$D, U991, Bets!AE:AE), "")</f>
        <v/>
      </c>
      <c r="W991" s="162"/>
      <c r="X991" s="148"/>
      <c r="Y991" s="161"/>
      <c r="Z991" s="146" t="str">
        <f>IF(Y991&lt;&gt;"", SUMIF(Bets!$D:$D, Y991, Bets!AF:AF), "")</f>
        <v/>
      </c>
      <c r="AA991" s="162"/>
      <c r="AB991" s="148"/>
      <c r="AC991" s="161"/>
      <c r="AD991" s="146" t="str">
        <f>IF(AC991&lt;&gt;"", SUMIF(Bets!$D:$D, AC991, Bets!AG:AG), "")</f>
        <v/>
      </c>
      <c r="AE991" s="162"/>
      <c r="AF991" s="148"/>
    </row>
    <row r="992">
      <c r="A992" s="161"/>
      <c r="B992" s="146" t="str">
        <f>IF(A992&lt;&gt;"", SUMIF(Bets!$D:$D, A992, Bets!Z:Z), "")</f>
        <v/>
      </c>
      <c r="C992" s="162"/>
      <c r="D992" s="148"/>
      <c r="E992" s="161"/>
      <c r="F992" s="146" t="str">
        <f>IF(E992&lt;&gt;"", SUMIF(Bets!$D:$D, E992, Bets!AB:AB), "")</f>
        <v/>
      </c>
      <c r="G992" s="162"/>
      <c r="H992" s="148"/>
      <c r="I992" s="161"/>
      <c r="J992" s="146" t="str">
        <f>IF(I992&lt;&gt;"", SUMIF(Bets!$D:$D, I992, Bets!AA:AA), "")</f>
        <v/>
      </c>
      <c r="K992" s="162"/>
      <c r="L992" s="148"/>
      <c r="M992" s="161"/>
      <c r="N992" s="146"/>
      <c r="O992" s="162"/>
      <c r="P992" s="148"/>
      <c r="Q992" s="161"/>
      <c r="R992" s="146" t="str">
        <f>IF(Q992&lt;&gt;"", SUMIF(Bets!$D:$D, Q992, Bets!AD:AD), "")</f>
        <v/>
      </c>
      <c r="S992" s="162"/>
      <c r="T992" s="148"/>
      <c r="U992" s="161"/>
      <c r="V992" s="146" t="str">
        <f>IF(U992&lt;&gt;"", SUMIF(Bets!$D:$D, U992, Bets!AE:AE), "")</f>
        <v/>
      </c>
      <c r="W992" s="162"/>
      <c r="X992" s="148"/>
      <c r="Y992" s="161"/>
      <c r="Z992" s="146" t="str">
        <f>IF(Y992&lt;&gt;"", SUMIF(Bets!$D:$D, Y992, Bets!AF:AF), "")</f>
        <v/>
      </c>
      <c r="AA992" s="162"/>
      <c r="AB992" s="148"/>
      <c r="AC992" s="161"/>
      <c r="AD992" s="146" t="str">
        <f>IF(AC992&lt;&gt;"", SUMIF(Bets!$D:$D, AC992, Bets!AG:AG), "")</f>
        <v/>
      </c>
      <c r="AE992" s="162"/>
      <c r="AF992" s="148"/>
    </row>
    <row r="993">
      <c r="A993" s="161"/>
      <c r="B993" s="146" t="str">
        <f>IF(A993&lt;&gt;"", SUMIF(Bets!$D:$D, A993, Bets!Z:Z), "")</f>
        <v/>
      </c>
      <c r="C993" s="162"/>
      <c r="D993" s="148"/>
      <c r="E993" s="161"/>
      <c r="F993" s="146" t="str">
        <f>IF(E993&lt;&gt;"", SUMIF(Bets!$D:$D, E993, Bets!AB:AB), "")</f>
        <v/>
      </c>
      <c r="G993" s="162"/>
      <c r="H993" s="148"/>
      <c r="I993" s="161"/>
      <c r="J993" s="146" t="str">
        <f>IF(I993&lt;&gt;"", SUMIF(Bets!$D:$D, I993, Bets!AA:AA), "")</f>
        <v/>
      </c>
      <c r="K993" s="162"/>
      <c r="L993" s="148"/>
      <c r="M993" s="161"/>
      <c r="N993" s="146"/>
      <c r="O993" s="162"/>
      <c r="P993" s="148"/>
      <c r="Q993" s="161"/>
      <c r="R993" s="146" t="str">
        <f>IF(Q993&lt;&gt;"", SUMIF(Bets!$D:$D, Q993, Bets!AD:AD), "")</f>
        <v/>
      </c>
      <c r="S993" s="162"/>
      <c r="T993" s="148"/>
      <c r="U993" s="161"/>
      <c r="V993" s="146" t="str">
        <f>IF(U993&lt;&gt;"", SUMIF(Bets!$D:$D, U993, Bets!AE:AE), "")</f>
        <v/>
      </c>
      <c r="W993" s="162"/>
      <c r="X993" s="148"/>
      <c r="Y993" s="161"/>
      <c r="Z993" s="146" t="str">
        <f>IF(Y993&lt;&gt;"", SUMIF(Bets!$D:$D, Y993, Bets!AF:AF), "")</f>
        <v/>
      </c>
      <c r="AA993" s="162"/>
      <c r="AB993" s="148"/>
      <c r="AC993" s="161"/>
      <c r="AD993" s="146" t="str">
        <f>IF(AC993&lt;&gt;"", SUMIF(Bets!$D:$D, AC993, Bets!AG:AG), "")</f>
        <v/>
      </c>
      <c r="AE993" s="162"/>
      <c r="AF993" s="148"/>
    </row>
    <row r="994">
      <c r="A994" s="161"/>
      <c r="B994" s="146" t="str">
        <f>IF(A994&lt;&gt;"", SUMIF(Bets!$D:$D, A994, Bets!Z:Z), "")</f>
        <v/>
      </c>
      <c r="C994" s="162"/>
      <c r="D994" s="148"/>
      <c r="E994" s="161"/>
      <c r="F994" s="146" t="str">
        <f>IF(E994&lt;&gt;"", SUMIF(Bets!$D:$D, E994, Bets!AB:AB), "")</f>
        <v/>
      </c>
      <c r="G994" s="162"/>
      <c r="H994" s="148"/>
      <c r="I994" s="161"/>
      <c r="J994" s="146" t="str">
        <f>IF(I994&lt;&gt;"", SUMIF(Bets!$D:$D, I994, Bets!AA:AA), "")</f>
        <v/>
      </c>
      <c r="K994" s="162"/>
      <c r="L994" s="148"/>
      <c r="M994" s="161"/>
      <c r="N994" s="146"/>
      <c r="O994" s="162"/>
      <c r="P994" s="148"/>
      <c r="Q994" s="161"/>
      <c r="R994" s="146" t="str">
        <f>IF(Q994&lt;&gt;"", SUMIF(Bets!$D:$D, Q994, Bets!AD:AD), "")</f>
        <v/>
      </c>
      <c r="S994" s="162"/>
      <c r="T994" s="148"/>
      <c r="U994" s="161"/>
      <c r="V994" s="146" t="str">
        <f>IF(U994&lt;&gt;"", SUMIF(Bets!$D:$D, U994, Bets!AE:AE), "")</f>
        <v/>
      </c>
      <c r="W994" s="162"/>
      <c r="X994" s="148"/>
      <c r="Y994" s="161"/>
      <c r="Z994" s="146" t="str">
        <f>IF(Y994&lt;&gt;"", SUMIF(Bets!$D:$D, Y994, Bets!AF:AF), "")</f>
        <v/>
      </c>
      <c r="AA994" s="162"/>
      <c r="AB994" s="148"/>
      <c r="AC994" s="161"/>
      <c r="AD994" s="146" t="str">
        <f>IF(AC994&lt;&gt;"", SUMIF(Bets!$D:$D, AC994, Bets!AG:AG), "")</f>
        <v/>
      </c>
      <c r="AE994" s="162"/>
      <c r="AF994" s="148"/>
    </row>
    <row r="995">
      <c r="A995" s="161"/>
      <c r="B995" s="146" t="str">
        <f>IF(A995&lt;&gt;"", SUMIF(Bets!$D:$D, A995, Bets!Z:Z), "")</f>
        <v/>
      </c>
      <c r="C995" s="162"/>
      <c r="D995" s="148"/>
      <c r="E995" s="161"/>
      <c r="F995" s="146" t="str">
        <f>IF(E995&lt;&gt;"", SUMIF(Bets!$D:$D, E995, Bets!AB:AB), "")</f>
        <v/>
      </c>
      <c r="G995" s="162"/>
      <c r="H995" s="148"/>
      <c r="I995" s="161"/>
      <c r="J995" s="146" t="str">
        <f>IF(I995&lt;&gt;"", SUMIF(Bets!$D:$D, I995, Bets!AA:AA), "")</f>
        <v/>
      </c>
      <c r="K995" s="162"/>
      <c r="L995" s="148"/>
      <c r="M995" s="161"/>
      <c r="N995" s="146"/>
      <c r="O995" s="162"/>
      <c r="P995" s="148"/>
      <c r="Q995" s="161"/>
      <c r="R995" s="146" t="str">
        <f>IF(Q995&lt;&gt;"", SUMIF(Bets!$D:$D, Q995, Bets!AD:AD), "")</f>
        <v/>
      </c>
      <c r="S995" s="162"/>
      <c r="T995" s="148"/>
      <c r="U995" s="161"/>
      <c r="V995" s="146" t="str">
        <f>IF(U995&lt;&gt;"", SUMIF(Bets!$D:$D, U995, Bets!AE:AE), "")</f>
        <v/>
      </c>
      <c r="W995" s="162"/>
      <c r="X995" s="148"/>
      <c r="Y995" s="161"/>
      <c r="Z995" s="146" t="str">
        <f>IF(Y995&lt;&gt;"", SUMIF(Bets!$D:$D, Y995, Bets!AF:AF), "")</f>
        <v/>
      </c>
      <c r="AA995" s="162"/>
      <c r="AB995" s="148"/>
      <c r="AC995" s="161"/>
      <c r="AD995" s="146" t="str">
        <f>IF(AC995&lt;&gt;"", SUMIF(Bets!$D:$D, AC995, Bets!AG:AG), "")</f>
        <v/>
      </c>
      <c r="AE995" s="162"/>
      <c r="AF995" s="148"/>
    </row>
    <row r="996">
      <c r="A996" s="161"/>
      <c r="B996" s="146" t="str">
        <f>IF(A996&lt;&gt;"", SUMIF(Bets!$D:$D, A996, Bets!Z:Z), "")</f>
        <v/>
      </c>
      <c r="C996" s="162"/>
      <c r="D996" s="148"/>
      <c r="E996" s="161"/>
      <c r="F996" s="146" t="str">
        <f>IF(E996&lt;&gt;"", SUMIF(Bets!$D:$D, E996, Bets!AB:AB), "")</f>
        <v/>
      </c>
      <c r="G996" s="162"/>
      <c r="H996" s="148"/>
      <c r="I996" s="161"/>
      <c r="J996" s="146" t="str">
        <f>IF(I996&lt;&gt;"", SUMIF(Bets!$D:$D, I996, Bets!AA:AA), "")</f>
        <v/>
      </c>
      <c r="K996" s="162"/>
      <c r="L996" s="148"/>
      <c r="M996" s="161"/>
      <c r="N996" s="146"/>
      <c r="O996" s="162"/>
      <c r="P996" s="148"/>
      <c r="Q996" s="161"/>
      <c r="R996" s="146" t="str">
        <f>IF(Q996&lt;&gt;"", SUMIF(Bets!$D:$D, Q996, Bets!AD:AD), "")</f>
        <v/>
      </c>
      <c r="S996" s="162"/>
      <c r="T996" s="148"/>
      <c r="U996" s="161"/>
      <c r="V996" s="146" t="str">
        <f>IF(U996&lt;&gt;"", SUMIF(Bets!$D:$D, U996, Bets!AE:AE), "")</f>
        <v/>
      </c>
      <c r="W996" s="162"/>
      <c r="X996" s="148"/>
      <c r="Y996" s="161"/>
      <c r="Z996" s="146" t="str">
        <f>IF(Y996&lt;&gt;"", SUMIF(Bets!$D:$D, Y996, Bets!AF:AF), "")</f>
        <v/>
      </c>
      <c r="AA996" s="162"/>
      <c r="AB996" s="148"/>
      <c r="AC996" s="161"/>
      <c r="AD996" s="146" t="str">
        <f>IF(AC996&lt;&gt;"", SUMIF(Bets!$D:$D, AC996, Bets!AG:AG), "")</f>
        <v/>
      </c>
      <c r="AE996" s="162"/>
      <c r="AF996" s="148"/>
    </row>
    <row r="997">
      <c r="A997" s="161"/>
      <c r="B997" s="146" t="str">
        <f>IF(A997&lt;&gt;"", SUMIF(Bets!$D:$D, A997, Bets!Z:Z), "")</f>
        <v/>
      </c>
      <c r="C997" s="162"/>
      <c r="D997" s="148"/>
      <c r="E997" s="161"/>
      <c r="F997" s="146" t="str">
        <f>IF(E997&lt;&gt;"", SUMIF(Bets!$D:$D, E997, Bets!AB:AB), "")</f>
        <v/>
      </c>
      <c r="G997" s="162"/>
      <c r="H997" s="148"/>
      <c r="I997" s="161"/>
      <c r="J997" s="146" t="str">
        <f>IF(I997&lt;&gt;"", SUMIF(Bets!$D:$D, I997, Bets!AA:AA), "")</f>
        <v/>
      </c>
      <c r="K997" s="162"/>
      <c r="L997" s="148"/>
      <c r="M997" s="161"/>
      <c r="N997" s="146"/>
      <c r="O997" s="162"/>
      <c r="P997" s="148"/>
      <c r="Q997" s="161"/>
      <c r="R997" s="146" t="str">
        <f>IF(Q997&lt;&gt;"", SUMIF(Bets!$D:$D, Q997, Bets!AD:AD), "")</f>
        <v/>
      </c>
      <c r="S997" s="162"/>
      <c r="T997" s="148"/>
      <c r="U997" s="161"/>
      <c r="V997" s="146" t="str">
        <f>IF(U997&lt;&gt;"", SUMIF(Bets!$D:$D, U997, Bets!AE:AE), "")</f>
        <v/>
      </c>
      <c r="W997" s="162"/>
      <c r="X997" s="148"/>
      <c r="Y997" s="161"/>
      <c r="Z997" s="146" t="str">
        <f>IF(Y997&lt;&gt;"", SUMIF(Bets!$D:$D, Y997, Bets!AF:AF), "")</f>
        <v/>
      </c>
      <c r="AA997" s="162"/>
      <c r="AB997" s="148"/>
      <c r="AC997" s="161"/>
      <c r="AD997" s="146" t="str">
        <f>IF(AC997&lt;&gt;"", SUMIF(Bets!$D:$D, AC997, Bets!AG:AG), "")</f>
        <v/>
      </c>
      <c r="AE997" s="162"/>
      <c r="AF997" s="148"/>
    </row>
    <row r="998">
      <c r="A998" s="161"/>
      <c r="B998" s="146" t="str">
        <f>IF(A998&lt;&gt;"", SUMIF(Bets!$D:$D, A998, Bets!Z:Z), "")</f>
        <v/>
      </c>
      <c r="C998" s="162"/>
      <c r="D998" s="148"/>
      <c r="E998" s="161"/>
      <c r="F998" s="146" t="str">
        <f>IF(E998&lt;&gt;"", SUMIF(Bets!$D:$D, E998, Bets!AB:AB), "")</f>
        <v/>
      </c>
      <c r="G998" s="162"/>
      <c r="H998" s="148"/>
      <c r="I998" s="161"/>
      <c r="J998" s="146" t="str">
        <f>IF(I998&lt;&gt;"", SUMIF(Bets!$D:$D, I998, Bets!AA:AA), "")</f>
        <v/>
      </c>
      <c r="K998" s="162"/>
      <c r="L998" s="148"/>
      <c r="M998" s="161"/>
      <c r="N998" s="146"/>
      <c r="O998" s="162"/>
      <c r="P998" s="148"/>
      <c r="Q998" s="161"/>
      <c r="R998" s="146" t="str">
        <f>IF(Q998&lt;&gt;"", SUMIF(Bets!$D:$D, Q998, Bets!AD:AD), "")</f>
        <v/>
      </c>
      <c r="S998" s="162"/>
      <c r="T998" s="148"/>
      <c r="U998" s="161"/>
      <c r="V998" s="146" t="str">
        <f>IF(U998&lt;&gt;"", SUMIF(Bets!$D:$D, U998, Bets!AE:AE), "")</f>
        <v/>
      </c>
      <c r="W998" s="162"/>
      <c r="X998" s="148"/>
      <c r="Y998" s="161"/>
      <c r="Z998" s="146" t="str">
        <f>IF(Y998&lt;&gt;"", SUMIF(Bets!$D:$D, Y998, Bets!AF:AF), "")</f>
        <v/>
      </c>
      <c r="AA998" s="162"/>
      <c r="AB998" s="148"/>
      <c r="AC998" s="161"/>
      <c r="AD998" s="146" t="str">
        <f>IF(AC998&lt;&gt;"", SUMIF(Bets!$D:$D, AC998, Bets!AG:AG), "")</f>
        <v/>
      </c>
      <c r="AE998" s="162"/>
      <c r="AF998" s="148"/>
    </row>
    <row r="999">
      <c r="A999" s="161"/>
      <c r="B999" s="146" t="str">
        <f>IF(A999&lt;&gt;"", SUMIF(Bets!$D:$D, A999, Bets!Z:Z), "")</f>
        <v/>
      </c>
      <c r="C999" s="162"/>
      <c r="D999" s="148"/>
      <c r="E999" s="161"/>
      <c r="F999" s="146" t="str">
        <f>IF(E999&lt;&gt;"", SUMIF(Bets!$D:$D, E999, Bets!AB:AB), "")</f>
        <v/>
      </c>
      <c r="G999" s="162"/>
      <c r="H999" s="148"/>
      <c r="I999" s="161"/>
      <c r="J999" s="146" t="str">
        <f>IF(I999&lt;&gt;"", SUMIF(Bets!$D:$D, I999, Bets!AA:AA), "")</f>
        <v/>
      </c>
      <c r="K999" s="162"/>
      <c r="L999" s="148"/>
      <c r="M999" s="161"/>
      <c r="N999" s="146"/>
      <c r="O999" s="162"/>
      <c r="P999" s="148"/>
      <c r="Q999" s="161"/>
      <c r="R999" s="146" t="str">
        <f>IF(Q999&lt;&gt;"", SUMIF(Bets!$D:$D, Q999, Bets!AD:AD), "")</f>
        <v/>
      </c>
      <c r="S999" s="162"/>
      <c r="T999" s="148"/>
      <c r="U999" s="161"/>
      <c r="V999" s="146" t="str">
        <f>IF(U999&lt;&gt;"", SUMIF(Bets!$D:$D, U999, Bets!AE:AE), "")</f>
        <v/>
      </c>
      <c r="W999" s="162"/>
      <c r="X999" s="148"/>
      <c r="Y999" s="161"/>
      <c r="Z999" s="146" t="str">
        <f>IF(Y999&lt;&gt;"", SUMIF(Bets!$D:$D, Y999, Bets!AF:AF), "")</f>
        <v/>
      </c>
      <c r="AA999" s="162"/>
      <c r="AB999" s="148"/>
      <c r="AC999" s="161"/>
      <c r="AD999" s="146" t="str">
        <f>IF(AC999&lt;&gt;"", SUMIF(Bets!$D:$D, AC999, Bets!AG:AG), "")</f>
        <v/>
      </c>
      <c r="AE999" s="162"/>
      <c r="AF999" s="148"/>
    </row>
    <row r="1000">
      <c r="A1000" s="161"/>
      <c r="B1000" s="146" t="str">
        <f>IF(A1000&lt;&gt;"", SUMIF(Bets!$D:$D, A1000, Bets!Z:Z), "")</f>
        <v/>
      </c>
      <c r="C1000" s="162"/>
      <c r="D1000" s="148"/>
      <c r="E1000" s="161"/>
      <c r="F1000" s="146" t="str">
        <f>IF(E1000&lt;&gt;"", SUMIF(Bets!$D:$D, E1000, Bets!AB:AB), "")</f>
        <v/>
      </c>
      <c r="G1000" s="162"/>
      <c r="H1000" s="148"/>
      <c r="I1000" s="161"/>
      <c r="J1000" s="146" t="str">
        <f>IF(I1000&lt;&gt;"", SUMIF(Bets!$D:$D, I1000, Bets!AA:AA), "")</f>
        <v/>
      </c>
      <c r="K1000" s="162"/>
      <c r="L1000" s="148"/>
      <c r="M1000" s="161"/>
      <c r="N1000" s="146"/>
      <c r="O1000" s="162"/>
      <c r="P1000" s="148"/>
      <c r="Q1000" s="161"/>
      <c r="R1000" s="146" t="str">
        <f>IF(Q1000&lt;&gt;"", SUMIF(Bets!$D:$D, Q1000, Bets!AD:AD), "")</f>
        <v/>
      </c>
      <c r="S1000" s="162"/>
      <c r="T1000" s="148"/>
      <c r="U1000" s="161"/>
      <c r="V1000" s="146" t="str">
        <f>IF(U1000&lt;&gt;"", SUMIF(Bets!$D:$D, U1000, Bets!AE:AE), "")</f>
        <v/>
      </c>
      <c r="W1000" s="162"/>
      <c r="X1000" s="148"/>
      <c r="Y1000" s="161"/>
      <c r="Z1000" s="146" t="str">
        <f>IF(Y1000&lt;&gt;"", SUMIF(Bets!$D:$D, Y1000, Bets!AF:AF), "")</f>
        <v/>
      </c>
      <c r="AA1000" s="162"/>
      <c r="AB1000" s="148"/>
      <c r="AC1000" s="161"/>
      <c r="AD1000" s="146" t="str">
        <f>IF(AC1000&lt;&gt;"", SUMIF(Bets!$D:$D, AC1000, Bets!AG:AG), "")</f>
        <v/>
      </c>
      <c r="AE1000" s="162"/>
      <c r="AF1000" s="148"/>
    </row>
    <row r="1001">
      <c r="A1001" s="161"/>
      <c r="B1001" s="146" t="str">
        <f>IF(A1001&lt;&gt;"", SUMIF(Bets!$D:$D, A1001, Bets!Z:Z), "")</f>
        <v/>
      </c>
      <c r="C1001" s="162"/>
      <c r="D1001" s="148"/>
      <c r="E1001" s="161"/>
      <c r="F1001" s="146" t="str">
        <f>IF(E1001&lt;&gt;"", SUMIF(Bets!$D:$D, E1001, Bets!AB:AB), "")</f>
        <v/>
      </c>
      <c r="G1001" s="162"/>
      <c r="H1001" s="148"/>
      <c r="I1001" s="161"/>
      <c r="J1001" s="146" t="str">
        <f>IF(I1001&lt;&gt;"", SUMIF(Bets!$D:$D, I1001, Bets!AA:AA), "")</f>
        <v/>
      </c>
      <c r="K1001" s="162"/>
      <c r="L1001" s="148"/>
      <c r="M1001" s="161"/>
      <c r="N1001" s="146"/>
      <c r="O1001" s="162"/>
      <c r="P1001" s="148"/>
      <c r="Q1001" s="161"/>
      <c r="R1001" s="146" t="str">
        <f>IF(Q1001&lt;&gt;"", SUMIF(Bets!$D:$D, Q1001, Bets!AD:AD), "")</f>
        <v/>
      </c>
      <c r="S1001" s="162"/>
      <c r="T1001" s="148"/>
      <c r="U1001" s="161"/>
      <c r="V1001" s="146" t="str">
        <f>IF(U1001&lt;&gt;"", SUMIF(Bets!$D:$D, U1001, Bets!AE:AE), "")</f>
        <v/>
      </c>
      <c r="W1001" s="162"/>
      <c r="X1001" s="148"/>
      <c r="Y1001" s="161"/>
      <c r="Z1001" s="146" t="str">
        <f>IF(Y1001&lt;&gt;"", SUMIF(Bets!$D:$D, Y1001, Bets!AF:AF), "")</f>
        <v/>
      </c>
      <c r="AA1001" s="162"/>
      <c r="AB1001" s="148"/>
      <c r="AC1001" s="161"/>
      <c r="AD1001" s="146" t="str">
        <f>IF(AC1001&lt;&gt;"", SUMIF(Bets!$D:$D, AC1001, Bets!AG:AG), "")</f>
        <v/>
      </c>
      <c r="AE1001" s="162"/>
      <c r="AF1001" s="148"/>
    </row>
    <row r="1002">
      <c r="A1002" s="161"/>
      <c r="B1002" s="146" t="str">
        <f>IF(A1002&lt;&gt;"", SUMIF(Bets!$D:$D, A1002, Bets!Z:Z), "")</f>
        <v/>
      </c>
      <c r="C1002" s="162"/>
      <c r="D1002" s="148"/>
      <c r="E1002" s="161"/>
      <c r="F1002" s="146" t="str">
        <f>IF(E1002&lt;&gt;"", SUMIF(Bets!$D:$D, E1002, Bets!AB:AB), "")</f>
        <v/>
      </c>
      <c r="G1002" s="162"/>
      <c r="H1002" s="148"/>
      <c r="I1002" s="161"/>
      <c r="J1002" s="146" t="str">
        <f>IF(I1002&lt;&gt;"", SUMIF(Bets!$D:$D, I1002, Bets!AA:AA), "")</f>
        <v/>
      </c>
      <c r="K1002" s="162"/>
      <c r="L1002" s="148"/>
      <c r="M1002" s="161"/>
      <c r="N1002" s="146"/>
      <c r="O1002" s="162"/>
      <c r="P1002" s="148"/>
      <c r="Q1002" s="161"/>
      <c r="R1002" s="146" t="str">
        <f>IF(Q1002&lt;&gt;"", SUMIF(Bets!$D:$D, Q1002, Bets!AD:AD), "")</f>
        <v/>
      </c>
      <c r="S1002" s="162"/>
      <c r="T1002" s="148"/>
      <c r="U1002" s="161"/>
      <c r="V1002" s="146" t="str">
        <f>IF(U1002&lt;&gt;"", SUMIF(Bets!$D:$D, U1002, Bets!AE:AE), "")</f>
        <v/>
      </c>
      <c r="W1002" s="162"/>
      <c r="X1002" s="148"/>
      <c r="Y1002" s="161"/>
      <c r="Z1002" s="146" t="str">
        <f>IF(Y1002&lt;&gt;"", SUMIF(Bets!$D:$D, Y1002, Bets!AF:AF), "")</f>
        <v/>
      </c>
      <c r="AA1002" s="162"/>
      <c r="AB1002" s="148"/>
      <c r="AC1002" s="161"/>
      <c r="AD1002" s="146" t="str">
        <f>IF(AC1002&lt;&gt;"", SUMIF(Bets!$D:$D, AC1002, Bets!AG:AG), "")</f>
        <v/>
      </c>
      <c r="AE1002" s="162"/>
      <c r="AF1002" s="148"/>
    </row>
  </sheetData>
  <mergeCells count="8">
    <mergeCell ref="A7:A8"/>
    <mergeCell ref="E7:E8"/>
    <mergeCell ref="I7:I8"/>
    <mergeCell ref="M7:M8"/>
    <mergeCell ref="Q7:Q8"/>
    <mergeCell ref="U7:U8"/>
    <mergeCell ref="Y7:Y8"/>
    <mergeCell ref="AC7:AC8"/>
  </mergeCells>
  <conditionalFormatting sqref="B11:B1002 F11:F1002 J11:J1002 N11:N1002 R11:R1002 V11:V1002 Z11:Z1002 AD11:AD1002">
    <cfRule type="cellIs" dxfId="1" priority="1" operator="greaterThan">
      <formula>0</formula>
    </cfRule>
  </conditionalFormatting>
  <conditionalFormatting sqref="B11:B1002 F11:F1002 J11:J1002 N11:N1002 R11:R1002 V11:V1002 Z11:Z1002 AD11:AD1002">
    <cfRule type="cellIs" dxfId="2" priority="2" operator="equal">
      <formula>0</formula>
    </cfRule>
  </conditionalFormatting>
  <conditionalFormatting sqref="B11:B1002 F11:F1002 J11:J1002 N11:N1002 R11:R1002 V11:V1002 Z11:Z1002 AD11:AD1002">
    <cfRule type="cellIs" dxfId="3" priority="3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7.5"/>
    <col customWidth="1" min="3" max="3" width="7.25"/>
    <col customWidth="1" min="4" max="4" width="0.38"/>
    <col customWidth="1" min="5" max="5" width="13.75"/>
    <col customWidth="1" min="6" max="6" width="7.5"/>
    <col customWidth="1" min="7" max="7" width="7.25"/>
    <col customWidth="1" min="8" max="8" width="0.38"/>
    <col customWidth="1" min="9" max="9" width="13.75"/>
    <col customWidth="1" min="10" max="10" width="7.5"/>
    <col customWidth="1" min="11" max="11" width="7.25"/>
    <col customWidth="1" min="12" max="12" width="0.38"/>
    <col customWidth="1" min="13" max="13" width="12.5"/>
    <col customWidth="1" min="14" max="14" width="7.5"/>
    <col customWidth="1" min="15" max="15" width="7.25"/>
    <col customWidth="1" min="16" max="16" width="0.38"/>
    <col customWidth="1" min="17" max="17" width="12.5"/>
    <col customWidth="1" min="18" max="18" width="7.5"/>
    <col customWidth="1" min="19" max="19" width="7.25"/>
    <col customWidth="1" min="20" max="20" width="0.38"/>
    <col customWidth="1" min="21" max="21" width="12.5"/>
    <col customWidth="1" min="22" max="22" width="7.5"/>
    <col customWidth="1" min="23" max="23" width="7.25"/>
    <col customWidth="1" min="24" max="24" width="0.38"/>
    <col customWidth="1" min="25" max="25" width="11.5"/>
    <col customWidth="1" min="26" max="26" width="7.5"/>
    <col customWidth="1" min="27" max="27" width="7.25"/>
    <col customWidth="1" min="28" max="28" width="0.38"/>
    <col customWidth="1" min="29" max="29" width="11.5"/>
    <col customWidth="1" min="30" max="30" width="7.5"/>
    <col customWidth="1" min="31" max="31" width="7.25"/>
    <col customWidth="1" min="32" max="32" width="0.38"/>
  </cols>
  <sheetData>
    <row r="1">
      <c r="A1" s="154" t="s">
        <v>13</v>
      </c>
      <c r="B1" s="155" t="s">
        <v>2259</v>
      </c>
      <c r="C1" s="155" t="s">
        <v>2260</v>
      </c>
      <c r="D1" s="149"/>
      <c r="E1" s="154" t="s">
        <v>14</v>
      </c>
      <c r="F1" s="155" t="s">
        <v>2259</v>
      </c>
      <c r="G1" s="155" t="s">
        <v>2260</v>
      </c>
      <c r="H1" s="149"/>
      <c r="I1" s="156" t="s">
        <v>15</v>
      </c>
      <c r="J1" s="155" t="s">
        <v>2259</v>
      </c>
      <c r="K1" s="155" t="s">
        <v>2260</v>
      </c>
      <c r="L1" s="149"/>
      <c r="M1" s="154" t="s">
        <v>16</v>
      </c>
      <c r="N1" s="155" t="s">
        <v>2259</v>
      </c>
      <c r="O1" s="155" t="s">
        <v>2260</v>
      </c>
      <c r="P1" s="149"/>
      <c r="Q1" s="154" t="s">
        <v>17</v>
      </c>
      <c r="R1" s="155" t="s">
        <v>2259</v>
      </c>
      <c r="S1" s="155" t="s">
        <v>2260</v>
      </c>
      <c r="T1" s="149"/>
      <c r="U1" s="154" t="s">
        <v>2261</v>
      </c>
      <c r="V1" s="155" t="s">
        <v>2259</v>
      </c>
      <c r="W1" s="155" t="s">
        <v>2260</v>
      </c>
      <c r="X1" s="149"/>
      <c r="Y1" s="154" t="s">
        <v>19</v>
      </c>
      <c r="Z1" s="155" t="s">
        <v>2259</v>
      </c>
      <c r="AA1" s="155" t="s">
        <v>2260</v>
      </c>
      <c r="AB1" s="149"/>
      <c r="AC1" s="154" t="s">
        <v>20</v>
      </c>
      <c r="AD1" s="155" t="s">
        <v>2259</v>
      </c>
      <c r="AE1" s="155" t="s">
        <v>2260</v>
      </c>
      <c r="AF1" s="149"/>
    </row>
    <row r="2">
      <c r="B2" s="157">
        <f>SUM('Por data'!B2:B6)+SUM(B5:B996)</f>
        <v>27.14718614</v>
      </c>
      <c r="C2" s="158">
        <f>SUMIF(C5:C996, "", B5:B996)</f>
        <v>-185.3428139</v>
      </c>
      <c r="D2" s="149"/>
      <c r="F2" s="157">
        <f>SUM('Por data'!F2:F6)+SUM(F5:F996)</f>
        <v>-24.78681475</v>
      </c>
      <c r="G2" s="158">
        <f>SUMIF(G5:G996, "", F5:F996)</f>
        <v>-60.78681475</v>
      </c>
      <c r="H2" s="149"/>
      <c r="J2" s="157">
        <f>SUM('Por data'!J2:J6)+SUM(J5:J996)</f>
        <v>127.9776589</v>
      </c>
      <c r="K2" s="158">
        <f>SUMIF(K5:K996, "", J5:J996)</f>
        <v>-175.4123411</v>
      </c>
      <c r="L2" s="149"/>
      <c r="N2" s="157">
        <f>SUM('Por data'!N2:N6)+SUM(N5:N996)</f>
        <v>214.3694697</v>
      </c>
      <c r="O2" s="158">
        <f>SUMIF(O5:O996, "", N5:N996)</f>
        <v>-34.2105303</v>
      </c>
      <c r="P2" s="149"/>
      <c r="R2" s="157">
        <f>SUM('Por data'!R2:R6)+SUM(R5:R996)</f>
        <v>113.27</v>
      </c>
      <c r="S2" s="158">
        <f>SUMIF(S5:S996, "", R5:R996)</f>
        <v>-26.5</v>
      </c>
      <c r="T2" s="149"/>
      <c r="V2" s="157">
        <f>SUM('Por data'!V2:V6)+SUM(V5:V996)</f>
        <v>0.5825</v>
      </c>
      <c r="W2" s="158">
        <f>SUMIF(W5:W996, "", V5:V996)</f>
        <v>-10.9975</v>
      </c>
      <c r="X2" s="149"/>
      <c r="Z2" s="157">
        <f>SUM('Por data'!Z2:Z6)+SUM(Z5:Z996)</f>
        <v>13.68</v>
      </c>
      <c r="AA2" s="158">
        <f>SUMIF(AA5:AA996, "", Z5:Z996)</f>
        <v>0</v>
      </c>
      <c r="AB2" s="149"/>
      <c r="AD2" s="157">
        <f>SUM('Por data'!AD2:AD6)+SUM(AD5:AD996)</f>
        <v>7.78</v>
      </c>
      <c r="AE2" s="158">
        <f>SUMIF(AE5:AE996, "", AD5:AD996)</f>
        <v>0</v>
      </c>
      <c r="AF2" s="149"/>
    </row>
    <row r="3" ht="1.5" customHeight="1">
      <c r="A3" s="159" t="s">
        <v>2262</v>
      </c>
      <c r="B3" s="159" t="s">
        <v>2262</v>
      </c>
      <c r="C3" s="160" t="s">
        <v>2262</v>
      </c>
      <c r="D3" s="159" t="s">
        <v>2262</v>
      </c>
      <c r="E3" s="159" t="s">
        <v>2262</v>
      </c>
      <c r="F3" s="159" t="s">
        <v>2262</v>
      </c>
      <c r="G3" s="160" t="s">
        <v>2262</v>
      </c>
      <c r="H3" s="149"/>
      <c r="I3" s="159" t="s">
        <v>2262</v>
      </c>
      <c r="J3" s="159" t="s">
        <v>2262</v>
      </c>
      <c r="K3" s="160" t="s">
        <v>2262</v>
      </c>
      <c r="L3" s="159" t="s">
        <v>2262</v>
      </c>
      <c r="M3" s="159" t="s">
        <v>2262</v>
      </c>
      <c r="N3" s="159" t="s">
        <v>2262</v>
      </c>
      <c r="O3" s="160" t="s">
        <v>2262</v>
      </c>
      <c r="P3" s="159" t="s">
        <v>2262</v>
      </c>
      <c r="Q3" s="159" t="s">
        <v>2262</v>
      </c>
      <c r="R3" s="159" t="s">
        <v>2262</v>
      </c>
      <c r="S3" s="160" t="s">
        <v>2262</v>
      </c>
      <c r="T3" s="159" t="s">
        <v>2262</v>
      </c>
      <c r="U3" s="159" t="s">
        <v>2262</v>
      </c>
      <c r="V3" s="159" t="s">
        <v>2262</v>
      </c>
      <c r="W3" s="160" t="s">
        <v>2262</v>
      </c>
      <c r="X3" s="159" t="s">
        <v>2262</v>
      </c>
      <c r="Y3" s="159" t="s">
        <v>2262</v>
      </c>
      <c r="Z3" s="159" t="s">
        <v>2262</v>
      </c>
      <c r="AA3" s="160" t="s">
        <v>2262</v>
      </c>
      <c r="AB3" s="159" t="s">
        <v>2262</v>
      </c>
      <c r="AC3" s="159" t="s">
        <v>2262</v>
      </c>
      <c r="AD3" s="159" t="s">
        <v>2262</v>
      </c>
      <c r="AE3" s="160" t="s">
        <v>2262</v>
      </c>
      <c r="AF3" s="149"/>
    </row>
    <row r="4">
      <c r="A4" s="163" t="s">
        <v>2263</v>
      </c>
      <c r="B4" s="143" t="s">
        <v>2254</v>
      </c>
      <c r="C4" s="143"/>
      <c r="D4" s="144"/>
      <c r="E4" s="163" t="s">
        <v>2263</v>
      </c>
      <c r="F4" s="143" t="s">
        <v>2254</v>
      </c>
      <c r="G4" s="143"/>
      <c r="H4" s="144"/>
      <c r="I4" s="163" t="s">
        <v>2263</v>
      </c>
      <c r="J4" s="143" t="s">
        <v>2254</v>
      </c>
      <c r="K4" s="143"/>
      <c r="L4" s="144"/>
      <c r="M4" s="163" t="s">
        <v>2263</v>
      </c>
      <c r="N4" s="143" t="s">
        <v>2254</v>
      </c>
      <c r="O4" s="143"/>
      <c r="P4" s="144"/>
      <c r="Q4" s="163" t="s">
        <v>2263</v>
      </c>
      <c r="R4" s="143" t="s">
        <v>2254</v>
      </c>
      <c r="S4" s="143"/>
      <c r="T4" s="144"/>
      <c r="U4" s="163" t="s">
        <v>2263</v>
      </c>
      <c r="V4" s="143" t="s">
        <v>2254</v>
      </c>
      <c r="W4" s="143"/>
      <c r="X4" s="144"/>
      <c r="Y4" s="163" t="s">
        <v>2263</v>
      </c>
      <c r="Z4" s="143" t="s">
        <v>2254</v>
      </c>
      <c r="AA4" s="143"/>
      <c r="AB4" s="144"/>
      <c r="AC4" s="163" t="s">
        <v>2263</v>
      </c>
      <c r="AD4" s="143" t="s">
        <v>2254</v>
      </c>
      <c r="AE4" s="143"/>
      <c r="AF4" s="144"/>
    </row>
    <row r="5">
      <c r="A5" s="161" t="str">
        <f>IFERROR(__xludf.DUMMYFUNCTION("SORT(UNIQUE(FILTER(Bets!$F$5:$F996, Bets!$F$5:$F996&lt;&gt;"""", Bets!Z5:Z996&lt;&gt;"""")),1, TRUE)"),"⚽ 24 MLS")</f>
        <v>⚽ 24 MLS</v>
      </c>
      <c r="B5" s="146">
        <f>IF(A5&lt;&gt;"", SUMIF(Bets!$F:$F, A5, Bets!Z:Z), "")</f>
        <v>5.4</v>
      </c>
      <c r="C5" s="162"/>
      <c r="D5" s="148"/>
      <c r="E5" s="161" t="str">
        <f>IFERROR(__xludf.DUMMYFUNCTION("SORT(UNIQUE(FILTER(Bets!$F$5:$F996, Bets!$F$5:$F996&lt;&gt;"""", Bets!AB5:AB996&lt;&gt;"""")),1, TRUE)"),"🏀 23-24 01(Jan)")</f>
        <v>🏀 23-24 01(Jan)</v>
      </c>
      <c r="F5" s="146">
        <f>IF(E5&lt;&gt;"", SUMIF(Bets!$F:$F, E5, Bets!AB:AB), "")</f>
        <v>-2.613666667</v>
      </c>
      <c r="G5" s="162"/>
      <c r="H5" s="148"/>
      <c r="I5" s="161" t="str">
        <f>IFERROR(__xludf.DUMMYFUNCTION("SORT(UNIQUE(FILTER(Bets!$F$5:$F996, Bets!$F$5:$F996&lt;&gt;"""", Bets!AA5:AA996&lt;&gt;"""")),1, TRUE)"),"⚽ 25 Club WC")</f>
        <v>⚽ 25 Club WC</v>
      </c>
      <c r="J5" s="146">
        <f>IF(I5&lt;&gt;"", SUMIF(Bets!$F:$F, I5, Bets!AA:AA),)</f>
        <v>-0.076</v>
      </c>
      <c r="K5" s="162"/>
      <c r="L5" s="148"/>
      <c r="M5" s="161" t="str">
        <f>IFERROR(__xludf.DUMMYFUNCTION("SORT(UNIQUE(FILTER(Bets!$F$5:$F996, Bets!$F$5:$F996&lt;&gt;"""", Bets!AC5:AC996&lt;&gt;"""")),1, TRUE)"),"🏀 23-24 12(Dez)")</f>
        <v>🏀 23-24 12(Dez)</v>
      </c>
      <c r="N5" s="146">
        <f>IF(M5&lt;&gt;"", SUMIF(Bets!$F:$F, M5, Bets!AC:AC), "")</f>
        <v>-7.5</v>
      </c>
      <c r="O5" s="162"/>
      <c r="P5" s="148"/>
      <c r="Q5" s="161" t="str">
        <f>IFERROR(__xludf.DUMMYFUNCTION("IFERROR(UNIQUE(FILTER(Bets!$F$5:$F996, Bets!$F$5:$F996&lt;&gt;"""", Bets!AD5:AD996&lt;&gt;"""")))"),"🏈 23-24 Wk 22 SB")</f>
        <v>🏈 23-24 Wk 22 SB</v>
      </c>
      <c r="R5" s="146">
        <f>IF(Q5&lt;&gt;"", SUMIF(Bets!$F:$F, Q5, Bets!AD:AD), "")</f>
        <v>-10</v>
      </c>
      <c r="S5" s="162"/>
      <c r="T5" s="148"/>
      <c r="U5" s="161" t="str">
        <f>IFERROR(__xludf.DUMMYFUNCTION("IFERROR(UNIQUE(FILTER(Bets!$F$5:$F996, Bets!$F$5:$F996&lt;&gt;"""", Bets!AE5:AE996&lt;&gt;"""")))"),"🏀 23-24 12(Dez)")</f>
        <v>🏀 23-24 12(Dez)</v>
      </c>
      <c r="V5" s="146">
        <f>IF(U5&lt;&gt;"", SUMIF(Bets!$F:$F, U5, Bets!AE:AE), "")</f>
        <v>-6</v>
      </c>
      <c r="W5" s="162"/>
      <c r="X5" s="148"/>
      <c r="Y5" s="161" t="str">
        <f>IFERROR(__xludf.DUMMYFUNCTION("IFERROR(UNIQUE(FILTER(Bets!$F$5:$F996, Bets!$F$5:$F996&lt;&gt;"""", Bets!AF5:AF996&lt;&gt;"""")))"),"")</f>
        <v/>
      </c>
      <c r="Z5" s="146" t="str">
        <f>IF(Y5&lt;&gt;"", SUMIF(Bets!$F:$F, Y5, Bets!AF:AF), "")</f>
        <v/>
      </c>
      <c r="AA5" s="162"/>
      <c r="AB5" s="148"/>
      <c r="AC5" s="161" t="str">
        <f>IFERROR(__xludf.DUMMYFUNCTION("IFERROR(SORT(UNIQUE(FILTER(Bets!$F$5:$F996, Bets!$F$5:$F996&lt;&gt;"""", Bets!AG5:AG996&lt;&gt;"""")), 1, FALSE), """")"),"")</f>
        <v/>
      </c>
      <c r="AD5" s="146" t="str">
        <f>IF(AC5&lt;&gt;"", SUMIF(Bets!$F:$F, AC5, Bets!AG:AG), "")</f>
        <v/>
      </c>
      <c r="AE5" s="162"/>
      <c r="AF5" s="148"/>
    </row>
    <row r="6">
      <c r="A6" s="161" t="str">
        <f>IFERROR(__xludf.DUMMYFUNCTION("""COMPUTED_VALUE"""),"⚽ 25 Club WC")</f>
        <v>⚽ 25 Club WC</v>
      </c>
      <c r="B6" s="146">
        <f>IF(A6&lt;&gt;"", SUMIF(Bets!$F:$F, A6, Bets!Z:Z), "")</f>
        <v>0.886</v>
      </c>
      <c r="C6" s="162"/>
      <c r="D6" s="148"/>
      <c r="E6" s="161" t="str">
        <f>IFERROR(__xludf.DUMMYFUNCTION("""COMPUTED_VALUE"""),"🏀 23-24 02(Fev)")</f>
        <v>🏀 23-24 02(Fev)</v>
      </c>
      <c r="F6" s="146">
        <f>IF(E6&lt;&gt;"", SUMIF(Bets!$F:$F, E6, Bets!AB:AB), "")</f>
        <v>-2</v>
      </c>
      <c r="G6" s="162"/>
      <c r="H6" s="148"/>
      <c r="I6" s="161" t="str">
        <f>IFERROR(__xludf.DUMMYFUNCTION("""COMPUTED_VALUE"""),"⚽ 25 FIFA WC")</f>
        <v>⚽ 25 FIFA WC</v>
      </c>
      <c r="J6" s="146">
        <f>IF(I6&lt;&gt;"", SUMIF(Bets!$F:$F, I6, Bets!AA:AA),)</f>
        <v>2.88</v>
      </c>
      <c r="K6" s="162"/>
      <c r="L6" s="148"/>
      <c r="M6" s="161" t="str">
        <f>IFERROR(__xludf.DUMMYFUNCTION("""COMPUTED_VALUE"""),"🏈 23-24 Wk 10")</f>
        <v>🏈 23-24 Wk 10</v>
      </c>
      <c r="N6" s="146">
        <f>IF(M6&lt;&gt;"", SUMIF(Bets!$F:$F, M6, Bets!AC:AC), "")</f>
        <v>-10</v>
      </c>
      <c r="O6" s="162"/>
      <c r="P6" s="148"/>
      <c r="Q6" s="161" t="str">
        <f>IFERROR(__xludf.DUMMYFUNCTION("""COMPUTED_VALUE"""),"🏈 25-26 wk01")</f>
        <v>🏈 25-26 wk01</v>
      </c>
      <c r="R6" s="146">
        <f>IF(Q6&lt;&gt;"", SUMIF(Bets!$F:$F, Q6, Bets!AD:AD), "")</f>
        <v>-2</v>
      </c>
      <c r="S6" s="162"/>
      <c r="T6" s="148"/>
      <c r="U6" s="161" t="str">
        <f>IFERROR(__xludf.DUMMYFUNCTION("""COMPUTED_VALUE"""),"🏈 23-24 Wk 22 SB")</f>
        <v>🏈 23-24 Wk 22 SB</v>
      </c>
      <c r="V6" s="146">
        <f>IF(U6&lt;&gt;"", SUMIF(Bets!$F:$F, U6, Bets!AE:AE), "")</f>
        <v>-3.3375</v>
      </c>
      <c r="W6" s="162"/>
      <c r="X6" s="148"/>
      <c r="Y6" s="161"/>
      <c r="Z6" s="146"/>
      <c r="AA6" s="162"/>
      <c r="AB6" s="148"/>
      <c r="AC6" s="161"/>
      <c r="AD6" s="146"/>
      <c r="AE6" s="162"/>
      <c r="AF6" s="148"/>
    </row>
    <row r="7">
      <c r="A7" s="161" t="str">
        <f>IFERROR(__xludf.DUMMYFUNCTION("""COMPUTED_VALUE"""),"⚽ 25 FIFA WC")</f>
        <v>⚽ 25 FIFA WC</v>
      </c>
      <c r="B7" s="146">
        <f>IF(A7&lt;&gt;"", SUMIF(Bets!$F:$F, A7, Bets!Z:Z), "")</f>
        <v>1.92</v>
      </c>
      <c r="C7" s="162"/>
      <c r="D7" s="148"/>
      <c r="E7" s="161" t="str">
        <f>IFERROR(__xludf.DUMMYFUNCTION("""COMPUTED_VALUE"""),"🏀 23-24 11(Nov)")</f>
        <v>🏀 23-24 11(Nov)</v>
      </c>
      <c r="F7" s="146">
        <f>IF(E7&lt;&gt;"", SUMIF(Bets!$F:$F, E7, Bets!AB:AB), "")</f>
        <v>3.50477381</v>
      </c>
      <c r="G7" s="162"/>
      <c r="H7" s="148"/>
      <c r="I7" s="161" t="str">
        <f>IFERROR(__xludf.DUMMYFUNCTION("""COMPUTED_VALUE"""),"🏀 23-24 01(Jan)")</f>
        <v>🏀 23-24 01(Jan)</v>
      </c>
      <c r="J7" s="146">
        <f>IF(I7&lt;&gt;"", SUMIF(Bets!$F:$F, I7, Bets!AA:AA),)</f>
        <v>15.501</v>
      </c>
      <c r="K7" s="162"/>
      <c r="L7" s="148"/>
      <c r="M7" s="161" t="str">
        <f>IFERROR(__xludf.DUMMYFUNCTION("""COMPUTED_VALUE"""),"🏈 23-24 Wk 11")</f>
        <v>🏈 23-24 Wk 11</v>
      </c>
      <c r="N7" s="146">
        <f>IF(M7&lt;&gt;"", SUMIF(Bets!$F:$F, M7, Bets!AC:AC), "")</f>
        <v>-5</v>
      </c>
      <c r="O7" s="162"/>
      <c r="P7" s="148"/>
      <c r="Q7" s="161" t="str">
        <f>IFERROR(__xludf.DUMMYFUNCTION("""COMPUTED_VALUE"""),"🏈 25-26 wk06")</f>
        <v>🏈 25-26 wk06</v>
      </c>
      <c r="R7" s="146">
        <f>IF(Q7&lt;&gt;"", SUMIF(Bets!$F:$F, Q7, Bets!AD:AD), "")</f>
        <v>-3</v>
      </c>
      <c r="S7" s="162"/>
      <c r="T7" s="148"/>
      <c r="U7" s="161" t="str">
        <f>IFERROR(__xludf.DUMMYFUNCTION("""COMPUTED_VALUE"""),"🏈 25-26 wk01")</f>
        <v>🏈 25-26 wk01</v>
      </c>
      <c r="V7" s="146">
        <f>IF(U7&lt;&gt;"", SUMIF(Bets!$F:$F, U7, Bets!AE:AE), "")</f>
        <v>-1.66</v>
      </c>
      <c r="W7" s="162"/>
      <c r="X7" s="148"/>
      <c r="Y7" s="161"/>
      <c r="Z7" s="146"/>
      <c r="AA7" s="162"/>
      <c r="AB7" s="148"/>
      <c r="AC7" s="161"/>
      <c r="AD7" s="146"/>
      <c r="AE7" s="162"/>
      <c r="AF7" s="148"/>
    </row>
    <row r="8">
      <c r="A8" s="161" t="str">
        <f>IFERROR(__xludf.DUMMYFUNCTION("""COMPUTED_VALUE"""),"🏀 23-24 01(Jan)")</f>
        <v>🏀 23-24 01(Jan)</v>
      </c>
      <c r="B8" s="146">
        <f>IF(A8&lt;&gt;"", SUMIF(Bets!$F:$F, A8, Bets!Z:Z), "")</f>
        <v>-6.727333333</v>
      </c>
      <c r="C8" s="162"/>
      <c r="D8" s="148"/>
      <c r="E8" s="161" t="str">
        <f>IFERROR(__xludf.DUMMYFUNCTION("""COMPUTED_VALUE"""),"🏀 23-24 12(Dez)")</f>
        <v>🏀 23-24 12(Dez)</v>
      </c>
      <c r="F8" s="146">
        <f>IF(E8&lt;&gt;"", SUMIF(Bets!$F:$F, E8, Bets!AB:AB), "")</f>
        <v>-8.195318015</v>
      </c>
      <c r="G8" s="162"/>
      <c r="H8" s="148"/>
      <c r="I8" s="161" t="str">
        <f>IFERROR(__xludf.DUMMYFUNCTION("""COMPUTED_VALUE"""),"🏀 23-24 02(Fev)")</f>
        <v>🏀 23-24 02(Fev)</v>
      </c>
      <c r="J8" s="146">
        <f>IF(I8&lt;&gt;"", SUMIF(Bets!$F:$F, I8, Bets!AA:AA),)</f>
        <v>67.64625</v>
      </c>
      <c r="K8" s="162"/>
      <c r="L8" s="148"/>
      <c r="M8" s="161" t="str">
        <f>IFERROR(__xludf.DUMMYFUNCTION("""COMPUTED_VALUE"""),"🏈 23-24 Wk 13")</f>
        <v>🏈 23-24 Wk 13</v>
      </c>
      <c r="N8" s="146">
        <f>IF(M8&lt;&gt;"", SUMIF(Bets!$F:$F, M8, Bets!AC:AC), "")</f>
        <v>-5.5</v>
      </c>
      <c r="O8" s="162"/>
      <c r="P8" s="148"/>
      <c r="Q8" s="161" t="str">
        <f>IFERROR(__xludf.DUMMYFUNCTION("""COMPUTED_VALUE"""),"🏈 25-26 wkSB")</f>
        <v>🏈 25-26 wkSB</v>
      </c>
      <c r="R8" s="146">
        <f>IF(Q8&lt;&gt;"", SUMIF(Bets!$F:$F, Q8, Bets!AD:AD), "")</f>
        <v>-11.5</v>
      </c>
      <c r="S8" s="162"/>
      <c r="T8" s="148"/>
      <c r="U8" s="161"/>
      <c r="V8" s="146"/>
      <c r="W8" s="162"/>
      <c r="X8" s="148"/>
      <c r="Y8" s="161"/>
      <c r="Z8" s="146"/>
      <c r="AA8" s="162"/>
      <c r="AB8" s="148"/>
      <c r="AC8" s="161"/>
      <c r="AD8" s="146"/>
      <c r="AE8" s="162"/>
      <c r="AF8" s="148"/>
    </row>
    <row r="9">
      <c r="A9" s="161" t="str">
        <f>IFERROR(__xludf.DUMMYFUNCTION("""COMPUTED_VALUE"""),"🏀 23-24 02(Fev)")</f>
        <v>🏀 23-24 02(Fev)</v>
      </c>
      <c r="B9" s="146">
        <f>IF(A9&lt;&gt;"", SUMIF(Bets!$F:$F, A9, Bets!Z:Z), "")</f>
        <v>21.08375</v>
      </c>
      <c r="C9" s="162"/>
      <c r="D9" s="148"/>
      <c r="E9" s="161" t="str">
        <f>IFERROR(__xludf.DUMMYFUNCTION("""COMPUTED_VALUE"""),"🏈 23-24 Futures")</f>
        <v>🏈 23-24 Futures</v>
      </c>
      <c r="F9" s="146">
        <f>IF(E9&lt;&gt;"", SUMIF(Bets!$F:$F, E9, Bets!AB:AB), "")</f>
        <v>-5.25</v>
      </c>
      <c r="G9" s="162"/>
      <c r="H9" s="148"/>
      <c r="I9" s="161" t="str">
        <f>IFERROR(__xludf.DUMMYFUNCTION("""COMPUTED_VALUE"""),"🏀 23-24 03(Mar)")</f>
        <v>🏀 23-24 03(Mar)</v>
      </c>
      <c r="J9" s="146">
        <f>IF(I9&lt;&gt;"", SUMIF(Bets!$F:$F, I9, Bets!AA:AA),)</f>
        <v>-23.785</v>
      </c>
      <c r="K9" s="162"/>
      <c r="L9" s="148"/>
      <c r="M9" s="161" t="str">
        <f>IFERROR(__xludf.DUMMYFUNCTION("""COMPUTED_VALUE"""),"🏈 23-24 Wk 22 SB")</f>
        <v>🏈 23-24 Wk 22 SB</v>
      </c>
      <c r="N9" s="146">
        <f>IF(M9&lt;&gt;"", SUMIF(Bets!$F:$F, M9, Bets!AC:AC), "")</f>
        <v>-3.083863636</v>
      </c>
      <c r="O9" s="162"/>
      <c r="P9" s="148"/>
      <c r="Q9" s="161"/>
      <c r="R9" s="146"/>
      <c r="S9" s="162"/>
      <c r="T9" s="148"/>
      <c r="U9" s="161"/>
      <c r="V9" s="146"/>
      <c r="W9" s="162"/>
      <c r="X9" s="148"/>
      <c r="Y9" s="161"/>
      <c r="Z9" s="146"/>
      <c r="AA9" s="162"/>
      <c r="AB9" s="148"/>
      <c r="AC9" s="161"/>
      <c r="AD9" s="146"/>
      <c r="AE9" s="162"/>
      <c r="AF9" s="148"/>
    </row>
    <row r="10">
      <c r="A10" s="161" t="str">
        <f>IFERROR(__xludf.DUMMYFUNCTION("""COMPUTED_VALUE"""),"🏀 23-24 03(Mar)")</f>
        <v>🏀 23-24 03(Mar)</v>
      </c>
      <c r="B10" s="146">
        <f>IF(A10&lt;&gt;"", SUMIF(Bets!$F:$F, A10, Bets!Z:Z), "")</f>
        <v>-14.065</v>
      </c>
      <c r="C10" s="162"/>
      <c r="D10" s="148"/>
      <c r="E10" s="161" t="str">
        <f>IFERROR(__xludf.DUMMYFUNCTION("""COMPUTED_VALUE"""),"🏈 23-24 Wk 09")</f>
        <v>🏈 23-24 Wk 09</v>
      </c>
      <c r="F10" s="146">
        <f>IF(E10&lt;&gt;"", SUMIF(Bets!$F:$F, E10, Bets!AB:AB), "")</f>
        <v>11.17805</v>
      </c>
      <c r="G10" s="162"/>
      <c r="H10" s="148"/>
      <c r="I10" s="161" t="str">
        <f>IFERROR(__xludf.DUMMYFUNCTION("""COMPUTED_VALUE"""),"🏀 23-24 04(Abr)")</f>
        <v>🏀 23-24 04(Abr)</v>
      </c>
      <c r="J10" s="146">
        <f>IF(I10&lt;&gt;"", SUMIF(Bets!$F:$F, I10, Bets!AA:AA),)</f>
        <v>8.946</v>
      </c>
      <c r="K10" s="162"/>
      <c r="L10" s="148"/>
      <c r="M10" s="161" t="str">
        <f>IFERROR(__xludf.DUMMYFUNCTION("""COMPUTED_VALUE"""),"🏈 24-25 wk01")</f>
        <v>🏈 24-25 wk01</v>
      </c>
      <c r="N10" s="146">
        <f>IF(M10&lt;&gt;"", SUMIF(Bets!$F:$F, M10, Bets!AC:AC), "")</f>
        <v>1.873333333</v>
      </c>
      <c r="O10" s="162"/>
      <c r="P10" s="148"/>
      <c r="Q10" s="161"/>
      <c r="R10" s="146"/>
      <c r="S10" s="162"/>
      <c r="T10" s="148"/>
      <c r="U10" s="161"/>
      <c r="V10" s="146"/>
      <c r="W10" s="162"/>
      <c r="X10" s="148"/>
      <c r="Y10" s="161"/>
      <c r="Z10" s="146"/>
      <c r="AA10" s="162"/>
      <c r="AB10" s="148"/>
      <c r="AC10" s="161"/>
      <c r="AD10" s="146"/>
      <c r="AE10" s="162"/>
      <c r="AF10" s="148"/>
    </row>
    <row r="11">
      <c r="A11" s="161" t="str">
        <f>IFERROR(__xludf.DUMMYFUNCTION("""COMPUTED_VALUE"""),"🏀 23-24 04(Abr)")</f>
        <v>🏀 23-24 04(Abr)</v>
      </c>
      <c r="B11" s="146">
        <f>IF(A11&lt;&gt;"", SUMIF(Bets!$F:$F, A11, Bets!Z:Z), "")</f>
        <v>8.884</v>
      </c>
      <c r="C11" s="162"/>
      <c r="D11" s="148"/>
      <c r="E11" s="161" t="str">
        <f>IFERROR(__xludf.DUMMYFUNCTION("""COMPUTED_VALUE"""),"🏈 23-24 Wk 10")</f>
        <v>🏈 23-24 Wk 10</v>
      </c>
      <c r="F11" s="146">
        <f>IF(E11&lt;&gt;"", SUMIF(Bets!$F:$F, E11, Bets!AB:AB), "")</f>
        <v>2.77075</v>
      </c>
      <c r="G11" s="162"/>
      <c r="H11" s="148"/>
      <c r="I11" s="161" t="str">
        <f>IFERROR(__xludf.DUMMYFUNCTION("""COMPUTED_VALUE"""),"🏀 23-24 11(Nov)")</f>
        <v>🏀 23-24 11(Nov)</v>
      </c>
      <c r="J11" s="146">
        <f>IF(I11&lt;&gt;"", SUMIF(Bets!$F:$F, I11, Bets!AA:AA),)</f>
        <v>-5.108654762</v>
      </c>
      <c r="K11" s="162"/>
      <c r="L11" s="148"/>
      <c r="M11" s="161" t="str">
        <f>IFERROR(__xludf.DUMMYFUNCTION("""COMPUTED_VALUE"""),"🏈 25-26 wkSB")</f>
        <v>🏈 25-26 wkSB</v>
      </c>
      <c r="N11" s="146">
        <f>IF(M11&lt;&gt;"", SUMIF(Bets!$F:$F, M11, Bets!AC:AC), "")</f>
        <v>-5</v>
      </c>
      <c r="O11" s="162"/>
      <c r="P11" s="148"/>
      <c r="Q11" s="161"/>
      <c r="R11" s="146"/>
      <c r="S11" s="162"/>
      <c r="T11" s="148"/>
      <c r="U11" s="161"/>
      <c r="V11" s="146"/>
      <c r="W11" s="162"/>
      <c r="X11" s="148"/>
      <c r="Y11" s="161"/>
      <c r="Z11" s="146"/>
      <c r="AA11" s="162"/>
      <c r="AB11" s="148"/>
      <c r="AC11" s="161"/>
      <c r="AD11" s="146"/>
      <c r="AE11" s="162"/>
      <c r="AF11" s="148"/>
    </row>
    <row r="12">
      <c r="A12" s="161" t="str">
        <f>IFERROR(__xludf.DUMMYFUNCTION("""COMPUTED_VALUE"""),"🏀 23-24 11(Nov)")</f>
        <v>🏀 23-24 11(Nov)</v>
      </c>
      <c r="B12" s="146">
        <f>IF(A12&lt;&gt;"", SUMIF(Bets!$F:$F, A12, Bets!Z:Z), "")</f>
        <v>0.07388095238</v>
      </c>
      <c r="C12" s="162"/>
      <c r="D12" s="148"/>
      <c r="E12" s="161" t="str">
        <f>IFERROR(__xludf.DUMMYFUNCTION("""COMPUTED_VALUE"""),"🏈 23-24 Wk 11")</f>
        <v>🏈 23-24 Wk 11</v>
      </c>
      <c r="F12" s="146">
        <f>IF(E12&lt;&gt;"", SUMIF(Bets!$F:$F, E12, Bets!AB:AB), "")</f>
        <v>3.568076923</v>
      </c>
      <c r="G12" s="162"/>
      <c r="H12" s="148"/>
      <c r="I12" s="161" t="str">
        <f>IFERROR(__xludf.DUMMYFUNCTION("""COMPUTED_VALUE"""),"🏀 23-24 12(Dez)")</f>
        <v>🏀 23-24 12(Dez)</v>
      </c>
      <c r="J12" s="146">
        <f>IF(I12&lt;&gt;"", SUMIF(Bets!$F:$F, I12, Bets!AA:AA),)</f>
        <v>4.451798202</v>
      </c>
      <c r="K12" s="162"/>
      <c r="L12" s="148"/>
      <c r="M12" s="161"/>
      <c r="N12" s="146" t="str">
        <f>IF(M12&lt;&gt;"", SUMIF(Bets!$F:$F, M12, Bets!AC:AC), "")</f>
        <v/>
      </c>
      <c r="O12" s="162"/>
      <c r="P12" s="148"/>
      <c r="Q12" s="161"/>
      <c r="R12" s="146"/>
      <c r="S12" s="162"/>
      <c r="T12" s="148"/>
      <c r="U12" s="161"/>
      <c r="V12" s="146"/>
      <c r="W12" s="162"/>
      <c r="X12" s="148"/>
      <c r="Y12" s="161"/>
      <c r="Z12" s="146"/>
      <c r="AA12" s="162"/>
      <c r="AB12" s="148"/>
      <c r="AC12" s="161"/>
      <c r="AD12" s="146"/>
      <c r="AE12" s="162"/>
      <c r="AF12" s="148"/>
    </row>
    <row r="13">
      <c r="A13" s="161" t="str">
        <f>IFERROR(__xludf.DUMMYFUNCTION("""COMPUTED_VALUE"""),"🏀 23-24 12(Dez)")</f>
        <v>🏀 23-24 12(Dez)</v>
      </c>
      <c r="B13" s="146">
        <f>IF(A13&lt;&gt;"", SUMIF(Bets!$F:$F, A13, Bets!Z:Z), "")</f>
        <v>-5.266480186</v>
      </c>
      <c r="C13" s="162"/>
      <c r="D13" s="148"/>
      <c r="E13" s="161" t="str">
        <f>IFERROR(__xludf.DUMMYFUNCTION("""COMPUTED_VALUE"""),"🏈 23-24 Wk 12")</f>
        <v>🏈 23-24 Wk 12</v>
      </c>
      <c r="F13" s="146">
        <f>IF(E13&lt;&gt;"", SUMIF(Bets!$F:$F, E13, Bets!AB:AB), "")</f>
        <v>1.998386809</v>
      </c>
      <c r="G13" s="162"/>
      <c r="H13" s="148"/>
      <c r="I13" s="161" t="str">
        <f>IFERROR(__xludf.DUMMYFUNCTION("""COMPUTED_VALUE"""),"🏀 23-24 Play-In")</f>
        <v>🏀 23-24 Play-In</v>
      </c>
      <c r="J13" s="146">
        <f>IF(I13&lt;&gt;"", SUMIF(Bets!$F:$F, I13, Bets!AA:AA),)</f>
        <v>-28</v>
      </c>
      <c r="K13" s="162"/>
      <c r="L13" s="148"/>
      <c r="M13" s="161"/>
      <c r="N13" s="146" t="str">
        <f>IF(M13&lt;&gt;"", SUMIF(Bets!$F:$F, M13, Bets!AC:AC), "")</f>
        <v/>
      </c>
      <c r="O13" s="162"/>
      <c r="P13" s="148"/>
      <c r="Q13" s="161"/>
      <c r="R13" s="146"/>
      <c r="S13" s="162"/>
      <c r="T13" s="148"/>
      <c r="U13" s="161"/>
      <c r="V13" s="146"/>
      <c r="W13" s="162"/>
      <c r="X13" s="148"/>
      <c r="Y13" s="161"/>
      <c r="Z13" s="146"/>
      <c r="AA13" s="162"/>
      <c r="AB13" s="148"/>
      <c r="AC13" s="161"/>
      <c r="AD13" s="146"/>
      <c r="AE13" s="162"/>
      <c r="AF13" s="148"/>
    </row>
    <row r="14">
      <c r="A14" s="161" t="str">
        <f>IFERROR(__xludf.DUMMYFUNCTION("""COMPUTED_VALUE"""),"🏀 23-24 Play-In")</f>
        <v>🏀 23-24 Play-In</v>
      </c>
      <c r="B14" s="146">
        <f>IF(A14&lt;&gt;"", SUMIF(Bets!$F:$F, A14, Bets!Z:Z), "")</f>
        <v>-19.5</v>
      </c>
      <c r="C14" s="162"/>
      <c r="D14" s="148"/>
      <c r="E14" s="161" t="str">
        <f>IFERROR(__xludf.DUMMYFUNCTION("""COMPUTED_VALUE"""),"🏈 23-24 Wk 13")</f>
        <v>🏈 23-24 Wk 13</v>
      </c>
      <c r="F14" s="146">
        <f>IF(E14&lt;&gt;"", SUMIF(Bets!$F:$F, E14, Bets!AB:AB), "")</f>
        <v>-7.853487179</v>
      </c>
      <c r="G14" s="162"/>
      <c r="H14" s="148"/>
      <c r="I14" s="161" t="str">
        <f>IFERROR(__xludf.DUMMYFUNCTION("""COMPUTED_VALUE"""),"🏀 23-24 Round 1")</f>
        <v>🏀 23-24 Round 1</v>
      </c>
      <c r="J14" s="146">
        <f>IF(I14&lt;&gt;"", SUMIF(Bets!$F:$F, I14, Bets!AA:AA),)</f>
        <v>-8.78</v>
      </c>
      <c r="K14" s="162"/>
      <c r="L14" s="148"/>
      <c r="M14" s="161"/>
      <c r="N14" s="146" t="str">
        <f>IF(M14&lt;&gt;"", SUMIF(Bets!$F:$F, M14, Bets!AC:AC), "")</f>
        <v/>
      </c>
      <c r="O14" s="162"/>
      <c r="P14" s="148"/>
      <c r="Q14" s="161"/>
      <c r="R14" s="146"/>
      <c r="S14" s="162"/>
      <c r="T14" s="148"/>
      <c r="U14" s="161"/>
      <c r="V14" s="146"/>
      <c r="W14" s="162"/>
      <c r="X14" s="148"/>
      <c r="Y14" s="161"/>
      <c r="Z14" s="146"/>
      <c r="AA14" s="162"/>
      <c r="AB14" s="148"/>
      <c r="AC14" s="161"/>
      <c r="AD14" s="146"/>
      <c r="AE14" s="162"/>
      <c r="AF14" s="148"/>
    </row>
    <row r="15">
      <c r="A15" s="161" t="str">
        <f>IFERROR(__xludf.DUMMYFUNCTION("""COMPUTED_VALUE"""),"🏀 23-24 Round 1")</f>
        <v>🏀 23-24 Round 1</v>
      </c>
      <c r="B15" s="146">
        <f>IF(A15&lt;&gt;"", SUMIF(Bets!$F:$F, A15, Bets!Z:Z), "")</f>
        <v>-13.78</v>
      </c>
      <c r="C15" s="162"/>
      <c r="D15" s="148"/>
      <c r="E15" s="161" t="str">
        <f>IFERROR(__xludf.DUMMYFUNCTION("""COMPUTED_VALUE"""),"🏈 23-24 Wk 14")</f>
        <v>🏈 23-24 Wk 14</v>
      </c>
      <c r="F15" s="146">
        <f>IF(E15&lt;&gt;"", SUMIF(Bets!$F:$F, E15, Bets!AB:AB), "")</f>
        <v>-20.90489011</v>
      </c>
      <c r="G15" s="162"/>
      <c r="H15" s="148"/>
      <c r="I15" s="161" t="str">
        <f>IFERROR(__xludf.DUMMYFUNCTION("""COMPUTED_VALUE"""),"🏈 23-24 Futures")</f>
        <v>🏈 23-24 Futures</v>
      </c>
      <c r="J15" s="146">
        <f>IF(I15&lt;&gt;"", SUMIF(Bets!$F:$F, I15, Bets!AA:AA),)</f>
        <v>-5</v>
      </c>
      <c r="K15" s="162"/>
      <c r="L15" s="148"/>
      <c r="M15" s="161"/>
      <c r="N15" s="146" t="str">
        <f>IF(M15&lt;&gt;"", SUMIF(Bets!$F:$F, M15, Bets!AC:AC), "")</f>
        <v/>
      </c>
      <c r="O15" s="162"/>
      <c r="P15" s="148"/>
      <c r="Q15" s="161"/>
      <c r="R15" s="146"/>
      <c r="S15" s="162"/>
      <c r="T15" s="148"/>
      <c r="U15" s="161"/>
      <c r="V15" s="146"/>
      <c r="W15" s="162"/>
      <c r="X15" s="148"/>
      <c r="Y15" s="161"/>
      <c r="Z15" s="146"/>
      <c r="AA15" s="162"/>
      <c r="AB15" s="148"/>
      <c r="AC15" s="161"/>
      <c r="AD15" s="146"/>
      <c r="AE15" s="162"/>
      <c r="AF15" s="148"/>
    </row>
    <row r="16">
      <c r="A16" s="161" t="str">
        <f>IFERROR(__xludf.DUMMYFUNCTION("""COMPUTED_VALUE"""),"🏀 March Madness 24")</f>
        <v>🏀 March Madness 24</v>
      </c>
      <c r="B16" s="146">
        <f>IF(A16&lt;&gt;"", SUMIF(Bets!$F:$F, A16, Bets!Z:Z), "")</f>
        <v>3</v>
      </c>
      <c r="C16" s="162"/>
      <c r="D16" s="148"/>
      <c r="E16" s="161" t="str">
        <f>IFERROR(__xludf.DUMMYFUNCTION("""COMPUTED_VALUE"""),"🏈 23-24 Wk 15")</f>
        <v>🏈 23-24 Wk 15</v>
      </c>
      <c r="F16" s="146">
        <f>IF(E16&lt;&gt;"", SUMIF(Bets!$F:$F, E16, Bets!AB:AB), "")</f>
        <v>-14.91246154</v>
      </c>
      <c r="G16" s="162"/>
      <c r="H16" s="148"/>
      <c r="I16" s="161" t="str">
        <f>IFERROR(__xludf.DUMMYFUNCTION("""COMPUTED_VALUE"""),"🏈 23-24 Wk 09")</f>
        <v>🏈 23-24 Wk 09</v>
      </c>
      <c r="J16" s="146">
        <f>IF(I16&lt;&gt;"", SUMIF(Bets!$F:$F, I16, Bets!AA:AA),)</f>
        <v>39.98225</v>
      </c>
      <c r="K16" s="162"/>
      <c r="L16" s="148"/>
      <c r="M16" s="161"/>
      <c r="N16" s="146" t="str">
        <f>IF(M16&lt;&gt;"", SUMIF(Bets!$F:$F, M16, Bets!AC:AC), "")</f>
        <v/>
      </c>
      <c r="O16" s="162"/>
      <c r="P16" s="148"/>
      <c r="Q16" s="161"/>
      <c r="R16" s="146"/>
      <c r="S16" s="162"/>
      <c r="T16" s="148"/>
      <c r="U16" s="161"/>
      <c r="V16" s="146"/>
      <c r="W16" s="162"/>
      <c r="X16" s="148"/>
      <c r="Y16" s="161"/>
      <c r="Z16" s="146"/>
      <c r="AA16" s="162"/>
      <c r="AB16" s="148"/>
      <c r="AC16" s="161"/>
      <c r="AD16" s="146"/>
      <c r="AE16" s="162"/>
      <c r="AF16" s="148"/>
    </row>
    <row r="17">
      <c r="A17" s="161" t="str">
        <f>IFERROR(__xludf.DUMMYFUNCTION("""COMPUTED_VALUE"""),"🏈 23-24 Futures")</f>
        <v>🏈 23-24 Futures</v>
      </c>
      <c r="B17" s="146">
        <f>IF(A17&lt;&gt;"", SUMIF(Bets!$F:$F, A17, Bets!Z:Z), "")</f>
        <v>-7.25</v>
      </c>
      <c r="C17" s="162"/>
      <c r="D17" s="148"/>
      <c r="E17" s="161" t="str">
        <f>IFERROR(__xludf.DUMMYFUNCTION("""COMPUTED_VALUE"""),"🏈 23-24 Wk 16")</f>
        <v>🏈 23-24 Wk 16</v>
      </c>
      <c r="F17" s="146">
        <f>IF(E17&lt;&gt;"", SUMIF(Bets!$F:$F, E17, Bets!AB:AB), "")</f>
        <v>3.425</v>
      </c>
      <c r="G17" s="162"/>
      <c r="H17" s="148"/>
      <c r="I17" s="161" t="str">
        <f>IFERROR(__xludf.DUMMYFUNCTION("""COMPUTED_VALUE"""),"🏈 23-24 Wk 10")</f>
        <v>🏈 23-24 Wk 10</v>
      </c>
      <c r="J17" s="146">
        <f>IF(I17&lt;&gt;"", SUMIF(Bets!$F:$F, I17, Bets!AA:AA),)</f>
        <v>-77.14225</v>
      </c>
      <c r="K17" s="162"/>
      <c r="L17" s="148"/>
      <c r="M17" s="161"/>
      <c r="N17" s="146" t="str">
        <f>IF(M17&lt;&gt;"", SUMIF(Bets!$F:$F, M17, Bets!AC:AC), "")</f>
        <v/>
      </c>
      <c r="O17" s="162"/>
      <c r="P17" s="148"/>
      <c r="Q17" s="161"/>
      <c r="R17" s="146"/>
      <c r="S17" s="162"/>
      <c r="T17" s="148"/>
      <c r="U17" s="161"/>
      <c r="V17" s="146"/>
      <c r="W17" s="162"/>
      <c r="X17" s="148"/>
      <c r="Y17" s="161"/>
      <c r="Z17" s="146"/>
      <c r="AA17" s="162"/>
      <c r="AB17" s="148"/>
      <c r="AC17" s="161"/>
      <c r="AD17" s="146"/>
      <c r="AE17" s="162"/>
      <c r="AF17" s="148"/>
    </row>
    <row r="18">
      <c r="A18" s="161" t="str">
        <f>IFERROR(__xludf.DUMMYFUNCTION("""COMPUTED_VALUE"""),"🏈 23-24 Wk 09")</f>
        <v>🏈 23-24 Wk 09</v>
      </c>
      <c r="B18" s="146">
        <f>IF(A18&lt;&gt;"", SUMIF(Bets!$F:$F, A18, Bets!Z:Z), "")</f>
        <v>20.6097</v>
      </c>
      <c r="C18" s="162"/>
      <c r="D18" s="148"/>
      <c r="E18" s="161" t="str">
        <f>IFERROR(__xludf.DUMMYFUNCTION("""COMPUTED_VALUE"""),"🏈 23-24 Wk 17")</f>
        <v>🏈 23-24 Wk 17</v>
      </c>
      <c r="F18" s="146">
        <f>IF(E18&lt;&gt;"", SUMIF(Bets!$F:$F, E18, Bets!AB:AB), "")</f>
        <v>-3.75</v>
      </c>
      <c r="G18" s="162"/>
      <c r="H18" s="148"/>
      <c r="I18" s="161" t="str">
        <f>IFERROR(__xludf.DUMMYFUNCTION("""COMPUTED_VALUE"""),"🏈 23-24 Wk 11")</f>
        <v>🏈 23-24 Wk 11</v>
      </c>
      <c r="J18" s="146">
        <f>IF(I18&lt;&gt;"", SUMIF(Bets!$F:$F, I18, Bets!AA:AA),)</f>
        <v>-0.2742307692</v>
      </c>
      <c r="K18" s="162"/>
      <c r="L18" s="148"/>
      <c r="M18" s="161"/>
      <c r="N18" s="146" t="str">
        <f>IF(M18&lt;&gt;"", SUMIF(Bets!$F:$F, M18, Bets!AC:AC), "")</f>
        <v/>
      </c>
      <c r="O18" s="162"/>
      <c r="P18" s="148"/>
      <c r="Q18" s="161"/>
      <c r="R18" s="146"/>
      <c r="S18" s="162"/>
      <c r="T18" s="148"/>
      <c r="U18" s="161"/>
      <c r="V18" s="146"/>
      <c r="W18" s="162"/>
      <c r="X18" s="148"/>
      <c r="Y18" s="161"/>
      <c r="Z18" s="146"/>
      <c r="AA18" s="162"/>
      <c r="AB18" s="148"/>
      <c r="AC18" s="161"/>
      <c r="AD18" s="146"/>
      <c r="AE18" s="162"/>
      <c r="AF18" s="148"/>
    </row>
    <row r="19">
      <c r="A19" s="161" t="str">
        <f>IFERROR(__xludf.DUMMYFUNCTION("""COMPUTED_VALUE"""),"🏈 23-24 Wk 10")</f>
        <v>🏈 23-24 Wk 10</v>
      </c>
      <c r="B19" s="146">
        <f>IF(A19&lt;&gt;"", SUMIF(Bets!$F:$F, A19, Bets!Z:Z), "")</f>
        <v>8.9315</v>
      </c>
      <c r="C19" s="162"/>
      <c r="D19" s="148"/>
      <c r="E19" s="161" t="str">
        <f>IFERROR(__xludf.DUMMYFUNCTION("""COMPUTED_VALUE"""),"🏈 23-24 Wk 18")</f>
        <v>🏈 23-24 Wk 18</v>
      </c>
      <c r="F19" s="146">
        <f>IF(E19&lt;&gt;"", SUMIF(Bets!$F:$F, E19, Bets!AB:AB), "")</f>
        <v>0.6048611111</v>
      </c>
      <c r="G19" s="162"/>
      <c r="H19" s="148"/>
      <c r="I19" s="161" t="str">
        <f>IFERROR(__xludf.DUMMYFUNCTION("""COMPUTED_VALUE"""),"🏈 23-24 Wk 12")</f>
        <v>🏈 23-24 Wk 12</v>
      </c>
      <c r="J19" s="146">
        <f>IF(I19&lt;&gt;"", SUMIF(Bets!$F:$F, I19, Bets!AA:AA),)</f>
        <v>4.124839572</v>
      </c>
      <c r="K19" s="162"/>
      <c r="L19" s="148"/>
      <c r="M19" s="161"/>
      <c r="N19" s="146" t="str">
        <f>IF(M19&lt;&gt;"", SUMIF(Bets!$F:$F, M19, Bets!AC:AC), "")</f>
        <v/>
      </c>
      <c r="O19" s="162"/>
      <c r="P19" s="148"/>
      <c r="Q19" s="161"/>
      <c r="R19" s="146"/>
      <c r="S19" s="162"/>
      <c r="T19" s="148"/>
      <c r="U19" s="161"/>
      <c r="V19" s="146"/>
      <c r="W19" s="162"/>
      <c r="X19" s="148"/>
      <c r="Y19" s="161"/>
      <c r="Z19" s="146"/>
      <c r="AA19" s="162"/>
      <c r="AB19" s="148"/>
      <c r="AC19" s="161"/>
      <c r="AD19" s="146"/>
      <c r="AE19" s="162"/>
      <c r="AF19" s="148"/>
    </row>
    <row r="20">
      <c r="A20" s="161" t="str">
        <f>IFERROR(__xludf.DUMMYFUNCTION("""COMPUTED_VALUE"""),"🏈 23-24 Wk 11")</f>
        <v>🏈 23-24 Wk 11</v>
      </c>
      <c r="B20" s="146">
        <f>IF(A20&lt;&gt;"", SUMIF(Bets!$F:$F, A20, Bets!Z:Z), "")</f>
        <v>7.136153846</v>
      </c>
      <c r="C20" s="162"/>
      <c r="D20" s="148"/>
      <c r="E20" s="161" t="str">
        <f>IFERROR(__xludf.DUMMYFUNCTION("""COMPUTED_VALUE"""),"🏈 23-24 Wk 19 WC")</f>
        <v>🏈 23-24 Wk 19 WC</v>
      </c>
      <c r="F20" s="146">
        <f>IF(E20&lt;&gt;"", SUMIF(Bets!$F:$F, E20, Bets!AB:AB), "")</f>
        <v>-7.457556561</v>
      </c>
      <c r="G20" s="162"/>
      <c r="H20" s="148"/>
      <c r="I20" s="161" t="str">
        <f>IFERROR(__xludf.DUMMYFUNCTION("""COMPUTED_VALUE"""),"🏈 23-24 Wk 13")</f>
        <v>🏈 23-24 Wk 13</v>
      </c>
      <c r="J20" s="146">
        <f>IF(I20&lt;&gt;"", SUMIF(Bets!$F:$F, I20, Bets!AA:AA),)</f>
        <v>-29.33953846</v>
      </c>
      <c r="K20" s="162"/>
      <c r="L20" s="148"/>
      <c r="M20" s="161"/>
      <c r="N20" s="146" t="str">
        <f>IF(M20&lt;&gt;"", SUMIF(Bets!$F:$F, M20, Bets!AC:AC), "")</f>
        <v/>
      </c>
      <c r="O20" s="162"/>
      <c r="P20" s="148"/>
      <c r="Q20" s="161"/>
      <c r="R20" s="146"/>
      <c r="S20" s="162"/>
      <c r="T20" s="148"/>
      <c r="U20" s="161"/>
      <c r="V20" s="146"/>
      <c r="W20" s="162"/>
      <c r="X20" s="148"/>
      <c r="Y20" s="161"/>
      <c r="Z20" s="146"/>
      <c r="AA20" s="162"/>
      <c r="AB20" s="148"/>
      <c r="AC20" s="161"/>
      <c r="AD20" s="146"/>
      <c r="AE20" s="162"/>
      <c r="AF20" s="148"/>
    </row>
    <row r="21">
      <c r="A21" s="161" t="str">
        <f>IFERROR(__xludf.DUMMYFUNCTION("""COMPUTED_VALUE"""),"🏈 23-24 Wk 12")</f>
        <v>🏈 23-24 Wk 12</v>
      </c>
      <c r="B21" s="146">
        <f>IF(A21&lt;&gt;"", SUMIF(Bets!$F:$F, A21, Bets!Z:Z), "")</f>
        <v>4.496773619</v>
      </c>
      <c r="C21" s="162"/>
      <c r="D21" s="148"/>
      <c r="E21" s="161" t="str">
        <f>IFERROR(__xludf.DUMMYFUNCTION("""COMPUTED_VALUE"""),"🏈 23-24 Wk 20 Div")</f>
        <v>🏈 23-24 Wk 20 Div</v>
      </c>
      <c r="F21" s="146">
        <f>IF(E21&lt;&gt;"", SUMIF(Bets!$F:$F, E21, Bets!AB:AB), "")</f>
        <v>-2.493333333</v>
      </c>
      <c r="G21" s="162"/>
      <c r="H21" s="148"/>
      <c r="I21" s="161" t="str">
        <f>IFERROR(__xludf.DUMMYFUNCTION("""COMPUTED_VALUE"""),"🏈 23-24 Wk 14")</f>
        <v>🏈 23-24 Wk 14</v>
      </c>
      <c r="J21" s="146">
        <f>IF(I21&lt;&gt;"", SUMIF(Bets!$F:$F, I21, Bets!AA:AA),)</f>
        <v>-65.78362637</v>
      </c>
      <c r="K21" s="162"/>
      <c r="L21" s="148"/>
      <c r="M21" s="161"/>
      <c r="N21" s="146" t="str">
        <f>IF(M21&lt;&gt;"", SUMIF(Bets!$F:$F, M21, Bets!AC:AC), "")</f>
        <v/>
      </c>
      <c r="O21" s="162"/>
      <c r="P21" s="148"/>
      <c r="Q21" s="161"/>
      <c r="R21" s="146"/>
      <c r="S21" s="162"/>
      <c r="T21" s="148"/>
      <c r="U21" s="161"/>
      <c r="V21" s="146"/>
      <c r="W21" s="162"/>
      <c r="X21" s="148"/>
      <c r="Y21" s="161"/>
      <c r="Z21" s="146"/>
      <c r="AA21" s="162"/>
      <c r="AB21" s="148"/>
      <c r="AC21" s="161"/>
      <c r="AD21" s="146"/>
      <c r="AE21" s="162"/>
      <c r="AF21" s="148"/>
    </row>
    <row r="22">
      <c r="A22" s="161" t="str">
        <f>IFERROR(__xludf.DUMMYFUNCTION("""COMPUTED_VALUE"""),"🏈 23-24 Wk 13")</f>
        <v>🏈 23-24 Wk 13</v>
      </c>
      <c r="B22" s="146">
        <f>IF(A22&lt;&gt;"", SUMIF(Bets!$F:$F, A22, Bets!Z:Z), "")</f>
        <v>-15.70697436</v>
      </c>
      <c r="C22" s="162"/>
      <c r="D22" s="148"/>
      <c r="E22" s="161" t="str">
        <f>IFERROR(__xludf.DUMMYFUNCTION("""COMPUTED_VALUE"""),"🏈 23-24 Wk 21 Conf")</f>
        <v>🏈 23-24 Wk 21 Conf</v>
      </c>
      <c r="F22" s="146">
        <f>IF(E22&lt;&gt;"", SUMIF(Bets!$F:$F, E22, Bets!AB:AB), "")</f>
        <v>2.794</v>
      </c>
      <c r="G22" s="162"/>
      <c r="H22" s="148"/>
      <c r="I22" s="161" t="str">
        <f>IFERROR(__xludf.DUMMYFUNCTION("""COMPUTED_VALUE"""),"🏈 23-24 Wk 15")</f>
        <v>🏈 23-24 Wk 15</v>
      </c>
      <c r="J22" s="146">
        <f>IF(I22&lt;&gt;"", SUMIF(Bets!$F:$F, I22, Bets!AA:AA),)</f>
        <v>-54.49876923</v>
      </c>
      <c r="K22" s="162"/>
      <c r="L22" s="148"/>
      <c r="M22" s="161"/>
      <c r="N22" s="146" t="str">
        <f>IF(M22&lt;&gt;"", SUMIF(Bets!$F:$F, M22, Bets!AC:AC), "")</f>
        <v/>
      </c>
      <c r="O22" s="162"/>
      <c r="P22" s="148"/>
      <c r="Q22" s="161"/>
      <c r="R22" s="146"/>
      <c r="S22" s="162"/>
      <c r="T22" s="148"/>
      <c r="U22" s="161"/>
      <c r="V22" s="146"/>
      <c r="W22" s="162"/>
      <c r="X22" s="148"/>
      <c r="Y22" s="161"/>
      <c r="Z22" s="146"/>
      <c r="AA22" s="162"/>
      <c r="AB22" s="148"/>
      <c r="AC22" s="161"/>
      <c r="AD22" s="146"/>
      <c r="AE22" s="162"/>
      <c r="AF22" s="148"/>
    </row>
    <row r="23">
      <c r="A23" s="161" t="str">
        <f>IFERROR(__xludf.DUMMYFUNCTION("""COMPUTED_VALUE"""),"🏈 23-24 Wk 14")</f>
        <v>🏈 23-24 Wk 14</v>
      </c>
      <c r="B23" s="146">
        <f>IF(A23&lt;&gt;"", SUMIF(Bets!$F:$F, A23, Bets!Z:Z), "")</f>
        <v>-42.34148352</v>
      </c>
      <c r="C23" s="162"/>
      <c r="D23" s="148"/>
      <c r="E23" s="161" t="str">
        <f>IFERROR(__xludf.DUMMYFUNCTION("""COMPUTED_VALUE"""),"🏈 23-24 Wk 22 SB")</f>
        <v>🏈 23-24 Wk 22 SB</v>
      </c>
      <c r="F23" s="146">
        <f>IF(E23&lt;&gt;"", SUMIF(Bets!$F:$F, E23, Bets!AB:AB), "")</f>
        <v>-1</v>
      </c>
      <c r="G23" s="162"/>
      <c r="H23" s="148"/>
      <c r="I23" s="161" t="str">
        <f>IFERROR(__xludf.DUMMYFUNCTION("""COMPUTED_VALUE"""),"🏈 23-24 Wk 16")</f>
        <v>🏈 23-24 Wk 16</v>
      </c>
      <c r="J23" s="146">
        <f>IF(I23&lt;&gt;"", SUMIF(Bets!$F:$F, I23, Bets!AA:AA),)</f>
        <v>9.0975</v>
      </c>
      <c r="K23" s="162"/>
      <c r="L23" s="148"/>
      <c r="M23" s="161"/>
      <c r="N23" s="146" t="str">
        <f>IF(M23&lt;&gt;"", SUMIF(Bets!$F:$F, M23, Bets!AC:AC), "")</f>
        <v/>
      </c>
      <c r="O23" s="162"/>
      <c r="P23" s="148"/>
      <c r="Q23" s="161"/>
      <c r="R23" s="146"/>
      <c r="S23" s="162"/>
      <c r="T23" s="148"/>
      <c r="U23" s="161"/>
      <c r="V23" s="146"/>
      <c r="W23" s="162"/>
      <c r="X23" s="148"/>
      <c r="Y23" s="161"/>
      <c r="Z23" s="146"/>
      <c r="AA23" s="162"/>
      <c r="AB23" s="148"/>
      <c r="AC23" s="161"/>
      <c r="AD23" s="146"/>
      <c r="AE23" s="162"/>
      <c r="AF23" s="148"/>
    </row>
    <row r="24">
      <c r="A24" s="161" t="str">
        <f>IFERROR(__xludf.DUMMYFUNCTION("""COMPUTED_VALUE"""),"🏈 23-24 Wk 15")</f>
        <v>🏈 23-24 Wk 15</v>
      </c>
      <c r="B24" s="146">
        <f>IF(A24&lt;&gt;"", SUMIF(Bets!$F:$F, A24, Bets!Z:Z), "")</f>
        <v>-33.96876923</v>
      </c>
      <c r="C24" s="162"/>
      <c r="D24" s="148"/>
      <c r="E24" s="161" t="str">
        <f>IFERROR(__xludf.DUMMYFUNCTION("""COMPUTED_VALUE"""),"🏈 25-26 wk09")</f>
        <v>🏈 25-26 wk09</v>
      </c>
      <c r="F24" s="146">
        <f>IF(E24&lt;&gt;"", SUMIF(Bets!$F:$F, E24, Bets!AB:AB), "")</f>
        <v>-8.5</v>
      </c>
      <c r="G24" s="162"/>
      <c r="H24" s="148"/>
      <c r="I24" s="161" t="str">
        <f>IFERROR(__xludf.DUMMYFUNCTION("""COMPUTED_VALUE"""),"🏈 23-24 Wk 17")</f>
        <v>🏈 23-24 Wk 17</v>
      </c>
      <c r="J24" s="146">
        <f>IF(I24&lt;&gt;"", SUMIF(Bets!$F:$F, I24, Bets!AA:AA),)</f>
        <v>-7.75</v>
      </c>
      <c r="K24" s="162"/>
      <c r="L24" s="148"/>
      <c r="M24" s="161"/>
      <c r="N24" s="146" t="str">
        <f>IF(M24&lt;&gt;"", SUMIF(Bets!$F:$F, M24, Bets!AC:AC), "")</f>
        <v/>
      </c>
      <c r="O24" s="162"/>
      <c r="P24" s="148"/>
      <c r="Q24" s="161"/>
      <c r="R24" s="146"/>
      <c r="S24" s="162"/>
      <c r="T24" s="148"/>
      <c r="U24" s="161"/>
      <c r="V24" s="146"/>
      <c r="W24" s="162"/>
      <c r="X24" s="148"/>
      <c r="Y24" s="161"/>
      <c r="Z24" s="146"/>
      <c r="AA24" s="162"/>
      <c r="AB24" s="148"/>
      <c r="AC24" s="161"/>
      <c r="AD24" s="146"/>
      <c r="AE24" s="162"/>
      <c r="AF24" s="148"/>
    </row>
    <row r="25">
      <c r="A25" s="161" t="str">
        <f>IFERROR(__xludf.DUMMYFUNCTION("""COMPUTED_VALUE"""),"🏈 23-24 Wk 16")</f>
        <v>🏈 23-24 Wk 16</v>
      </c>
      <c r="B25" s="146">
        <f>IF(A25&lt;&gt;"", SUMIF(Bets!$F:$F, A25, Bets!Z:Z), "")</f>
        <v>5.6975</v>
      </c>
      <c r="C25" s="162"/>
      <c r="D25" s="148"/>
      <c r="E25" s="161" t="str">
        <f>IFERROR(__xludf.DUMMYFUNCTION("""COMPUTED_VALUE"""),"🏈 25-26 wk11")</f>
        <v>🏈 25-26 wk11</v>
      </c>
      <c r="F25" s="146">
        <f>IF(E25&lt;&gt;"", SUMIF(Bets!$F:$F, E25, Bets!AB:AB), "")</f>
        <v>-3</v>
      </c>
      <c r="G25" s="162"/>
      <c r="H25" s="148"/>
      <c r="I25" s="161" t="str">
        <f>IFERROR(__xludf.DUMMYFUNCTION("""COMPUTED_VALUE"""),"🏈 23-24 Wk 18")</f>
        <v>🏈 23-24 Wk 18</v>
      </c>
      <c r="J25" s="146">
        <f>IF(I25&lt;&gt;"", SUMIF(Bets!$F:$F, I25, Bets!AA:AA),)</f>
        <v>3.555416667</v>
      </c>
      <c r="K25" s="162"/>
      <c r="L25" s="148"/>
      <c r="M25" s="161"/>
      <c r="N25" s="146" t="str">
        <f>IF(M25&lt;&gt;"", SUMIF(Bets!$F:$F, M25, Bets!AC:AC), "")</f>
        <v/>
      </c>
      <c r="O25" s="162"/>
      <c r="P25" s="148"/>
      <c r="Q25" s="161"/>
      <c r="R25" s="146"/>
      <c r="S25" s="162"/>
      <c r="T25" s="148"/>
      <c r="U25" s="161"/>
      <c r="V25" s="146"/>
      <c r="W25" s="162"/>
      <c r="X25" s="148"/>
      <c r="Y25" s="161"/>
      <c r="Z25" s="146"/>
      <c r="AA25" s="162"/>
      <c r="AB25" s="148"/>
      <c r="AC25" s="161"/>
      <c r="AD25" s="146"/>
      <c r="AE25" s="162"/>
      <c r="AF25" s="148"/>
    </row>
    <row r="26">
      <c r="A26" s="161" t="str">
        <f>IFERROR(__xludf.DUMMYFUNCTION("""COMPUTED_VALUE"""),"🏈 23-24 Wk 17")</f>
        <v>🏈 23-24 Wk 17</v>
      </c>
      <c r="B26" s="146">
        <f>IF(A26&lt;&gt;"", SUMIF(Bets!$F:$F, A26, Bets!Z:Z), "")</f>
        <v>-8.5</v>
      </c>
      <c r="C26" s="162"/>
      <c r="D26" s="148"/>
      <c r="E26" s="161" t="str">
        <f>IFERROR(__xludf.DUMMYFUNCTION("""COMPUTED_VALUE"""),"🏈 25-26 wkSB")</f>
        <v>🏈 25-26 wkSB</v>
      </c>
      <c r="F26" s="146">
        <f>IF(E26&lt;&gt;"", SUMIF(Bets!$F:$F, E26, Bets!AB:AB), "")</f>
        <v>-3</v>
      </c>
      <c r="G26" s="162"/>
      <c r="H26" s="148"/>
      <c r="I26" s="161" t="str">
        <f>IFERROR(__xludf.DUMMYFUNCTION("""COMPUTED_VALUE"""),"🏈 23-24 Wk 19 WC")</f>
        <v>🏈 23-24 Wk 19 WC</v>
      </c>
      <c r="J26" s="146">
        <f>IF(I26&lt;&gt;"", SUMIF(Bets!$F:$F, I26, Bets!AA:AA),)</f>
        <v>-7.230859729</v>
      </c>
      <c r="K26" s="162"/>
      <c r="L26" s="148"/>
      <c r="M26" s="161"/>
      <c r="N26" s="146" t="str">
        <f>IF(M26&lt;&gt;"", SUMIF(Bets!$F:$F, M26, Bets!AC:AC), "")</f>
        <v/>
      </c>
      <c r="O26" s="162"/>
      <c r="P26" s="148"/>
      <c r="Q26" s="161"/>
      <c r="R26" s="146"/>
      <c r="S26" s="162"/>
      <c r="T26" s="148"/>
      <c r="U26" s="161"/>
      <c r="V26" s="146"/>
      <c r="W26" s="162"/>
      <c r="X26" s="148"/>
      <c r="Y26" s="161"/>
      <c r="Z26" s="146"/>
      <c r="AA26" s="162"/>
      <c r="AB26" s="148"/>
      <c r="AC26" s="161"/>
      <c r="AD26" s="146"/>
      <c r="AE26" s="162"/>
      <c r="AF26" s="148"/>
    </row>
    <row r="27">
      <c r="A27" s="161" t="str">
        <f>IFERROR(__xludf.DUMMYFUNCTION("""COMPUTED_VALUE"""),"🏈 23-24 Wk 18")</f>
        <v>🏈 23-24 Wk 18</v>
      </c>
      <c r="B27" s="146">
        <f>IF(A27&lt;&gt;"", SUMIF(Bets!$F:$F, A27, Bets!Z:Z), "")</f>
        <v>1.209722222</v>
      </c>
      <c r="C27" s="162"/>
      <c r="D27" s="148"/>
      <c r="E27" s="161" t="str">
        <f>IFERROR(__xludf.DUMMYFUNCTION("""COMPUTED_VALUE"""),"🏈24 CFB")</f>
        <v>🏈24 CFB</v>
      </c>
      <c r="F27" s="146">
        <f>IF(E27&lt;&gt;"", SUMIF(Bets!$F:$F, E27, Bets!AB:AB), "")</f>
        <v>0.3</v>
      </c>
      <c r="G27" s="162"/>
      <c r="H27" s="148"/>
      <c r="I27" s="161" t="str">
        <f>IFERROR(__xludf.DUMMYFUNCTION("""COMPUTED_VALUE"""),"🏈 23-24 Wk 20 Div")</f>
        <v>🏈 23-24 Wk 20 Div</v>
      </c>
      <c r="J27" s="146">
        <f>IF(I27&lt;&gt;"", SUMIF(Bets!$F:$F, I27, Bets!AA:AA),)</f>
        <v>25.41</v>
      </c>
      <c r="K27" s="162"/>
      <c r="L27" s="148"/>
      <c r="M27" s="161"/>
      <c r="N27" s="146" t="str">
        <f>IF(M27&lt;&gt;"", SUMIF(Bets!$F:$F, M27, Bets!AC:AC), "")</f>
        <v/>
      </c>
      <c r="O27" s="162"/>
      <c r="P27" s="148"/>
      <c r="Q27" s="161"/>
      <c r="R27" s="146"/>
      <c r="S27" s="162"/>
      <c r="T27" s="148"/>
      <c r="U27" s="161"/>
      <c r="V27" s="146"/>
      <c r="W27" s="162"/>
      <c r="X27" s="148"/>
      <c r="Y27" s="161"/>
      <c r="Z27" s="146"/>
      <c r="AA27" s="162"/>
      <c r="AB27" s="148"/>
      <c r="AC27" s="161"/>
      <c r="AD27" s="146"/>
      <c r="AE27" s="162"/>
      <c r="AF27" s="148"/>
    </row>
    <row r="28">
      <c r="A28" s="161" t="str">
        <f>IFERROR(__xludf.DUMMYFUNCTION("""COMPUTED_VALUE"""),"🏈 23-24 Wk 19 WC")</f>
        <v>🏈 23-24 Wk 19 WC</v>
      </c>
      <c r="B28" s="146">
        <f>IF(A28&lt;&gt;"", SUMIF(Bets!$F:$F, A28, Bets!Z:Z), "")</f>
        <v>-17.39158371</v>
      </c>
      <c r="C28" s="162"/>
      <c r="D28" s="148"/>
      <c r="E28" s="161"/>
      <c r="F28" s="146" t="str">
        <f>IF(E28&lt;&gt;"", SUMIF(Bets!$F:$F, E28, Bets!AB:AB), "")</f>
        <v/>
      </c>
      <c r="G28" s="162"/>
      <c r="H28" s="148"/>
      <c r="I28" s="161" t="str">
        <f>IFERROR(__xludf.DUMMYFUNCTION("""COMPUTED_VALUE"""),"🏈 23-24 Wk 21 Conf")</f>
        <v>🏈 23-24 Wk 21 Conf</v>
      </c>
      <c r="J28" s="146">
        <f>IF(I28&lt;&gt;"", SUMIF(Bets!$F:$F, I28, Bets!AA:AA),)</f>
        <v>12.428</v>
      </c>
      <c r="K28" s="162"/>
      <c r="L28" s="148"/>
      <c r="M28" s="161"/>
      <c r="N28" s="146" t="str">
        <f>IF(M28&lt;&gt;"", SUMIF(Bets!$F:$F, M28, Bets!AC:AC), "")</f>
        <v/>
      </c>
      <c r="O28" s="162"/>
      <c r="P28" s="148"/>
      <c r="Q28" s="161"/>
      <c r="R28" s="146"/>
      <c r="S28" s="162"/>
      <c r="T28" s="148"/>
      <c r="U28" s="161"/>
      <c r="V28" s="146"/>
      <c r="W28" s="162"/>
      <c r="X28" s="148"/>
      <c r="Y28" s="161"/>
      <c r="Z28" s="146"/>
      <c r="AA28" s="162"/>
      <c r="AB28" s="148"/>
      <c r="AC28" s="161"/>
      <c r="AD28" s="146"/>
      <c r="AE28" s="162"/>
      <c r="AF28" s="148"/>
    </row>
    <row r="29">
      <c r="A29" s="161" t="str">
        <f>IFERROR(__xludf.DUMMYFUNCTION("""COMPUTED_VALUE"""),"🏈 23-24 Wk 20 Div")</f>
        <v>🏈 23-24 Wk 20 Div</v>
      </c>
      <c r="B29" s="146">
        <f>IF(A29&lt;&gt;"", SUMIF(Bets!$F:$F, A29, Bets!Z:Z), "")</f>
        <v>-4.986666667</v>
      </c>
      <c r="C29" s="162"/>
      <c r="D29" s="148"/>
      <c r="E29" s="161"/>
      <c r="F29" s="146" t="str">
        <f>IF(E29&lt;&gt;"", SUMIF(Bets!$F:$F, E29, Bets!AB:AB), "")</f>
        <v/>
      </c>
      <c r="G29" s="162"/>
      <c r="H29" s="148"/>
      <c r="I29" s="161" t="str">
        <f>IFERROR(__xludf.DUMMYFUNCTION("""COMPUTED_VALUE"""),"🏈 23-24 Wk 22 SB")</f>
        <v>🏈 23-24 Wk 22 SB</v>
      </c>
      <c r="J29" s="146">
        <f>IF(I29&lt;&gt;"", SUMIF(Bets!$F:$F, I29, Bets!AA:AA),)</f>
        <v>-48.42136364</v>
      </c>
      <c r="K29" s="162"/>
      <c r="L29" s="148"/>
      <c r="M29" s="161"/>
      <c r="N29" s="146" t="str">
        <f>IF(M29&lt;&gt;"", SUMIF(Bets!$F:$F, M29, Bets!AC:AC), "")</f>
        <v/>
      </c>
      <c r="O29" s="162"/>
      <c r="P29" s="148"/>
      <c r="Q29" s="161"/>
      <c r="R29" s="146"/>
      <c r="S29" s="162"/>
      <c r="T29" s="148"/>
      <c r="U29" s="161"/>
      <c r="V29" s="146"/>
      <c r="W29" s="162"/>
      <c r="X29" s="148"/>
      <c r="Y29" s="161"/>
      <c r="Z29" s="146"/>
      <c r="AA29" s="162"/>
      <c r="AB29" s="148"/>
      <c r="AC29" s="161"/>
      <c r="AD29" s="146"/>
      <c r="AE29" s="162"/>
      <c r="AF29" s="148"/>
    </row>
    <row r="30">
      <c r="A30" s="161" t="str">
        <f>IFERROR(__xludf.DUMMYFUNCTION("""COMPUTED_VALUE"""),"🏈 23-24 Wk 21 Conf")</f>
        <v>🏈 23-24 Wk 21 Conf</v>
      </c>
      <c r="B30" s="146">
        <f>IF(A30&lt;&gt;"", SUMIF(Bets!$F:$F, A30, Bets!Z:Z), "")</f>
        <v>5.948</v>
      </c>
      <c r="C30" s="162"/>
      <c r="D30" s="148"/>
      <c r="E30" s="161"/>
      <c r="F30" s="146" t="str">
        <f>IF(E30&lt;&gt;"", SUMIF(Bets!$F:$F, E30, Bets!AB:AB), "")</f>
        <v/>
      </c>
      <c r="G30" s="162"/>
      <c r="H30" s="148"/>
      <c r="I30" s="161" t="str">
        <f>IFERROR(__xludf.DUMMYFUNCTION("""COMPUTED_VALUE"""),"🏈 24-25 00(Draft)")</f>
        <v>🏈 24-25 00(Draft)</v>
      </c>
      <c r="J30" s="146">
        <f>IF(I30&lt;&gt;"", SUMIF(Bets!$F:$F, I30, Bets!AA:AA),)</f>
        <v>-1.5</v>
      </c>
      <c r="K30" s="162"/>
      <c r="L30" s="148"/>
      <c r="M30" s="161"/>
      <c r="N30" s="146" t="str">
        <f>IF(M30&lt;&gt;"", SUMIF(Bets!$F:$F, M30, Bets!AC:AC), "")</f>
        <v/>
      </c>
      <c r="O30" s="162"/>
      <c r="P30" s="148"/>
      <c r="Q30" s="161"/>
      <c r="R30" s="146"/>
      <c r="S30" s="162"/>
      <c r="T30" s="148"/>
      <c r="U30" s="161"/>
      <c r="V30" s="146"/>
      <c r="W30" s="162"/>
      <c r="X30" s="148"/>
      <c r="Y30" s="161"/>
      <c r="Z30" s="146"/>
      <c r="AA30" s="162"/>
      <c r="AB30" s="148"/>
      <c r="AC30" s="161"/>
      <c r="AD30" s="146"/>
      <c r="AE30" s="162"/>
      <c r="AF30" s="148"/>
    </row>
    <row r="31">
      <c r="A31" s="161" t="str">
        <f>IFERROR(__xludf.DUMMYFUNCTION("""COMPUTED_VALUE"""),"🏈 23-24 Wk 22 SB")</f>
        <v>🏈 23-24 Wk 22 SB</v>
      </c>
      <c r="B31" s="146">
        <f>IF(A31&lt;&gt;"", SUMIF(Bets!$F:$F, A31, Bets!Z:Z), "")</f>
        <v>-24.52727273</v>
      </c>
      <c r="C31" s="162"/>
      <c r="D31" s="148"/>
      <c r="E31" s="161"/>
      <c r="F31" s="146" t="str">
        <f>IF(E31&lt;&gt;"", SUMIF(Bets!$F:$F, E31, Bets!AB:AB), "")</f>
        <v/>
      </c>
      <c r="G31" s="162"/>
      <c r="H31" s="148"/>
      <c r="I31" s="161" t="str">
        <f>IFERROR(__xludf.DUMMYFUNCTION("""COMPUTED_VALUE"""),"🏈 24-25 wk01")</f>
        <v>🏈 24-25 wk01</v>
      </c>
      <c r="J31" s="146">
        <f>IF(I31&lt;&gt;"", SUMIF(Bets!$F:$F, I31, Bets!AA:AA),)</f>
        <v>155.3425641</v>
      </c>
      <c r="K31" s="162"/>
      <c r="L31" s="148"/>
      <c r="M31" s="161"/>
      <c r="N31" s="146" t="str">
        <f>IF(M31&lt;&gt;"", SUMIF(Bets!$F:$F, M31, Bets!AC:AC), "")</f>
        <v/>
      </c>
      <c r="O31" s="162"/>
      <c r="P31" s="148"/>
      <c r="Q31" s="161"/>
      <c r="R31" s="146"/>
      <c r="S31" s="162"/>
      <c r="T31" s="148"/>
      <c r="U31" s="161"/>
      <c r="V31" s="146"/>
      <c r="W31" s="162"/>
      <c r="X31" s="148"/>
      <c r="Y31" s="161"/>
      <c r="Z31" s="146"/>
      <c r="AA31" s="162"/>
      <c r="AB31" s="148"/>
      <c r="AC31" s="161"/>
      <c r="AD31" s="146"/>
      <c r="AE31" s="162"/>
      <c r="AF31" s="148"/>
    </row>
    <row r="32">
      <c r="A32" s="161" t="str">
        <f>IFERROR(__xludf.DUMMYFUNCTION("""COMPUTED_VALUE"""),"🏈 24-25 00(Draft)")</f>
        <v>🏈 24-25 00(Draft)</v>
      </c>
      <c r="B32" s="146">
        <f>IF(A32&lt;&gt;"", SUMIF(Bets!$F:$F, A32, Bets!Z:Z), "")</f>
        <v>-1</v>
      </c>
      <c r="C32" s="162"/>
      <c r="D32" s="148"/>
      <c r="E32" s="161"/>
      <c r="F32" s="146" t="str">
        <f>IF(E32&lt;&gt;"", SUMIF(Bets!$F:$F, E32, Bets!AB:AB), "")</f>
        <v/>
      </c>
      <c r="G32" s="162"/>
      <c r="H32" s="148"/>
      <c r="I32" s="161" t="str">
        <f>IFERROR(__xludf.DUMMYFUNCTION("""COMPUTED_VALUE"""),"🏈 24-25 wk02")</f>
        <v>🏈 24-25 wk02</v>
      </c>
      <c r="J32" s="146">
        <f>IF(I32&lt;&gt;"", SUMIF(Bets!$F:$F, I32, Bets!AA:AA),)</f>
        <v>-64.97</v>
      </c>
      <c r="K32" s="162"/>
      <c r="L32" s="148"/>
      <c r="M32" s="161"/>
      <c r="N32" s="146" t="str">
        <f>IF(M32&lt;&gt;"", SUMIF(Bets!$F:$F, M32, Bets!AC:AC), "")</f>
        <v/>
      </c>
      <c r="O32" s="162"/>
      <c r="P32" s="148"/>
      <c r="Q32" s="161"/>
      <c r="R32" s="146"/>
      <c r="S32" s="162"/>
      <c r="T32" s="148"/>
      <c r="U32" s="161"/>
      <c r="V32" s="146"/>
      <c r="W32" s="162"/>
      <c r="X32" s="148"/>
      <c r="Y32" s="161"/>
      <c r="Z32" s="146"/>
      <c r="AA32" s="162"/>
      <c r="AB32" s="148"/>
      <c r="AC32" s="161"/>
      <c r="AD32" s="146"/>
      <c r="AE32" s="162"/>
      <c r="AF32" s="148"/>
    </row>
    <row r="33">
      <c r="A33" s="161" t="str">
        <f>IFERROR(__xludf.DUMMYFUNCTION("""COMPUTED_VALUE"""),"🏈 24-25 wk01")</f>
        <v>🏈 24-25 wk01</v>
      </c>
      <c r="B33" s="146">
        <f>IF(A33&lt;&gt;"", SUMIF(Bets!$F:$F, A33, Bets!Z:Z), "")</f>
        <v>66.50410256</v>
      </c>
      <c r="C33" s="162"/>
      <c r="D33" s="148"/>
      <c r="E33" s="161"/>
      <c r="F33" s="146" t="str">
        <f>IF(E33&lt;&gt;"", SUMIF(Bets!$F:$F, E33, Bets!AB:AB), "")</f>
        <v/>
      </c>
      <c r="G33" s="162"/>
      <c r="H33" s="148"/>
      <c r="I33" s="161" t="str">
        <f>IFERROR(__xludf.DUMMYFUNCTION("""COMPUTED_VALUE"""),"🏈 24-25 wk03")</f>
        <v>🏈 24-25 wk03</v>
      </c>
      <c r="J33" s="146">
        <f>IF(I33&lt;&gt;"", SUMIF(Bets!$F:$F, I33, Bets!AA:AA),)</f>
        <v>-18.02666667</v>
      </c>
      <c r="K33" s="162"/>
      <c r="L33" s="148"/>
      <c r="M33" s="161"/>
      <c r="N33" s="146" t="str">
        <f>IF(M33&lt;&gt;"", SUMIF(Bets!$F:$F, M33, Bets!AC:AC), "")</f>
        <v/>
      </c>
      <c r="O33" s="162"/>
      <c r="P33" s="148"/>
      <c r="Q33" s="161"/>
      <c r="R33" s="146"/>
      <c r="S33" s="162"/>
      <c r="T33" s="148"/>
      <c r="U33" s="161"/>
      <c r="V33" s="146"/>
      <c r="W33" s="162"/>
      <c r="X33" s="148"/>
      <c r="Y33" s="161"/>
      <c r="Z33" s="146"/>
      <c r="AA33" s="162"/>
      <c r="AB33" s="148"/>
      <c r="AC33" s="161"/>
      <c r="AD33" s="146"/>
      <c r="AE33" s="162"/>
      <c r="AF33" s="148"/>
    </row>
    <row r="34">
      <c r="A34" s="161" t="str">
        <f>IFERROR(__xludf.DUMMYFUNCTION("""COMPUTED_VALUE"""),"🏈 24-25 wk02")</f>
        <v>🏈 24-25 wk02</v>
      </c>
      <c r="B34" s="146">
        <f>IF(A34&lt;&gt;"", SUMIF(Bets!$F:$F, A34, Bets!Z:Z), "")</f>
        <v>-29.36</v>
      </c>
      <c r="C34" s="162"/>
      <c r="D34" s="148"/>
      <c r="E34" s="161"/>
      <c r="F34" s="146" t="str">
        <f>IF(E34&lt;&gt;"", SUMIF(Bets!$F:$F, E34, Bets!AB:AB), "")</f>
        <v/>
      </c>
      <c r="G34" s="162"/>
      <c r="H34" s="148"/>
      <c r="I34" s="161" t="str">
        <f>IFERROR(__xludf.DUMMYFUNCTION("""COMPUTED_VALUE"""),"🏈 24-25 wk04")</f>
        <v>🏈 24-25 wk04</v>
      </c>
      <c r="J34" s="146">
        <f>IF(I34&lt;&gt;"", SUMIF(Bets!$F:$F, I34, Bets!AA:AA),)</f>
        <v>-16.4</v>
      </c>
      <c r="K34" s="162"/>
      <c r="L34" s="148"/>
      <c r="M34" s="161"/>
      <c r="N34" s="146" t="str">
        <f>IF(M34&lt;&gt;"", SUMIF(Bets!$F:$F, M34, Bets!AC:AC), "")</f>
        <v/>
      </c>
      <c r="O34" s="162"/>
      <c r="P34" s="148"/>
      <c r="Q34" s="161"/>
      <c r="R34" s="146"/>
      <c r="S34" s="162"/>
      <c r="T34" s="148"/>
      <c r="U34" s="161"/>
      <c r="V34" s="146"/>
      <c r="W34" s="162"/>
      <c r="X34" s="148"/>
      <c r="Y34" s="161"/>
      <c r="Z34" s="146"/>
      <c r="AA34" s="162"/>
      <c r="AB34" s="148"/>
      <c r="AC34" s="161"/>
      <c r="AD34" s="146"/>
      <c r="AE34" s="162"/>
      <c r="AF34" s="148"/>
    </row>
    <row r="35">
      <c r="A35" s="161" t="str">
        <f>IFERROR(__xludf.DUMMYFUNCTION("""COMPUTED_VALUE"""),"🏈 24-25 wk03")</f>
        <v>🏈 24-25 wk03</v>
      </c>
      <c r="B35" s="146">
        <f>IF(A35&lt;&gt;"", SUMIF(Bets!$F:$F, A35, Bets!Z:Z), "")</f>
        <v>-14.79333333</v>
      </c>
      <c r="C35" s="162"/>
      <c r="D35" s="148"/>
      <c r="E35" s="161"/>
      <c r="F35" s="146" t="str">
        <f>IF(E35&lt;&gt;"", SUMIF(Bets!$F:$F, E35, Bets!AB:AB), "")</f>
        <v/>
      </c>
      <c r="G35" s="162"/>
      <c r="H35" s="148"/>
      <c r="I35" s="161" t="str">
        <f>IFERROR(__xludf.DUMMYFUNCTION("""COMPUTED_VALUE"""),"🏈 24-25 wk05")</f>
        <v>🏈 24-25 wk05</v>
      </c>
      <c r="J35" s="146">
        <f>IF(I35&lt;&gt;"", SUMIF(Bets!$F:$F, I35, Bets!AA:AA),)</f>
        <v>92.46091667</v>
      </c>
      <c r="K35" s="162"/>
      <c r="L35" s="148"/>
      <c r="M35" s="161"/>
      <c r="N35" s="146"/>
      <c r="O35" s="162"/>
      <c r="P35" s="148"/>
      <c r="Q35" s="161"/>
      <c r="R35" s="146"/>
      <c r="S35" s="162"/>
      <c r="T35" s="148"/>
      <c r="U35" s="161"/>
      <c r="V35" s="146"/>
      <c r="W35" s="162"/>
      <c r="X35" s="148"/>
      <c r="Y35" s="161"/>
      <c r="Z35" s="146"/>
      <c r="AA35" s="162"/>
      <c r="AB35" s="148"/>
      <c r="AC35" s="161"/>
      <c r="AD35" s="146"/>
      <c r="AE35" s="162"/>
      <c r="AF35" s="148"/>
    </row>
    <row r="36">
      <c r="A36" s="161" t="str">
        <f>IFERROR(__xludf.DUMMYFUNCTION("""COMPUTED_VALUE"""),"🏈 24-25 wk04")</f>
        <v>🏈 24-25 wk04</v>
      </c>
      <c r="B36" s="146">
        <f>IF(A36&lt;&gt;"", SUMIF(Bets!$F:$F, A36, Bets!Z:Z), "")</f>
        <v>-10.2</v>
      </c>
      <c r="C36" s="162"/>
      <c r="D36" s="148"/>
      <c r="E36" s="161"/>
      <c r="F36" s="146" t="str">
        <f>IF(E36&lt;&gt;"", SUMIF(Bets!$F:$F, E36, Bets!AB:AB), "")</f>
        <v/>
      </c>
      <c r="G36" s="162"/>
      <c r="H36" s="148"/>
      <c r="I36" s="161" t="str">
        <f>IFERROR(__xludf.DUMMYFUNCTION("""COMPUTED_VALUE"""),"🏈 24-25 wk07")</f>
        <v>🏈 24-25 wk07</v>
      </c>
      <c r="J36" s="146">
        <f>IF(I36&lt;&gt;"", SUMIF(Bets!$F:$F, I36, Bets!AA:AA),)</f>
        <v>8.9025</v>
      </c>
      <c r="K36" s="162"/>
      <c r="L36" s="148"/>
      <c r="M36" s="161"/>
      <c r="N36" s="146"/>
      <c r="O36" s="162"/>
      <c r="P36" s="148"/>
      <c r="Q36" s="161"/>
      <c r="R36" s="146"/>
      <c r="S36" s="162"/>
      <c r="T36" s="148"/>
      <c r="U36" s="161"/>
      <c r="V36" s="146"/>
      <c r="W36" s="162"/>
      <c r="X36" s="148"/>
      <c r="Y36" s="161"/>
      <c r="Z36" s="146"/>
      <c r="AA36" s="162"/>
      <c r="AB36" s="148"/>
      <c r="AC36" s="161"/>
      <c r="AD36" s="146"/>
      <c r="AE36" s="162"/>
      <c r="AF36" s="148"/>
    </row>
    <row r="37">
      <c r="A37" s="161" t="str">
        <f>IFERROR(__xludf.DUMMYFUNCTION("""COMPUTED_VALUE"""),"🏈 24-25 wk05")</f>
        <v>🏈 24-25 wk05</v>
      </c>
      <c r="B37" s="146">
        <f>IF(A37&lt;&gt;"", SUMIF(Bets!$F:$F, A37, Bets!Z:Z), "")</f>
        <v>31.20908333</v>
      </c>
      <c r="C37" s="162"/>
      <c r="D37" s="148"/>
      <c r="E37" s="161"/>
      <c r="F37" s="146" t="str">
        <f>IF(E37&lt;&gt;"", SUMIF(Bets!$F:$F, E37, Bets!AB:AB), "")</f>
        <v/>
      </c>
      <c r="G37" s="162"/>
      <c r="H37" s="148"/>
      <c r="I37" s="161" t="str">
        <f>IFERROR(__xludf.DUMMYFUNCTION("""COMPUTED_VALUE"""),"🏈 24-25 wk08")</f>
        <v>🏈 24-25 wk08</v>
      </c>
      <c r="J37" s="146">
        <f>IF(I37&lt;&gt;"", SUMIF(Bets!$F:$F, I37, Bets!AA:AA),)</f>
        <v>-41.45485714</v>
      </c>
      <c r="K37" s="162"/>
      <c r="L37" s="148"/>
      <c r="M37" s="161"/>
      <c r="N37" s="146"/>
      <c r="O37" s="162"/>
      <c r="P37" s="148"/>
      <c r="Q37" s="161"/>
      <c r="R37" s="146"/>
      <c r="S37" s="162"/>
      <c r="T37" s="148"/>
      <c r="U37" s="161"/>
      <c r="V37" s="146"/>
      <c r="W37" s="162"/>
      <c r="X37" s="148"/>
      <c r="Y37" s="161"/>
      <c r="Z37" s="146"/>
      <c r="AA37" s="162"/>
      <c r="AB37" s="148"/>
      <c r="AC37" s="161"/>
      <c r="AD37" s="146"/>
      <c r="AE37" s="162"/>
      <c r="AF37" s="148"/>
    </row>
    <row r="38">
      <c r="A38" s="161" t="str">
        <f>IFERROR(__xludf.DUMMYFUNCTION("""COMPUTED_VALUE"""),"🏈 24-25 wk07")</f>
        <v>🏈 24-25 wk07</v>
      </c>
      <c r="B38" s="146">
        <f>IF(A38&lt;&gt;"", SUMIF(Bets!$F:$F, A38, Bets!Z:Z), "")</f>
        <v>9.2075</v>
      </c>
      <c r="C38" s="162"/>
      <c r="D38" s="148"/>
      <c r="E38" s="161"/>
      <c r="F38" s="146" t="str">
        <f>IF(E38&lt;&gt;"", SUMIF(Bets!$F:$F, E38, Bets!AB:AB), "")</f>
        <v/>
      </c>
      <c r="G38" s="162"/>
      <c r="H38" s="148"/>
      <c r="I38" s="161" t="str">
        <f>IFERROR(__xludf.DUMMYFUNCTION("""COMPUTED_VALUE"""),"🏈 24-25 wk09")</f>
        <v>🏈 24-25 wk09</v>
      </c>
      <c r="J38" s="146">
        <f>IF(I38&lt;&gt;"", SUMIF(Bets!$F:$F, I38, Bets!AA:AA),)</f>
        <v>-19.61166667</v>
      </c>
      <c r="K38" s="162"/>
      <c r="L38" s="148"/>
      <c r="M38" s="161"/>
      <c r="N38" s="146"/>
      <c r="O38" s="162"/>
      <c r="P38" s="148"/>
      <c r="Q38" s="161"/>
      <c r="R38" s="146"/>
      <c r="S38" s="162"/>
      <c r="T38" s="148"/>
      <c r="U38" s="161"/>
      <c r="V38" s="146"/>
      <c r="W38" s="162"/>
      <c r="X38" s="148"/>
      <c r="Y38" s="161"/>
      <c r="Z38" s="146"/>
      <c r="AA38" s="162"/>
      <c r="AB38" s="148"/>
      <c r="AC38" s="161"/>
      <c r="AD38" s="146"/>
      <c r="AE38" s="162"/>
      <c r="AF38" s="148"/>
    </row>
    <row r="39">
      <c r="A39" s="161" t="str">
        <f>IFERROR(__xludf.DUMMYFUNCTION("""COMPUTED_VALUE"""),"🏈 24-25 wk08")</f>
        <v>🏈 24-25 wk08</v>
      </c>
      <c r="B39" s="146">
        <f>IF(A39&lt;&gt;"", SUMIF(Bets!$F:$F, A39, Bets!Z:Z), "")</f>
        <v>-20.24514286</v>
      </c>
      <c r="C39" s="162"/>
      <c r="D39" s="148"/>
      <c r="E39" s="161"/>
      <c r="F39" s="146" t="str">
        <f>IF(E39&lt;&gt;"", SUMIF(Bets!$F:$F, E39, Bets!AB:AB), "")</f>
        <v/>
      </c>
      <c r="G39" s="162"/>
      <c r="H39" s="148"/>
      <c r="I39" s="161" t="str">
        <f>IFERROR(__xludf.DUMMYFUNCTION("""COMPUTED_VALUE"""),"🏈 24-25 wk10")</f>
        <v>🏈 24-25 wk10</v>
      </c>
      <c r="J39" s="146">
        <f>IF(I39&lt;&gt;"", SUMIF(Bets!$F:$F, I39, Bets!AA:AA),)</f>
        <v>6.399</v>
      </c>
      <c r="K39" s="162"/>
      <c r="L39" s="148"/>
      <c r="M39" s="161"/>
      <c r="N39" s="146"/>
      <c r="O39" s="162"/>
      <c r="P39" s="148"/>
      <c r="Q39" s="161"/>
      <c r="R39" s="146"/>
      <c r="S39" s="162"/>
      <c r="T39" s="148"/>
      <c r="U39" s="161"/>
      <c r="V39" s="146"/>
      <c r="W39" s="162"/>
      <c r="X39" s="148"/>
      <c r="Y39" s="161"/>
      <c r="Z39" s="146"/>
      <c r="AA39" s="162"/>
      <c r="AB39" s="148"/>
      <c r="AC39" s="161"/>
      <c r="AD39" s="146"/>
      <c r="AE39" s="162"/>
      <c r="AF39" s="148"/>
    </row>
    <row r="40">
      <c r="A40" s="161" t="str">
        <f>IFERROR(__xludf.DUMMYFUNCTION("""COMPUTED_VALUE"""),"🏈 24-25 wk09")</f>
        <v>🏈 24-25 wk09</v>
      </c>
      <c r="B40" s="146">
        <f>IF(A40&lt;&gt;"", SUMIF(Bets!$F:$F, A40, Bets!Z:Z), "")</f>
        <v>-8.758333333</v>
      </c>
      <c r="C40" s="162"/>
      <c r="D40" s="148"/>
      <c r="E40" s="161"/>
      <c r="F40" s="146" t="str">
        <f>IF(E40&lt;&gt;"", SUMIF(Bets!$F:$F, E40, Bets!AB:AB), "")</f>
        <v/>
      </c>
      <c r="G40" s="162"/>
      <c r="H40" s="148"/>
      <c r="I40" s="161" t="str">
        <f>IFERROR(__xludf.DUMMYFUNCTION("""COMPUTED_VALUE"""),"🏈 24-25 wk11")</f>
        <v>🏈 24-25 wk11</v>
      </c>
      <c r="J40" s="146">
        <f>IF(I40&lt;&gt;"", SUMIF(Bets!$F:$F, I40, Bets!AA:AA),)</f>
        <v>-8.32</v>
      </c>
      <c r="K40" s="162"/>
      <c r="L40" s="148"/>
      <c r="M40" s="161"/>
      <c r="N40" s="146"/>
      <c r="O40" s="162"/>
      <c r="P40" s="148"/>
      <c r="Q40" s="161"/>
      <c r="R40" s="146"/>
      <c r="S40" s="162"/>
      <c r="T40" s="148"/>
      <c r="U40" s="161"/>
      <c r="V40" s="146"/>
      <c r="W40" s="162"/>
      <c r="X40" s="148"/>
      <c r="Y40" s="161"/>
      <c r="Z40" s="146"/>
      <c r="AA40" s="162"/>
      <c r="AB40" s="148"/>
      <c r="AC40" s="161"/>
      <c r="AD40" s="146"/>
      <c r="AE40" s="162"/>
      <c r="AF40" s="148"/>
    </row>
    <row r="41">
      <c r="A41" s="161" t="str">
        <f>IFERROR(__xludf.DUMMYFUNCTION("""COMPUTED_VALUE"""),"🏈 24-25 wk10")</f>
        <v>🏈 24-25 wk10</v>
      </c>
      <c r="B41" s="146">
        <f>IF(A41&lt;&gt;"", SUMIF(Bets!$F:$F, A41, Bets!Z:Z), "")</f>
        <v>6.071</v>
      </c>
      <c r="C41" s="162"/>
      <c r="D41" s="148"/>
      <c r="E41" s="161"/>
      <c r="F41" s="146" t="str">
        <f>IF(E41&lt;&gt;"", SUMIF(Bets!$F:$F, E41, Bets!AB:AB), "")</f>
        <v/>
      </c>
      <c r="G41" s="162"/>
      <c r="H41" s="148"/>
      <c r="I41" s="161" t="str">
        <f>IFERROR(__xludf.DUMMYFUNCTION("""COMPUTED_VALUE"""),"🏈 24-25 wk12")</f>
        <v>🏈 24-25 wk12</v>
      </c>
      <c r="J41" s="146">
        <f>IF(I41&lt;&gt;"", SUMIF(Bets!$F:$F, I41, Bets!AA:AA),)</f>
        <v>-4.52</v>
      </c>
      <c r="K41" s="162"/>
      <c r="L41" s="148"/>
      <c r="M41" s="161"/>
      <c r="N41" s="146"/>
      <c r="O41" s="162"/>
      <c r="P41" s="148"/>
      <c r="Q41" s="161"/>
      <c r="R41" s="146"/>
      <c r="S41" s="162"/>
      <c r="T41" s="148"/>
      <c r="U41" s="161"/>
      <c r="V41" s="146"/>
      <c r="W41" s="162"/>
      <c r="X41" s="148"/>
      <c r="Y41" s="161"/>
      <c r="Z41" s="146"/>
      <c r="AA41" s="162"/>
      <c r="AB41" s="148"/>
      <c r="AC41" s="161"/>
      <c r="AD41" s="146"/>
      <c r="AE41" s="162"/>
      <c r="AF41" s="148"/>
    </row>
    <row r="42">
      <c r="A42" s="161" t="str">
        <f>IFERROR(__xludf.DUMMYFUNCTION("""COMPUTED_VALUE"""),"🏈 24-25 wk11")</f>
        <v>🏈 24-25 wk11</v>
      </c>
      <c r="B42" s="146">
        <f>IF(A42&lt;&gt;"", SUMIF(Bets!$F:$F, A42, Bets!Z:Z), "")</f>
        <v>-5.76</v>
      </c>
      <c r="C42" s="162"/>
      <c r="D42" s="148"/>
      <c r="E42" s="161"/>
      <c r="F42" s="146" t="str">
        <f>IF(E42&lt;&gt;"", SUMIF(Bets!$F:$F, E42, Bets!AB:AB), "")</f>
        <v/>
      </c>
      <c r="G42" s="162"/>
      <c r="H42" s="148"/>
      <c r="I42" s="161" t="str">
        <f>IFERROR(__xludf.DUMMYFUNCTION("""COMPUTED_VALUE"""),"🏈 24-25 wk13")</f>
        <v>🏈 24-25 wk13</v>
      </c>
      <c r="J42" s="146">
        <f>IF(I42&lt;&gt;"", SUMIF(Bets!$F:$F, I42, Bets!AA:AA),)</f>
        <v>-3.246571429</v>
      </c>
      <c r="K42" s="162"/>
      <c r="L42" s="148"/>
      <c r="M42" s="161"/>
      <c r="N42" s="146"/>
      <c r="O42" s="162"/>
      <c r="P42" s="148"/>
      <c r="Q42" s="161"/>
      <c r="R42" s="146"/>
      <c r="S42" s="162"/>
      <c r="T42" s="148"/>
      <c r="U42" s="161"/>
      <c r="V42" s="146"/>
      <c r="W42" s="162"/>
      <c r="X42" s="148"/>
      <c r="Y42" s="161"/>
      <c r="Z42" s="146"/>
      <c r="AA42" s="162"/>
      <c r="AB42" s="148"/>
      <c r="AC42" s="161"/>
      <c r="AD42" s="146"/>
      <c r="AE42" s="162"/>
      <c r="AF42" s="148"/>
    </row>
    <row r="43">
      <c r="A43" s="161" t="str">
        <f>IFERROR(__xludf.DUMMYFUNCTION("""COMPUTED_VALUE"""),"🏈 24-25 wk12")</f>
        <v>🏈 24-25 wk12</v>
      </c>
      <c r="B43" s="146">
        <f>IF(A43&lt;&gt;"", SUMIF(Bets!$F:$F, A43, Bets!Z:Z), "")</f>
        <v>-4.52</v>
      </c>
      <c r="C43" s="162"/>
      <c r="D43" s="148"/>
      <c r="E43" s="161"/>
      <c r="F43" s="146" t="str">
        <f>IF(E43&lt;&gt;"", SUMIF(Bets!$F:$F, E43, Bets!AB:AB), "")</f>
        <v/>
      </c>
      <c r="G43" s="162"/>
      <c r="H43" s="148"/>
      <c r="I43" s="161" t="str">
        <f>IFERROR(__xludf.DUMMYFUNCTION("""COMPUTED_VALUE"""),"🏈 24-25 wk14")</f>
        <v>🏈 24-25 wk14</v>
      </c>
      <c r="J43" s="146">
        <f>IF(I43&lt;&gt;"", SUMIF(Bets!$F:$F, I43, Bets!AA:AA),)</f>
        <v>10.325</v>
      </c>
      <c r="K43" s="162"/>
      <c r="L43" s="148"/>
      <c r="M43" s="161"/>
      <c r="N43" s="146"/>
      <c r="O43" s="162"/>
      <c r="P43" s="148"/>
      <c r="Q43" s="161"/>
      <c r="R43" s="146"/>
      <c r="S43" s="162"/>
      <c r="T43" s="148"/>
      <c r="U43" s="161"/>
      <c r="V43" s="146"/>
      <c r="W43" s="162"/>
      <c r="X43" s="148"/>
      <c r="Y43" s="161"/>
      <c r="Z43" s="146"/>
      <c r="AA43" s="162"/>
      <c r="AB43" s="148"/>
      <c r="AC43" s="161"/>
      <c r="AD43" s="146"/>
      <c r="AE43" s="162"/>
      <c r="AF43" s="148"/>
    </row>
    <row r="44">
      <c r="A44" s="161" t="str">
        <f>IFERROR(__xludf.DUMMYFUNCTION("""COMPUTED_VALUE"""),"🏈 24-25 wk13")</f>
        <v>🏈 24-25 wk13</v>
      </c>
      <c r="B44" s="146">
        <f>IF(A44&lt;&gt;"", SUMIF(Bets!$F:$F, A44, Bets!Z:Z), "")</f>
        <v>1.396571429</v>
      </c>
      <c r="C44" s="162"/>
      <c r="D44" s="148"/>
      <c r="E44" s="161"/>
      <c r="F44" s="146" t="str">
        <f>IF(E44&lt;&gt;"", SUMIF(Bets!$F:$F, E44, Bets!AB:AB), "")</f>
        <v/>
      </c>
      <c r="G44" s="162"/>
      <c r="H44" s="148"/>
      <c r="I44" s="161" t="str">
        <f>IFERROR(__xludf.DUMMYFUNCTION("""COMPUTED_VALUE"""),"🏈 24-25 wk15")</f>
        <v>🏈 24-25 wk15</v>
      </c>
      <c r="J44" s="146">
        <f>IF(I44&lt;&gt;"", SUMIF(Bets!$F:$F, I44, Bets!AA:AA),)</f>
        <v>8.38</v>
      </c>
      <c r="K44" s="162"/>
      <c r="L44" s="148"/>
      <c r="M44" s="161"/>
      <c r="N44" s="146"/>
      <c r="O44" s="162"/>
      <c r="P44" s="148"/>
      <c r="Q44" s="161"/>
      <c r="R44" s="146"/>
      <c r="S44" s="162"/>
      <c r="T44" s="148"/>
      <c r="U44" s="161"/>
      <c r="V44" s="146"/>
      <c r="W44" s="162"/>
      <c r="X44" s="148"/>
      <c r="Y44" s="161"/>
      <c r="Z44" s="146"/>
      <c r="AA44" s="162"/>
      <c r="AB44" s="148"/>
      <c r="AC44" s="161"/>
      <c r="AD44" s="146"/>
      <c r="AE44" s="162"/>
      <c r="AF44" s="148"/>
    </row>
    <row r="45">
      <c r="A45" s="161" t="str">
        <f>IFERROR(__xludf.DUMMYFUNCTION("""COMPUTED_VALUE"""),"🏈 24-25 wk14")</f>
        <v>🏈 24-25 wk14</v>
      </c>
      <c r="B45" s="146">
        <f>IF(A45&lt;&gt;"", SUMIF(Bets!$F:$F, A45, Bets!Z:Z), "")</f>
        <v>8.075</v>
      </c>
      <c r="C45" s="162"/>
      <c r="D45" s="148"/>
      <c r="E45" s="161"/>
      <c r="F45" s="146" t="str">
        <f>IF(E45&lt;&gt;"", SUMIF(Bets!$F:$F, E45, Bets!AB:AB), "")</f>
        <v/>
      </c>
      <c r="G45" s="162"/>
      <c r="H45" s="148"/>
      <c r="I45" s="161" t="str">
        <f>IFERROR(__xludf.DUMMYFUNCTION("""COMPUTED_VALUE"""),"🏈 24-25 wk16")</f>
        <v>🏈 24-25 wk16</v>
      </c>
      <c r="J45" s="146">
        <f>IF(I45&lt;&gt;"", SUMIF(Bets!$F:$F, I45, Bets!AA:AA),)</f>
        <v>7.043</v>
      </c>
      <c r="K45" s="162"/>
      <c r="L45" s="148"/>
      <c r="M45" s="161"/>
      <c r="N45" s="146"/>
      <c r="O45" s="162"/>
      <c r="P45" s="148"/>
      <c r="Q45" s="161"/>
      <c r="R45" s="146"/>
      <c r="S45" s="162"/>
      <c r="T45" s="148"/>
      <c r="U45" s="161"/>
      <c r="V45" s="146"/>
      <c r="W45" s="162"/>
      <c r="X45" s="148"/>
      <c r="Y45" s="161"/>
      <c r="Z45" s="146"/>
      <c r="AA45" s="162"/>
      <c r="AB45" s="148"/>
      <c r="AC45" s="161"/>
      <c r="AD45" s="146"/>
      <c r="AE45" s="162"/>
      <c r="AF45" s="148"/>
    </row>
    <row r="46">
      <c r="A46" s="161" t="str">
        <f>IFERROR(__xludf.DUMMYFUNCTION("""COMPUTED_VALUE"""),"🏈 24-25 wk15")</f>
        <v>🏈 24-25 wk15</v>
      </c>
      <c r="B46" s="146">
        <f>IF(A46&lt;&gt;"", SUMIF(Bets!$F:$F, A46, Bets!Z:Z), "")</f>
        <v>1.46</v>
      </c>
      <c r="C46" s="162"/>
      <c r="D46" s="148"/>
      <c r="E46" s="161"/>
      <c r="F46" s="146" t="str">
        <f>IF(E46&lt;&gt;"", SUMIF(Bets!$F:$F, E46, Bets!AB:AB), "")</f>
        <v/>
      </c>
      <c r="G46" s="162"/>
      <c r="H46" s="148"/>
      <c r="I46" s="161" t="str">
        <f>IFERROR(__xludf.DUMMYFUNCTION("""COMPUTED_VALUE"""),"🏈 24-25 wk17")</f>
        <v>🏈 24-25 wk17</v>
      </c>
      <c r="J46" s="146">
        <f>IF(I46&lt;&gt;"", SUMIF(Bets!$F:$F, I46, Bets!AA:AA),)</f>
        <v>-11.579</v>
      </c>
      <c r="K46" s="162"/>
      <c r="L46" s="148"/>
      <c r="M46" s="161"/>
      <c r="N46" s="146"/>
      <c r="O46" s="162"/>
      <c r="P46" s="148"/>
      <c r="Q46" s="161"/>
      <c r="R46" s="146"/>
      <c r="S46" s="162"/>
      <c r="T46" s="148"/>
      <c r="U46" s="161"/>
      <c r="V46" s="146"/>
      <c r="W46" s="162"/>
      <c r="X46" s="148"/>
      <c r="Y46" s="161"/>
      <c r="Z46" s="146"/>
      <c r="AA46" s="162"/>
      <c r="AB46" s="148"/>
      <c r="AC46" s="161"/>
      <c r="AD46" s="146"/>
      <c r="AE46" s="162"/>
      <c r="AF46" s="148"/>
    </row>
    <row r="47">
      <c r="A47" s="161" t="str">
        <f>IFERROR(__xludf.DUMMYFUNCTION("""COMPUTED_VALUE"""),"🏈 24-25 wk16")</f>
        <v>🏈 24-25 wk16</v>
      </c>
      <c r="B47" s="146">
        <f>IF(A47&lt;&gt;"", SUMIF(Bets!$F:$F, A47, Bets!Z:Z), "")</f>
        <v>1.887</v>
      </c>
      <c r="C47" s="162"/>
      <c r="D47" s="148"/>
      <c r="E47" s="161"/>
      <c r="F47" s="146" t="str">
        <f>IF(E47&lt;&gt;"", SUMIF(Bets!$F:$F, E47, Bets!AB:AB), "")</f>
        <v/>
      </c>
      <c r="G47" s="162"/>
      <c r="H47" s="148"/>
      <c r="I47" s="161" t="str">
        <f>IFERROR(__xludf.DUMMYFUNCTION("""COMPUTED_VALUE"""),"🏈 24-25 wk19 WC")</f>
        <v>🏈 24-25 wk19 WC</v>
      </c>
      <c r="J47" s="146">
        <f>IF(I47&lt;&gt;"", SUMIF(Bets!$F:$F, I47, Bets!AA:AA),)</f>
        <v>-9.33975</v>
      </c>
      <c r="K47" s="162"/>
      <c r="L47" s="148"/>
      <c r="M47" s="161"/>
      <c r="N47" s="146"/>
      <c r="O47" s="162"/>
      <c r="P47" s="148"/>
      <c r="Q47" s="161"/>
      <c r="R47" s="146"/>
      <c r="S47" s="162"/>
      <c r="T47" s="148"/>
      <c r="U47" s="161"/>
      <c r="V47" s="146"/>
      <c r="W47" s="162"/>
      <c r="X47" s="148"/>
      <c r="Y47" s="161"/>
      <c r="Z47" s="146"/>
      <c r="AA47" s="162"/>
      <c r="AB47" s="148"/>
      <c r="AC47" s="161"/>
      <c r="AD47" s="146"/>
      <c r="AE47" s="162"/>
      <c r="AF47" s="148"/>
    </row>
    <row r="48">
      <c r="A48" s="161" t="str">
        <f>IFERROR(__xludf.DUMMYFUNCTION("""COMPUTED_VALUE"""),"🏈 24-25 wk17")</f>
        <v>🏈 24-25 wk17</v>
      </c>
      <c r="B48" s="146">
        <f>IF(A48&lt;&gt;"", SUMIF(Bets!$F:$F, A48, Bets!Z:Z), "")</f>
        <v>-12.091</v>
      </c>
      <c r="C48" s="162"/>
      <c r="D48" s="148"/>
      <c r="E48" s="161"/>
      <c r="F48" s="146" t="str">
        <f>IF(E48&lt;&gt;"", SUMIF(Bets!$F:$F, E48, Bets!AB:AB), "")</f>
        <v/>
      </c>
      <c r="G48" s="162"/>
      <c r="H48" s="148"/>
      <c r="I48" s="161" t="str">
        <f>IFERROR(__xludf.DUMMYFUNCTION("""COMPUTED_VALUE"""),"🏈 24-25 wk20 Div")</f>
        <v>🏈 24-25 wk20 Div</v>
      </c>
      <c r="J48" s="146">
        <f>IF(I48&lt;&gt;"", SUMIF(Bets!$F:$F, I48, Bets!AA:AA),)</f>
        <v>-2.729</v>
      </c>
      <c r="K48" s="162"/>
      <c r="L48" s="148"/>
      <c r="M48" s="161"/>
      <c r="N48" s="146"/>
      <c r="O48" s="162"/>
      <c r="P48" s="148"/>
      <c r="Q48" s="161"/>
      <c r="R48" s="146"/>
      <c r="S48" s="162"/>
      <c r="T48" s="148"/>
      <c r="U48" s="161"/>
      <c r="V48" s="146"/>
      <c r="W48" s="162"/>
      <c r="X48" s="148"/>
      <c r="Y48" s="161"/>
      <c r="Z48" s="146"/>
      <c r="AA48" s="162"/>
      <c r="AB48" s="148"/>
      <c r="AC48" s="161"/>
      <c r="AD48" s="146"/>
      <c r="AE48" s="162"/>
      <c r="AF48" s="148"/>
    </row>
    <row r="49">
      <c r="A49" s="161" t="str">
        <f>IFERROR(__xludf.DUMMYFUNCTION("""COMPUTED_VALUE"""),"🏈 24-25 wk19 WC")</f>
        <v>🏈 24-25 wk19 WC</v>
      </c>
      <c r="B49" s="146">
        <f>IF(A49&lt;&gt;"", SUMIF(Bets!$F:$F, A49, Bets!Z:Z), "")</f>
        <v>-11.41025</v>
      </c>
      <c r="C49" s="162"/>
      <c r="D49" s="148"/>
      <c r="E49" s="161"/>
      <c r="F49" s="146" t="str">
        <f>IF(E49&lt;&gt;"", SUMIF(Bets!$F:$F, E49, Bets!AB:AB), "")</f>
        <v/>
      </c>
      <c r="G49" s="162"/>
      <c r="H49" s="148"/>
      <c r="I49" s="161" t="str">
        <f>IFERROR(__xludf.DUMMYFUNCTION("""COMPUTED_VALUE"""),"🏈 24-25 wk20 SB")</f>
        <v>🏈 24-25 wk20 SB</v>
      </c>
      <c r="J49" s="146">
        <f>IF(I49&lt;&gt;"", SUMIF(Bets!$F:$F, I49, Bets!AA:AA),)</f>
        <v>-34.58</v>
      </c>
      <c r="K49" s="162"/>
      <c r="L49" s="148"/>
      <c r="M49" s="161"/>
      <c r="N49" s="146"/>
      <c r="O49" s="162"/>
      <c r="P49" s="148"/>
      <c r="Q49" s="161"/>
      <c r="R49" s="146"/>
      <c r="S49" s="162"/>
      <c r="T49" s="148"/>
      <c r="U49" s="161"/>
      <c r="V49" s="146"/>
      <c r="W49" s="162"/>
      <c r="X49" s="148"/>
      <c r="Y49" s="161"/>
      <c r="Z49" s="146"/>
      <c r="AA49" s="162"/>
      <c r="AB49" s="148"/>
      <c r="AC49" s="161"/>
      <c r="AD49" s="146"/>
      <c r="AE49" s="162"/>
      <c r="AF49" s="148"/>
    </row>
    <row r="50">
      <c r="A50" s="161" t="str">
        <f>IFERROR(__xludf.DUMMYFUNCTION("""COMPUTED_VALUE"""),"🏈 24-25 wk20 Div")</f>
        <v>🏈 24-25 wk20 Div</v>
      </c>
      <c r="B50" s="146">
        <f>IF(A50&lt;&gt;"", SUMIF(Bets!$F:$F, A50, Bets!Z:Z), "")</f>
        <v>4.679</v>
      </c>
      <c r="C50" s="162"/>
      <c r="D50" s="148"/>
      <c r="E50" s="161"/>
      <c r="F50" s="146" t="str">
        <f>IF(E50&lt;&gt;"", SUMIF(Bets!$F:$F, E50, Bets!AB:AB), "")</f>
        <v/>
      </c>
      <c r="G50" s="162"/>
      <c r="H50" s="148"/>
      <c r="I50" s="161" t="str">
        <f>IFERROR(__xludf.DUMMYFUNCTION("""COMPUTED_VALUE"""),"🏈 25-26 wk01")</f>
        <v>🏈 25-26 wk01</v>
      </c>
      <c r="J50" s="146">
        <f>IF(I50&lt;&gt;"", SUMIF(Bets!$F:$F, I50, Bets!AA:AA),)</f>
        <v>4.193714286</v>
      </c>
      <c r="K50" s="162"/>
      <c r="L50" s="148"/>
      <c r="M50" s="161"/>
      <c r="N50" s="146"/>
      <c r="O50" s="162"/>
      <c r="P50" s="148"/>
      <c r="Q50" s="161"/>
      <c r="R50" s="146"/>
      <c r="S50" s="162"/>
      <c r="T50" s="148"/>
      <c r="U50" s="161"/>
      <c r="V50" s="146"/>
      <c r="W50" s="162"/>
      <c r="X50" s="148"/>
      <c r="Y50" s="161"/>
      <c r="Z50" s="146"/>
      <c r="AA50" s="162"/>
      <c r="AB50" s="148"/>
      <c r="AC50" s="161"/>
      <c r="AD50" s="146"/>
      <c r="AE50" s="162"/>
      <c r="AF50" s="148"/>
    </row>
    <row r="51">
      <c r="A51" s="161" t="str">
        <f>IFERROR(__xludf.DUMMYFUNCTION("""COMPUTED_VALUE"""),"🏈 24-25 wk20 SB")</f>
        <v>🏈 24-25 wk20 SB</v>
      </c>
      <c r="B51" s="146">
        <f>IF(A51&lt;&gt;"", SUMIF(Bets!$F:$F, A51, Bets!Z:Z), "")</f>
        <v>-19.04</v>
      </c>
      <c r="C51" s="162"/>
      <c r="D51" s="148"/>
      <c r="E51" s="161"/>
      <c r="F51" s="146" t="str">
        <f>IF(E51&lt;&gt;"", SUMIF(Bets!$F:$F, E51, Bets!AB:AB), "")</f>
        <v/>
      </c>
      <c r="G51" s="162"/>
      <c r="H51" s="148"/>
      <c r="I51" s="161" t="str">
        <f>IFERROR(__xludf.DUMMYFUNCTION("""COMPUTED_VALUE"""),"🏈 25-26 wk02")</f>
        <v>🏈 25-26 wk02</v>
      </c>
      <c r="J51" s="146">
        <f>IF(I51&lt;&gt;"", SUMIF(Bets!$F:$F, I51, Bets!AA:AA),)</f>
        <v>-4.128</v>
      </c>
      <c r="K51" s="162"/>
      <c r="L51" s="148"/>
      <c r="M51" s="161"/>
      <c r="N51" s="146"/>
      <c r="O51" s="162"/>
      <c r="P51" s="148"/>
      <c r="Q51" s="161"/>
      <c r="R51" s="146"/>
      <c r="S51" s="162"/>
      <c r="T51" s="148"/>
      <c r="U51" s="161"/>
      <c r="V51" s="146"/>
      <c r="W51" s="162"/>
      <c r="X51" s="148"/>
      <c r="Y51" s="161"/>
      <c r="Z51" s="146"/>
      <c r="AA51" s="162"/>
      <c r="AB51" s="148"/>
      <c r="AC51" s="161"/>
      <c r="AD51" s="146"/>
      <c r="AE51" s="162"/>
      <c r="AF51" s="148"/>
    </row>
    <row r="52">
      <c r="A52" s="161" t="str">
        <f>IFERROR(__xludf.DUMMYFUNCTION("""COMPUTED_VALUE"""),"🏈 25-26 wk01")</f>
        <v>🏈 25-26 wk01</v>
      </c>
      <c r="B52" s="146">
        <f>IF(A52&lt;&gt;"", SUMIF(Bets!$F:$F, A52, Bets!Z:Z), "")</f>
        <v>-6.253714286</v>
      </c>
      <c r="C52" s="162"/>
      <c r="D52" s="148"/>
      <c r="E52" s="161"/>
      <c r="F52" s="146" t="str">
        <f>IF(E52&lt;&gt;"", SUMIF(Bets!$F:$F, E52, Bets!AB:AB), "")</f>
        <v/>
      </c>
      <c r="G52" s="162"/>
      <c r="H52" s="148"/>
      <c r="I52" s="161" t="str">
        <f>IFERROR(__xludf.DUMMYFUNCTION("""COMPUTED_VALUE"""),"🏈 25-26 wk03")</f>
        <v>🏈 25-26 wk03</v>
      </c>
      <c r="J52" s="146">
        <f>IF(I52&lt;&gt;"", SUMIF(Bets!$F:$F, I52, Bets!AA:AA),)</f>
        <v>-3.730333333</v>
      </c>
      <c r="K52" s="162"/>
      <c r="L52" s="148"/>
      <c r="M52" s="161"/>
      <c r="N52" s="146"/>
      <c r="O52" s="162"/>
      <c r="P52" s="148"/>
      <c r="Q52" s="161"/>
      <c r="R52" s="146"/>
      <c r="S52" s="162"/>
      <c r="T52" s="148"/>
      <c r="U52" s="161"/>
      <c r="V52" s="146"/>
      <c r="W52" s="162"/>
      <c r="X52" s="148"/>
      <c r="Y52" s="161"/>
      <c r="Z52" s="146"/>
      <c r="AA52" s="162"/>
      <c r="AB52" s="148"/>
      <c r="AC52" s="161"/>
      <c r="AD52" s="146"/>
      <c r="AE52" s="162"/>
      <c r="AF52" s="148"/>
    </row>
    <row r="53">
      <c r="A53" s="161" t="str">
        <f>IFERROR(__xludf.DUMMYFUNCTION("""COMPUTED_VALUE"""),"🏈 25-26 wk02")</f>
        <v>🏈 25-26 wk02</v>
      </c>
      <c r="B53" s="146">
        <f>IF(A53&lt;&gt;"", SUMIF(Bets!$F:$F, A53, Bets!Z:Z), "")</f>
        <v>2.168</v>
      </c>
      <c r="C53" s="162"/>
      <c r="D53" s="148"/>
      <c r="E53" s="161"/>
      <c r="F53" s="146" t="str">
        <f>IF(E53&lt;&gt;"", SUMIF(Bets!$F:$F, E53, Bets!AB:AB), "")</f>
        <v/>
      </c>
      <c r="G53" s="162"/>
      <c r="H53" s="148"/>
      <c r="I53" s="161" t="str">
        <f>IFERROR(__xludf.DUMMYFUNCTION("""COMPUTED_VALUE"""),"🏈 25-26 wk04")</f>
        <v>🏈 25-26 wk04</v>
      </c>
      <c r="J53" s="146">
        <f>IF(I53&lt;&gt;"", SUMIF(Bets!$F:$F, I53, Bets!AA:AA),)</f>
        <v>18.48</v>
      </c>
      <c r="K53" s="162"/>
      <c r="L53" s="148"/>
      <c r="M53" s="161"/>
      <c r="N53" s="146"/>
      <c r="O53" s="162"/>
      <c r="P53" s="148"/>
      <c r="Q53" s="161"/>
      <c r="R53" s="146"/>
      <c r="S53" s="162"/>
      <c r="T53" s="148"/>
      <c r="U53" s="161"/>
      <c r="V53" s="146"/>
      <c r="W53" s="162"/>
      <c r="X53" s="148"/>
      <c r="Y53" s="161"/>
      <c r="Z53" s="146"/>
      <c r="AA53" s="162"/>
      <c r="AB53" s="148"/>
      <c r="AC53" s="161"/>
      <c r="AD53" s="146"/>
      <c r="AE53" s="162"/>
      <c r="AF53" s="148"/>
    </row>
    <row r="54">
      <c r="A54" s="161" t="str">
        <f>IFERROR(__xludf.DUMMYFUNCTION("""COMPUTED_VALUE"""),"🏈 25-26 wk03")</f>
        <v>🏈 25-26 wk03</v>
      </c>
      <c r="B54" s="146">
        <f>IF(A54&lt;&gt;"", SUMIF(Bets!$F:$F, A54, Bets!Z:Z), "")</f>
        <v>-2.439666667</v>
      </c>
      <c r="C54" s="162"/>
      <c r="D54" s="148"/>
      <c r="E54" s="161"/>
      <c r="F54" s="146" t="str">
        <f>IF(E54&lt;&gt;"", SUMIF(Bets!$F:$F, E54, Bets!AB:AB), "")</f>
        <v/>
      </c>
      <c r="G54" s="162"/>
      <c r="H54" s="148"/>
      <c r="I54" s="161" t="str">
        <f>IFERROR(__xludf.DUMMYFUNCTION("""COMPUTED_VALUE"""),"🏈 25-26 wk05")</f>
        <v>🏈 25-26 wk05</v>
      </c>
      <c r="J54" s="146">
        <f>IF(I54&lt;&gt;"", SUMIF(Bets!$F:$F, I54, Bets!AA:AA),)</f>
        <v>-14.562</v>
      </c>
      <c r="K54" s="162"/>
      <c r="L54" s="148"/>
      <c r="M54" s="161"/>
      <c r="N54" s="146"/>
      <c r="O54" s="162"/>
      <c r="P54" s="148"/>
      <c r="Q54" s="161"/>
      <c r="R54" s="146"/>
      <c r="S54" s="162"/>
      <c r="T54" s="148"/>
      <c r="U54" s="161"/>
      <c r="V54" s="146"/>
      <c r="W54" s="162"/>
      <c r="X54" s="148"/>
      <c r="Y54" s="161"/>
      <c r="Z54" s="146"/>
      <c r="AA54" s="162"/>
      <c r="AB54" s="148"/>
      <c r="AC54" s="161"/>
      <c r="AD54" s="146"/>
      <c r="AE54" s="162"/>
      <c r="AF54" s="148"/>
    </row>
    <row r="55">
      <c r="A55" s="161" t="str">
        <f>IFERROR(__xludf.DUMMYFUNCTION("""COMPUTED_VALUE"""),"🏈 25-26 wk04")</f>
        <v>🏈 25-26 wk04</v>
      </c>
      <c r="B55" s="146">
        <f>IF(A55&lt;&gt;"", SUMIF(Bets!$F:$F, A55, Bets!Z:Z), "")</f>
        <v>17.23</v>
      </c>
      <c r="C55" s="162"/>
      <c r="D55" s="148"/>
      <c r="E55" s="161"/>
      <c r="F55" s="146" t="str">
        <f>IF(E55&lt;&gt;"", SUMIF(Bets!$F:$F, E55, Bets!AB:AB), "")</f>
        <v/>
      </c>
      <c r="G55" s="162"/>
      <c r="H55" s="148"/>
      <c r="I55" s="161" t="str">
        <f>IFERROR(__xludf.DUMMYFUNCTION("""COMPUTED_VALUE"""),"🏈 25-26 wk06")</f>
        <v>🏈 25-26 wk06</v>
      </c>
      <c r="J55" s="146">
        <f>IF(I55&lt;&gt;"", SUMIF(Bets!$F:$F, I55, Bets!AA:AA),)</f>
        <v>-14.366</v>
      </c>
      <c r="K55" s="162"/>
      <c r="L55" s="148"/>
      <c r="M55" s="161"/>
      <c r="N55" s="146"/>
      <c r="O55" s="162"/>
      <c r="P55" s="148"/>
      <c r="Q55" s="161"/>
      <c r="R55" s="146"/>
      <c r="S55" s="162"/>
      <c r="T55" s="148"/>
      <c r="U55" s="161"/>
      <c r="V55" s="146"/>
      <c r="W55" s="162"/>
      <c r="X55" s="148"/>
      <c r="Y55" s="161"/>
      <c r="Z55" s="146"/>
      <c r="AA55" s="162"/>
      <c r="AB55" s="148"/>
      <c r="AC55" s="161"/>
      <c r="AD55" s="146"/>
      <c r="AE55" s="162"/>
      <c r="AF55" s="148"/>
    </row>
    <row r="56">
      <c r="A56" s="161" t="str">
        <f>IFERROR(__xludf.DUMMYFUNCTION("""COMPUTED_VALUE"""),"🏈 25-26 wk05")</f>
        <v>🏈 25-26 wk05</v>
      </c>
      <c r="B56" s="146">
        <f>IF(A56&lt;&gt;"", SUMIF(Bets!$F:$F, A56, Bets!Z:Z), "")</f>
        <v>-13.508</v>
      </c>
      <c r="C56" s="162"/>
      <c r="D56" s="148"/>
      <c r="E56" s="161"/>
      <c r="F56" s="146" t="str">
        <f>IF(E56&lt;&gt;"", SUMIF(Bets!$F:$F, E56, Bets!AB:AB), "")</f>
        <v/>
      </c>
      <c r="G56" s="162"/>
      <c r="H56" s="148"/>
      <c r="I56" s="161" t="str">
        <f>IFERROR(__xludf.DUMMYFUNCTION("""COMPUTED_VALUE"""),"🏈 25-26 wk07")</f>
        <v>🏈 25-26 wk07</v>
      </c>
      <c r="J56" s="146">
        <f>IF(I56&lt;&gt;"", SUMIF(Bets!$F:$F, I56, Bets!AA:AA),)</f>
        <v>8.31</v>
      </c>
      <c r="K56" s="162"/>
      <c r="L56" s="148"/>
      <c r="M56" s="161"/>
      <c r="N56" s="146"/>
      <c r="O56" s="162"/>
      <c r="P56" s="148"/>
      <c r="Q56" s="161"/>
      <c r="R56" s="146"/>
      <c r="S56" s="162"/>
      <c r="T56" s="148"/>
      <c r="U56" s="161"/>
      <c r="V56" s="146"/>
      <c r="W56" s="162"/>
      <c r="X56" s="148"/>
      <c r="Y56" s="161"/>
      <c r="Z56" s="146"/>
      <c r="AA56" s="162"/>
      <c r="AB56" s="148"/>
      <c r="AC56" s="161"/>
      <c r="AD56" s="146"/>
      <c r="AE56" s="162"/>
      <c r="AF56" s="148"/>
    </row>
    <row r="57">
      <c r="A57" s="161" t="str">
        <f>IFERROR(__xludf.DUMMYFUNCTION("""COMPUTED_VALUE"""),"🏈 25-26 wk06")</f>
        <v>🏈 25-26 wk06</v>
      </c>
      <c r="B57" s="146">
        <f>IF(A57&lt;&gt;"", SUMIF(Bets!$F:$F, A57, Bets!Z:Z), "")</f>
        <v>-12.244</v>
      </c>
      <c r="C57" s="162"/>
      <c r="D57" s="148"/>
      <c r="E57" s="161"/>
      <c r="F57" s="146" t="str">
        <f>IF(E57&lt;&gt;"", SUMIF(Bets!$F:$F, E57, Bets!AB:AB), "")</f>
        <v/>
      </c>
      <c r="G57" s="162"/>
      <c r="H57" s="148"/>
      <c r="I57" s="161" t="str">
        <f>IFERROR(__xludf.DUMMYFUNCTION("""COMPUTED_VALUE"""),"🏈 25-26 wk08")</f>
        <v>🏈 25-26 wk08</v>
      </c>
      <c r="J57" s="146">
        <f>IF(I57&lt;&gt;"", SUMIF(Bets!$F:$F, I57, Bets!AA:AA),)</f>
        <v>-12</v>
      </c>
      <c r="K57" s="162"/>
      <c r="L57" s="148"/>
      <c r="M57" s="161"/>
      <c r="N57" s="146"/>
      <c r="O57" s="162"/>
      <c r="P57" s="148"/>
      <c r="Q57" s="161"/>
      <c r="R57" s="146"/>
      <c r="S57" s="162"/>
      <c r="T57" s="148"/>
      <c r="U57" s="161"/>
      <c r="V57" s="146"/>
      <c r="W57" s="162"/>
      <c r="X57" s="148"/>
      <c r="Y57" s="161"/>
      <c r="Z57" s="146"/>
      <c r="AA57" s="162"/>
      <c r="AB57" s="148"/>
      <c r="AC57" s="161"/>
      <c r="AD57" s="146"/>
      <c r="AE57" s="162"/>
      <c r="AF57" s="148"/>
    </row>
    <row r="58">
      <c r="A58" s="161" t="str">
        <f>IFERROR(__xludf.DUMMYFUNCTION("""COMPUTED_VALUE"""),"🏈 25-26 wk07")</f>
        <v>🏈 25-26 wk07</v>
      </c>
      <c r="B58" s="146">
        <f>IF(A58&lt;&gt;"", SUMIF(Bets!$F:$F, A58, Bets!Z:Z), "")</f>
        <v>6.89</v>
      </c>
      <c r="C58" s="162"/>
      <c r="D58" s="148"/>
      <c r="E58" s="161"/>
      <c r="F58" s="146" t="str">
        <f>IF(E58&lt;&gt;"", SUMIF(Bets!$F:$F, E58, Bets!AB:AB), "")</f>
        <v/>
      </c>
      <c r="G58" s="162"/>
      <c r="H58" s="148"/>
      <c r="I58" s="161" t="str">
        <f>IFERROR(__xludf.DUMMYFUNCTION("""COMPUTED_VALUE"""),"🏈 25-26 wk09")</f>
        <v>🏈 25-26 wk09</v>
      </c>
      <c r="J58" s="146">
        <f>IF(I58&lt;&gt;"", SUMIF(Bets!$F:$F, I58, Bets!AA:AA),)</f>
        <v>-7.524</v>
      </c>
      <c r="K58" s="162"/>
      <c r="L58" s="148"/>
      <c r="M58" s="161"/>
      <c r="N58" s="146"/>
      <c r="O58" s="162"/>
      <c r="P58" s="148"/>
      <c r="Q58" s="161"/>
      <c r="R58" s="146"/>
      <c r="S58" s="162"/>
      <c r="T58" s="148"/>
      <c r="U58" s="161"/>
      <c r="V58" s="146"/>
      <c r="W58" s="162"/>
      <c r="X58" s="148"/>
      <c r="Y58" s="161"/>
      <c r="Z58" s="146"/>
      <c r="AA58" s="162"/>
      <c r="AB58" s="148"/>
      <c r="AC58" s="161"/>
      <c r="AD58" s="146"/>
      <c r="AE58" s="162"/>
      <c r="AF58" s="148"/>
    </row>
    <row r="59">
      <c r="A59" s="161" t="str">
        <f>IFERROR(__xludf.DUMMYFUNCTION("""COMPUTED_VALUE"""),"🏈 25-26 wk08")</f>
        <v>🏈 25-26 wk08</v>
      </c>
      <c r="B59" s="146">
        <f>IF(A59&lt;&gt;"", SUMIF(Bets!$F:$F, A59, Bets!Z:Z), "")</f>
        <v>-8</v>
      </c>
      <c r="C59" s="162"/>
      <c r="D59" s="148"/>
      <c r="E59" s="161"/>
      <c r="F59" s="146" t="str">
        <f>IF(E59&lt;&gt;"", SUMIF(Bets!$F:$F, E59, Bets!AB:AB), "")</f>
        <v/>
      </c>
      <c r="G59" s="162"/>
      <c r="H59" s="148"/>
      <c r="I59" s="161" t="str">
        <f>IFERROR(__xludf.DUMMYFUNCTION("""COMPUTED_VALUE"""),"🏈 25-26 wk10")</f>
        <v>🏈 25-26 wk10</v>
      </c>
      <c r="J59" s="146">
        <f>IF(I59&lt;&gt;"", SUMIF(Bets!$F:$F, I59, Bets!AA:AA),)</f>
        <v>-10.972</v>
      </c>
      <c r="K59" s="162"/>
      <c r="L59" s="148"/>
      <c r="M59" s="161"/>
      <c r="N59" s="146"/>
      <c r="O59" s="162"/>
      <c r="P59" s="148"/>
      <c r="Q59" s="161"/>
      <c r="R59" s="146"/>
      <c r="S59" s="162"/>
      <c r="T59" s="148"/>
      <c r="U59" s="161"/>
      <c r="V59" s="146"/>
      <c r="W59" s="162"/>
      <c r="X59" s="148"/>
      <c r="Y59" s="161"/>
      <c r="Z59" s="146"/>
      <c r="AA59" s="162"/>
      <c r="AB59" s="148"/>
      <c r="AC59" s="161"/>
      <c r="AD59" s="146"/>
      <c r="AE59" s="162"/>
      <c r="AF59" s="148"/>
    </row>
    <row r="60">
      <c r="A60" s="161" t="str">
        <f>IFERROR(__xludf.DUMMYFUNCTION("""COMPUTED_VALUE"""),"🏈 25-26 wk09")</f>
        <v>🏈 25-26 wk09</v>
      </c>
      <c r="B60" s="146">
        <f>IF(A60&lt;&gt;"", SUMIF(Bets!$F:$F, A60, Bets!Z:Z), "")</f>
        <v>-10.016</v>
      </c>
      <c r="C60" s="162"/>
      <c r="D60" s="148"/>
      <c r="E60" s="161"/>
      <c r="F60" s="146" t="str">
        <f>IF(E60&lt;&gt;"", SUMIF(Bets!$F:$F, E60, Bets!AB:AB), "")</f>
        <v/>
      </c>
      <c r="G60" s="162"/>
      <c r="H60" s="148"/>
      <c r="I60" s="161" t="str">
        <f>IFERROR(__xludf.DUMMYFUNCTION("""COMPUTED_VALUE"""),"🏈 25-26 wk11")</f>
        <v>🏈 25-26 wk11</v>
      </c>
      <c r="J60" s="146">
        <f>IF(I60&lt;&gt;"", SUMIF(Bets!$F:$F, I60, Bets!AA:AA),)</f>
        <v>0.608</v>
      </c>
      <c r="K60" s="162"/>
      <c r="L60" s="148"/>
      <c r="M60" s="161"/>
      <c r="N60" s="146"/>
      <c r="O60" s="162"/>
      <c r="P60" s="148"/>
      <c r="Q60" s="161"/>
      <c r="R60" s="146"/>
      <c r="S60" s="162"/>
      <c r="T60" s="148"/>
      <c r="U60" s="161"/>
      <c r="V60" s="146"/>
      <c r="W60" s="162"/>
      <c r="X60" s="148"/>
      <c r="Y60" s="161"/>
      <c r="Z60" s="146"/>
      <c r="AA60" s="162"/>
      <c r="AB60" s="148"/>
      <c r="AC60" s="161"/>
      <c r="AD60" s="146"/>
      <c r="AE60" s="162"/>
      <c r="AF60" s="148"/>
    </row>
    <row r="61">
      <c r="A61" s="161" t="str">
        <f>IFERROR(__xludf.DUMMYFUNCTION("""COMPUTED_VALUE"""),"🏈 25-26 wk10")</f>
        <v>🏈 25-26 wk10</v>
      </c>
      <c r="B61" s="146">
        <f>IF(A61&lt;&gt;"", SUMIF(Bets!$F:$F, A61, Bets!Z:Z), "")</f>
        <v>-10.648</v>
      </c>
      <c r="C61" s="162"/>
      <c r="D61" s="148"/>
      <c r="E61" s="161"/>
      <c r="F61" s="146" t="str">
        <f>IF(E61&lt;&gt;"", SUMIF(Bets!$F:$F, E61, Bets!AB:AB), "")</f>
        <v/>
      </c>
      <c r="G61" s="162"/>
      <c r="H61" s="148"/>
      <c r="I61" s="161" t="str">
        <f>IFERROR(__xludf.DUMMYFUNCTION("""COMPUTED_VALUE"""),"🏈 25-26 wk12")</f>
        <v>🏈 25-26 wk12</v>
      </c>
      <c r="J61" s="146">
        <f>IF(I61&lt;&gt;"", SUMIF(Bets!$F:$F, I61, Bets!AA:AA),)</f>
        <v>-1.392285714</v>
      </c>
      <c r="K61" s="162"/>
      <c r="L61" s="148"/>
      <c r="M61" s="161"/>
      <c r="N61" s="146"/>
      <c r="O61" s="162"/>
      <c r="P61" s="148"/>
      <c r="Q61" s="161"/>
      <c r="R61" s="146"/>
      <c r="S61" s="162"/>
      <c r="T61" s="148"/>
      <c r="U61" s="161"/>
      <c r="V61" s="146"/>
      <c r="W61" s="162"/>
      <c r="X61" s="148"/>
      <c r="Y61" s="161"/>
      <c r="Z61" s="146"/>
      <c r="AA61" s="162"/>
      <c r="AB61" s="148"/>
      <c r="AC61" s="161"/>
      <c r="AD61" s="146"/>
      <c r="AE61" s="162"/>
      <c r="AF61" s="148"/>
    </row>
    <row r="62">
      <c r="A62" s="161" t="str">
        <f>IFERROR(__xludf.DUMMYFUNCTION("""COMPUTED_VALUE"""),"🏈 25-26 wk11")</f>
        <v>🏈 25-26 wk11</v>
      </c>
      <c r="B62" s="146">
        <f>IF(A62&lt;&gt;"", SUMIF(Bets!$F:$F, A62, Bets!Z:Z), "")</f>
        <v>-1.928</v>
      </c>
      <c r="C62" s="162"/>
      <c r="D62" s="148"/>
      <c r="E62" s="161"/>
      <c r="F62" s="146" t="str">
        <f>IF(E62&lt;&gt;"", SUMIF(Bets!$F:$F, E62, Bets!AB:AB), "")</f>
        <v/>
      </c>
      <c r="G62" s="162"/>
      <c r="H62" s="148"/>
      <c r="I62" s="161" t="str">
        <f>IFERROR(__xludf.DUMMYFUNCTION("""COMPUTED_VALUE"""),"🏈 25-26 wk16")</f>
        <v>🏈 25-26 wk16</v>
      </c>
      <c r="J62" s="146">
        <f>IF(I62&lt;&gt;"", SUMIF(Bets!$F:$F, I62, Bets!AA:AA),)</f>
        <v>18.832</v>
      </c>
      <c r="K62" s="162"/>
      <c r="L62" s="148"/>
      <c r="M62" s="161"/>
      <c r="N62" s="146"/>
      <c r="O62" s="162"/>
      <c r="P62" s="148"/>
      <c r="Q62" s="161"/>
      <c r="R62" s="146"/>
      <c r="S62" s="162"/>
      <c r="T62" s="148"/>
      <c r="U62" s="161"/>
      <c r="V62" s="146"/>
      <c r="W62" s="162"/>
      <c r="X62" s="148"/>
      <c r="Y62" s="161"/>
      <c r="Z62" s="146"/>
      <c r="AA62" s="162"/>
      <c r="AB62" s="148"/>
      <c r="AC62" s="161"/>
      <c r="AD62" s="146"/>
      <c r="AE62" s="162"/>
      <c r="AF62" s="148"/>
    </row>
    <row r="63">
      <c r="A63" s="161" t="str">
        <f>IFERROR(__xludf.DUMMYFUNCTION("""COMPUTED_VALUE"""),"🏈 25-26 wk12")</f>
        <v>🏈 25-26 wk12</v>
      </c>
      <c r="B63" s="146">
        <f>IF(A63&lt;&gt;"", SUMIF(Bets!$F:$F, A63, Bets!Z:Z), "")</f>
        <v>-12.09771429</v>
      </c>
      <c r="C63" s="162"/>
      <c r="D63" s="148"/>
      <c r="E63" s="161"/>
      <c r="F63" s="146" t="str">
        <f>IF(E63&lt;&gt;"", SUMIF(Bets!$F:$F, E63, Bets!AB:AB), "")</f>
        <v/>
      </c>
      <c r="G63" s="162"/>
      <c r="H63" s="148"/>
      <c r="I63" s="161" t="str">
        <f>IFERROR(__xludf.DUMMYFUNCTION("""COMPUTED_VALUE"""),"🏈 25-26 wk17")</f>
        <v>🏈 25-26 wk17</v>
      </c>
      <c r="J63" s="146">
        <f>IF(I63&lt;&gt;"", SUMIF(Bets!$F:$F, I63, Bets!AA:AA),)</f>
        <v>10.772</v>
      </c>
      <c r="K63" s="162"/>
      <c r="L63" s="148"/>
      <c r="M63" s="161"/>
      <c r="N63" s="146"/>
      <c r="O63" s="162"/>
      <c r="P63" s="148"/>
      <c r="Q63" s="161"/>
      <c r="R63" s="146"/>
      <c r="S63" s="162"/>
      <c r="T63" s="148"/>
      <c r="U63" s="161"/>
      <c r="V63" s="146"/>
      <c r="W63" s="162"/>
      <c r="X63" s="148"/>
      <c r="Y63" s="161"/>
      <c r="Z63" s="146"/>
      <c r="AA63" s="162"/>
      <c r="AB63" s="148"/>
      <c r="AC63" s="161"/>
      <c r="AD63" s="146"/>
      <c r="AE63" s="162"/>
      <c r="AF63" s="148"/>
    </row>
    <row r="64">
      <c r="A64" s="161" t="str">
        <f>IFERROR(__xludf.DUMMYFUNCTION("""COMPUTED_VALUE"""),"🏈 25-26 wk16")</f>
        <v>🏈 25-26 wk16</v>
      </c>
      <c r="B64" s="146">
        <f>IF(A64&lt;&gt;"", SUMIF(Bets!$F:$F, A64, Bets!Z:Z), "")</f>
        <v>9.578</v>
      </c>
      <c r="C64" s="162"/>
      <c r="D64" s="148"/>
      <c r="E64" s="161"/>
      <c r="F64" s="146" t="str">
        <f>IF(E64&lt;&gt;"", SUMIF(Bets!$F:$F, E64, Bets!AB:AB), "")</f>
        <v/>
      </c>
      <c r="G64" s="162"/>
      <c r="H64" s="148"/>
      <c r="I64" s="161" t="str">
        <f>IFERROR(__xludf.DUMMYFUNCTION("""COMPUTED_VALUE"""),"🏈 25-26 wk18")</f>
        <v>🏈 25-26 wk18</v>
      </c>
      <c r="J64" s="146">
        <f>IF(I64&lt;&gt;"", SUMIF(Bets!$F:$F, I64, Bets!AA:AA),)</f>
        <v>-14</v>
      </c>
      <c r="K64" s="162"/>
      <c r="L64" s="148"/>
      <c r="M64" s="161"/>
      <c r="N64" s="146"/>
      <c r="O64" s="162"/>
      <c r="P64" s="148"/>
      <c r="Q64" s="161"/>
      <c r="R64" s="146"/>
      <c r="S64" s="162"/>
      <c r="T64" s="148"/>
      <c r="U64" s="161"/>
      <c r="V64" s="146"/>
      <c r="W64" s="162"/>
      <c r="X64" s="148"/>
      <c r="Y64" s="161"/>
      <c r="Z64" s="146"/>
      <c r="AA64" s="162"/>
      <c r="AB64" s="148"/>
      <c r="AC64" s="161"/>
      <c r="AD64" s="146"/>
      <c r="AE64" s="162"/>
      <c r="AF64" s="148"/>
    </row>
    <row r="65">
      <c r="A65" s="161" t="str">
        <f>IFERROR(__xludf.DUMMYFUNCTION("""COMPUTED_VALUE"""),"🏈 25-26 wk17")</f>
        <v>🏈 25-26 wk17</v>
      </c>
      <c r="B65" s="146">
        <f>IF(A65&lt;&gt;"", SUMIF(Bets!$F:$F, A65, Bets!Z:Z), "")</f>
        <v>11.938</v>
      </c>
      <c r="C65" s="162"/>
      <c r="D65" s="148"/>
      <c r="E65" s="161"/>
      <c r="F65" s="146" t="str">
        <f>IF(E65&lt;&gt;"", SUMIF(Bets!$F:$F, E65, Bets!AB:AB), "")</f>
        <v/>
      </c>
      <c r="G65" s="162"/>
      <c r="H65" s="148"/>
      <c r="I65" s="161" t="str">
        <f>IFERROR(__xludf.DUMMYFUNCTION("""COMPUTED_VALUE"""),"🏈 25-26 wkSB")</f>
        <v>🏈 25-26 wkSB</v>
      </c>
      <c r="J65" s="146">
        <f>IF(I65&lt;&gt;"", SUMIF(Bets!$F:$F, I65, Bets!AA:AA),)</f>
        <v>-44</v>
      </c>
      <c r="K65" s="162"/>
      <c r="L65" s="148"/>
      <c r="M65" s="161"/>
      <c r="N65" s="146"/>
      <c r="O65" s="162"/>
      <c r="P65" s="148"/>
      <c r="Q65" s="161"/>
      <c r="R65" s="146"/>
      <c r="S65" s="162"/>
      <c r="T65" s="148"/>
      <c r="U65" s="161"/>
      <c r="V65" s="146"/>
      <c r="W65" s="162"/>
      <c r="X65" s="148"/>
      <c r="Y65" s="161"/>
      <c r="Z65" s="146"/>
      <c r="AA65" s="162"/>
      <c r="AB65" s="148"/>
      <c r="AC65" s="161"/>
      <c r="AD65" s="146"/>
      <c r="AE65" s="162"/>
      <c r="AF65" s="148"/>
    </row>
    <row r="66">
      <c r="A66" s="161" t="str">
        <f>IFERROR(__xludf.DUMMYFUNCTION("""COMPUTED_VALUE"""),"🏈 25-26 wk18")</f>
        <v>🏈 25-26 wk18</v>
      </c>
      <c r="B66" s="146">
        <f>IF(A66&lt;&gt;"", SUMIF(Bets!$F:$F, A66, Bets!Z:Z), "")</f>
        <v>-12</v>
      </c>
      <c r="C66" s="162"/>
      <c r="D66" s="148"/>
      <c r="E66" s="161"/>
      <c r="F66" s="146" t="str">
        <f>IF(E66&lt;&gt;"", SUMIF(Bets!$F:$F, E66, Bets!AB:AB), "")</f>
        <v/>
      </c>
      <c r="G66" s="162"/>
      <c r="H66" s="148"/>
      <c r="I66" s="161" t="str">
        <f>IFERROR(__xludf.DUMMYFUNCTION("""COMPUTED_VALUE"""),"🏈24 CFB")</f>
        <v>🏈24 CFB</v>
      </c>
      <c r="J66" s="146">
        <f>IF(I66&lt;&gt;"", SUMIF(Bets!$F:$F, I66, Bets!AA:AA),)</f>
        <v>1.1</v>
      </c>
      <c r="K66" s="162"/>
      <c r="L66" s="148"/>
      <c r="M66" s="161"/>
      <c r="N66" s="146"/>
      <c r="O66" s="162"/>
      <c r="P66" s="148"/>
      <c r="Q66" s="161"/>
      <c r="R66" s="146"/>
      <c r="S66" s="162"/>
      <c r="T66" s="148"/>
      <c r="U66" s="161"/>
      <c r="V66" s="146"/>
      <c r="W66" s="162"/>
      <c r="X66" s="148"/>
      <c r="Y66" s="161"/>
      <c r="Z66" s="146"/>
      <c r="AA66" s="162"/>
      <c r="AB66" s="148"/>
      <c r="AC66" s="161"/>
      <c r="AD66" s="146"/>
      <c r="AE66" s="162"/>
      <c r="AF66" s="148"/>
    </row>
    <row r="67">
      <c r="A67" s="161" t="str">
        <f>IFERROR(__xludf.DUMMYFUNCTION("""COMPUTED_VALUE"""),"🏈 25-26 wkSB")</f>
        <v>🏈 25-26 wkSB</v>
      </c>
      <c r="B67" s="146">
        <f>IF(A67&lt;&gt;"", SUMIF(Bets!$F:$F, A67, Bets!Z:Z), "")</f>
        <v>-19.5</v>
      </c>
      <c r="C67" s="162"/>
      <c r="D67" s="148"/>
      <c r="E67" s="161"/>
      <c r="F67" s="146" t="str">
        <f>IF(E67&lt;&gt;"", SUMIF(Bets!$F:$F, E67, Bets!AB:AB), "")</f>
        <v/>
      </c>
      <c r="G67" s="162"/>
      <c r="H67" s="148"/>
      <c r="I67" s="161" t="str">
        <f>IFERROR(__xludf.DUMMYFUNCTION("""COMPUTED_VALUE"""),"🥋 23")</f>
        <v>🥋 23</v>
      </c>
      <c r="J67" s="146">
        <f>IF(I67&lt;&gt;"", SUMIF(Bets!$F:$F, I67, Bets!AA:AA),)</f>
        <v>16</v>
      </c>
      <c r="K67" s="162"/>
      <c r="L67" s="148"/>
      <c r="M67" s="161"/>
      <c r="N67" s="146"/>
      <c r="O67" s="162"/>
      <c r="P67" s="148"/>
      <c r="Q67" s="161"/>
      <c r="R67" s="146"/>
      <c r="S67" s="162"/>
      <c r="T67" s="148"/>
      <c r="U67" s="161"/>
      <c r="V67" s="146"/>
      <c r="W67" s="162"/>
      <c r="X67" s="148"/>
      <c r="Y67" s="161"/>
      <c r="Z67" s="146"/>
      <c r="AA67" s="162"/>
      <c r="AB67" s="148"/>
      <c r="AC67" s="161"/>
      <c r="AD67" s="146"/>
      <c r="AE67" s="162"/>
      <c r="AF67" s="148"/>
    </row>
    <row r="68">
      <c r="A68" s="161" t="str">
        <f>IFERROR(__xludf.DUMMYFUNCTION("""COMPUTED_VALUE"""),"🏈24 CFB")</f>
        <v>🏈24 CFB</v>
      </c>
      <c r="B68" s="146">
        <f>IF(A68&lt;&gt;"", SUMIF(Bets!$F:$F, A68, Bets!Z:Z), "")</f>
        <v>0.6</v>
      </c>
      <c r="C68" s="162"/>
      <c r="D68" s="148"/>
      <c r="E68" s="161"/>
      <c r="F68" s="146" t="str">
        <f>IF(E68&lt;&gt;"", SUMIF(Bets!$F:$F, E68, Bets!AB:AB), "")</f>
        <v/>
      </c>
      <c r="G68" s="162"/>
      <c r="H68" s="148"/>
      <c r="I68" s="161" t="str">
        <f>IFERROR(__xludf.DUMMYFUNCTION("""COMPUTED_VALUE"""),"🥋 24")</f>
        <v>🥋 24</v>
      </c>
      <c r="J68" s="146">
        <f>IF(I68&lt;&gt;"", SUMIF(Bets!$F:$F, I68, Bets!AA:AA),)</f>
        <v>-12.44166667</v>
      </c>
      <c r="K68" s="162"/>
      <c r="L68" s="148"/>
      <c r="M68" s="161"/>
      <c r="N68" s="146"/>
      <c r="O68" s="162"/>
      <c r="P68" s="148"/>
      <c r="Q68" s="161"/>
      <c r="R68" s="146"/>
      <c r="S68" s="162"/>
      <c r="T68" s="148"/>
      <c r="U68" s="161"/>
      <c r="V68" s="146"/>
      <c r="W68" s="162"/>
      <c r="X68" s="148"/>
      <c r="Y68" s="161"/>
      <c r="Z68" s="146"/>
      <c r="AA68" s="162"/>
      <c r="AB68" s="148"/>
      <c r="AC68" s="161"/>
      <c r="AD68" s="146"/>
      <c r="AE68" s="162"/>
      <c r="AF68" s="148"/>
    </row>
    <row r="69">
      <c r="A69" s="161" t="str">
        <f>IFERROR(__xludf.DUMMYFUNCTION("""COMPUTED_VALUE"""),"🥋 23")</f>
        <v>🥋 23</v>
      </c>
      <c r="B69" s="146">
        <f>IF(A69&lt;&gt;"", SUMIF(Bets!$F:$F, A69, Bets!Z:Z), "")</f>
        <v>3.2</v>
      </c>
      <c r="C69" s="162"/>
      <c r="D69" s="148"/>
      <c r="E69" s="161"/>
      <c r="F69" s="146" t="str">
        <f>IF(E69&lt;&gt;"", SUMIF(Bets!$F:$F, E69, Bets!AB:AB), "")</f>
        <v/>
      </c>
      <c r="G69" s="162"/>
      <c r="H69" s="148"/>
      <c r="I69" s="161"/>
      <c r="J69" s="146" t="str">
        <f>IF(I69&lt;&gt;"", SUMIF(Bets!$F:$F, I69, Bets!AA:AA),)</f>
        <v/>
      </c>
      <c r="K69" s="162"/>
      <c r="L69" s="148"/>
      <c r="M69" s="161"/>
      <c r="N69" s="146"/>
      <c r="O69" s="162"/>
      <c r="P69" s="148"/>
      <c r="Q69" s="161"/>
      <c r="R69" s="146"/>
      <c r="S69" s="162"/>
      <c r="T69" s="148"/>
      <c r="U69" s="161"/>
      <c r="V69" s="146"/>
      <c r="W69" s="162"/>
      <c r="X69" s="148"/>
      <c r="Y69" s="161"/>
      <c r="Z69" s="146"/>
      <c r="AA69" s="162"/>
      <c r="AB69" s="148"/>
      <c r="AC69" s="161"/>
      <c r="AD69" s="146"/>
      <c r="AE69" s="162"/>
      <c r="AF69" s="148"/>
    </row>
    <row r="70">
      <c r="A70" s="161" t="str">
        <f>IFERROR(__xludf.DUMMYFUNCTION("""COMPUTED_VALUE"""),"🥋 24")</f>
        <v>🥋 24</v>
      </c>
      <c r="B70" s="146">
        <f>IF(A70&lt;&gt;"", SUMIF(Bets!$F:$F, A70, Bets!Z:Z), "")</f>
        <v>-2.888333333</v>
      </c>
      <c r="C70" s="162"/>
      <c r="D70" s="148"/>
      <c r="E70" s="161"/>
      <c r="F70" s="146" t="str">
        <f>IF(E70&lt;&gt;"", SUMIF(Bets!$F:$F, E70, Bets!AB:AB), "")</f>
        <v/>
      </c>
      <c r="G70" s="162"/>
      <c r="H70" s="148"/>
      <c r="I70" s="161"/>
      <c r="J70" s="146" t="str">
        <f>IF(I70&lt;&gt;"", SUMIF(Bets!$F:$F, I70, Bets!AA:AA),)</f>
        <v/>
      </c>
      <c r="K70" s="162"/>
      <c r="L70" s="148"/>
      <c r="M70" s="161"/>
      <c r="N70" s="146"/>
      <c r="O70" s="162"/>
      <c r="P70" s="148"/>
      <c r="Q70" s="161"/>
      <c r="R70" s="146"/>
      <c r="S70" s="162"/>
      <c r="T70" s="148"/>
      <c r="U70" s="161"/>
      <c r="V70" s="146"/>
      <c r="W70" s="162"/>
      <c r="X70" s="148"/>
      <c r="Y70" s="161"/>
      <c r="Z70" s="146"/>
      <c r="AA70" s="162"/>
      <c r="AB70" s="148"/>
      <c r="AC70" s="161"/>
      <c r="AD70" s="146"/>
      <c r="AE70" s="162"/>
      <c r="AF70" s="148"/>
    </row>
    <row r="71">
      <c r="A71" s="161"/>
      <c r="B71" s="146" t="str">
        <f>IF(A71&lt;&gt;"", SUMIF(Bets!$F:$F, A71, Bets!Z:Z), "")</f>
        <v/>
      </c>
      <c r="C71" s="162"/>
      <c r="D71" s="148"/>
      <c r="E71" s="161"/>
      <c r="F71" s="146" t="str">
        <f>IF(E71&lt;&gt;"", SUMIF(Bets!$F:$F, E71, Bets!AB:AB), "")</f>
        <v/>
      </c>
      <c r="G71" s="162"/>
      <c r="H71" s="148"/>
      <c r="I71" s="161"/>
      <c r="J71" s="146" t="str">
        <f>IF(I71&lt;&gt;"", SUMIF(Bets!$F:$F, I71, Bets!AA:AA),)</f>
        <v/>
      </c>
      <c r="K71" s="162"/>
      <c r="L71" s="148"/>
      <c r="M71" s="161"/>
      <c r="N71" s="146"/>
      <c r="O71" s="162"/>
      <c r="P71" s="148"/>
      <c r="Q71" s="161"/>
      <c r="R71" s="146"/>
      <c r="S71" s="162"/>
      <c r="T71" s="148"/>
      <c r="U71" s="161"/>
      <c r="V71" s="146"/>
      <c r="W71" s="162"/>
      <c r="X71" s="148"/>
      <c r="Y71" s="161"/>
      <c r="Z71" s="146"/>
      <c r="AA71" s="162"/>
      <c r="AB71" s="148"/>
      <c r="AC71" s="161"/>
      <c r="AD71" s="146"/>
      <c r="AE71" s="162"/>
      <c r="AF71" s="148"/>
    </row>
    <row r="72">
      <c r="A72" s="161"/>
      <c r="B72" s="146" t="str">
        <f>IF(A72&lt;&gt;"", SUMIF(Bets!$F:$F, A72, Bets!Z:Z), "")</f>
        <v/>
      </c>
      <c r="C72" s="162"/>
      <c r="D72" s="148"/>
      <c r="E72" s="161"/>
      <c r="F72" s="146" t="str">
        <f>IF(E72&lt;&gt;"", SUMIF(Bets!$F:$F, E72, Bets!AB:AB), "")</f>
        <v/>
      </c>
      <c r="G72" s="162"/>
      <c r="H72" s="148"/>
      <c r="I72" s="161"/>
      <c r="J72" s="146" t="str">
        <f>IF(I72&lt;&gt;"", SUMIF(Bets!$F:$F, I72, Bets!AA:AA),)</f>
        <v/>
      </c>
      <c r="K72" s="162"/>
      <c r="L72" s="148"/>
      <c r="M72" s="161"/>
      <c r="N72" s="146"/>
      <c r="O72" s="162"/>
      <c r="P72" s="148"/>
      <c r="Q72" s="161"/>
      <c r="R72" s="146"/>
      <c r="S72" s="162"/>
      <c r="T72" s="148"/>
      <c r="U72" s="161"/>
      <c r="V72" s="146"/>
      <c r="W72" s="162"/>
      <c r="X72" s="148"/>
      <c r="Y72" s="161"/>
      <c r="Z72" s="146"/>
      <c r="AA72" s="162"/>
      <c r="AB72" s="148"/>
      <c r="AC72" s="161"/>
      <c r="AD72" s="146"/>
      <c r="AE72" s="162"/>
      <c r="AF72" s="148"/>
    </row>
    <row r="73">
      <c r="A73" s="161"/>
      <c r="B73" s="146" t="str">
        <f>IF(A73&lt;&gt;"", SUMIF(Bets!$F:$F, A73, Bets!Z:Z), "")</f>
        <v/>
      </c>
      <c r="C73" s="162"/>
      <c r="D73" s="148"/>
      <c r="E73" s="161"/>
      <c r="F73" s="146" t="str">
        <f>IF(E73&lt;&gt;"", SUMIF(Bets!$F:$F, E73, Bets!AB:AB), "")</f>
        <v/>
      </c>
      <c r="G73" s="162"/>
      <c r="H73" s="148"/>
      <c r="I73" s="161"/>
      <c r="J73" s="146" t="str">
        <f>IF(I73&lt;&gt;"", SUMIF(Bets!$F:$F, I73, Bets!AA:AA),)</f>
        <v/>
      </c>
      <c r="K73" s="162"/>
      <c r="L73" s="148"/>
      <c r="M73" s="161"/>
      <c r="N73" s="146"/>
      <c r="O73" s="162"/>
      <c r="P73" s="148"/>
      <c r="Q73" s="161"/>
      <c r="R73" s="146"/>
      <c r="S73" s="162"/>
      <c r="T73" s="148"/>
      <c r="U73" s="161"/>
      <c r="V73" s="146"/>
      <c r="W73" s="162"/>
      <c r="X73" s="148"/>
      <c r="Y73" s="161"/>
      <c r="Z73" s="146"/>
      <c r="AA73" s="162"/>
      <c r="AB73" s="148"/>
      <c r="AC73" s="161"/>
      <c r="AD73" s="146"/>
      <c r="AE73" s="162"/>
      <c r="AF73" s="148"/>
    </row>
    <row r="74">
      <c r="A74" s="161"/>
      <c r="B74" s="146" t="str">
        <f>IF(A74&lt;&gt;"", SUMIF(Bets!$F:$F, A74, Bets!Z:Z), "")</f>
        <v/>
      </c>
      <c r="C74" s="162"/>
      <c r="D74" s="148"/>
      <c r="E74" s="161"/>
      <c r="F74" s="146" t="str">
        <f>IF(E74&lt;&gt;"", SUMIF(Bets!$F:$F, E74, Bets!AB:AB), "")</f>
        <v/>
      </c>
      <c r="G74" s="162"/>
      <c r="H74" s="148"/>
      <c r="I74" s="161"/>
      <c r="J74" s="146" t="str">
        <f>IF(I74&lt;&gt;"", SUMIF(Bets!$F:$F, I74, Bets!AA:AA),)</f>
        <v/>
      </c>
      <c r="K74" s="162"/>
      <c r="L74" s="148"/>
      <c r="M74" s="161"/>
      <c r="N74" s="146"/>
      <c r="O74" s="162"/>
      <c r="P74" s="148"/>
      <c r="Q74" s="161"/>
      <c r="R74" s="146"/>
      <c r="S74" s="162"/>
      <c r="T74" s="148"/>
      <c r="U74" s="161"/>
      <c r="V74" s="146"/>
      <c r="W74" s="162"/>
      <c r="X74" s="148"/>
      <c r="Y74" s="161"/>
      <c r="Z74" s="146"/>
      <c r="AA74" s="162"/>
      <c r="AB74" s="148"/>
      <c r="AC74" s="161"/>
      <c r="AD74" s="146"/>
      <c r="AE74" s="162"/>
      <c r="AF74" s="148"/>
    </row>
    <row r="75">
      <c r="A75" s="161"/>
      <c r="B75" s="146" t="str">
        <f>IF(A75&lt;&gt;"", SUMIF(Bets!$F:$F, A75, Bets!Z:Z), "")</f>
        <v/>
      </c>
      <c r="C75" s="162"/>
      <c r="D75" s="148"/>
      <c r="E75" s="161"/>
      <c r="F75" s="146" t="str">
        <f>IF(E75&lt;&gt;"", SUMIF(Bets!$F:$F, E75, Bets!AB:AB), "")</f>
        <v/>
      </c>
      <c r="G75" s="162"/>
      <c r="H75" s="148"/>
      <c r="I75" s="161"/>
      <c r="J75" s="146" t="str">
        <f>IF(I75&lt;&gt;"", SUMIF(Bets!$F:$F, I75, Bets!AA:AA),)</f>
        <v/>
      </c>
      <c r="K75" s="162"/>
      <c r="L75" s="148"/>
      <c r="M75" s="161"/>
      <c r="N75" s="146"/>
      <c r="O75" s="162"/>
      <c r="P75" s="148"/>
      <c r="Q75" s="161"/>
      <c r="R75" s="146"/>
      <c r="S75" s="162"/>
      <c r="T75" s="148"/>
      <c r="U75" s="161"/>
      <c r="V75" s="146"/>
      <c r="W75" s="162"/>
      <c r="X75" s="148"/>
      <c r="Y75" s="161"/>
      <c r="Z75" s="146"/>
      <c r="AA75" s="162"/>
      <c r="AB75" s="148"/>
      <c r="AC75" s="161"/>
      <c r="AD75" s="146"/>
      <c r="AE75" s="162"/>
      <c r="AF75" s="148"/>
    </row>
    <row r="76">
      <c r="A76" s="161"/>
      <c r="B76" s="146" t="str">
        <f>IF(A76&lt;&gt;"", SUMIF(Bets!$F:$F, A76, Bets!Z:Z), "")</f>
        <v/>
      </c>
      <c r="C76" s="162"/>
      <c r="D76" s="148"/>
      <c r="E76" s="161"/>
      <c r="F76" s="146" t="str">
        <f>IF(E76&lt;&gt;"", SUMIF(Bets!$F:$F, E76, Bets!AB:AB), "")</f>
        <v/>
      </c>
      <c r="G76" s="162"/>
      <c r="H76" s="148"/>
      <c r="I76" s="161"/>
      <c r="J76" s="146" t="str">
        <f>IF(I76&lt;&gt;"", SUMIF(Bets!$F:$F, I76, Bets!AA:AA),)</f>
        <v/>
      </c>
      <c r="K76" s="162"/>
      <c r="L76" s="148"/>
      <c r="M76" s="161"/>
      <c r="N76" s="146"/>
      <c r="O76" s="162"/>
      <c r="P76" s="148"/>
      <c r="Q76" s="161"/>
      <c r="R76" s="146"/>
      <c r="S76" s="162"/>
      <c r="T76" s="148"/>
      <c r="U76" s="161"/>
      <c r="V76" s="146"/>
      <c r="W76" s="162"/>
      <c r="X76" s="148"/>
      <c r="Y76" s="161"/>
      <c r="Z76" s="146"/>
      <c r="AA76" s="162"/>
      <c r="AB76" s="148"/>
      <c r="AC76" s="161"/>
      <c r="AD76" s="146"/>
      <c r="AE76" s="162"/>
      <c r="AF76" s="148"/>
    </row>
    <row r="77">
      <c r="A77" s="161"/>
      <c r="B77" s="146" t="str">
        <f>IF(A77&lt;&gt;"", SUMIF(Bets!$F:$F, A77, Bets!Z:Z), "")</f>
        <v/>
      </c>
      <c r="C77" s="162"/>
      <c r="D77" s="148"/>
      <c r="E77" s="161"/>
      <c r="F77" s="146" t="str">
        <f>IF(E77&lt;&gt;"", SUMIF(Bets!$F:$F, E77, Bets!AB:AB), "")</f>
        <v/>
      </c>
      <c r="G77" s="162"/>
      <c r="H77" s="148"/>
      <c r="I77" s="161"/>
      <c r="J77" s="146" t="str">
        <f>IF(I77&lt;&gt;"", SUMIF(Bets!$F:$F, I77, Bets!AA:AA),)</f>
        <v/>
      </c>
      <c r="K77" s="162"/>
      <c r="L77" s="148"/>
      <c r="M77" s="161"/>
      <c r="N77" s="146"/>
      <c r="O77" s="162"/>
      <c r="P77" s="148"/>
      <c r="Q77" s="161"/>
      <c r="R77" s="146"/>
      <c r="S77" s="162"/>
      <c r="T77" s="148"/>
      <c r="U77" s="161"/>
      <c r="V77" s="146"/>
      <c r="W77" s="162"/>
      <c r="X77" s="148"/>
      <c r="Y77" s="161"/>
      <c r="Z77" s="146"/>
      <c r="AA77" s="162"/>
      <c r="AB77" s="148"/>
      <c r="AC77" s="161"/>
      <c r="AD77" s="146"/>
      <c r="AE77" s="162"/>
      <c r="AF77" s="148"/>
    </row>
    <row r="78">
      <c r="A78" s="161"/>
      <c r="B78" s="146" t="str">
        <f>IF(A78&lt;&gt;"", SUMIF(Bets!$F:$F, A78, Bets!Z:Z), "")</f>
        <v/>
      </c>
      <c r="C78" s="162"/>
      <c r="D78" s="148"/>
      <c r="E78" s="161"/>
      <c r="F78" s="146" t="str">
        <f>IF(E78&lt;&gt;"", SUMIF(Bets!$F:$F, E78, Bets!AB:AB), "")</f>
        <v/>
      </c>
      <c r="G78" s="162"/>
      <c r="H78" s="148"/>
      <c r="I78" s="161"/>
      <c r="J78" s="146" t="str">
        <f>IF(I78&lt;&gt;"", SUMIF(Bets!$F:$F, I78, Bets!AA:AA),)</f>
        <v/>
      </c>
      <c r="K78" s="162"/>
      <c r="L78" s="148"/>
      <c r="M78" s="161"/>
      <c r="N78" s="146"/>
      <c r="O78" s="162"/>
      <c r="P78" s="148"/>
      <c r="Q78" s="161"/>
      <c r="R78" s="146"/>
      <c r="S78" s="162"/>
      <c r="T78" s="148"/>
      <c r="U78" s="161"/>
      <c r="V78" s="146"/>
      <c r="W78" s="162"/>
      <c r="X78" s="148"/>
      <c r="Y78" s="161"/>
      <c r="Z78" s="146"/>
      <c r="AA78" s="162"/>
      <c r="AB78" s="148"/>
      <c r="AC78" s="161"/>
      <c r="AD78" s="146"/>
      <c r="AE78" s="162"/>
      <c r="AF78" s="148"/>
    </row>
    <row r="79">
      <c r="A79" s="161"/>
      <c r="B79" s="146" t="str">
        <f>IF(A79&lt;&gt;"", SUMIF(Bets!$F:$F, A79, Bets!Z:Z), "")</f>
        <v/>
      </c>
      <c r="C79" s="162"/>
      <c r="D79" s="148"/>
      <c r="E79" s="161"/>
      <c r="F79" s="146" t="str">
        <f>IF(E79&lt;&gt;"", SUMIF(Bets!$F:$F, E79, Bets!AB:AB), "")</f>
        <v/>
      </c>
      <c r="G79" s="162"/>
      <c r="H79" s="148"/>
      <c r="I79" s="161"/>
      <c r="J79" s="146" t="str">
        <f>IF(I79&lt;&gt;"", SUMIF(Bets!$F:$F, I79, Bets!AA:AA),)</f>
        <v/>
      </c>
      <c r="K79" s="162"/>
      <c r="L79" s="148"/>
      <c r="M79" s="161"/>
      <c r="N79" s="146"/>
      <c r="O79" s="162"/>
      <c r="P79" s="148"/>
      <c r="Q79" s="161"/>
      <c r="R79" s="146"/>
      <c r="S79" s="162"/>
      <c r="T79" s="148"/>
      <c r="U79" s="161"/>
      <c r="V79" s="146"/>
      <c r="W79" s="162"/>
      <c r="X79" s="148"/>
      <c r="Y79" s="161"/>
      <c r="Z79" s="146"/>
      <c r="AA79" s="162"/>
      <c r="AB79" s="148"/>
      <c r="AC79" s="161"/>
      <c r="AD79" s="146"/>
      <c r="AE79" s="162"/>
      <c r="AF79" s="148"/>
    </row>
    <row r="80">
      <c r="A80" s="161"/>
      <c r="B80" s="146" t="str">
        <f>IF(A80&lt;&gt;"", SUMIF(Bets!$F:$F, A80, Bets!Z:Z), "")</f>
        <v/>
      </c>
      <c r="C80" s="162"/>
      <c r="D80" s="148"/>
      <c r="E80" s="161"/>
      <c r="F80" s="146" t="str">
        <f>IF(E80&lt;&gt;"", SUMIF(Bets!$F:$F, E80, Bets!AB:AB), "")</f>
        <v/>
      </c>
      <c r="G80" s="162"/>
      <c r="H80" s="148"/>
      <c r="I80" s="161"/>
      <c r="J80" s="146" t="str">
        <f>IF(I80&lt;&gt;"", SUMIF(Bets!$F:$F, I80, Bets!AA:AA),)</f>
        <v/>
      </c>
      <c r="K80" s="162"/>
      <c r="L80" s="148"/>
      <c r="M80" s="161"/>
      <c r="N80" s="146"/>
      <c r="O80" s="162"/>
      <c r="P80" s="148"/>
      <c r="Q80" s="161"/>
      <c r="R80" s="146"/>
      <c r="S80" s="162"/>
      <c r="T80" s="148"/>
      <c r="U80" s="161"/>
      <c r="V80" s="146"/>
      <c r="W80" s="162"/>
      <c r="X80" s="148"/>
      <c r="Y80" s="161"/>
      <c r="Z80" s="146"/>
      <c r="AA80" s="162"/>
      <c r="AB80" s="148"/>
      <c r="AC80" s="161"/>
      <c r="AD80" s="146"/>
      <c r="AE80" s="162"/>
      <c r="AF80" s="148"/>
    </row>
    <row r="81">
      <c r="A81" s="161"/>
      <c r="B81" s="146" t="str">
        <f>IF(A81&lt;&gt;"", SUMIF(Bets!$F:$F, A81, Bets!Z:Z), "")</f>
        <v/>
      </c>
      <c r="C81" s="162"/>
      <c r="D81" s="148"/>
      <c r="E81" s="161"/>
      <c r="F81" s="146" t="str">
        <f>IF(E81&lt;&gt;"", SUMIF(Bets!$F:$F, E81, Bets!AB:AB), "")</f>
        <v/>
      </c>
      <c r="G81" s="162"/>
      <c r="H81" s="148"/>
      <c r="I81" s="161"/>
      <c r="J81" s="146" t="str">
        <f>IF(I81&lt;&gt;"", SUMIF(Bets!$F:$F, I81, Bets!AA:AA),)</f>
        <v/>
      </c>
      <c r="K81" s="162"/>
      <c r="L81" s="148"/>
      <c r="M81" s="161"/>
      <c r="N81" s="146"/>
      <c r="O81" s="162"/>
      <c r="P81" s="148"/>
      <c r="Q81" s="161"/>
      <c r="R81" s="146"/>
      <c r="S81" s="162"/>
      <c r="T81" s="148"/>
      <c r="U81" s="161"/>
      <c r="V81" s="146"/>
      <c r="W81" s="162"/>
      <c r="X81" s="148"/>
      <c r="Y81" s="161"/>
      <c r="Z81" s="146"/>
      <c r="AA81" s="162"/>
      <c r="AB81" s="148"/>
      <c r="AC81" s="161"/>
      <c r="AD81" s="146"/>
      <c r="AE81" s="162"/>
      <c r="AF81" s="148"/>
    </row>
    <row r="82">
      <c r="A82" s="161"/>
      <c r="B82" s="146" t="str">
        <f>IF(A82&lt;&gt;"", SUMIF(Bets!$F:$F, A82, Bets!Z:Z), "")</f>
        <v/>
      </c>
      <c r="C82" s="162"/>
      <c r="D82" s="148"/>
      <c r="E82" s="161"/>
      <c r="F82" s="146" t="str">
        <f>IF(E82&lt;&gt;"", SUMIF(Bets!$F:$F, E82, Bets!AB:AB), "")</f>
        <v/>
      </c>
      <c r="G82" s="162"/>
      <c r="H82" s="148"/>
      <c r="I82" s="161"/>
      <c r="J82" s="146" t="str">
        <f>IF(I82&lt;&gt;"", SUMIF(Bets!$F:$F, I82, Bets!AA:AA),)</f>
        <v/>
      </c>
      <c r="K82" s="162"/>
      <c r="L82" s="148"/>
      <c r="M82" s="161"/>
      <c r="N82" s="146"/>
      <c r="O82" s="162"/>
      <c r="P82" s="148"/>
      <c r="Q82" s="161"/>
      <c r="R82" s="146"/>
      <c r="S82" s="162"/>
      <c r="T82" s="148"/>
      <c r="U82" s="161"/>
      <c r="V82" s="146"/>
      <c r="W82" s="162"/>
      <c r="X82" s="148"/>
      <c r="Y82" s="161"/>
      <c r="Z82" s="146"/>
      <c r="AA82" s="162"/>
      <c r="AB82" s="148"/>
      <c r="AC82" s="161"/>
      <c r="AD82" s="146"/>
      <c r="AE82" s="162"/>
      <c r="AF82" s="148"/>
    </row>
    <row r="83">
      <c r="A83" s="161"/>
      <c r="B83" s="146" t="str">
        <f>IF(A83&lt;&gt;"", SUMIF(Bets!$F:$F, A83, Bets!Z:Z), "")</f>
        <v/>
      </c>
      <c r="C83" s="162"/>
      <c r="D83" s="148"/>
      <c r="E83" s="161"/>
      <c r="F83" s="146" t="str">
        <f>IF(E83&lt;&gt;"", SUMIF(Bets!$F:$F, E83, Bets!AB:AB), "")</f>
        <v/>
      </c>
      <c r="G83" s="162"/>
      <c r="H83" s="148"/>
      <c r="I83" s="161"/>
      <c r="J83" s="146" t="str">
        <f>IF(I83&lt;&gt;"", SUMIF(Bets!$F:$F, I83, Bets!AA:AA),)</f>
        <v/>
      </c>
      <c r="K83" s="162"/>
      <c r="L83" s="148"/>
      <c r="M83" s="161"/>
      <c r="N83" s="146"/>
      <c r="O83" s="162"/>
      <c r="P83" s="148"/>
      <c r="Q83" s="161"/>
      <c r="R83" s="146"/>
      <c r="S83" s="162"/>
      <c r="T83" s="148"/>
      <c r="U83" s="161"/>
      <c r="V83" s="146"/>
      <c r="W83" s="162"/>
      <c r="X83" s="148"/>
      <c r="Y83" s="161"/>
      <c r="Z83" s="146"/>
      <c r="AA83" s="162"/>
      <c r="AB83" s="148"/>
      <c r="AC83" s="161"/>
      <c r="AD83" s="146"/>
      <c r="AE83" s="162"/>
      <c r="AF83" s="148"/>
    </row>
    <row r="84">
      <c r="A84" s="161"/>
      <c r="B84" s="146" t="str">
        <f>IF(A84&lt;&gt;"", SUMIF(Bets!$F:$F, A84, Bets!Z:Z), "")</f>
        <v/>
      </c>
      <c r="C84" s="162"/>
      <c r="D84" s="148"/>
      <c r="E84" s="161"/>
      <c r="F84" s="146" t="str">
        <f>IF(E84&lt;&gt;"", SUMIF(Bets!$F:$F, E84, Bets!AB:AB), "")</f>
        <v/>
      </c>
      <c r="G84" s="162"/>
      <c r="H84" s="148"/>
      <c r="I84" s="161"/>
      <c r="J84" s="146" t="str">
        <f>IF(I84&lt;&gt;"", SUMIF(Bets!$F:$F, I84, Bets!AA:AA),)</f>
        <v/>
      </c>
      <c r="K84" s="162"/>
      <c r="L84" s="148"/>
      <c r="M84" s="161"/>
      <c r="N84" s="146"/>
      <c r="O84" s="162"/>
      <c r="P84" s="148"/>
      <c r="Q84" s="161"/>
      <c r="R84" s="146"/>
      <c r="S84" s="162"/>
      <c r="T84" s="148"/>
      <c r="U84" s="161"/>
      <c r="V84" s="146"/>
      <c r="W84" s="162"/>
      <c r="X84" s="148"/>
      <c r="Y84" s="161"/>
      <c r="Z84" s="146"/>
      <c r="AA84" s="162"/>
      <c r="AB84" s="148"/>
      <c r="AC84" s="161"/>
      <c r="AD84" s="146"/>
      <c r="AE84" s="162"/>
      <c r="AF84" s="148"/>
    </row>
    <row r="85">
      <c r="A85" s="161"/>
      <c r="B85" s="146" t="str">
        <f>IF(A85&lt;&gt;"", SUMIF(Bets!$F:$F, A85, Bets!Z:Z), "")</f>
        <v/>
      </c>
      <c r="C85" s="162"/>
      <c r="D85" s="148"/>
      <c r="E85" s="161"/>
      <c r="F85" s="146" t="str">
        <f>IF(E85&lt;&gt;"", SUMIF(Bets!$F:$F, E85, Bets!AB:AB), "")</f>
        <v/>
      </c>
      <c r="G85" s="162"/>
      <c r="H85" s="148"/>
      <c r="I85" s="161"/>
      <c r="J85" s="146" t="str">
        <f>IF(I85&lt;&gt;"", SUMIF(Bets!$F:$F, I85, Bets!AA:AA),)</f>
        <v/>
      </c>
      <c r="K85" s="162"/>
      <c r="L85" s="148"/>
      <c r="M85" s="161"/>
      <c r="N85" s="146"/>
      <c r="O85" s="162"/>
      <c r="P85" s="148"/>
      <c r="Q85" s="161"/>
      <c r="R85" s="146"/>
      <c r="S85" s="162"/>
      <c r="T85" s="148"/>
      <c r="U85" s="161"/>
      <c r="V85" s="146"/>
      <c r="W85" s="162"/>
      <c r="X85" s="148"/>
      <c r="Y85" s="161"/>
      <c r="Z85" s="146"/>
      <c r="AA85" s="162"/>
      <c r="AB85" s="148"/>
      <c r="AC85" s="161"/>
      <c r="AD85" s="146"/>
      <c r="AE85" s="162"/>
      <c r="AF85" s="148"/>
    </row>
    <row r="86">
      <c r="A86" s="161"/>
      <c r="B86" s="146" t="str">
        <f>IF(A86&lt;&gt;"", SUMIF(Bets!$F:$F, A86, Bets!Z:Z), "")</f>
        <v/>
      </c>
      <c r="C86" s="162"/>
      <c r="D86" s="148"/>
      <c r="E86" s="161"/>
      <c r="F86" s="146" t="str">
        <f>IF(E86&lt;&gt;"", SUMIF(Bets!$F:$F, E86, Bets!AB:AB), "")</f>
        <v/>
      </c>
      <c r="G86" s="162"/>
      <c r="H86" s="148"/>
      <c r="I86" s="161"/>
      <c r="J86" s="146" t="str">
        <f>IF(I86&lt;&gt;"", SUMIF(Bets!$F:$F, I86, Bets!AA:AA),)</f>
        <v/>
      </c>
      <c r="K86" s="162"/>
      <c r="L86" s="148"/>
      <c r="M86" s="161"/>
      <c r="N86" s="146"/>
      <c r="O86" s="162"/>
      <c r="P86" s="148"/>
      <c r="Q86" s="161"/>
      <c r="R86" s="146"/>
      <c r="S86" s="162"/>
      <c r="T86" s="148"/>
      <c r="U86" s="161"/>
      <c r="V86" s="146"/>
      <c r="W86" s="162"/>
      <c r="X86" s="148"/>
      <c r="Y86" s="161"/>
      <c r="Z86" s="146"/>
      <c r="AA86" s="162"/>
      <c r="AB86" s="148"/>
      <c r="AC86" s="161"/>
      <c r="AD86" s="146"/>
      <c r="AE86" s="162"/>
      <c r="AF86" s="148"/>
    </row>
    <row r="87">
      <c r="A87" s="161"/>
      <c r="B87" s="146" t="str">
        <f>IF(A87&lt;&gt;"", SUMIF(Bets!$F:$F, A87, Bets!Z:Z), "")</f>
        <v/>
      </c>
      <c r="C87" s="162"/>
      <c r="D87" s="148"/>
      <c r="E87" s="161"/>
      <c r="F87" s="146" t="str">
        <f>IF(E87&lt;&gt;"", SUMIF(Bets!$F:$F, E87, Bets!AB:AB), "")</f>
        <v/>
      </c>
      <c r="G87" s="162"/>
      <c r="H87" s="148"/>
      <c r="I87" s="161"/>
      <c r="J87" s="146" t="str">
        <f>IF(I87&lt;&gt;"", SUMIF(Bets!$F:$F, I87, Bets!AA:AA),)</f>
        <v/>
      </c>
      <c r="K87" s="162"/>
      <c r="L87" s="148"/>
      <c r="M87" s="161"/>
      <c r="N87" s="146"/>
      <c r="O87" s="162"/>
      <c r="P87" s="148"/>
      <c r="Q87" s="161"/>
      <c r="R87" s="146"/>
      <c r="S87" s="162"/>
      <c r="T87" s="148"/>
      <c r="U87" s="161"/>
      <c r="V87" s="146"/>
      <c r="W87" s="162"/>
      <c r="X87" s="148"/>
      <c r="Y87" s="161"/>
      <c r="Z87" s="146"/>
      <c r="AA87" s="162"/>
      <c r="AB87" s="148"/>
      <c r="AC87" s="161"/>
      <c r="AD87" s="146"/>
      <c r="AE87" s="162"/>
      <c r="AF87" s="148"/>
    </row>
    <row r="88">
      <c r="A88" s="161"/>
      <c r="B88" s="146" t="str">
        <f>IF(A88&lt;&gt;"", SUMIF(Bets!$F:$F, A88, Bets!Z:Z), "")</f>
        <v/>
      </c>
      <c r="C88" s="162"/>
      <c r="D88" s="148"/>
      <c r="E88" s="161"/>
      <c r="F88" s="146" t="str">
        <f>IF(E88&lt;&gt;"", SUMIF(Bets!$F:$F, E88, Bets!AB:AB), "")</f>
        <v/>
      </c>
      <c r="G88" s="162"/>
      <c r="H88" s="148"/>
      <c r="I88" s="161"/>
      <c r="J88" s="146" t="str">
        <f>IF(I88&lt;&gt;"", SUMIF(Bets!$F:$F, I88, Bets!AA:AA),)</f>
        <v/>
      </c>
      <c r="K88" s="162"/>
      <c r="L88" s="148"/>
      <c r="M88" s="161"/>
      <c r="N88" s="146"/>
      <c r="O88" s="162"/>
      <c r="P88" s="148"/>
      <c r="Q88" s="161"/>
      <c r="R88" s="146"/>
      <c r="S88" s="162"/>
      <c r="T88" s="148"/>
      <c r="U88" s="161"/>
      <c r="V88" s="146"/>
      <c r="W88" s="162"/>
      <c r="X88" s="148"/>
      <c r="Y88" s="161"/>
      <c r="Z88" s="146"/>
      <c r="AA88" s="162"/>
      <c r="AB88" s="148"/>
      <c r="AC88" s="161"/>
      <c r="AD88" s="146"/>
      <c r="AE88" s="162"/>
      <c r="AF88" s="148"/>
    </row>
    <row r="89">
      <c r="A89" s="161"/>
      <c r="B89" s="146" t="str">
        <f>IF(A89&lt;&gt;"", SUMIF(Bets!$F:$F, A89, Bets!Z:Z), "")</f>
        <v/>
      </c>
      <c r="C89" s="162"/>
      <c r="D89" s="148"/>
      <c r="E89" s="161"/>
      <c r="F89" s="146" t="str">
        <f>IF(E89&lt;&gt;"", SUMIF(Bets!$F:$F, E89, Bets!AB:AB), "")</f>
        <v/>
      </c>
      <c r="G89" s="162"/>
      <c r="H89" s="148"/>
      <c r="I89" s="161"/>
      <c r="J89" s="146" t="str">
        <f>IF(I89&lt;&gt;"", SUMIF(Bets!$F:$F, I89, Bets!AA:AA),)</f>
        <v/>
      </c>
      <c r="K89" s="162"/>
      <c r="L89" s="148"/>
      <c r="M89" s="161"/>
      <c r="N89" s="146"/>
      <c r="O89" s="162"/>
      <c r="P89" s="148"/>
      <c r="Q89" s="161"/>
      <c r="R89" s="146"/>
      <c r="S89" s="162"/>
      <c r="T89" s="148"/>
      <c r="U89" s="161"/>
      <c r="V89" s="146"/>
      <c r="W89" s="162"/>
      <c r="X89" s="148"/>
      <c r="Y89" s="161"/>
      <c r="Z89" s="146"/>
      <c r="AA89" s="162"/>
      <c r="AB89" s="148"/>
      <c r="AC89" s="161"/>
      <c r="AD89" s="146"/>
      <c r="AE89" s="162"/>
      <c r="AF89" s="148"/>
    </row>
    <row r="90">
      <c r="A90" s="161"/>
      <c r="B90" s="146" t="str">
        <f>IF(A90&lt;&gt;"", SUMIF(Bets!$F:$F, A90, Bets!Z:Z), "")</f>
        <v/>
      </c>
      <c r="C90" s="162"/>
      <c r="D90" s="148"/>
      <c r="E90" s="161"/>
      <c r="F90" s="146" t="str">
        <f>IF(E90&lt;&gt;"", SUMIF(Bets!$F:$F, E90, Bets!AB:AB), "")</f>
        <v/>
      </c>
      <c r="G90" s="162"/>
      <c r="H90" s="148"/>
      <c r="I90" s="161"/>
      <c r="J90" s="146" t="str">
        <f>IF(I90&lt;&gt;"", SUMIF(Bets!$F:$F, I90, Bets!AA:AA),)</f>
        <v/>
      </c>
      <c r="K90" s="162"/>
      <c r="L90" s="148"/>
      <c r="M90" s="161"/>
      <c r="N90" s="146"/>
      <c r="O90" s="162"/>
      <c r="P90" s="148"/>
      <c r="Q90" s="161"/>
      <c r="R90" s="146"/>
      <c r="S90" s="162"/>
      <c r="T90" s="148"/>
      <c r="U90" s="161"/>
      <c r="V90" s="146"/>
      <c r="W90" s="162"/>
      <c r="X90" s="148"/>
      <c r="Y90" s="161"/>
      <c r="Z90" s="146"/>
      <c r="AA90" s="162"/>
      <c r="AB90" s="148"/>
      <c r="AC90" s="161"/>
      <c r="AD90" s="146"/>
      <c r="AE90" s="162"/>
      <c r="AF90" s="148"/>
    </row>
    <row r="91">
      <c r="A91" s="161"/>
      <c r="B91" s="146" t="str">
        <f>IF(A91&lt;&gt;"", SUMIF(Bets!$F:$F, A91, Bets!Z:Z), "")</f>
        <v/>
      </c>
      <c r="C91" s="162"/>
      <c r="D91" s="148"/>
      <c r="E91" s="161"/>
      <c r="F91" s="146" t="str">
        <f>IF(E91&lt;&gt;"", SUMIF(Bets!$F:$F, E91, Bets!AB:AB), "")</f>
        <v/>
      </c>
      <c r="G91" s="162"/>
      <c r="H91" s="148"/>
      <c r="I91" s="161"/>
      <c r="J91" s="146" t="str">
        <f>IF(I91&lt;&gt;"", SUMIF(Bets!$F:$F, I91, Bets!AA:AA),)</f>
        <v/>
      </c>
      <c r="K91" s="162"/>
      <c r="L91" s="148"/>
      <c r="M91" s="161"/>
      <c r="N91" s="146"/>
      <c r="O91" s="162"/>
      <c r="P91" s="148"/>
      <c r="Q91" s="161"/>
      <c r="R91" s="146"/>
      <c r="S91" s="162"/>
      <c r="T91" s="148"/>
      <c r="U91" s="161"/>
      <c r="V91" s="146"/>
      <c r="W91" s="162"/>
      <c r="X91" s="148"/>
      <c r="Y91" s="161"/>
      <c r="Z91" s="146"/>
      <c r="AA91" s="162"/>
      <c r="AB91" s="148"/>
      <c r="AC91" s="161"/>
      <c r="AD91" s="146"/>
      <c r="AE91" s="162"/>
      <c r="AF91" s="148"/>
    </row>
    <row r="92">
      <c r="A92" s="161"/>
      <c r="B92" s="146" t="str">
        <f>IF(A92&lt;&gt;"", SUMIF(Bets!$F:$F, A92, Bets!Z:Z), "")</f>
        <v/>
      </c>
      <c r="C92" s="162"/>
      <c r="D92" s="148"/>
      <c r="E92" s="161"/>
      <c r="F92" s="146" t="str">
        <f>IF(E92&lt;&gt;"", SUMIF(Bets!$F:$F, E92, Bets!AB:AB), "")</f>
        <v/>
      </c>
      <c r="G92" s="162"/>
      <c r="H92" s="148"/>
      <c r="I92" s="161"/>
      <c r="J92" s="146" t="str">
        <f>IF(I92&lt;&gt;"", SUMIF(Bets!$F:$F, I92, Bets!AA:AA),)</f>
        <v/>
      </c>
      <c r="K92" s="162"/>
      <c r="L92" s="148"/>
      <c r="M92" s="161"/>
      <c r="N92" s="146"/>
      <c r="O92" s="162"/>
      <c r="P92" s="148"/>
      <c r="Q92" s="161"/>
      <c r="R92" s="146"/>
      <c r="S92" s="162"/>
      <c r="T92" s="148"/>
      <c r="U92" s="161"/>
      <c r="V92" s="146"/>
      <c r="W92" s="162"/>
      <c r="X92" s="148"/>
      <c r="Y92" s="161"/>
      <c r="Z92" s="146"/>
      <c r="AA92" s="162"/>
      <c r="AB92" s="148"/>
      <c r="AC92" s="161"/>
      <c r="AD92" s="146"/>
      <c r="AE92" s="162"/>
      <c r="AF92" s="148"/>
    </row>
    <row r="93">
      <c r="A93" s="161"/>
      <c r="B93" s="146" t="str">
        <f>IF(A93&lt;&gt;"", SUMIF(Bets!$F:$F, A93, Bets!Z:Z), "")</f>
        <v/>
      </c>
      <c r="C93" s="162"/>
      <c r="D93" s="148"/>
      <c r="E93" s="161"/>
      <c r="F93" s="146" t="str">
        <f>IF(E93&lt;&gt;"", SUMIF(Bets!$F:$F, E93, Bets!AB:AB), "")</f>
        <v/>
      </c>
      <c r="G93" s="162"/>
      <c r="H93" s="148"/>
      <c r="I93" s="161"/>
      <c r="J93" s="146" t="str">
        <f>IF(I93&lt;&gt;"", SUMIF(Bets!$F:$F, I93, Bets!AA:AA),)</f>
        <v/>
      </c>
      <c r="K93" s="162"/>
      <c r="L93" s="148"/>
      <c r="M93" s="161"/>
      <c r="N93" s="146"/>
      <c r="O93" s="162"/>
      <c r="P93" s="148"/>
      <c r="Q93" s="161"/>
      <c r="R93" s="146"/>
      <c r="S93" s="162"/>
      <c r="T93" s="148"/>
      <c r="U93" s="161"/>
      <c r="V93" s="146"/>
      <c r="W93" s="162"/>
      <c r="X93" s="148"/>
      <c r="Y93" s="161"/>
      <c r="Z93" s="146"/>
      <c r="AA93" s="162"/>
      <c r="AB93" s="148"/>
      <c r="AC93" s="161"/>
      <c r="AD93" s="146"/>
      <c r="AE93" s="162"/>
      <c r="AF93" s="148"/>
    </row>
    <row r="94">
      <c r="A94" s="161"/>
      <c r="B94" s="146" t="str">
        <f>IF(A94&lt;&gt;"", SUMIF(Bets!$F:$F, A94, Bets!Z:Z), "")</f>
        <v/>
      </c>
      <c r="C94" s="162"/>
      <c r="D94" s="148"/>
      <c r="E94" s="161"/>
      <c r="F94" s="146" t="str">
        <f>IF(E94&lt;&gt;"", SUMIF(Bets!$F:$F, E94, Bets!AB:AB), "")</f>
        <v/>
      </c>
      <c r="G94" s="162"/>
      <c r="H94" s="148"/>
      <c r="I94" s="161"/>
      <c r="J94" s="146" t="str">
        <f>IF(I94&lt;&gt;"", SUMIF(Bets!$F:$F, I94, Bets!AA:AA),)</f>
        <v/>
      </c>
      <c r="K94" s="162"/>
      <c r="L94" s="148"/>
      <c r="M94" s="161"/>
      <c r="N94" s="146"/>
      <c r="O94" s="162"/>
      <c r="P94" s="148"/>
      <c r="Q94" s="161"/>
      <c r="R94" s="146"/>
      <c r="S94" s="162"/>
      <c r="T94" s="148"/>
      <c r="U94" s="161"/>
      <c r="V94" s="146"/>
      <c r="W94" s="162"/>
      <c r="X94" s="148"/>
      <c r="Y94" s="161"/>
      <c r="Z94" s="146"/>
      <c r="AA94" s="162"/>
      <c r="AB94" s="148"/>
      <c r="AC94" s="161"/>
      <c r="AD94" s="146"/>
      <c r="AE94" s="162"/>
      <c r="AF94" s="148"/>
    </row>
    <row r="95">
      <c r="A95" s="161"/>
      <c r="B95" s="146" t="str">
        <f>IF(A95&lt;&gt;"", SUMIF(Bets!$F:$F, A95, Bets!Z:Z), "")</f>
        <v/>
      </c>
      <c r="C95" s="162"/>
      <c r="D95" s="148"/>
      <c r="E95" s="161"/>
      <c r="F95" s="146" t="str">
        <f>IF(E95&lt;&gt;"", SUMIF(Bets!$F:$F, E95, Bets!AB:AB), "")</f>
        <v/>
      </c>
      <c r="G95" s="162"/>
      <c r="H95" s="148"/>
      <c r="I95" s="161"/>
      <c r="J95" s="146" t="str">
        <f>IF(I95&lt;&gt;"", SUMIF(Bets!$F:$F, I95, Bets!AA:AA),)</f>
        <v/>
      </c>
      <c r="K95" s="162"/>
      <c r="L95" s="148"/>
      <c r="M95" s="161"/>
      <c r="N95" s="146"/>
      <c r="O95" s="162"/>
      <c r="P95" s="148"/>
      <c r="Q95" s="161"/>
      <c r="R95" s="146"/>
      <c r="S95" s="162"/>
      <c r="T95" s="148"/>
      <c r="U95" s="161"/>
      <c r="V95" s="146"/>
      <c r="W95" s="162"/>
      <c r="X95" s="148"/>
      <c r="Y95" s="161"/>
      <c r="Z95" s="146"/>
      <c r="AA95" s="162"/>
      <c r="AB95" s="148"/>
      <c r="AC95" s="161"/>
      <c r="AD95" s="146"/>
      <c r="AE95" s="162"/>
      <c r="AF95" s="148"/>
    </row>
    <row r="96">
      <c r="A96" s="161"/>
      <c r="B96" s="146" t="str">
        <f>IF(A96&lt;&gt;"", SUMIF(Bets!$F:$F, A96, Bets!Z:Z), "")</f>
        <v/>
      </c>
      <c r="C96" s="162"/>
      <c r="D96" s="148"/>
      <c r="E96" s="161"/>
      <c r="F96" s="146" t="str">
        <f>IF(E96&lt;&gt;"", SUMIF(Bets!$F:$F, E96, Bets!AB:AB), "")</f>
        <v/>
      </c>
      <c r="G96" s="162"/>
      <c r="H96" s="148"/>
      <c r="I96" s="161"/>
      <c r="J96" s="146" t="str">
        <f>IF(I96&lt;&gt;"", SUMIF(Bets!$F:$F, I96, Bets!AA:AA),)</f>
        <v/>
      </c>
      <c r="K96" s="162"/>
      <c r="L96" s="148"/>
      <c r="M96" s="161"/>
      <c r="N96" s="146"/>
      <c r="O96" s="162"/>
      <c r="P96" s="148"/>
      <c r="Q96" s="161"/>
      <c r="R96" s="146"/>
      <c r="S96" s="162"/>
      <c r="T96" s="148"/>
      <c r="U96" s="161"/>
      <c r="V96" s="146"/>
      <c r="W96" s="162"/>
      <c r="X96" s="148"/>
      <c r="Y96" s="161"/>
      <c r="Z96" s="146"/>
      <c r="AA96" s="162"/>
      <c r="AB96" s="148"/>
      <c r="AC96" s="161"/>
      <c r="AD96" s="146"/>
      <c r="AE96" s="162"/>
      <c r="AF96" s="148"/>
    </row>
    <row r="97">
      <c r="A97" s="161"/>
      <c r="B97" s="146" t="str">
        <f>IF(A97&lt;&gt;"", SUMIF(Bets!$F:$F, A97, Bets!Z:Z), "")</f>
        <v/>
      </c>
      <c r="C97" s="162"/>
      <c r="D97" s="148"/>
      <c r="E97" s="161"/>
      <c r="F97" s="146" t="str">
        <f>IF(E97&lt;&gt;"", SUMIF(Bets!$F:$F, E97, Bets!AB:AB), "")</f>
        <v/>
      </c>
      <c r="G97" s="162"/>
      <c r="H97" s="148"/>
      <c r="I97" s="161"/>
      <c r="J97" s="146" t="str">
        <f>IF(I97&lt;&gt;"", SUMIF(Bets!$F:$F, I97, Bets!AA:AA),)</f>
        <v/>
      </c>
      <c r="K97" s="162"/>
      <c r="L97" s="148"/>
      <c r="M97" s="161"/>
      <c r="N97" s="146"/>
      <c r="O97" s="162"/>
      <c r="P97" s="148"/>
      <c r="Q97" s="161"/>
      <c r="R97" s="146"/>
      <c r="S97" s="162"/>
      <c r="T97" s="148"/>
      <c r="U97" s="161"/>
      <c r="V97" s="146"/>
      <c r="W97" s="162"/>
      <c r="X97" s="148"/>
      <c r="Y97" s="161"/>
      <c r="Z97" s="146"/>
      <c r="AA97" s="162"/>
      <c r="AB97" s="148"/>
      <c r="AC97" s="161"/>
      <c r="AD97" s="146"/>
      <c r="AE97" s="162"/>
      <c r="AF97" s="148"/>
    </row>
    <row r="98">
      <c r="A98" s="161"/>
      <c r="B98" s="146" t="str">
        <f>IF(A98&lt;&gt;"", SUMIF(Bets!$F:$F, A98, Bets!Z:Z), "")</f>
        <v/>
      </c>
      <c r="C98" s="162"/>
      <c r="D98" s="148"/>
      <c r="E98" s="161"/>
      <c r="F98" s="146" t="str">
        <f>IF(E98&lt;&gt;"", SUMIF(Bets!$F:$F, E98, Bets!AB:AB), "")</f>
        <v/>
      </c>
      <c r="G98" s="162"/>
      <c r="H98" s="148"/>
      <c r="I98" s="161"/>
      <c r="J98" s="146" t="str">
        <f>IF(I98&lt;&gt;"", SUMIF(Bets!$F:$F, I98, Bets!AA:AA),)</f>
        <v/>
      </c>
      <c r="K98" s="162"/>
      <c r="L98" s="148"/>
      <c r="M98" s="161"/>
      <c r="N98" s="146"/>
      <c r="O98" s="162"/>
      <c r="P98" s="148"/>
      <c r="Q98" s="161"/>
      <c r="R98" s="146"/>
      <c r="S98" s="162"/>
      <c r="T98" s="148"/>
      <c r="U98" s="161"/>
      <c r="V98" s="146"/>
      <c r="W98" s="162"/>
      <c r="X98" s="148"/>
      <c r="Y98" s="161"/>
      <c r="Z98" s="146"/>
      <c r="AA98" s="162"/>
      <c r="AB98" s="148"/>
      <c r="AC98" s="161"/>
      <c r="AD98" s="146"/>
      <c r="AE98" s="162"/>
      <c r="AF98" s="148"/>
    </row>
    <row r="99">
      <c r="A99" s="161"/>
      <c r="B99" s="146" t="str">
        <f>IF(A99&lt;&gt;"", SUMIF(Bets!$F:$F, A99, Bets!Z:Z), "")</f>
        <v/>
      </c>
      <c r="C99" s="162"/>
      <c r="D99" s="148"/>
      <c r="E99" s="161"/>
      <c r="F99" s="146" t="str">
        <f>IF(E99&lt;&gt;"", SUMIF(Bets!$F:$F, E99, Bets!AB:AB), "")</f>
        <v/>
      </c>
      <c r="G99" s="162"/>
      <c r="H99" s="148"/>
      <c r="I99" s="161"/>
      <c r="J99" s="146" t="str">
        <f>IF(I99&lt;&gt;"", SUMIF(Bets!$F:$F, I99, Bets!AA:AA),)</f>
        <v/>
      </c>
      <c r="K99" s="162"/>
      <c r="L99" s="148"/>
      <c r="M99" s="161"/>
      <c r="N99" s="146"/>
      <c r="O99" s="162"/>
      <c r="P99" s="148"/>
      <c r="Q99" s="161"/>
      <c r="R99" s="146"/>
      <c r="S99" s="162"/>
      <c r="T99" s="148"/>
      <c r="U99" s="161"/>
      <c r="V99" s="146"/>
      <c r="W99" s="162"/>
      <c r="X99" s="148"/>
      <c r="Y99" s="161"/>
      <c r="Z99" s="146"/>
      <c r="AA99" s="162"/>
      <c r="AB99" s="148"/>
      <c r="AC99" s="161"/>
      <c r="AD99" s="146"/>
      <c r="AE99" s="162"/>
      <c r="AF99" s="148"/>
    </row>
    <row r="100">
      <c r="A100" s="161"/>
      <c r="B100" s="146" t="str">
        <f>IF(A100&lt;&gt;"", SUMIF(Bets!$F:$F, A100, Bets!Z:Z), "")</f>
        <v/>
      </c>
      <c r="C100" s="162"/>
      <c r="D100" s="148"/>
      <c r="E100" s="161"/>
      <c r="F100" s="146" t="str">
        <f>IF(E100&lt;&gt;"", SUMIF(Bets!$F:$F, E100, Bets!AB:AB), "")</f>
        <v/>
      </c>
      <c r="G100" s="162"/>
      <c r="H100" s="148"/>
      <c r="I100" s="161"/>
      <c r="J100" s="146" t="str">
        <f>IF(I100&lt;&gt;"", SUMIF(Bets!$F:$F, I100, Bets!AA:AA),)</f>
        <v/>
      </c>
      <c r="K100" s="162"/>
      <c r="L100" s="148"/>
      <c r="M100" s="161"/>
      <c r="N100" s="146"/>
      <c r="O100" s="162"/>
      <c r="P100" s="148"/>
      <c r="Q100" s="161"/>
      <c r="R100" s="146"/>
      <c r="S100" s="162"/>
      <c r="T100" s="148"/>
      <c r="U100" s="161"/>
      <c r="V100" s="146"/>
      <c r="W100" s="162"/>
      <c r="X100" s="148"/>
      <c r="Y100" s="161"/>
      <c r="Z100" s="146"/>
      <c r="AA100" s="162"/>
      <c r="AB100" s="148"/>
      <c r="AC100" s="161"/>
      <c r="AD100" s="146"/>
      <c r="AE100" s="162"/>
      <c r="AF100" s="148"/>
    </row>
    <row r="101">
      <c r="A101" s="161"/>
      <c r="B101" s="146" t="str">
        <f>IF(A101&lt;&gt;"", SUMIF(Bets!$F:$F, A101, Bets!Z:Z), "")</f>
        <v/>
      </c>
      <c r="C101" s="162"/>
      <c r="D101" s="148"/>
      <c r="E101" s="161"/>
      <c r="F101" s="146" t="str">
        <f>IF(E101&lt;&gt;"", SUMIF(Bets!$F:$F, E101, Bets!AB:AB), "")</f>
        <v/>
      </c>
      <c r="G101" s="162"/>
      <c r="H101" s="148"/>
      <c r="I101" s="161"/>
      <c r="J101" s="146" t="str">
        <f>IF(I101&lt;&gt;"", SUMIF(Bets!$F:$F, I101, Bets!AA:AA),)</f>
        <v/>
      </c>
      <c r="K101" s="162"/>
      <c r="L101" s="148"/>
      <c r="M101" s="161"/>
      <c r="N101" s="146"/>
      <c r="O101" s="162"/>
      <c r="P101" s="148"/>
      <c r="Q101" s="161"/>
      <c r="R101" s="146"/>
      <c r="S101" s="162"/>
      <c r="T101" s="148"/>
      <c r="U101" s="161"/>
      <c r="V101" s="146"/>
      <c r="W101" s="162"/>
      <c r="X101" s="148"/>
      <c r="Y101" s="161"/>
      <c r="Z101" s="146"/>
      <c r="AA101" s="162"/>
      <c r="AB101" s="148"/>
      <c r="AC101" s="161"/>
      <c r="AD101" s="146"/>
      <c r="AE101" s="162"/>
      <c r="AF101" s="148"/>
    </row>
    <row r="102">
      <c r="A102" s="161"/>
      <c r="B102" s="146" t="str">
        <f>IF(A102&lt;&gt;"", SUMIF(Bets!$F:$F, A102, Bets!Z:Z), "")</f>
        <v/>
      </c>
      <c r="C102" s="162"/>
      <c r="D102" s="148"/>
      <c r="E102" s="161"/>
      <c r="F102" s="146" t="str">
        <f>IF(E102&lt;&gt;"", SUMIF(Bets!$F:$F, E102, Bets!AB:AB), "")</f>
        <v/>
      </c>
      <c r="G102" s="162"/>
      <c r="H102" s="148"/>
      <c r="I102" s="161"/>
      <c r="J102" s="146" t="str">
        <f>IF(I102&lt;&gt;"", SUMIF(Bets!$F:$F, I102, Bets!AA:AA),)</f>
        <v/>
      </c>
      <c r="K102" s="162"/>
      <c r="L102" s="148"/>
      <c r="M102" s="161"/>
      <c r="N102" s="146"/>
      <c r="O102" s="162"/>
      <c r="P102" s="148"/>
      <c r="Q102" s="161"/>
      <c r="R102" s="146"/>
      <c r="S102" s="162"/>
      <c r="T102" s="148"/>
      <c r="U102" s="161"/>
      <c r="V102" s="146"/>
      <c r="W102" s="162"/>
      <c r="X102" s="148"/>
      <c r="Y102" s="161"/>
      <c r="Z102" s="146"/>
      <c r="AA102" s="162"/>
      <c r="AB102" s="148"/>
      <c r="AC102" s="161"/>
      <c r="AD102" s="146"/>
      <c r="AE102" s="162"/>
      <c r="AF102" s="148"/>
    </row>
    <row r="103">
      <c r="A103" s="161"/>
      <c r="B103" s="146" t="str">
        <f>IF(A103&lt;&gt;"", SUMIF(Bets!$F:$F, A103, Bets!Z:Z), "")</f>
        <v/>
      </c>
      <c r="C103" s="162"/>
      <c r="D103" s="148"/>
      <c r="E103" s="161"/>
      <c r="F103" s="146" t="str">
        <f>IF(E103&lt;&gt;"", SUMIF(Bets!$F:$F, E103, Bets!AB:AB), "")</f>
        <v/>
      </c>
      <c r="G103" s="162"/>
      <c r="H103" s="148"/>
      <c r="I103" s="161"/>
      <c r="J103" s="146" t="str">
        <f>IF(I103&lt;&gt;"", SUMIF(Bets!$F:$F, I103, Bets!AA:AA),)</f>
        <v/>
      </c>
      <c r="K103" s="162"/>
      <c r="L103" s="148"/>
      <c r="M103" s="161"/>
      <c r="N103" s="146"/>
      <c r="O103" s="162"/>
      <c r="P103" s="148"/>
      <c r="Q103" s="161"/>
      <c r="R103" s="146"/>
      <c r="S103" s="162"/>
      <c r="T103" s="148"/>
      <c r="U103" s="161"/>
      <c r="V103" s="146"/>
      <c r="W103" s="162"/>
      <c r="X103" s="148"/>
      <c r="Y103" s="161"/>
      <c r="Z103" s="146"/>
      <c r="AA103" s="162"/>
      <c r="AB103" s="148"/>
      <c r="AC103" s="161"/>
      <c r="AD103" s="146"/>
      <c r="AE103" s="162"/>
      <c r="AF103" s="148"/>
    </row>
    <row r="104">
      <c r="A104" s="161"/>
      <c r="B104" s="146" t="str">
        <f>IF(A104&lt;&gt;"", SUMIF(Bets!$F:$F, A104, Bets!Z:Z), "")</f>
        <v/>
      </c>
      <c r="C104" s="162"/>
      <c r="D104" s="148"/>
      <c r="E104" s="161"/>
      <c r="F104" s="146" t="str">
        <f>IF(E104&lt;&gt;"", SUMIF(Bets!$F:$F, E104, Bets!AB:AB), "")</f>
        <v/>
      </c>
      <c r="G104" s="162"/>
      <c r="H104" s="148"/>
      <c r="I104" s="161"/>
      <c r="J104" s="146" t="str">
        <f>IF(I104&lt;&gt;"", SUMIF(Bets!$F:$F, I104, Bets!AA:AA),)</f>
        <v/>
      </c>
      <c r="K104" s="162"/>
      <c r="L104" s="148"/>
      <c r="M104" s="161"/>
      <c r="N104" s="146"/>
      <c r="O104" s="162"/>
      <c r="P104" s="148"/>
      <c r="Q104" s="161"/>
      <c r="R104" s="146"/>
      <c r="S104" s="162"/>
      <c r="T104" s="148"/>
      <c r="U104" s="161"/>
      <c r="V104" s="146"/>
      <c r="W104" s="162"/>
      <c r="X104" s="148"/>
      <c r="Y104" s="161"/>
      <c r="Z104" s="146"/>
      <c r="AA104" s="162"/>
      <c r="AB104" s="148"/>
      <c r="AC104" s="161"/>
      <c r="AD104" s="146"/>
      <c r="AE104" s="162"/>
      <c r="AF104" s="148"/>
    </row>
    <row r="105">
      <c r="A105" s="161"/>
      <c r="B105" s="146" t="str">
        <f>IF(A105&lt;&gt;"", SUMIF(Bets!$F:$F, A105, Bets!Z:Z), "")</f>
        <v/>
      </c>
      <c r="C105" s="162"/>
      <c r="D105" s="148"/>
      <c r="E105" s="161"/>
      <c r="F105" s="146" t="str">
        <f>IF(E105&lt;&gt;"", SUMIF(Bets!$F:$F, E105, Bets!AB:AB), "")</f>
        <v/>
      </c>
      <c r="G105" s="162"/>
      <c r="H105" s="148"/>
      <c r="I105" s="161"/>
      <c r="J105" s="146" t="str">
        <f>IF(I105&lt;&gt;"", SUMIF(Bets!$F:$F, I105, Bets!AA:AA),)</f>
        <v/>
      </c>
      <c r="K105" s="162"/>
      <c r="L105" s="148"/>
      <c r="M105" s="161"/>
      <c r="N105" s="146"/>
      <c r="O105" s="162"/>
      <c r="P105" s="148"/>
      <c r="Q105" s="161"/>
      <c r="R105" s="146"/>
      <c r="S105" s="162"/>
      <c r="T105" s="148"/>
      <c r="U105" s="161"/>
      <c r="V105" s="146"/>
      <c r="W105" s="162"/>
      <c r="X105" s="148"/>
      <c r="Y105" s="161"/>
      <c r="Z105" s="146"/>
      <c r="AA105" s="162"/>
      <c r="AB105" s="148"/>
      <c r="AC105" s="161"/>
      <c r="AD105" s="146"/>
      <c r="AE105" s="162"/>
      <c r="AF105" s="148"/>
    </row>
    <row r="106">
      <c r="A106" s="161"/>
      <c r="B106" s="146" t="str">
        <f>IF(A106&lt;&gt;"", SUMIF(Bets!$F:$F, A106, Bets!Z:Z), "")</f>
        <v/>
      </c>
      <c r="C106" s="162"/>
      <c r="D106" s="148"/>
      <c r="E106" s="161"/>
      <c r="F106" s="146" t="str">
        <f>IF(E106&lt;&gt;"", SUMIF(Bets!$F:$F, E106, Bets!AB:AB), "")</f>
        <v/>
      </c>
      <c r="G106" s="162"/>
      <c r="H106" s="148"/>
      <c r="I106" s="161"/>
      <c r="J106" s="146" t="str">
        <f>IF(I106&lt;&gt;"", SUMIF(Bets!$F:$F, I106, Bets!AA:AA),)</f>
        <v/>
      </c>
      <c r="K106" s="162"/>
      <c r="L106" s="148"/>
      <c r="M106" s="161"/>
      <c r="N106" s="146"/>
      <c r="O106" s="162"/>
      <c r="P106" s="148"/>
      <c r="Q106" s="161"/>
      <c r="R106" s="146"/>
      <c r="S106" s="162"/>
      <c r="T106" s="148"/>
      <c r="U106" s="161"/>
      <c r="V106" s="146"/>
      <c r="W106" s="162"/>
      <c r="X106" s="148"/>
      <c r="Y106" s="161"/>
      <c r="Z106" s="146"/>
      <c r="AA106" s="162"/>
      <c r="AB106" s="148"/>
      <c r="AC106" s="161"/>
      <c r="AD106" s="146"/>
      <c r="AE106" s="162"/>
      <c r="AF106" s="148"/>
    </row>
    <row r="107">
      <c r="A107" s="161"/>
      <c r="B107" s="146" t="str">
        <f>IF(A107&lt;&gt;"", SUMIF(Bets!$F:$F, A107, Bets!Z:Z), "")</f>
        <v/>
      </c>
      <c r="C107" s="162"/>
      <c r="D107" s="148"/>
      <c r="E107" s="161"/>
      <c r="F107" s="146" t="str">
        <f>IF(E107&lt;&gt;"", SUMIF(Bets!$F:$F, E107, Bets!AB:AB), "")</f>
        <v/>
      </c>
      <c r="G107" s="162"/>
      <c r="H107" s="148"/>
      <c r="I107" s="161"/>
      <c r="J107" s="146" t="str">
        <f>IF(I107&lt;&gt;"", SUMIF(Bets!$F:$F, I107, Bets!AA:AA),)</f>
        <v/>
      </c>
      <c r="K107" s="162"/>
      <c r="L107" s="148"/>
      <c r="M107" s="161"/>
      <c r="N107" s="146"/>
      <c r="O107" s="162"/>
      <c r="P107" s="148"/>
      <c r="Q107" s="161"/>
      <c r="R107" s="146"/>
      <c r="S107" s="162"/>
      <c r="T107" s="148"/>
      <c r="U107" s="161"/>
      <c r="V107" s="146"/>
      <c r="W107" s="162"/>
      <c r="X107" s="148"/>
      <c r="Y107" s="161"/>
      <c r="Z107" s="146"/>
      <c r="AA107" s="162"/>
      <c r="AB107" s="148"/>
      <c r="AC107" s="161"/>
      <c r="AD107" s="146"/>
      <c r="AE107" s="162"/>
      <c r="AF107" s="148"/>
    </row>
    <row r="108">
      <c r="A108" s="161"/>
      <c r="B108" s="146" t="str">
        <f>IF(A108&lt;&gt;"", SUMIF(Bets!$F:$F, A108, Bets!Z:Z), "")</f>
        <v/>
      </c>
      <c r="C108" s="162"/>
      <c r="D108" s="148"/>
      <c r="E108" s="161"/>
      <c r="F108" s="146" t="str">
        <f>IF(E108&lt;&gt;"", SUMIF(Bets!$F:$F, E108, Bets!AB:AB), "")</f>
        <v/>
      </c>
      <c r="G108" s="162"/>
      <c r="H108" s="148"/>
      <c r="I108" s="161"/>
      <c r="J108" s="146" t="str">
        <f>IF(I108&lt;&gt;"", SUMIF(Bets!$F:$F, I108, Bets!AA:AA),)</f>
        <v/>
      </c>
      <c r="K108" s="162"/>
      <c r="L108" s="148"/>
      <c r="M108" s="161"/>
      <c r="N108" s="146"/>
      <c r="O108" s="162"/>
      <c r="P108" s="148"/>
      <c r="Q108" s="161"/>
      <c r="R108" s="146"/>
      <c r="S108" s="162"/>
      <c r="T108" s="148"/>
      <c r="U108" s="161"/>
      <c r="V108" s="146"/>
      <c r="W108" s="162"/>
      <c r="X108" s="148"/>
      <c r="Y108" s="161"/>
      <c r="Z108" s="146"/>
      <c r="AA108" s="162"/>
      <c r="AB108" s="148"/>
      <c r="AC108" s="161"/>
      <c r="AD108" s="146"/>
      <c r="AE108" s="162"/>
      <c r="AF108" s="148"/>
    </row>
    <row r="109">
      <c r="A109" s="161"/>
      <c r="B109" s="146" t="str">
        <f>IF(A109&lt;&gt;"", SUMIF(Bets!$F:$F, A109, Bets!Z:Z), "")</f>
        <v/>
      </c>
      <c r="C109" s="162"/>
      <c r="D109" s="148"/>
      <c r="E109" s="161"/>
      <c r="F109" s="146" t="str">
        <f>IF(E109&lt;&gt;"", SUMIF(Bets!$F:$F, E109, Bets!AB:AB), "")</f>
        <v/>
      </c>
      <c r="G109" s="162"/>
      <c r="H109" s="148"/>
      <c r="I109" s="161"/>
      <c r="J109" s="146" t="str">
        <f>IF(I109&lt;&gt;"", SUMIF(Bets!$F:$F, I109, Bets!AA:AA),)</f>
        <v/>
      </c>
      <c r="K109" s="162"/>
      <c r="L109" s="148"/>
      <c r="M109" s="161"/>
      <c r="N109" s="146"/>
      <c r="O109" s="162"/>
      <c r="P109" s="148"/>
      <c r="Q109" s="161"/>
      <c r="R109" s="146"/>
      <c r="S109" s="162"/>
      <c r="T109" s="148"/>
      <c r="U109" s="161"/>
      <c r="V109" s="146"/>
      <c r="W109" s="162"/>
      <c r="X109" s="148"/>
      <c r="Y109" s="161"/>
      <c r="Z109" s="146"/>
      <c r="AA109" s="162"/>
      <c r="AB109" s="148"/>
      <c r="AC109" s="161"/>
      <c r="AD109" s="146"/>
      <c r="AE109" s="162"/>
      <c r="AF109" s="148"/>
    </row>
    <row r="110">
      <c r="A110" s="161"/>
      <c r="B110" s="146" t="str">
        <f>IF(A110&lt;&gt;"", SUMIF(Bets!$F:$F, A110, Bets!Z:Z), "")</f>
        <v/>
      </c>
      <c r="C110" s="162"/>
      <c r="D110" s="148"/>
      <c r="E110" s="161"/>
      <c r="F110" s="146" t="str">
        <f>IF(E110&lt;&gt;"", SUMIF(Bets!$F:$F, E110, Bets!AB:AB), "")</f>
        <v/>
      </c>
      <c r="G110" s="162"/>
      <c r="H110" s="148"/>
      <c r="I110" s="161"/>
      <c r="J110" s="146" t="str">
        <f>IF(I110&lt;&gt;"", SUMIF(Bets!$F:$F, I110, Bets!AA:AA),)</f>
        <v/>
      </c>
      <c r="K110" s="162"/>
      <c r="L110" s="148"/>
      <c r="M110" s="161"/>
      <c r="N110" s="146"/>
      <c r="O110" s="162"/>
      <c r="P110" s="148"/>
      <c r="Q110" s="161"/>
      <c r="R110" s="146"/>
      <c r="S110" s="162"/>
      <c r="T110" s="148"/>
      <c r="U110" s="161"/>
      <c r="V110" s="146"/>
      <c r="W110" s="162"/>
      <c r="X110" s="148"/>
      <c r="Y110" s="161"/>
      <c r="Z110" s="146"/>
      <c r="AA110" s="162"/>
      <c r="AB110" s="148"/>
      <c r="AC110" s="161"/>
      <c r="AD110" s="146"/>
      <c r="AE110" s="162"/>
      <c r="AF110" s="148"/>
    </row>
    <row r="111">
      <c r="A111" s="161"/>
      <c r="B111" s="146" t="str">
        <f>IF(A111&lt;&gt;"", SUMIF(Bets!$F:$F, A111, Bets!Z:Z), "")</f>
        <v/>
      </c>
      <c r="C111" s="162"/>
      <c r="D111" s="148"/>
      <c r="E111" s="161"/>
      <c r="F111" s="146" t="str">
        <f>IF(E111&lt;&gt;"", SUMIF(Bets!$F:$F, E111, Bets!AB:AB), "")</f>
        <v/>
      </c>
      <c r="G111" s="162"/>
      <c r="H111" s="148"/>
      <c r="I111" s="161"/>
      <c r="J111" s="146" t="str">
        <f>IF(I111&lt;&gt;"", SUMIF(Bets!$F:$F, I111, Bets!AA:AA),)</f>
        <v/>
      </c>
      <c r="K111" s="162"/>
      <c r="L111" s="148"/>
      <c r="M111" s="161"/>
      <c r="N111" s="146"/>
      <c r="O111" s="162"/>
      <c r="P111" s="148"/>
      <c r="Q111" s="161"/>
      <c r="R111" s="146"/>
      <c r="S111" s="162"/>
      <c r="T111" s="148"/>
      <c r="U111" s="161"/>
      <c r="V111" s="146"/>
      <c r="W111" s="162"/>
      <c r="X111" s="148"/>
      <c r="Y111" s="161"/>
      <c r="Z111" s="146"/>
      <c r="AA111" s="162"/>
      <c r="AB111" s="148"/>
      <c r="AC111" s="161"/>
      <c r="AD111" s="146"/>
      <c r="AE111" s="162"/>
      <c r="AF111" s="148"/>
    </row>
    <row r="112">
      <c r="A112" s="161"/>
      <c r="B112" s="146" t="str">
        <f>IF(A112&lt;&gt;"", SUMIF(Bets!$F:$F, A112, Bets!Z:Z), "")</f>
        <v/>
      </c>
      <c r="C112" s="162"/>
      <c r="D112" s="148"/>
      <c r="E112" s="161"/>
      <c r="F112" s="146" t="str">
        <f>IF(E112&lt;&gt;"", SUMIF(Bets!$F:$F, E112, Bets!AB:AB), "")</f>
        <v/>
      </c>
      <c r="G112" s="162"/>
      <c r="H112" s="148"/>
      <c r="I112" s="161"/>
      <c r="J112" s="146" t="str">
        <f>IF(I112&lt;&gt;"", SUMIF(Bets!$F:$F, I112, Bets!AA:AA),)</f>
        <v/>
      </c>
      <c r="K112" s="162"/>
      <c r="L112" s="148"/>
      <c r="M112" s="161"/>
      <c r="N112" s="146"/>
      <c r="O112" s="162"/>
      <c r="P112" s="148"/>
      <c r="Q112" s="161"/>
      <c r="R112" s="146"/>
      <c r="S112" s="162"/>
      <c r="T112" s="148"/>
      <c r="U112" s="161"/>
      <c r="V112" s="146"/>
      <c r="W112" s="162"/>
      <c r="X112" s="148"/>
      <c r="Y112" s="161"/>
      <c r="Z112" s="146"/>
      <c r="AA112" s="162"/>
      <c r="AB112" s="148"/>
      <c r="AC112" s="161"/>
      <c r="AD112" s="146"/>
      <c r="AE112" s="162"/>
      <c r="AF112" s="148"/>
    </row>
    <row r="113">
      <c r="A113" s="161"/>
      <c r="B113" s="146" t="str">
        <f>IF(A113&lt;&gt;"", SUMIF(Bets!$F:$F, A113, Bets!Z:Z), "")</f>
        <v/>
      </c>
      <c r="C113" s="162"/>
      <c r="D113" s="148"/>
      <c r="E113" s="161"/>
      <c r="F113" s="146" t="str">
        <f>IF(E113&lt;&gt;"", SUMIF(Bets!$F:$F, E113, Bets!AB:AB), "")</f>
        <v/>
      </c>
      <c r="G113" s="162"/>
      <c r="H113" s="148"/>
      <c r="I113" s="161"/>
      <c r="J113" s="146" t="str">
        <f>IF(I113&lt;&gt;"", SUMIF(Bets!$F:$F, I113, Bets!AA:AA),)</f>
        <v/>
      </c>
      <c r="K113" s="162"/>
      <c r="L113" s="148"/>
      <c r="M113" s="161"/>
      <c r="N113" s="146"/>
      <c r="O113" s="162"/>
      <c r="P113" s="148"/>
      <c r="Q113" s="161"/>
      <c r="R113" s="146"/>
      <c r="S113" s="162"/>
      <c r="T113" s="148"/>
      <c r="U113" s="161"/>
      <c r="V113" s="146"/>
      <c r="W113" s="162"/>
      <c r="X113" s="148"/>
      <c r="Y113" s="161"/>
      <c r="Z113" s="146"/>
      <c r="AA113" s="162"/>
      <c r="AB113" s="148"/>
      <c r="AC113" s="161"/>
      <c r="AD113" s="146"/>
      <c r="AE113" s="162"/>
      <c r="AF113" s="148"/>
    </row>
    <row r="114">
      <c r="A114" s="161"/>
      <c r="B114" s="146" t="str">
        <f>IF(A114&lt;&gt;"", SUMIF(Bets!$F:$F, A114, Bets!Z:Z), "")</f>
        <v/>
      </c>
      <c r="C114" s="162"/>
      <c r="D114" s="148"/>
      <c r="E114" s="161"/>
      <c r="F114" s="146" t="str">
        <f>IF(E114&lt;&gt;"", SUMIF(Bets!$F:$F, E114, Bets!AB:AB), "")</f>
        <v/>
      </c>
      <c r="G114" s="162"/>
      <c r="H114" s="148"/>
      <c r="I114" s="161"/>
      <c r="J114" s="146" t="str">
        <f>IF(I114&lt;&gt;"", SUMIF(Bets!$F:$F, I114, Bets!AA:AA),)</f>
        <v/>
      </c>
      <c r="K114" s="162"/>
      <c r="L114" s="148"/>
      <c r="M114" s="161"/>
      <c r="N114" s="146"/>
      <c r="O114" s="162"/>
      <c r="P114" s="148"/>
      <c r="Q114" s="161"/>
      <c r="R114" s="146"/>
      <c r="S114" s="162"/>
      <c r="T114" s="148"/>
      <c r="U114" s="161"/>
      <c r="V114" s="146"/>
      <c r="W114" s="162"/>
      <c r="X114" s="148"/>
      <c r="Y114" s="161"/>
      <c r="Z114" s="146"/>
      <c r="AA114" s="162"/>
      <c r="AB114" s="148"/>
      <c r="AC114" s="161"/>
      <c r="AD114" s="146"/>
      <c r="AE114" s="162"/>
      <c r="AF114" s="148"/>
    </row>
    <row r="115">
      <c r="A115" s="161"/>
      <c r="B115" s="146" t="str">
        <f>IF(A115&lt;&gt;"", SUMIF(Bets!$F:$F, A115, Bets!Z:Z), "")</f>
        <v/>
      </c>
      <c r="C115" s="162"/>
      <c r="D115" s="148"/>
      <c r="E115" s="161"/>
      <c r="F115" s="146" t="str">
        <f>IF(E115&lt;&gt;"", SUMIF(Bets!$F:$F, E115, Bets!AB:AB), "")</f>
        <v/>
      </c>
      <c r="G115" s="162"/>
      <c r="H115" s="148"/>
      <c r="I115" s="161"/>
      <c r="J115" s="146" t="str">
        <f>IF(I115&lt;&gt;"", SUMIF(Bets!$F:$F, I115, Bets!AA:AA),)</f>
        <v/>
      </c>
      <c r="K115" s="162"/>
      <c r="L115" s="148"/>
      <c r="M115" s="161"/>
      <c r="N115" s="146"/>
      <c r="O115" s="162"/>
      <c r="P115" s="148"/>
      <c r="Q115" s="161"/>
      <c r="R115" s="146"/>
      <c r="S115" s="162"/>
      <c r="T115" s="148"/>
      <c r="U115" s="161"/>
      <c r="V115" s="146"/>
      <c r="W115" s="162"/>
      <c r="X115" s="148"/>
      <c r="Y115" s="161"/>
      <c r="Z115" s="146"/>
      <c r="AA115" s="162"/>
      <c r="AB115" s="148"/>
      <c r="AC115" s="161"/>
      <c r="AD115" s="146"/>
      <c r="AE115" s="162"/>
      <c r="AF115" s="148"/>
    </row>
    <row r="116">
      <c r="A116" s="161"/>
      <c r="B116" s="146" t="str">
        <f>IF(A116&lt;&gt;"", SUMIF(Bets!$F:$F, A116, Bets!Z:Z), "")</f>
        <v/>
      </c>
      <c r="C116" s="162"/>
      <c r="D116" s="148"/>
      <c r="E116" s="161"/>
      <c r="F116" s="146" t="str">
        <f>IF(E116&lt;&gt;"", SUMIF(Bets!$F:$F, E116, Bets!AB:AB), "")</f>
        <v/>
      </c>
      <c r="G116" s="162"/>
      <c r="H116" s="148"/>
      <c r="I116" s="161"/>
      <c r="J116" s="146" t="str">
        <f>IF(I116&lt;&gt;"", SUMIF(Bets!$F:$F, I116, Bets!AA:AA),)</f>
        <v/>
      </c>
      <c r="K116" s="162"/>
      <c r="L116" s="148"/>
      <c r="M116" s="161"/>
      <c r="N116" s="146"/>
      <c r="O116" s="162"/>
      <c r="P116" s="148"/>
      <c r="Q116" s="161"/>
      <c r="R116" s="146"/>
      <c r="S116" s="162"/>
      <c r="T116" s="148"/>
      <c r="U116" s="161"/>
      <c r="V116" s="146"/>
      <c r="W116" s="162"/>
      <c r="X116" s="148"/>
      <c r="Y116" s="161"/>
      <c r="Z116" s="146"/>
      <c r="AA116" s="162"/>
      <c r="AB116" s="148"/>
      <c r="AC116" s="161"/>
      <c r="AD116" s="146"/>
      <c r="AE116" s="162"/>
      <c r="AF116" s="148"/>
    </row>
    <row r="117">
      <c r="A117" s="161"/>
      <c r="B117" s="146" t="str">
        <f>IF(A117&lt;&gt;"", SUMIF(Bets!$F:$F, A117, Bets!Z:Z), "")</f>
        <v/>
      </c>
      <c r="C117" s="162"/>
      <c r="D117" s="148"/>
      <c r="E117" s="161"/>
      <c r="F117" s="146" t="str">
        <f>IF(E117&lt;&gt;"", SUMIF(Bets!$F:$F, E117, Bets!AB:AB), "")</f>
        <v/>
      </c>
      <c r="G117" s="162"/>
      <c r="H117" s="148"/>
      <c r="I117" s="161"/>
      <c r="J117" s="146" t="str">
        <f>IF(I117&lt;&gt;"", SUMIF(Bets!$F:$F, I117, Bets!AA:AA),)</f>
        <v/>
      </c>
      <c r="K117" s="162"/>
      <c r="L117" s="148"/>
      <c r="M117" s="161"/>
      <c r="N117" s="146"/>
      <c r="O117" s="162"/>
      <c r="P117" s="148"/>
      <c r="Q117" s="161"/>
      <c r="R117" s="146"/>
      <c r="S117" s="162"/>
      <c r="T117" s="148"/>
      <c r="U117" s="161"/>
      <c r="V117" s="146"/>
      <c r="W117" s="162"/>
      <c r="X117" s="148"/>
      <c r="Y117" s="161"/>
      <c r="Z117" s="146"/>
      <c r="AA117" s="162"/>
      <c r="AB117" s="148"/>
      <c r="AC117" s="161"/>
      <c r="AD117" s="146"/>
      <c r="AE117" s="162"/>
      <c r="AF117" s="148"/>
    </row>
    <row r="118">
      <c r="A118" s="161"/>
      <c r="B118" s="146" t="str">
        <f>IF(A118&lt;&gt;"", SUMIF(Bets!$F:$F, A118, Bets!Z:Z), "")</f>
        <v/>
      </c>
      <c r="C118" s="162"/>
      <c r="D118" s="148"/>
      <c r="E118" s="161"/>
      <c r="F118" s="146" t="str">
        <f>IF(E118&lt;&gt;"", SUMIF(Bets!$F:$F, E118, Bets!AB:AB), "")</f>
        <v/>
      </c>
      <c r="G118" s="162"/>
      <c r="H118" s="148"/>
      <c r="I118" s="161"/>
      <c r="J118" s="146" t="str">
        <f>IF(I118&lt;&gt;"", SUMIF(Bets!$F:$F, I118, Bets!AA:AA),)</f>
        <v/>
      </c>
      <c r="K118" s="162"/>
      <c r="L118" s="148"/>
      <c r="M118" s="161"/>
      <c r="N118" s="146"/>
      <c r="O118" s="162"/>
      <c r="P118" s="148"/>
      <c r="Q118" s="161"/>
      <c r="R118" s="146"/>
      <c r="S118" s="162"/>
      <c r="T118" s="148"/>
      <c r="U118" s="161"/>
      <c r="V118" s="146"/>
      <c r="W118" s="162"/>
      <c r="X118" s="148"/>
      <c r="Y118" s="161"/>
      <c r="Z118" s="146"/>
      <c r="AA118" s="162"/>
      <c r="AB118" s="148"/>
      <c r="AC118" s="161"/>
      <c r="AD118" s="146"/>
      <c r="AE118" s="162"/>
      <c r="AF118" s="148"/>
    </row>
    <row r="119">
      <c r="A119" s="161"/>
      <c r="B119" s="146" t="str">
        <f>IF(A119&lt;&gt;"", SUMIF(Bets!$F:$F, A119, Bets!Z:Z), "")</f>
        <v/>
      </c>
      <c r="C119" s="162"/>
      <c r="D119" s="148"/>
      <c r="E119" s="161"/>
      <c r="F119" s="146" t="str">
        <f>IF(E119&lt;&gt;"", SUMIF(Bets!$F:$F, E119, Bets!AB:AB), "")</f>
        <v/>
      </c>
      <c r="G119" s="162"/>
      <c r="H119" s="148"/>
      <c r="I119" s="161"/>
      <c r="J119" s="146" t="str">
        <f>IF(I119&lt;&gt;"", SUMIF(Bets!$F:$F, I119, Bets!AA:AA),)</f>
        <v/>
      </c>
      <c r="K119" s="162"/>
      <c r="L119" s="148"/>
      <c r="M119" s="161"/>
      <c r="N119" s="146"/>
      <c r="O119" s="162"/>
      <c r="P119" s="148"/>
      <c r="Q119" s="161"/>
      <c r="R119" s="146"/>
      <c r="S119" s="162"/>
      <c r="T119" s="148"/>
      <c r="U119" s="161"/>
      <c r="V119" s="146"/>
      <c r="W119" s="162"/>
      <c r="X119" s="148"/>
      <c r="Y119" s="161"/>
      <c r="Z119" s="146"/>
      <c r="AA119" s="162"/>
      <c r="AB119" s="148"/>
      <c r="AC119" s="161"/>
      <c r="AD119" s="146"/>
      <c r="AE119" s="162"/>
      <c r="AF119" s="148"/>
    </row>
    <row r="120">
      <c r="A120" s="161"/>
      <c r="B120" s="146" t="str">
        <f>IF(A120&lt;&gt;"", SUMIF(Bets!$F:$F, A120, Bets!Z:Z), "")</f>
        <v/>
      </c>
      <c r="C120" s="162"/>
      <c r="D120" s="148"/>
      <c r="E120" s="161"/>
      <c r="F120" s="146" t="str">
        <f>IF(E120&lt;&gt;"", SUMIF(Bets!$F:$F, E120, Bets!AB:AB), "")</f>
        <v/>
      </c>
      <c r="G120" s="162"/>
      <c r="H120" s="148"/>
      <c r="I120" s="161"/>
      <c r="J120" s="146" t="str">
        <f>IF(I120&lt;&gt;"", SUMIF(Bets!$F:$F, I120, Bets!AA:AA),)</f>
        <v/>
      </c>
      <c r="K120" s="162"/>
      <c r="L120" s="148"/>
      <c r="M120" s="161"/>
      <c r="N120" s="146"/>
      <c r="O120" s="162"/>
      <c r="P120" s="148"/>
      <c r="Q120" s="161"/>
      <c r="R120" s="146"/>
      <c r="S120" s="162"/>
      <c r="T120" s="148"/>
      <c r="U120" s="161"/>
      <c r="V120" s="146"/>
      <c r="W120" s="162"/>
      <c r="X120" s="148"/>
      <c r="Y120" s="161"/>
      <c r="Z120" s="146"/>
      <c r="AA120" s="162"/>
      <c r="AB120" s="148"/>
      <c r="AC120" s="161"/>
      <c r="AD120" s="146"/>
      <c r="AE120" s="162"/>
      <c r="AF120" s="148"/>
    </row>
    <row r="121">
      <c r="A121" s="161"/>
      <c r="B121" s="146" t="str">
        <f>IF(A121&lt;&gt;"", SUMIF(Bets!$F:$F, A121, Bets!Z:Z), "")</f>
        <v/>
      </c>
      <c r="C121" s="162"/>
      <c r="D121" s="148"/>
      <c r="E121" s="161"/>
      <c r="F121" s="146" t="str">
        <f>IF(E121&lt;&gt;"", SUMIF(Bets!$F:$F, E121, Bets!AB:AB), "")</f>
        <v/>
      </c>
      <c r="G121" s="162"/>
      <c r="H121" s="148"/>
      <c r="I121" s="161"/>
      <c r="J121" s="146" t="str">
        <f>IF(I121&lt;&gt;"", SUMIF(Bets!$F:$F, I121, Bets!AA:AA),)</f>
        <v/>
      </c>
      <c r="K121" s="162"/>
      <c r="L121" s="148"/>
      <c r="M121" s="161"/>
      <c r="N121" s="146"/>
      <c r="O121" s="162"/>
      <c r="P121" s="148"/>
      <c r="Q121" s="161"/>
      <c r="R121" s="146"/>
      <c r="S121" s="162"/>
      <c r="T121" s="148"/>
      <c r="U121" s="161"/>
      <c r="V121" s="146"/>
      <c r="W121" s="162"/>
      <c r="X121" s="148"/>
      <c r="Y121" s="161"/>
      <c r="Z121" s="146"/>
      <c r="AA121" s="162"/>
      <c r="AB121" s="148"/>
      <c r="AC121" s="161"/>
      <c r="AD121" s="146"/>
      <c r="AE121" s="162"/>
      <c r="AF121" s="148"/>
    </row>
    <row r="122">
      <c r="A122" s="161"/>
      <c r="B122" s="146" t="str">
        <f>IF(A122&lt;&gt;"", SUMIF(Bets!$F:$F, A122, Bets!Z:Z), "")</f>
        <v/>
      </c>
      <c r="C122" s="162"/>
      <c r="D122" s="148"/>
      <c r="E122" s="161"/>
      <c r="F122" s="146" t="str">
        <f>IF(E122&lt;&gt;"", SUMIF(Bets!$F:$F, E122, Bets!AB:AB), "")</f>
        <v/>
      </c>
      <c r="G122" s="162"/>
      <c r="H122" s="148"/>
      <c r="I122" s="161"/>
      <c r="J122" s="146" t="str">
        <f>IF(I122&lt;&gt;"", SUMIF(Bets!$F:$F, I122, Bets!AA:AA),)</f>
        <v/>
      </c>
      <c r="K122" s="162"/>
      <c r="L122" s="148"/>
      <c r="M122" s="161"/>
      <c r="N122" s="146"/>
      <c r="O122" s="162"/>
      <c r="P122" s="148"/>
      <c r="Q122" s="161"/>
      <c r="R122" s="146"/>
      <c r="S122" s="162"/>
      <c r="T122" s="148"/>
      <c r="U122" s="161"/>
      <c r="V122" s="146"/>
      <c r="W122" s="162"/>
      <c r="X122" s="148"/>
      <c r="Y122" s="161"/>
      <c r="Z122" s="146"/>
      <c r="AA122" s="162"/>
      <c r="AB122" s="148"/>
      <c r="AC122" s="161"/>
      <c r="AD122" s="146"/>
      <c r="AE122" s="162"/>
      <c r="AF122" s="148"/>
    </row>
    <row r="123">
      <c r="A123" s="161"/>
      <c r="B123" s="146" t="str">
        <f>IF(A123&lt;&gt;"", SUMIF(Bets!$F:$F, A123, Bets!Z:Z), "")</f>
        <v/>
      </c>
      <c r="C123" s="162"/>
      <c r="D123" s="148"/>
      <c r="E123" s="161"/>
      <c r="F123" s="146" t="str">
        <f>IF(E123&lt;&gt;"", SUMIF(Bets!$F:$F, E123, Bets!AB:AB), "")</f>
        <v/>
      </c>
      <c r="G123" s="162"/>
      <c r="H123" s="148"/>
      <c r="I123" s="161"/>
      <c r="J123" s="146" t="str">
        <f>IF(I123&lt;&gt;"", SUMIF(Bets!$F:$F, I123, Bets!AA:AA),)</f>
        <v/>
      </c>
      <c r="K123" s="162"/>
      <c r="L123" s="148"/>
      <c r="M123" s="161"/>
      <c r="N123" s="146"/>
      <c r="O123" s="162"/>
      <c r="P123" s="148"/>
      <c r="Q123" s="161"/>
      <c r="R123" s="146"/>
      <c r="S123" s="162"/>
      <c r="T123" s="148"/>
      <c r="U123" s="161"/>
      <c r="V123" s="146"/>
      <c r="W123" s="162"/>
      <c r="X123" s="148"/>
      <c r="Y123" s="161"/>
      <c r="Z123" s="146"/>
      <c r="AA123" s="162"/>
      <c r="AB123" s="148"/>
      <c r="AC123" s="161"/>
      <c r="AD123" s="146"/>
      <c r="AE123" s="162"/>
      <c r="AF123" s="148"/>
    </row>
    <row r="124">
      <c r="A124" s="161"/>
      <c r="B124" s="146" t="str">
        <f>IF(A124&lt;&gt;"", SUMIF(Bets!$F:$F, A124, Bets!Z:Z), "")</f>
        <v/>
      </c>
      <c r="C124" s="162"/>
      <c r="D124" s="148"/>
      <c r="E124" s="161"/>
      <c r="F124" s="146" t="str">
        <f>IF(E124&lt;&gt;"", SUMIF(Bets!$F:$F, E124, Bets!AB:AB), "")</f>
        <v/>
      </c>
      <c r="G124" s="162"/>
      <c r="H124" s="148"/>
      <c r="I124" s="161"/>
      <c r="J124" s="146" t="str">
        <f>IF(I124&lt;&gt;"", SUMIF(Bets!$F:$F, I124, Bets!AA:AA),)</f>
        <v/>
      </c>
      <c r="K124" s="162"/>
      <c r="L124" s="148"/>
      <c r="M124" s="161"/>
      <c r="N124" s="146"/>
      <c r="O124" s="162"/>
      <c r="P124" s="148"/>
      <c r="Q124" s="161"/>
      <c r="R124" s="146"/>
      <c r="S124" s="162"/>
      <c r="T124" s="148"/>
      <c r="U124" s="161"/>
      <c r="V124" s="146"/>
      <c r="W124" s="162"/>
      <c r="X124" s="148"/>
      <c r="Y124" s="161"/>
      <c r="Z124" s="146"/>
      <c r="AA124" s="162"/>
      <c r="AB124" s="148"/>
      <c r="AC124" s="161"/>
      <c r="AD124" s="146"/>
      <c r="AE124" s="162"/>
      <c r="AF124" s="148"/>
    </row>
    <row r="125">
      <c r="A125" s="161"/>
      <c r="B125" s="146" t="str">
        <f>IF(A125&lt;&gt;"", SUMIF(Bets!$F:$F, A125, Bets!Z:Z), "")</f>
        <v/>
      </c>
      <c r="C125" s="162"/>
      <c r="D125" s="148"/>
      <c r="E125" s="161"/>
      <c r="F125" s="146" t="str">
        <f>IF(E125&lt;&gt;"", SUMIF(Bets!$F:$F, E125, Bets!AB:AB), "")</f>
        <v/>
      </c>
      <c r="G125" s="162"/>
      <c r="H125" s="148"/>
      <c r="I125" s="161"/>
      <c r="J125" s="146" t="str">
        <f>IF(I125&lt;&gt;"", SUMIF(Bets!$F:$F, I125, Bets!AA:AA),)</f>
        <v/>
      </c>
      <c r="K125" s="162"/>
      <c r="L125" s="148"/>
      <c r="M125" s="161"/>
      <c r="N125" s="146"/>
      <c r="O125" s="162"/>
      <c r="P125" s="148"/>
      <c r="Q125" s="161"/>
      <c r="R125" s="146"/>
      <c r="S125" s="162"/>
      <c r="T125" s="148"/>
      <c r="U125" s="161"/>
      <c r="V125" s="146"/>
      <c r="W125" s="162"/>
      <c r="X125" s="148"/>
      <c r="Y125" s="161"/>
      <c r="Z125" s="146"/>
      <c r="AA125" s="162"/>
      <c r="AB125" s="148"/>
      <c r="AC125" s="161"/>
      <c r="AD125" s="146"/>
      <c r="AE125" s="162"/>
      <c r="AF125" s="148"/>
    </row>
    <row r="126">
      <c r="A126" s="161"/>
      <c r="B126" s="146" t="str">
        <f>IF(A126&lt;&gt;"", SUMIF(Bets!$F:$F, A126, Bets!Z:Z), "")</f>
        <v/>
      </c>
      <c r="C126" s="162"/>
      <c r="D126" s="148"/>
      <c r="E126" s="161"/>
      <c r="F126" s="146" t="str">
        <f>IF(E126&lt;&gt;"", SUMIF(Bets!$F:$F, E126, Bets!AB:AB), "")</f>
        <v/>
      </c>
      <c r="G126" s="162"/>
      <c r="H126" s="148"/>
      <c r="I126" s="161"/>
      <c r="J126" s="146" t="str">
        <f>IF(I126&lt;&gt;"", SUMIF(Bets!$F:$F, I126, Bets!AA:AA),)</f>
        <v/>
      </c>
      <c r="K126" s="162"/>
      <c r="L126" s="148"/>
      <c r="M126" s="161"/>
      <c r="N126" s="146"/>
      <c r="O126" s="162"/>
      <c r="P126" s="148"/>
      <c r="Q126" s="161"/>
      <c r="R126" s="146"/>
      <c r="S126" s="162"/>
      <c r="T126" s="148"/>
      <c r="U126" s="161"/>
      <c r="V126" s="146"/>
      <c r="W126" s="162"/>
      <c r="X126" s="148"/>
      <c r="Y126" s="161"/>
      <c r="Z126" s="146"/>
      <c r="AA126" s="162"/>
      <c r="AB126" s="148"/>
      <c r="AC126" s="161"/>
      <c r="AD126" s="146"/>
      <c r="AE126" s="162"/>
      <c r="AF126" s="148"/>
    </row>
    <row r="127">
      <c r="A127" s="161"/>
      <c r="B127" s="146" t="str">
        <f>IF(A127&lt;&gt;"", SUMIF(Bets!$F:$F, A127, Bets!Z:Z), "")</f>
        <v/>
      </c>
      <c r="C127" s="162"/>
      <c r="D127" s="148"/>
      <c r="E127" s="161"/>
      <c r="F127" s="146" t="str">
        <f>IF(E127&lt;&gt;"", SUMIF(Bets!$F:$F, E127, Bets!AB:AB), "")</f>
        <v/>
      </c>
      <c r="G127" s="162"/>
      <c r="H127" s="148"/>
      <c r="I127" s="161"/>
      <c r="J127" s="146" t="str">
        <f>IF(I127&lt;&gt;"", SUMIF(Bets!$F:$F, I127, Bets!AA:AA),)</f>
        <v/>
      </c>
      <c r="K127" s="162"/>
      <c r="L127" s="148"/>
      <c r="M127" s="161"/>
      <c r="N127" s="146"/>
      <c r="O127" s="162"/>
      <c r="P127" s="148"/>
      <c r="Q127" s="161"/>
      <c r="R127" s="146"/>
      <c r="S127" s="162"/>
      <c r="T127" s="148"/>
      <c r="U127" s="161"/>
      <c r="V127" s="146"/>
      <c r="W127" s="162"/>
      <c r="X127" s="148"/>
      <c r="Y127" s="161"/>
      <c r="Z127" s="146"/>
      <c r="AA127" s="162"/>
      <c r="AB127" s="148"/>
      <c r="AC127" s="161"/>
      <c r="AD127" s="146"/>
      <c r="AE127" s="162"/>
      <c r="AF127" s="148"/>
    </row>
    <row r="128">
      <c r="A128" s="161"/>
      <c r="B128" s="146" t="str">
        <f>IF(A128&lt;&gt;"", SUMIF(Bets!$F:$F, A128, Bets!Z:Z), "")</f>
        <v/>
      </c>
      <c r="C128" s="162"/>
      <c r="D128" s="148"/>
      <c r="E128" s="161"/>
      <c r="F128" s="146" t="str">
        <f>IF(E128&lt;&gt;"", SUMIF(Bets!$F:$F, E128, Bets!AB:AB), "")</f>
        <v/>
      </c>
      <c r="G128" s="162"/>
      <c r="H128" s="148"/>
      <c r="I128" s="161"/>
      <c r="J128" s="146" t="str">
        <f>IF(I128&lt;&gt;"", SUMIF(Bets!$F:$F, I128, Bets!AA:AA),)</f>
        <v/>
      </c>
      <c r="K128" s="162"/>
      <c r="L128" s="148"/>
      <c r="M128" s="161"/>
      <c r="N128" s="146"/>
      <c r="O128" s="162"/>
      <c r="P128" s="148"/>
      <c r="Q128" s="161"/>
      <c r="R128" s="146"/>
      <c r="S128" s="162"/>
      <c r="T128" s="148"/>
      <c r="U128" s="161"/>
      <c r="V128" s="146"/>
      <c r="W128" s="162"/>
      <c r="X128" s="148"/>
      <c r="Y128" s="161"/>
      <c r="Z128" s="146"/>
      <c r="AA128" s="162"/>
      <c r="AB128" s="148"/>
      <c r="AC128" s="161"/>
      <c r="AD128" s="146"/>
      <c r="AE128" s="162"/>
      <c r="AF128" s="148"/>
    </row>
    <row r="129">
      <c r="A129" s="161"/>
      <c r="B129" s="146" t="str">
        <f>IF(A129&lt;&gt;"", SUMIF(Bets!$F:$F, A129, Bets!Z:Z), "")</f>
        <v/>
      </c>
      <c r="C129" s="162"/>
      <c r="D129" s="148"/>
      <c r="E129" s="161"/>
      <c r="F129" s="146" t="str">
        <f>IF(E129&lt;&gt;"", SUMIF(Bets!$F:$F, E129, Bets!AB:AB), "")</f>
        <v/>
      </c>
      <c r="G129" s="162"/>
      <c r="H129" s="148"/>
      <c r="I129" s="161"/>
      <c r="J129" s="146" t="str">
        <f>IF(I129&lt;&gt;"", SUMIF(Bets!$F:$F, I129, Bets!AA:AA),)</f>
        <v/>
      </c>
      <c r="K129" s="162"/>
      <c r="L129" s="148"/>
      <c r="M129" s="161"/>
      <c r="N129" s="146"/>
      <c r="O129" s="162"/>
      <c r="P129" s="148"/>
      <c r="Q129" s="161"/>
      <c r="R129" s="146"/>
      <c r="S129" s="162"/>
      <c r="T129" s="148"/>
      <c r="U129" s="161"/>
      <c r="V129" s="146"/>
      <c r="W129" s="162"/>
      <c r="X129" s="148"/>
      <c r="Y129" s="161"/>
      <c r="Z129" s="146"/>
      <c r="AA129" s="162"/>
      <c r="AB129" s="148"/>
      <c r="AC129" s="161"/>
      <c r="AD129" s="146"/>
      <c r="AE129" s="162"/>
      <c r="AF129" s="148"/>
    </row>
    <row r="130">
      <c r="A130" s="161"/>
      <c r="B130" s="146" t="str">
        <f>IF(A130&lt;&gt;"", SUMIF(Bets!$F:$F, A130, Bets!Z:Z), "")</f>
        <v/>
      </c>
      <c r="C130" s="162"/>
      <c r="D130" s="148"/>
      <c r="E130" s="161"/>
      <c r="F130" s="146" t="str">
        <f>IF(E130&lt;&gt;"", SUMIF(Bets!$F:$F, E130, Bets!AB:AB), "")</f>
        <v/>
      </c>
      <c r="G130" s="162"/>
      <c r="H130" s="148"/>
      <c r="I130" s="161"/>
      <c r="J130" s="146" t="str">
        <f>IF(I130&lt;&gt;"", SUMIF(Bets!$F:$F, I130, Bets!AA:AA),)</f>
        <v/>
      </c>
      <c r="K130" s="162"/>
      <c r="L130" s="148"/>
      <c r="M130" s="161"/>
      <c r="N130" s="146"/>
      <c r="O130" s="162"/>
      <c r="P130" s="148"/>
      <c r="Q130" s="161"/>
      <c r="R130" s="146"/>
      <c r="S130" s="162"/>
      <c r="T130" s="148"/>
      <c r="U130" s="161"/>
      <c r="V130" s="146"/>
      <c r="W130" s="162"/>
      <c r="X130" s="148"/>
      <c r="Y130" s="161"/>
      <c r="Z130" s="146"/>
      <c r="AA130" s="162"/>
      <c r="AB130" s="148"/>
      <c r="AC130" s="161"/>
      <c r="AD130" s="146"/>
      <c r="AE130" s="162"/>
      <c r="AF130" s="148"/>
    </row>
    <row r="131">
      <c r="A131" s="161"/>
      <c r="B131" s="146" t="str">
        <f>IF(A131&lt;&gt;"", SUMIF(Bets!$F:$F, A131, Bets!Z:Z), "")</f>
        <v/>
      </c>
      <c r="C131" s="162"/>
      <c r="D131" s="148"/>
      <c r="E131" s="161"/>
      <c r="F131" s="146" t="str">
        <f>IF(E131&lt;&gt;"", SUMIF(Bets!$F:$F, E131, Bets!AB:AB), "")</f>
        <v/>
      </c>
      <c r="G131" s="162"/>
      <c r="H131" s="148"/>
      <c r="I131" s="161"/>
      <c r="J131" s="146" t="str">
        <f>IF(I131&lt;&gt;"", SUMIF(Bets!$F:$F, I131, Bets!AA:AA),)</f>
        <v/>
      </c>
      <c r="K131" s="162"/>
      <c r="L131" s="148"/>
      <c r="M131" s="161"/>
      <c r="N131" s="146"/>
      <c r="O131" s="162"/>
      <c r="P131" s="148"/>
      <c r="Q131" s="161"/>
      <c r="R131" s="146"/>
      <c r="S131" s="162"/>
      <c r="T131" s="148"/>
      <c r="U131" s="161"/>
      <c r="V131" s="146"/>
      <c r="W131" s="162"/>
      <c r="X131" s="148"/>
      <c r="Y131" s="161"/>
      <c r="Z131" s="146"/>
      <c r="AA131" s="162"/>
      <c r="AB131" s="148"/>
      <c r="AC131" s="161"/>
      <c r="AD131" s="146"/>
      <c r="AE131" s="162"/>
      <c r="AF131" s="148"/>
    </row>
    <row r="132">
      <c r="A132" s="161"/>
      <c r="B132" s="146" t="str">
        <f>IF(A132&lt;&gt;"", SUMIF(Bets!$F:$F, A132, Bets!Z:Z), "")</f>
        <v/>
      </c>
      <c r="C132" s="162"/>
      <c r="D132" s="148"/>
      <c r="E132" s="161"/>
      <c r="F132" s="146" t="str">
        <f>IF(E132&lt;&gt;"", SUMIF(Bets!$F:$F, E132, Bets!AB:AB), "")</f>
        <v/>
      </c>
      <c r="G132" s="162"/>
      <c r="H132" s="148"/>
      <c r="I132" s="161"/>
      <c r="J132" s="146" t="str">
        <f>IF(I132&lt;&gt;"", SUMIF(Bets!$F:$F, I132, Bets!AA:AA),)</f>
        <v/>
      </c>
      <c r="K132" s="162"/>
      <c r="L132" s="148"/>
      <c r="M132" s="161"/>
      <c r="N132" s="146"/>
      <c r="O132" s="162"/>
      <c r="P132" s="148"/>
      <c r="Q132" s="161"/>
      <c r="R132" s="146"/>
      <c r="S132" s="162"/>
      <c r="T132" s="148"/>
      <c r="U132" s="161"/>
      <c r="V132" s="146"/>
      <c r="W132" s="162"/>
      <c r="X132" s="148"/>
      <c r="Y132" s="161"/>
      <c r="Z132" s="146"/>
      <c r="AA132" s="162"/>
      <c r="AB132" s="148"/>
      <c r="AC132" s="161"/>
      <c r="AD132" s="146"/>
      <c r="AE132" s="162"/>
      <c r="AF132" s="148"/>
    </row>
    <row r="133">
      <c r="A133" s="161"/>
      <c r="B133" s="146" t="str">
        <f>IF(A133&lt;&gt;"", SUMIF(Bets!$F:$F, A133, Bets!Z:Z), "")</f>
        <v/>
      </c>
      <c r="C133" s="162"/>
      <c r="D133" s="148"/>
      <c r="E133" s="161"/>
      <c r="F133" s="146" t="str">
        <f>IF(E133&lt;&gt;"", SUMIF(Bets!$F:$F, E133, Bets!AB:AB), "")</f>
        <v/>
      </c>
      <c r="G133" s="162"/>
      <c r="H133" s="148"/>
      <c r="I133" s="161"/>
      <c r="J133" s="146" t="str">
        <f>IF(I133&lt;&gt;"", SUMIF(Bets!$F:$F, I133, Bets!AA:AA),)</f>
        <v/>
      </c>
      <c r="K133" s="162"/>
      <c r="L133" s="148"/>
      <c r="M133" s="161"/>
      <c r="N133" s="146"/>
      <c r="O133" s="162"/>
      <c r="P133" s="148"/>
      <c r="Q133" s="161"/>
      <c r="R133" s="146"/>
      <c r="S133" s="162"/>
      <c r="T133" s="148"/>
      <c r="U133" s="161"/>
      <c r="V133" s="146"/>
      <c r="W133" s="162"/>
      <c r="X133" s="148"/>
      <c r="Y133" s="161"/>
      <c r="Z133" s="146"/>
      <c r="AA133" s="162"/>
      <c r="AB133" s="148"/>
      <c r="AC133" s="161"/>
      <c r="AD133" s="146"/>
      <c r="AE133" s="162"/>
      <c r="AF133" s="148"/>
    </row>
    <row r="134">
      <c r="A134" s="161"/>
      <c r="B134" s="146" t="str">
        <f>IF(A134&lt;&gt;"", SUMIF(Bets!$F:$F, A134, Bets!Z:Z), "")</f>
        <v/>
      </c>
      <c r="C134" s="162"/>
      <c r="D134" s="148"/>
      <c r="E134" s="161"/>
      <c r="F134" s="146" t="str">
        <f>IF(E134&lt;&gt;"", SUMIF(Bets!$F:$F, E134, Bets!AB:AB), "")</f>
        <v/>
      </c>
      <c r="G134" s="162"/>
      <c r="H134" s="148"/>
      <c r="I134" s="161"/>
      <c r="J134" s="146" t="str">
        <f>IF(I134&lt;&gt;"", SUMIF(Bets!$F:$F, I134, Bets!AA:AA),)</f>
        <v/>
      </c>
      <c r="K134" s="162"/>
      <c r="L134" s="148"/>
      <c r="M134" s="161"/>
      <c r="N134" s="146"/>
      <c r="O134" s="162"/>
      <c r="P134" s="148"/>
      <c r="Q134" s="161"/>
      <c r="R134" s="146"/>
      <c r="S134" s="162"/>
      <c r="T134" s="148"/>
      <c r="U134" s="161"/>
      <c r="V134" s="146"/>
      <c r="W134" s="162"/>
      <c r="X134" s="148"/>
      <c r="Y134" s="161"/>
      <c r="Z134" s="146"/>
      <c r="AA134" s="162"/>
      <c r="AB134" s="148"/>
      <c r="AC134" s="161"/>
      <c r="AD134" s="146"/>
      <c r="AE134" s="162"/>
      <c r="AF134" s="148"/>
    </row>
    <row r="135">
      <c r="A135" s="161"/>
      <c r="B135" s="146" t="str">
        <f>IF(A135&lt;&gt;"", SUMIF(Bets!$F:$F, A135, Bets!Z:Z), "")</f>
        <v/>
      </c>
      <c r="C135" s="162"/>
      <c r="D135" s="148"/>
      <c r="E135" s="161"/>
      <c r="F135" s="146" t="str">
        <f>IF(E135&lt;&gt;"", SUMIF(Bets!$F:$F, E135, Bets!AB:AB), "")</f>
        <v/>
      </c>
      <c r="G135" s="162"/>
      <c r="H135" s="148"/>
      <c r="I135" s="161"/>
      <c r="J135" s="146" t="str">
        <f>IF(I135&lt;&gt;"", SUMIF(Bets!$F:$F, I135, Bets!AA:AA),)</f>
        <v/>
      </c>
      <c r="K135" s="162"/>
      <c r="L135" s="148"/>
      <c r="M135" s="161"/>
      <c r="N135" s="146"/>
      <c r="O135" s="162"/>
      <c r="P135" s="148"/>
      <c r="Q135" s="161"/>
      <c r="R135" s="146"/>
      <c r="S135" s="162"/>
      <c r="T135" s="148"/>
      <c r="U135" s="161"/>
      <c r="V135" s="146"/>
      <c r="W135" s="162"/>
      <c r="X135" s="148"/>
      <c r="Y135" s="161"/>
      <c r="Z135" s="146"/>
      <c r="AA135" s="162"/>
      <c r="AB135" s="148"/>
      <c r="AC135" s="161"/>
      <c r="AD135" s="146"/>
      <c r="AE135" s="162"/>
      <c r="AF135" s="148"/>
    </row>
    <row r="136">
      <c r="A136" s="161"/>
      <c r="B136" s="146" t="str">
        <f>IF(A136&lt;&gt;"", SUMIF(Bets!$F:$F, A136, Bets!Z:Z), "")</f>
        <v/>
      </c>
      <c r="C136" s="162"/>
      <c r="D136" s="148"/>
      <c r="E136" s="161"/>
      <c r="F136" s="146" t="str">
        <f>IF(E136&lt;&gt;"", SUMIF(Bets!$F:$F, E136, Bets!AB:AB), "")</f>
        <v/>
      </c>
      <c r="G136" s="162"/>
      <c r="H136" s="148"/>
      <c r="I136" s="161"/>
      <c r="J136" s="146" t="str">
        <f>IF(I136&lt;&gt;"", SUMIF(Bets!$F:$F, I136, Bets!AA:AA),)</f>
        <v/>
      </c>
      <c r="K136" s="162"/>
      <c r="L136" s="148"/>
      <c r="M136" s="161"/>
      <c r="N136" s="146"/>
      <c r="O136" s="162"/>
      <c r="P136" s="148"/>
      <c r="Q136" s="161"/>
      <c r="R136" s="146"/>
      <c r="S136" s="162"/>
      <c r="T136" s="148"/>
      <c r="U136" s="161"/>
      <c r="V136" s="146"/>
      <c r="W136" s="162"/>
      <c r="X136" s="148"/>
      <c r="Y136" s="161"/>
      <c r="Z136" s="146"/>
      <c r="AA136" s="162"/>
      <c r="AB136" s="148"/>
      <c r="AC136" s="161"/>
      <c r="AD136" s="146"/>
      <c r="AE136" s="162"/>
      <c r="AF136" s="148"/>
    </row>
    <row r="137">
      <c r="A137" s="161"/>
      <c r="B137" s="146" t="str">
        <f>IF(A137&lt;&gt;"", SUMIF(Bets!$F:$F, A137, Bets!Z:Z), "")</f>
        <v/>
      </c>
      <c r="C137" s="162"/>
      <c r="D137" s="148"/>
      <c r="E137" s="161"/>
      <c r="F137" s="146" t="str">
        <f>IF(E137&lt;&gt;"", SUMIF(Bets!$F:$F, E137, Bets!AB:AB), "")</f>
        <v/>
      </c>
      <c r="G137" s="162"/>
      <c r="H137" s="148"/>
      <c r="I137" s="161"/>
      <c r="J137" s="146" t="str">
        <f>IF(I137&lt;&gt;"", SUMIF(Bets!$F:$F, I137, Bets!AA:AA),)</f>
        <v/>
      </c>
      <c r="K137" s="162"/>
      <c r="L137" s="148"/>
      <c r="M137" s="161"/>
      <c r="N137" s="146"/>
      <c r="O137" s="162"/>
      <c r="P137" s="148"/>
      <c r="Q137" s="161"/>
      <c r="R137" s="146"/>
      <c r="S137" s="162"/>
      <c r="T137" s="148"/>
      <c r="U137" s="161"/>
      <c r="V137" s="146"/>
      <c r="W137" s="162"/>
      <c r="X137" s="148"/>
      <c r="Y137" s="161"/>
      <c r="Z137" s="146"/>
      <c r="AA137" s="162"/>
      <c r="AB137" s="148"/>
      <c r="AC137" s="161"/>
      <c r="AD137" s="146"/>
      <c r="AE137" s="162"/>
      <c r="AF137" s="148"/>
    </row>
    <row r="138">
      <c r="A138" s="161"/>
      <c r="B138" s="146" t="str">
        <f>IF(A138&lt;&gt;"", SUMIF(Bets!$F:$F, A138, Bets!Z:Z), "")</f>
        <v/>
      </c>
      <c r="C138" s="162"/>
      <c r="D138" s="148"/>
      <c r="E138" s="161"/>
      <c r="F138" s="146" t="str">
        <f>IF(E138&lt;&gt;"", SUMIF(Bets!$F:$F, E138, Bets!AB:AB), "")</f>
        <v/>
      </c>
      <c r="G138" s="162"/>
      <c r="H138" s="148"/>
      <c r="I138" s="161"/>
      <c r="J138" s="146" t="str">
        <f>IF(I138&lt;&gt;"", SUMIF(Bets!$F:$F, I138, Bets!AA:AA),)</f>
        <v/>
      </c>
      <c r="K138" s="162"/>
      <c r="L138" s="148"/>
      <c r="M138" s="161"/>
      <c r="N138" s="146"/>
      <c r="O138" s="162"/>
      <c r="P138" s="148"/>
      <c r="Q138" s="161"/>
      <c r="R138" s="146"/>
      <c r="S138" s="162"/>
      <c r="T138" s="148"/>
      <c r="U138" s="161"/>
      <c r="V138" s="146"/>
      <c r="W138" s="162"/>
      <c r="X138" s="148"/>
      <c r="Y138" s="161"/>
      <c r="Z138" s="146"/>
      <c r="AA138" s="162"/>
      <c r="AB138" s="148"/>
      <c r="AC138" s="161"/>
      <c r="AD138" s="146"/>
      <c r="AE138" s="162"/>
      <c r="AF138" s="148"/>
    </row>
    <row r="139">
      <c r="A139" s="161"/>
      <c r="B139" s="146" t="str">
        <f>IF(A139&lt;&gt;"", SUMIF(Bets!$F:$F, A139, Bets!Z:Z), "")</f>
        <v/>
      </c>
      <c r="C139" s="162"/>
      <c r="D139" s="148"/>
      <c r="E139" s="161"/>
      <c r="F139" s="146" t="str">
        <f>IF(E139&lt;&gt;"", SUMIF(Bets!$F:$F, E139, Bets!AB:AB), "")</f>
        <v/>
      </c>
      <c r="G139" s="162"/>
      <c r="H139" s="148"/>
      <c r="I139" s="161"/>
      <c r="J139" s="146" t="str">
        <f>IF(I139&lt;&gt;"", SUMIF(Bets!$F:$F, I139, Bets!AA:AA),)</f>
        <v/>
      </c>
      <c r="K139" s="162"/>
      <c r="L139" s="148"/>
      <c r="M139" s="161"/>
      <c r="N139" s="146"/>
      <c r="O139" s="162"/>
      <c r="P139" s="148"/>
      <c r="Q139" s="161"/>
      <c r="R139" s="146"/>
      <c r="S139" s="162"/>
      <c r="T139" s="148"/>
      <c r="U139" s="161"/>
      <c r="V139" s="146"/>
      <c r="W139" s="162"/>
      <c r="X139" s="148"/>
      <c r="Y139" s="161"/>
      <c r="Z139" s="146"/>
      <c r="AA139" s="162"/>
      <c r="AB139" s="148"/>
      <c r="AC139" s="161"/>
      <c r="AD139" s="146"/>
      <c r="AE139" s="162"/>
      <c r="AF139" s="148"/>
    </row>
    <row r="140">
      <c r="A140" s="161"/>
      <c r="B140" s="146" t="str">
        <f>IF(A140&lt;&gt;"", SUMIF(Bets!$F:$F, A140, Bets!Z:Z), "")</f>
        <v/>
      </c>
      <c r="C140" s="162"/>
      <c r="D140" s="148"/>
      <c r="E140" s="161"/>
      <c r="F140" s="146" t="str">
        <f>IF(E140&lt;&gt;"", SUMIF(Bets!$F:$F, E140, Bets!AB:AB), "")</f>
        <v/>
      </c>
      <c r="G140" s="162"/>
      <c r="H140" s="148"/>
      <c r="I140" s="161"/>
      <c r="J140" s="146" t="str">
        <f>IF(I140&lt;&gt;"", SUMIF(Bets!$F:$F, I140, Bets!AA:AA),)</f>
        <v/>
      </c>
      <c r="K140" s="162"/>
      <c r="L140" s="148"/>
      <c r="M140" s="161"/>
      <c r="N140" s="146"/>
      <c r="O140" s="162"/>
      <c r="P140" s="148"/>
      <c r="Q140" s="161"/>
      <c r="R140" s="146"/>
      <c r="S140" s="162"/>
      <c r="T140" s="148"/>
      <c r="U140" s="161"/>
      <c r="V140" s="146"/>
      <c r="W140" s="162"/>
      <c r="X140" s="148"/>
      <c r="Y140" s="161"/>
      <c r="Z140" s="146"/>
      <c r="AA140" s="162"/>
      <c r="AB140" s="148"/>
      <c r="AC140" s="161"/>
      <c r="AD140" s="146"/>
      <c r="AE140" s="162"/>
      <c r="AF140" s="148"/>
    </row>
    <row r="141">
      <c r="A141" s="161"/>
      <c r="B141" s="146" t="str">
        <f>IF(A141&lt;&gt;"", SUMIF(Bets!$F:$F, A141, Bets!Z:Z), "")</f>
        <v/>
      </c>
      <c r="C141" s="162"/>
      <c r="D141" s="148"/>
      <c r="E141" s="161"/>
      <c r="F141" s="146" t="str">
        <f>IF(E141&lt;&gt;"", SUMIF(Bets!$F:$F, E141, Bets!AB:AB), "")</f>
        <v/>
      </c>
      <c r="G141" s="162"/>
      <c r="H141" s="148"/>
      <c r="I141" s="161"/>
      <c r="J141" s="146" t="str">
        <f>IF(I141&lt;&gt;"", SUMIF(Bets!$F:$F, I141, Bets!AA:AA),)</f>
        <v/>
      </c>
      <c r="K141" s="162"/>
      <c r="L141" s="148"/>
      <c r="M141" s="161"/>
      <c r="N141" s="146"/>
      <c r="O141" s="162"/>
      <c r="P141" s="148"/>
      <c r="Q141" s="161"/>
      <c r="R141" s="146"/>
      <c r="S141" s="162"/>
      <c r="T141" s="148"/>
      <c r="U141" s="161"/>
      <c r="V141" s="146"/>
      <c r="W141" s="162"/>
      <c r="X141" s="148"/>
      <c r="Y141" s="161"/>
      <c r="Z141" s="146"/>
      <c r="AA141" s="162"/>
      <c r="AB141" s="148"/>
      <c r="AC141" s="161"/>
      <c r="AD141" s="146"/>
      <c r="AE141" s="162"/>
      <c r="AF141" s="148"/>
    </row>
    <row r="142">
      <c r="A142" s="161"/>
      <c r="B142" s="146" t="str">
        <f>IF(A142&lt;&gt;"", SUMIF(Bets!$F:$F, A142, Bets!Z:Z), "")</f>
        <v/>
      </c>
      <c r="C142" s="162"/>
      <c r="D142" s="148"/>
      <c r="E142" s="161"/>
      <c r="F142" s="146" t="str">
        <f>IF(E142&lt;&gt;"", SUMIF(Bets!$F:$F, E142, Bets!AB:AB), "")</f>
        <v/>
      </c>
      <c r="G142" s="162"/>
      <c r="H142" s="148"/>
      <c r="I142" s="161"/>
      <c r="J142" s="146" t="str">
        <f>IF(I142&lt;&gt;"", SUMIF(Bets!$F:$F, I142, Bets!AA:AA),)</f>
        <v/>
      </c>
      <c r="K142" s="162"/>
      <c r="L142" s="148"/>
      <c r="M142" s="161"/>
      <c r="N142" s="146"/>
      <c r="O142" s="162"/>
      <c r="P142" s="148"/>
      <c r="Q142" s="161"/>
      <c r="R142" s="146"/>
      <c r="S142" s="162"/>
      <c r="T142" s="148"/>
      <c r="U142" s="161"/>
      <c r="V142" s="146"/>
      <c r="W142" s="162"/>
      <c r="X142" s="148"/>
      <c r="Y142" s="161"/>
      <c r="Z142" s="146"/>
      <c r="AA142" s="162"/>
      <c r="AB142" s="148"/>
      <c r="AC142" s="161"/>
      <c r="AD142" s="146"/>
      <c r="AE142" s="162"/>
      <c r="AF142" s="148"/>
    </row>
    <row r="143">
      <c r="A143" s="161"/>
      <c r="B143" s="146" t="str">
        <f>IF(A143&lt;&gt;"", SUMIF(Bets!$F:$F, A143, Bets!Z:Z), "")</f>
        <v/>
      </c>
      <c r="C143" s="162"/>
      <c r="D143" s="148"/>
      <c r="E143" s="161"/>
      <c r="F143" s="146" t="str">
        <f>IF(E143&lt;&gt;"", SUMIF(Bets!$F:$F, E143, Bets!AB:AB), "")</f>
        <v/>
      </c>
      <c r="G143" s="162"/>
      <c r="H143" s="148"/>
      <c r="I143" s="161"/>
      <c r="J143" s="146" t="str">
        <f>IF(I143&lt;&gt;"", SUMIF(Bets!$F:$F, I143, Bets!AA:AA),)</f>
        <v/>
      </c>
      <c r="K143" s="162"/>
      <c r="L143" s="148"/>
      <c r="M143" s="161"/>
      <c r="N143" s="146"/>
      <c r="O143" s="162"/>
      <c r="P143" s="148"/>
      <c r="Q143" s="161"/>
      <c r="R143" s="146"/>
      <c r="S143" s="162"/>
      <c r="T143" s="148"/>
      <c r="U143" s="161"/>
      <c r="V143" s="146"/>
      <c r="W143" s="162"/>
      <c r="X143" s="148"/>
      <c r="Y143" s="161"/>
      <c r="Z143" s="146"/>
      <c r="AA143" s="162"/>
      <c r="AB143" s="148"/>
      <c r="AC143" s="161"/>
      <c r="AD143" s="146"/>
      <c r="AE143" s="162"/>
      <c r="AF143" s="148"/>
    </row>
    <row r="144">
      <c r="A144" s="161"/>
      <c r="B144" s="146" t="str">
        <f>IF(A144&lt;&gt;"", SUMIF(Bets!$F:$F, A144, Bets!Z:Z), "")</f>
        <v/>
      </c>
      <c r="C144" s="162"/>
      <c r="D144" s="148"/>
      <c r="E144" s="161"/>
      <c r="F144" s="146" t="str">
        <f>IF(E144&lt;&gt;"", SUMIF(Bets!$F:$F, E144, Bets!AB:AB), "")</f>
        <v/>
      </c>
      <c r="G144" s="162"/>
      <c r="H144" s="148"/>
      <c r="I144" s="161"/>
      <c r="J144" s="146" t="str">
        <f>IF(I144&lt;&gt;"", SUMIF(Bets!$F:$F, I144, Bets!AA:AA),)</f>
        <v/>
      </c>
      <c r="K144" s="162"/>
      <c r="L144" s="148"/>
      <c r="M144" s="161"/>
      <c r="N144" s="146"/>
      <c r="O144" s="162"/>
      <c r="P144" s="148"/>
      <c r="Q144" s="161"/>
      <c r="R144" s="146"/>
      <c r="S144" s="162"/>
      <c r="T144" s="148"/>
      <c r="U144" s="161"/>
      <c r="V144" s="146"/>
      <c r="W144" s="162"/>
      <c r="X144" s="148"/>
      <c r="Y144" s="161"/>
      <c r="Z144" s="146"/>
      <c r="AA144" s="162"/>
      <c r="AB144" s="148"/>
      <c r="AC144" s="161"/>
      <c r="AD144" s="146"/>
      <c r="AE144" s="162"/>
      <c r="AF144" s="148"/>
    </row>
    <row r="145">
      <c r="A145" s="161"/>
      <c r="B145" s="146" t="str">
        <f>IF(A145&lt;&gt;"", SUMIF(Bets!$F:$F, A145, Bets!Z:Z), "")</f>
        <v/>
      </c>
      <c r="C145" s="162"/>
      <c r="D145" s="148"/>
      <c r="E145" s="161"/>
      <c r="F145" s="146" t="str">
        <f>IF(E145&lt;&gt;"", SUMIF(Bets!$F:$F, E145, Bets!AB:AB), "")</f>
        <v/>
      </c>
      <c r="G145" s="162"/>
      <c r="H145" s="148"/>
      <c r="I145" s="161"/>
      <c r="J145" s="146" t="str">
        <f>IF(I145&lt;&gt;"", SUMIF(Bets!$F:$F, I145, Bets!AA:AA),)</f>
        <v/>
      </c>
      <c r="K145" s="162"/>
      <c r="L145" s="148"/>
      <c r="M145" s="161"/>
      <c r="N145" s="146"/>
      <c r="O145" s="162"/>
      <c r="P145" s="148"/>
      <c r="Q145" s="161"/>
      <c r="R145" s="146"/>
      <c r="S145" s="162"/>
      <c r="T145" s="148"/>
      <c r="U145" s="161"/>
      <c r="V145" s="146"/>
      <c r="W145" s="162"/>
      <c r="X145" s="148"/>
      <c r="Y145" s="161"/>
      <c r="Z145" s="146"/>
      <c r="AA145" s="162"/>
      <c r="AB145" s="148"/>
      <c r="AC145" s="161"/>
      <c r="AD145" s="146"/>
      <c r="AE145" s="162"/>
      <c r="AF145" s="148"/>
    </row>
    <row r="146">
      <c r="A146" s="161"/>
      <c r="B146" s="146" t="str">
        <f>IF(A146&lt;&gt;"", SUMIF(Bets!$F:$F, A146, Bets!Z:Z), "")</f>
        <v/>
      </c>
      <c r="C146" s="162"/>
      <c r="D146" s="148"/>
      <c r="E146" s="161"/>
      <c r="F146" s="146" t="str">
        <f>IF(E146&lt;&gt;"", SUMIF(Bets!$F:$F, E146, Bets!AB:AB), "")</f>
        <v/>
      </c>
      <c r="G146" s="162"/>
      <c r="H146" s="148"/>
      <c r="I146" s="161"/>
      <c r="J146" s="146" t="str">
        <f>IF(I146&lt;&gt;"", SUMIF(Bets!$F:$F, I146, Bets!AA:AA),)</f>
        <v/>
      </c>
      <c r="K146" s="162"/>
      <c r="L146" s="148"/>
      <c r="M146" s="161"/>
      <c r="N146" s="146"/>
      <c r="O146" s="162"/>
      <c r="P146" s="148"/>
      <c r="Q146" s="161"/>
      <c r="R146" s="146"/>
      <c r="S146" s="162"/>
      <c r="T146" s="148"/>
      <c r="U146" s="161"/>
      <c r="V146" s="146"/>
      <c r="W146" s="162"/>
      <c r="X146" s="148"/>
      <c r="Y146" s="161"/>
      <c r="Z146" s="146"/>
      <c r="AA146" s="162"/>
      <c r="AB146" s="148"/>
      <c r="AC146" s="161"/>
      <c r="AD146" s="146"/>
      <c r="AE146" s="162"/>
      <c r="AF146" s="148"/>
    </row>
    <row r="147">
      <c r="A147" s="161"/>
      <c r="B147" s="146" t="str">
        <f>IF(A147&lt;&gt;"", SUMIF(Bets!$F:$F, A147, Bets!Z:Z), "")</f>
        <v/>
      </c>
      <c r="C147" s="162"/>
      <c r="D147" s="148"/>
      <c r="E147" s="161"/>
      <c r="F147" s="146" t="str">
        <f>IF(E147&lt;&gt;"", SUMIF(Bets!$F:$F, E147, Bets!AB:AB), "")</f>
        <v/>
      </c>
      <c r="G147" s="162"/>
      <c r="H147" s="148"/>
      <c r="I147" s="161"/>
      <c r="J147" s="146" t="str">
        <f>IF(I147&lt;&gt;"", SUMIF(Bets!$F:$F, I147, Bets!AA:AA),)</f>
        <v/>
      </c>
      <c r="K147" s="162"/>
      <c r="L147" s="148"/>
      <c r="M147" s="161"/>
      <c r="N147" s="146"/>
      <c r="O147" s="162"/>
      <c r="P147" s="148"/>
      <c r="Q147" s="161"/>
      <c r="R147" s="146"/>
      <c r="S147" s="162"/>
      <c r="T147" s="148"/>
      <c r="U147" s="161"/>
      <c r="V147" s="146"/>
      <c r="W147" s="162"/>
      <c r="X147" s="148"/>
      <c r="Y147" s="161"/>
      <c r="Z147" s="146"/>
      <c r="AA147" s="162"/>
      <c r="AB147" s="148"/>
      <c r="AC147" s="161"/>
      <c r="AD147" s="146"/>
      <c r="AE147" s="162"/>
      <c r="AF147" s="148"/>
    </row>
    <row r="148">
      <c r="A148" s="161"/>
      <c r="B148" s="146" t="str">
        <f>IF(A148&lt;&gt;"", SUMIF(Bets!$F:$F, A148, Bets!Z:Z), "")</f>
        <v/>
      </c>
      <c r="C148" s="162"/>
      <c r="D148" s="148"/>
      <c r="E148" s="161"/>
      <c r="F148" s="146" t="str">
        <f>IF(E148&lt;&gt;"", SUMIF(Bets!$F:$F, E148, Bets!AB:AB), "")</f>
        <v/>
      </c>
      <c r="G148" s="162"/>
      <c r="H148" s="148"/>
      <c r="I148" s="161"/>
      <c r="J148" s="146" t="str">
        <f>IF(I148&lt;&gt;"", SUMIF(Bets!$F:$F, I148, Bets!AA:AA),)</f>
        <v/>
      </c>
      <c r="K148" s="162"/>
      <c r="L148" s="148"/>
      <c r="M148" s="161"/>
      <c r="N148" s="146"/>
      <c r="O148" s="162"/>
      <c r="P148" s="148"/>
      <c r="Q148" s="161"/>
      <c r="R148" s="146"/>
      <c r="S148" s="162"/>
      <c r="T148" s="148"/>
      <c r="U148" s="161"/>
      <c r="V148" s="146"/>
      <c r="W148" s="162"/>
      <c r="X148" s="148"/>
      <c r="Y148" s="161"/>
      <c r="Z148" s="146"/>
      <c r="AA148" s="162"/>
      <c r="AB148" s="148"/>
      <c r="AC148" s="161"/>
      <c r="AD148" s="146"/>
      <c r="AE148" s="162"/>
      <c r="AF148" s="148"/>
    </row>
    <row r="149">
      <c r="A149" s="161"/>
      <c r="B149" s="146" t="str">
        <f>IF(A149&lt;&gt;"", SUMIF(Bets!$F:$F, A149, Bets!Z:Z), "")</f>
        <v/>
      </c>
      <c r="C149" s="162"/>
      <c r="D149" s="148"/>
      <c r="E149" s="161"/>
      <c r="F149" s="146" t="str">
        <f>IF(E149&lt;&gt;"", SUMIF(Bets!$F:$F, E149, Bets!AB:AB), "")</f>
        <v/>
      </c>
      <c r="G149" s="162"/>
      <c r="H149" s="148"/>
      <c r="I149" s="161"/>
      <c r="J149" s="146" t="str">
        <f>IF(I149&lt;&gt;"", SUMIF(Bets!$F:$F, I149, Bets!AA:AA),)</f>
        <v/>
      </c>
      <c r="K149" s="162"/>
      <c r="L149" s="148"/>
      <c r="M149" s="161"/>
      <c r="N149" s="146"/>
      <c r="O149" s="162"/>
      <c r="P149" s="148"/>
      <c r="Q149" s="161"/>
      <c r="R149" s="146"/>
      <c r="S149" s="162"/>
      <c r="T149" s="148"/>
      <c r="U149" s="161"/>
      <c r="V149" s="146"/>
      <c r="W149" s="162"/>
      <c r="X149" s="148"/>
      <c r="Y149" s="161"/>
      <c r="Z149" s="146"/>
      <c r="AA149" s="162"/>
      <c r="AB149" s="148"/>
      <c r="AC149" s="161"/>
      <c r="AD149" s="146"/>
      <c r="AE149" s="162"/>
      <c r="AF149" s="148"/>
    </row>
    <row r="150">
      <c r="A150" s="161"/>
      <c r="B150" s="146" t="str">
        <f>IF(A150&lt;&gt;"", SUMIF(Bets!$F:$F, A150, Bets!Z:Z), "")</f>
        <v/>
      </c>
      <c r="C150" s="162"/>
      <c r="D150" s="148"/>
      <c r="E150" s="161"/>
      <c r="F150" s="146" t="str">
        <f>IF(E150&lt;&gt;"", SUMIF(Bets!$F:$F, E150, Bets!AB:AB), "")</f>
        <v/>
      </c>
      <c r="G150" s="162"/>
      <c r="H150" s="148"/>
      <c r="I150" s="161"/>
      <c r="J150" s="146" t="str">
        <f>IF(I150&lt;&gt;"", SUMIF(Bets!$F:$F, I150, Bets!AA:AA),)</f>
        <v/>
      </c>
      <c r="K150" s="162"/>
      <c r="L150" s="148"/>
      <c r="M150" s="161"/>
      <c r="N150" s="146"/>
      <c r="O150" s="162"/>
      <c r="P150" s="148"/>
      <c r="Q150" s="161"/>
      <c r="R150" s="146"/>
      <c r="S150" s="162"/>
      <c r="T150" s="148"/>
      <c r="U150" s="161"/>
      <c r="V150" s="146"/>
      <c r="W150" s="162"/>
      <c r="X150" s="148"/>
      <c r="Y150" s="161"/>
      <c r="Z150" s="146"/>
      <c r="AA150" s="162"/>
      <c r="AB150" s="148"/>
      <c r="AC150" s="161"/>
      <c r="AD150" s="146"/>
      <c r="AE150" s="162"/>
      <c r="AF150" s="148"/>
    </row>
    <row r="151">
      <c r="A151" s="161"/>
      <c r="B151" s="146" t="str">
        <f>IF(A151&lt;&gt;"", SUMIF(Bets!$F:$F, A151, Bets!Z:Z), "")</f>
        <v/>
      </c>
      <c r="C151" s="162"/>
      <c r="D151" s="148"/>
      <c r="E151" s="161"/>
      <c r="F151" s="146" t="str">
        <f>IF(E151&lt;&gt;"", SUMIF(Bets!$F:$F, E151, Bets!AB:AB), "")</f>
        <v/>
      </c>
      <c r="G151" s="162"/>
      <c r="H151" s="148"/>
      <c r="I151" s="161"/>
      <c r="J151" s="146" t="str">
        <f>IF(I151&lt;&gt;"", SUMIF(Bets!$F:$F, I151, Bets!AA:AA),)</f>
        <v/>
      </c>
      <c r="K151" s="162"/>
      <c r="L151" s="148"/>
      <c r="M151" s="161"/>
      <c r="N151" s="146"/>
      <c r="O151" s="162"/>
      <c r="P151" s="148"/>
      <c r="Q151" s="161"/>
      <c r="R151" s="146"/>
      <c r="S151" s="162"/>
      <c r="T151" s="148"/>
      <c r="U151" s="161"/>
      <c r="V151" s="146"/>
      <c r="W151" s="162"/>
      <c r="X151" s="148"/>
      <c r="Y151" s="161"/>
      <c r="Z151" s="146"/>
      <c r="AA151" s="162"/>
      <c r="AB151" s="148"/>
      <c r="AC151" s="161"/>
      <c r="AD151" s="146"/>
      <c r="AE151" s="162"/>
      <c r="AF151" s="148"/>
    </row>
    <row r="152">
      <c r="A152" s="161"/>
      <c r="B152" s="146" t="str">
        <f>IF(A152&lt;&gt;"", SUMIF(Bets!$F:$F, A152, Bets!Z:Z), "")</f>
        <v/>
      </c>
      <c r="C152" s="162"/>
      <c r="D152" s="148"/>
      <c r="E152" s="161"/>
      <c r="F152" s="146" t="str">
        <f>IF(E152&lt;&gt;"", SUMIF(Bets!$F:$F, E152, Bets!AB:AB), "")</f>
        <v/>
      </c>
      <c r="G152" s="162"/>
      <c r="H152" s="148"/>
      <c r="I152" s="161"/>
      <c r="J152" s="146" t="str">
        <f>IF(I152&lt;&gt;"", SUMIF(Bets!$F:$F, I152, Bets!AA:AA),)</f>
        <v/>
      </c>
      <c r="K152" s="162"/>
      <c r="L152" s="148"/>
      <c r="M152" s="161"/>
      <c r="N152" s="146"/>
      <c r="O152" s="162"/>
      <c r="P152" s="148"/>
      <c r="Q152" s="161"/>
      <c r="R152" s="146"/>
      <c r="S152" s="162"/>
      <c r="T152" s="148"/>
      <c r="U152" s="161"/>
      <c r="V152" s="146"/>
      <c r="W152" s="162"/>
      <c r="X152" s="148"/>
      <c r="Y152" s="161"/>
      <c r="Z152" s="146"/>
      <c r="AA152" s="162"/>
      <c r="AB152" s="148"/>
      <c r="AC152" s="161"/>
      <c r="AD152" s="146"/>
      <c r="AE152" s="162"/>
      <c r="AF152" s="148"/>
    </row>
    <row r="153">
      <c r="A153" s="161"/>
      <c r="B153" s="146" t="str">
        <f>IF(A153&lt;&gt;"", SUMIF(Bets!$F:$F, A153, Bets!Z:Z), "")</f>
        <v/>
      </c>
      <c r="C153" s="162"/>
      <c r="D153" s="148"/>
      <c r="E153" s="161"/>
      <c r="F153" s="146" t="str">
        <f>IF(E153&lt;&gt;"", SUMIF(Bets!$F:$F, E153, Bets!AB:AB), "")</f>
        <v/>
      </c>
      <c r="G153" s="162"/>
      <c r="H153" s="148"/>
      <c r="I153" s="161"/>
      <c r="J153" s="146" t="str">
        <f>IF(I153&lt;&gt;"", SUMIF(Bets!$F:$F, I153, Bets!AA:AA),)</f>
        <v/>
      </c>
      <c r="K153" s="162"/>
      <c r="L153" s="148"/>
      <c r="M153" s="161"/>
      <c r="N153" s="146"/>
      <c r="O153" s="162"/>
      <c r="P153" s="148"/>
      <c r="Q153" s="161"/>
      <c r="R153" s="146"/>
      <c r="S153" s="162"/>
      <c r="T153" s="148"/>
      <c r="U153" s="161"/>
      <c r="V153" s="146"/>
      <c r="W153" s="162"/>
      <c r="X153" s="148"/>
      <c r="Y153" s="161"/>
      <c r="Z153" s="146"/>
      <c r="AA153" s="162"/>
      <c r="AB153" s="148"/>
      <c r="AC153" s="161"/>
      <c r="AD153" s="146"/>
      <c r="AE153" s="162"/>
      <c r="AF153" s="148"/>
    </row>
    <row r="154">
      <c r="A154" s="161"/>
      <c r="B154" s="146" t="str">
        <f>IF(A154&lt;&gt;"", SUMIF(Bets!$F:$F, A154, Bets!Z:Z), "")</f>
        <v/>
      </c>
      <c r="C154" s="162"/>
      <c r="D154" s="148"/>
      <c r="E154" s="161"/>
      <c r="F154" s="146" t="str">
        <f>IF(E154&lt;&gt;"", SUMIF(Bets!$F:$F, E154, Bets!AB:AB), "")</f>
        <v/>
      </c>
      <c r="G154" s="162"/>
      <c r="H154" s="148"/>
      <c r="I154" s="161"/>
      <c r="J154" s="146" t="str">
        <f>IF(I154&lt;&gt;"", SUMIF(Bets!$F:$F, I154, Bets!AA:AA),)</f>
        <v/>
      </c>
      <c r="K154" s="162"/>
      <c r="L154" s="148"/>
      <c r="M154" s="161"/>
      <c r="N154" s="146"/>
      <c r="O154" s="162"/>
      <c r="P154" s="148"/>
      <c r="Q154" s="161"/>
      <c r="R154" s="146"/>
      <c r="S154" s="162"/>
      <c r="T154" s="148"/>
      <c r="U154" s="161"/>
      <c r="V154" s="146"/>
      <c r="W154" s="162"/>
      <c r="X154" s="148"/>
      <c r="Y154" s="161"/>
      <c r="Z154" s="146"/>
      <c r="AA154" s="162"/>
      <c r="AB154" s="148"/>
      <c r="AC154" s="161"/>
      <c r="AD154" s="146"/>
      <c r="AE154" s="162"/>
      <c r="AF154" s="148"/>
    </row>
    <row r="155">
      <c r="A155" s="161"/>
      <c r="B155" s="146" t="str">
        <f>IF(A155&lt;&gt;"", SUMIF(Bets!$F:$F, A155, Bets!Z:Z), "")</f>
        <v/>
      </c>
      <c r="C155" s="162"/>
      <c r="D155" s="148"/>
      <c r="E155" s="161"/>
      <c r="F155" s="146" t="str">
        <f>IF(E155&lt;&gt;"", SUMIF(Bets!$F:$F, E155, Bets!AB:AB), "")</f>
        <v/>
      </c>
      <c r="G155" s="162"/>
      <c r="H155" s="148"/>
      <c r="I155" s="161"/>
      <c r="J155" s="146" t="str">
        <f>IF(I155&lt;&gt;"", SUMIF(Bets!$F:$F, I155, Bets!AA:AA),)</f>
        <v/>
      </c>
      <c r="K155" s="162"/>
      <c r="L155" s="148"/>
      <c r="M155" s="161"/>
      <c r="N155" s="146"/>
      <c r="O155" s="162"/>
      <c r="P155" s="148"/>
      <c r="Q155" s="161"/>
      <c r="R155" s="146"/>
      <c r="S155" s="162"/>
      <c r="T155" s="148"/>
      <c r="U155" s="161"/>
      <c r="V155" s="146"/>
      <c r="W155" s="162"/>
      <c r="X155" s="148"/>
      <c r="Y155" s="161"/>
      <c r="Z155" s="146"/>
      <c r="AA155" s="162"/>
      <c r="AB155" s="148"/>
      <c r="AC155" s="161"/>
      <c r="AD155" s="146"/>
      <c r="AE155" s="162"/>
      <c r="AF155" s="148"/>
    </row>
    <row r="156">
      <c r="A156" s="161"/>
      <c r="B156" s="146" t="str">
        <f>IF(A156&lt;&gt;"", SUMIF(Bets!$F:$F, A156, Bets!Z:Z), "")</f>
        <v/>
      </c>
      <c r="C156" s="162"/>
      <c r="D156" s="148"/>
      <c r="E156" s="161"/>
      <c r="F156" s="146" t="str">
        <f>IF(E156&lt;&gt;"", SUMIF(Bets!$F:$F, E156, Bets!AB:AB), "")</f>
        <v/>
      </c>
      <c r="G156" s="162"/>
      <c r="H156" s="148"/>
      <c r="I156" s="161"/>
      <c r="J156" s="146" t="str">
        <f>IF(I156&lt;&gt;"", SUMIF(Bets!$F:$F, I156, Bets!AA:AA),)</f>
        <v/>
      </c>
      <c r="K156" s="162"/>
      <c r="L156" s="148"/>
      <c r="M156" s="161"/>
      <c r="N156" s="146"/>
      <c r="O156" s="162"/>
      <c r="P156" s="148"/>
      <c r="Q156" s="161"/>
      <c r="R156" s="146"/>
      <c r="S156" s="162"/>
      <c r="T156" s="148"/>
      <c r="U156" s="161"/>
      <c r="V156" s="146"/>
      <c r="W156" s="162"/>
      <c r="X156" s="148"/>
      <c r="Y156" s="161"/>
      <c r="Z156" s="146"/>
      <c r="AA156" s="162"/>
      <c r="AB156" s="148"/>
      <c r="AC156" s="161"/>
      <c r="AD156" s="146"/>
      <c r="AE156" s="162"/>
      <c r="AF156" s="148"/>
    </row>
    <row r="157">
      <c r="A157" s="161"/>
      <c r="B157" s="146" t="str">
        <f>IF(A157&lt;&gt;"", SUMIF(Bets!$F:$F, A157, Bets!Z:Z), "")</f>
        <v/>
      </c>
      <c r="C157" s="162"/>
      <c r="D157" s="148"/>
      <c r="E157" s="161"/>
      <c r="F157" s="146" t="str">
        <f>IF(E157&lt;&gt;"", SUMIF(Bets!$F:$F, E157, Bets!AB:AB), "")</f>
        <v/>
      </c>
      <c r="G157" s="162"/>
      <c r="H157" s="148"/>
      <c r="I157" s="161"/>
      <c r="J157" s="146" t="str">
        <f>IF(I157&lt;&gt;"", SUMIF(Bets!$F:$F, I157, Bets!AA:AA),)</f>
        <v/>
      </c>
      <c r="K157" s="162"/>
      <c r="L157" s="148"/>
      <c r="M157" s="161"/>
      <c r="N157" s="146"/>
      <c r="O157" s="162"/>
      <c r="P157" s="148"/>
      <c r="Q157" s="161"/>
      <c r="R157" s="146"/>
      <c r="S157" s="162"/>
      <c r="T157" s="148"/>
      <c r="U157" s="161"/>
      <c r="V157" s="146"/>
      <c r="W157" s="162"/>
      <c r="X157" s="148"/>
      <c r="Y157" s="161"/>
      <c r="Z157" s="146"/>
      <c r="AA157" s="162"/>
      <c r="AB157" s="148"/>
      <c r="AC157" s="161"/>
      <c r="AD157" s="146"/>
      <c r="AE157" s="162"/>
      <c r="AF157" s="148"/>
    </row>
    <row r="158">
      <c r="A158" s="161"/>
      <c r="B158" s="146" t="str">
        <f>IF(A158&lt;&gt;"", SUMIF(Bets!$F:$F, A158, Bets!Z:Z), "")</f>
        <v/>
      </c>
      <c r="C158" s="162"/>
      <c r="D158" s="148"/>
      <c r="E158" s="161"/>
      <c r="F158" s="146" t="str">
        <f>IF(E158&lt;&gt;"", SUMIF(Bets!$F:$F, E158, Bets!AB:AB), "")</f>
        <v/>
      </c>
      <c r="G158" s="162"/>
      <c r="H158" s="148"/>
      <c r="I158" s="161"/>
      <c r="J158" s="146" t="str">
        <f>IF(I158&lt;&gt;"", SUMIF(Bets!$F:$F, I158, Bets!AA:AA),)</f>
        <v/>
      </c>
      <c r="K158" s="162"/>
      <c r="L158" s="148"/>
      <c r="M158" s="161"/>
      <c r="N158" s="146"/>
      <c r="O158" s="162"/>
      <c r="P158" s="148"/>
      <c r="Q158" s="161"/>
      <c r="R158" s="146"/>
      <c r="S158" s="162"/>
      <c r="T158" s="148"/>
      <c r="U158" s="161"/>
      <c r="V158" s="146"/>
      <c r="W158" s="162"/>
      <c r="X158" s="148"/>
      <c r="Y158" s="161"/>
      <c r="Z158" s="146"/>
      <c r="AA158" s="162"/>
      <c r="AB158" s="148"/>
      <c r="AC158" s="161"/>
      <c r="AD158" s="146"/>
      <c r="AE158" s="162"/>
      <c r="AF158" s="148"/>
    </row>
    <row r="159">
      <c r="A159" s="161"/>
      <c r="B159" s="146" t="str">
        <f>IF(A159&lt;&gt;"", SUMIF(Bets!$F:$F, A159, Bets!Z:Z), "")</f>
        <v/>
      </c>
      <c r="C159" s="162"/>
      <c r="D159" s="148"/>
      <c r="E159" s="161"/>
      <c r="F159" s="146" t="str">
        <f>IF(E159&lt;&gt;"", SUMIF(Bets!$F:$F, E159, Bets!AB:AB), "")</f>
        <v/>
      </c>
      <c r="G159" s="162"/>
      <c r="H159" s="148"/>
      <c r="I159" s="161"/>
      <c r="J159" s="146" t="str">
        <f>IF(I159&lt;&gt;"", SUMIF(Bets!$F:$F, I159, Bets!AA:AA),)</f>
        <v/>
      </c>
      <c r="K159" s="162"/>
      <c r="L159" s="148"/>
      <c r="M159" s="161"/>
      <c r="N159" s="146"/>
      <c r="O159" s="162"/>
      <c r="P159" s="148"/>
      <c r="Q159" s="161"/>
      <c r="R159" s="146"/>
      <c r="S159" s="162"/>
      <c r="T159" s="148"/>
      <c r="U159" s="161"/>
      <c r="V159" s="146"/>
      <c r="W159" s="162"/>
      <c r="X159" s="148"/>
      <c r="Y159" s="161"/>
      <c r="Z159" s="146"/>
      <c r="AA159" s="162"/>
      <c r="AB159" s="148"/>
      <c r="AC159" s="161"/>
      <c r="AD159" s="146"/>
      <c r="AE159" s="162"/>
      <c r="AF159" s="148"/>
    </row>
    <row r="160">
      <c r="A160" s="161"/>
      <c r="B160" s="146" t="str">
        <f>IF(A160&lt;&gt;"", SUMIF(Bets!$F:$F, A160, Bets!Z:Z), "")</f>
        <v/>
      </c>
      <c r="C160" s="162"/>
      <c r="D160" s="148"/>
      <c r="E160" s="161"/>
      <c r="F160" s="146" t="str">
        <f>IF(E160&lt;&gt;"", SUMIF(Bets!$F:$F, E160, Bets!AB:AB), "")</f>
        <v/>
      </c>
      <c r="G160" s="162"/>
      <c r="H160" s="148"/>
      <c r="I160" s="161"/>
      <c r="J160" s="146" t="str">
        <f>IF(I160&lt;&gt;"", SUMIF(Bets!$F:$F, I160, Bets!AA:AA),)</f>
        <v/>
      </c>
      <c r="K160" s="162"/>
      <c r="L160" s="148"/>
      <c r="M160" s="161"/>
      <c r="N160" s="146"/>
      <c r="O160" s="162"/>
      <c r="P160" s="148"/>
      <c r="Q160" s="161"/>
      <c r="R160" s="146"/>
      <c r="S160" s="162"/>
      <c r="T160" s="148"/>
      <c r="U160" s="161"/>
      <c r="V160" s="146"/>
      <c r="W160" s="162"/>
      <c r="X160" s="148"/>
      <c r="Y160" s="161"/>
      <c r="Z160" s="146"/>
      <c r="AA160" s="162"/>
      <c r="AB160" s="148"/>
      <c r="AC160" s="161"/>
      <c r="AD160" s="146"/>
      <c r="AE160" s="162"/>
      <c r="AF160" s="148"/>
    </row>
    <row r="161">
      <c r="A161" s="161"/>
      <c r="B161" s="146" t="str">
        <f>IF(A161&lt;&gt;"", SUMIF(Bets!$F:$F, A161, Bets!Z:Z), "")</f>
        <v/>
      </c>
      <c r="C161" s="162"/>
      <c r="D161" s="148"/>
      <c r="E161" s="161"/>
      <c r="F161" s="146" t="str">
        <f>IF(E161&lt;&gt;"", SUMIF(Bets!$F:$F, E161, Bets!AB:AB), "")</f>
        <v/>
      </c>
      <c r="G161" s="162"/>
      <c r="H161" s="148"/>
      <c r="I161" s="161"/>
      <c r="J161" s="146" t="str">
        <f>IF(I161&lt;&gt;"", SUMIF(Bets!$F:$F, I161, Bets!AA:AA),)</f>
        <v/>
      </c>
      <c r="K161" s="162"/>
      <c r="L161" s="148"/>
      <c r="M161" s="161"/>
      <c r="N161" s="146"/>
      <c r="O161" s="162"/>
      <c r="P161" s="148"/>
      <c r="Q161" s="161"/>
      <c r="R161" s="146"/>
      <c r="S161" s="162"/>
      <c r="T161" s="148"/>
      <c r="U161" s="161"/>
      <c r="V161" s="146"/>
      <c r="W161" s="162"/>
      <c r="X161" s="148"/>
      <c r="Y161" s="161"/>
      <c r="Z161" s="146"/>
      <c r="AA161" s="162"/>
      <c r="AB161" s="148"/>
      <c r="AC161" s="161"/>
      <c r="AD161" s="146"/>
      <c r="AE161" s="162"/>
      <c r="AF161" s="148"/>
    </row>
    <row r="162">
      <c r="A162" s="161"/>
      <c r="B162" s="146" t="str">
        <f>IF(A162&lt;&gt;"", SUMIF(Bets!$F:$F, A162, Bets!Z:Z), "")</f>
        <v/>
      </c>
      <c r="C162" s="162"/>
      <c r="D162" s="148"/>
      <c r="E162" s="161"/>
      <c r="F162" s="146" t="str">
        <f>IF(E162&lt;&gt;"", SUMIF(Bets!$F:$F, E162, Bets!AB:AB), "")</f>
        <v/>
      </c>
      <c r="G162" s="162"/>
      <c r="H162" s="148"/>
      <c r="I162" s="161"/>
      <c r="J162" s="146" t="str">
        <f>IF(I162&lt;&gt;"", SUMIF(Bets!$F:$F, I162, Bets!AA:AA),)</f>
        <v/>
      </c>
      <c r="K162" s="162"/>
      <c r="L162" s="148"/>
      <c r="M162" s="161"/>
      <c r="N162" s="146"/>
      <c r="O162" s="162"/>
      <c r="P162" s="148"/>
      <c r="Q162" s="161"/>
      <c r="R162" s="146"/>
      <c r="S162" s="162"/>
      <c r="T162" s="148"/>
      <c r="U162" s="161"/>
      <c r="V162" s="146"/>
      <c r="W162" s="162"/>
      <c r="X162" s="148"/>
      <c r="Y162" s="161"/>
      <c r="Z162" s="146"/>
      <c r="AA162" s="162"/>
      <c r="AB162" s="148"/>
      <c r="AC162" s="161"/>
      <c r="AD162" s="146"/>
      <c r="AE162" s="162"/>
      <c r="AF162" s="148"/>
    </row>
    <row r="163">
      <c r="A163" s="161"/>
      <c r="B163" s="146" t="str">
        <f>IF(A163&lt;&gt;"", SUMIF(Bets!$F:$F, A163, Bets!Z:Z), "")</f>
        <v/>
      </c>
      <c r="C163" s="162"/>
      <c r="D163" s="148"/>
      <c r="E163" s="161"/>
      <c r="F163" s="146" t="str">
        <f>IF(E163&lt;&gt;"", SUMIF(Bets!$F:$F, E163, Bets!AB:AB), "")</f>
        <v/>
      </c>
      <c r="G163" s="162"/>
      <c r="H163" s="148"/>
      <c r="I163" s="161"/>
      <c r="J163" s="146" t="str">
        <f>IF(I163&lt;&gt;"", SUMIF(Bets!$F:$F, I163, Bets!AA:AA),)</f>
        <v/>
      </c>
      <c r="K163" s="162"/>
      <c r="L163" s="148"/>
      <c r="M163" s="161"/>
      <c r="N163" s="146"/>
      <c r="O163" s="162"/>
      <c r="P163" s="148"/>
      <c r="Q163" s="161"/>
      <c r="R163" s="146"/>
      <c r="S163" s="162"/>
      <c r="T163" s="148"/>
      <c r="U163" s="161"/>
      <c r="V163" s="146"/>
      <c r="W163" s="162"/>
      <c r="X163" s="148"/>
      <c r="Y163" s="161"/>
      <c r="Z163" s="146"/>
      <c r="AA163" s="162"/>
      <c r="AB163" s="148"/>
      <c r="AC163" s="161"/>
      <c r="AD163" s="146"/>
      <c r="AE163" s="162"/>
      <c r="AF163" s="148"/>
    </row>
    <row r="164">
      <c r="A164" s="161"/>
      <c r="B164" s="146" t="str">
        <f>IF(A164&lt;&gt;"", SUMIF(Bets!$F:$F, A164, Bets!Z:Z), "")</f>
        <v/>
      </c>
      <c r="C164" s="162"/>
      <c r="D164" s="148"/>
      <c r="E164" s="161"/>
      <c r="F164" s="146" t="str">
        <f>IF(E164&lt;&gt;"", SUMIF(Bets!$F:$F, E164, Bets!AB:AB), "")</f>
        <v/>
      </c>
      <c r="G164" s="162"/>
      <c r="H164" s="148"/>
      <c r="I164" s="161"/>
      <c r="J164" s="146" t="str">
        <f>IF(I164&lt;&gt;"", SUMIF(Bets!$F:$F, I164, Bets!AA:AA),)</f>
        <v/>
      </c>
      <c r="K164" s="162"/>
      <c r="L164" s="148"/>
      <c r="M164" s="161"/>
      <c r="N164" s="146"/>
      <c r="O164" s="162"/>
      <c r="P164" s="148"/>
      <c r="Q164" s="161"/>
      <c r="R164" s="146"/>
      <c r="S164" s="162"/>
      <c r="T164" s="148"/>
      <c r="U164" s="161"/>
      <c r="V164" s="146"/>
      <c r="W164" s="162"/>
      <c r="X164" s="148"/>
      <c r="Y164" s="161"/>
      <c r="Z164" s="146"/>
      <c r="AA164" s="162"/>
      <c r="AB164" s="148"/>
      <c r="AC164" s="161"/>
      <c r="AD164" s="146"/>
      <c r="AE164" s="162"/>
      <c r="AF164" s="148"/>
    </row>
    <row r="165">
      <c r="A165" s="161"/>
      <c r="B165" s="146" t="str">
        <f>IF(A165&lt;&gt;"", SUMIF(Bets!$F:$F, A165, Bets!Z:Z), "")</f>
        <v/>
      </c>
      <c r="C165" s="162"/>
      <c r="D165" s="148"/>
      <c r="E165" s="161"/>
      <c r="F165" s="146" t="str">
        <f>IF(E165&lt;&gt;"", SUMIF(Bets!$F:$F, E165, Bets!AB:AB), "")</f>
        <v/>
      </c>
      <c r="G165" s="162"/>
      <c r="H165" s="148"/>
      <c r="I165" s="161"/>
      <c r="J165" s="146" t="str">
        <f>IF(I165&lt;&gt;"", SUMIF(Bets!$F:$F, I165, Bets!AA:AA),)</f>
        <v/>
      </c>
      <c r="K165" s="162"/>
      <c r="L165" s="148"/>
      <c r="M165" s="161"/>
      <c r="N165" s="146"/>
      <c r="O165" s="162"/>
      <c r="P165" s="148"/>
      <c r="Q165" s="161"/>
      <c r="R165" s="146"/>
      <c r="S165" s="162"/>
      <c r="T165" s="148"/>
      <c r="U165" s="161"/>
      <c r="V165" s="146"/>
      <c r="W165" s="162"/>
      <c r="X165" s="148"/>
      <c r="Y165" s="161"/>
      <c r="Z165" s="146"/>
      <c r="AA165" s="162"/>
      <c r="AB165" s="148"/>
      <c r="AC165" s="161"/>
      <c r="AD165" s="146"/>
      <c r="AE165" s="162"/>
      <c r="AF165" s="148"/>
    </row>
    <row r="166">
      <c r="A166" s="161"/>
      <c r="B166" s="146" t="str">
        <f>IF(A166&lt;&gt;"", SUMIF(Bets!$F:$F, A166, Bets!Z:Z), "")</f>
        <v/>
      </c>
      <c r="C166" s="162"/>
      <c r="D166" s="148"/>
      <c r="E166" s="161"/>
      <c r="F166" s="146" t="str">
        <f>IF(E166&lt;&gt;"", SUMIF(Bets!$F:$F, E166, Bets!AB:AB), "")</f>
        <v/>
      </c>
      <c r="G166" s="162"/>
      <c r="H166" s="148"/>
      <c r="I166" s="161"/>
      <c r="J166" s="146" t="str">
        <f>IF(I166&lt;&gt;"", SUMIF(Bets!$F:$F, I166, Bets!AA:AA),)</f>
        <v/>
      </c>
      <c r="K166" s="162"/>
      <c r="L166" s="148"/>
      <c r="M166" s="161"/>
      <c r="N166" s="146"/>
      <c r="O166" s="162"/>
      <c r="P166" s="148"/>
      <c r="Q166" s="161"/>
      <c r="R166" s="146"/>
      <c r="S166" s="162"/>
      <c r="T166" s="148"/>
      <c r="U166" s="161"/>
      <c r="V166" s="146"/>
      <c r="W166" s="162"/>
      <c r="X166" s="148"/>
      <c r="Y166" s="161"/>
      <c r="Z166" s="146"/>
      <c r="AA166" s="162"/>
      <c r="AB166" s="148"/>
      <c r="AC166" s="161"/>
      <c r="AD166" s="146"/>
      <c r="AE166" s="162"/>
      <c r="AF166" s="148"/>
    </row>
    <row r="167">
      <c r="A167" s="161"/>
      <c r="B167" s="146" t="str">
        <f>IF(A167&lt;&gt;"", SUMIF(Bets!$F:$F, A167, Bets!Z:Z), "")</f>
        <v/>
      </c>
      <c r="C167" s="162"/>
      <c r="D167" s="148"/>
      <c r="E167" s="161"/>
      <c r="F167" s="146" t="str">
        <f>IF(E167&lt;&gt;"", SUMIF(Bets!$F:$F, E167, Bets!AB:AB), "")</f>
        <v/>
      </c>
      <c r="G167" s="162"/>
      <c r="H167" s="148"/>
      <c r="I167" s="161"/>
      <c r="J167" s="146" t="str">
        <f>IF(I167&lt;&gt;"", SUMIF(Bets!$F:$F, I167, Bets!AA:AA),)</f>
        <v/>
      </c>
      <c r="K167" s="162"/>
      <c r="L167" s="148"/>
      <c r="M167" s="161"/>
      <c r="N167" s="146"/>
      <c r="O167" s="162"/>
      <c r="P167" s="148"/>
      <c r="Q167" s="161"/>
      <c r="R167" s="146"/>
      <c r="S167" s="162"/>
      <c r="T167" s="148"/>
      <c r="U167" s="161"/>
      <c r="V167" s="146"/>
      <c r="W167" s="162"/>
      <c r="X167" s="148"/>
      <c r="Y167" s="161"/>
      <c r="Z167" s="146"/>
      <c r="AA167" s="162"/>
      <c r="AB167" s="148"/>
      <c r="AC167" s="161"/>
      <c r="AD167" s="146"/>
      <c r="AE167" s="162"/>
      <c r="AF167" s="148"/>
    </row>
    <row r="168">
      <c r="A168" s="161"/>
      <c r="B168" s="146" t="str">
        <f>IF(A168&lt;&gt;"", SUMIF(Bets!$F:$F, A168, Bets!Z:Z), "")</f>
        <v/>
      </c>
      <c r="C168" s="162"/>
      <c r="D168" s="148"/>
      <c r="E168" s="161"/>
      <c r="F168" s="146" t="str">
        <f>IF(E168&lt;&gt;"", SUMIF(Bets!$F:$F, E168, Bets!AB:AB), "")</f>
        <v/>
      </c>
      <c r="G168" s="162"/>
      <c r="H168" s="148"/>
      <c r="I168" s="161"/>
      <c r="J168" s="146" t="str">
        <f>IF(I168&lt;&gt;"", SUMIF(Bets!$F:$F, I168, Bets!AA:AA),)</f>
        <v/>
      </c>
      <c r="K168" s="162"/>
      <c r="L168" s="148"/>
      <c r="M168" s="161"/>
      <c r="N168" s="146"/>
      <c r="O168" s="162"/>
      <c r="P168" s="148"/>
      <c r="Q168" s="161"/>
      <c r="R168" s="146"/>
      <c r="S168" s="162"/>
      <c r="T168" s="148"/>
      <c r="U168" s="161"/>
      <c r="V168" s="146"/>
      <c r="W168" s="162"/>
      <c r="X168" s="148"/>
      <c r="Y168" s="161"/>
      <c r="Z168" s="146"/>
      <c r="AA168" s="162"/>
      <c r="AB168" s="148"/>
      <c r="AC168" s="161"/>
      <c r="AD168" s="146"/>
      <c r="AE168" s="162"/>
      <c r="AF168" s="148"/>
    </row>
    <row r="169">
      <c r="A169" s="161"/>
      <c r="B169" s="146" t="str">
        <f>IF(A169&lt;&gt;"", SUMIF(Bets!$F:$F, A169, Bets!Z:Z), "")</f>
        <v/>
      </c>
      <c r="C169" s="162"/>
      <c r="D169" s="148"/>
      <c r="E169" s="161"/>
      <c r="F169" s="146" t="str">
        <f>IF(E169&lt;&gt;"", SUMIF(Bets!$F:$F, E169, Bets!AB:AB), "")</f>
        <v/>
      </c>
      <c r="G169" s="162"/>
      <c r="H169" s="148"/>
      <c r="I169" s="161"/>
      <c r="J169" s="146" t="str">
        <f>IF(I169&lt;&gt;"", SUMIF(Bets!$F:$F, I169, Bets!AA:AA),)</f>
        <v/>
      </c>
      <c r="K169" s="162"/>
      <c r="L169" s="148"/>
      <c r="M169" s="161"/>
      <c r="N169" s="146"/>
      <c r="O169" s="162"/>
      <c r="P169" s="148"/>
      <c r="Q169" s="161"/>
      <c r="R169" s="146"/>
      <c r="S169" s="162"/>
      <c r="T169" s="148"/>
      <c r="U169" s="161"/>
      <c r="V169" s="146"/>
      <c r="W169" s="162"/>
      <c r="X169" s="148"/>
      <c r="Y169" s="161"/>
      <c r="Z169" s="146"/>
      <c r="AA169" s="162"/>
      <c r="AB169" s="148"/>
      <c r="AC169" s="161"/>
      <c r="AD169" s="146"/>
      <c r="AE169" s="162"/>
      <c r="AF169" s="148"/>
    </row>
    <row r="170">
      <c r="A170" s="161"/>
      <c r="B170" s="146" t="str">
        <f>IF(A170&lt;&gt;"", SUMIF(Bets!$F:$F, A170, Bets!Z:Z), "")</f>
        <v/>
      </c>
      <c r="C170" s="162"/>
      <c r="D170" s="148"/>
      <c r="E170" s="161"/>
      <c r="F170" s="146" t="str">
        <f>IF(E170&lt;&gt;"", SUMIF(Bets!$F:$F, E170, Bets!AB:AB), "")</f>
        <v/>
      </c>
      <c r="G170" s="162"/>
      <c r="H170" s="148"/>
      <c r="I170" s="161"/>
      <c r="J170" s="146" t="str">
        <f>IF(I170&lt;&gt;"", SUMIF(Bets!$F:$F, I170, Bets!AA:AA),)</f>
        <v/>
      </c>
      <c r="K170" s="162"/>
      <c r="L170" s="148"/>
      <c r="M170" s="161"/>
      <c r="N170" s="146"/>
      <c r="O170" s="162"/>
      <c r="P170" s="148"/>
      <c r="Q170" s="161"/>
      <c r="R170" s="146"/>
      <c r="S170" s="162"/>
      <c r="T170" s="148"/>
      <c r="U170" s="161"/>
      <c r="V170" s="146"/>
      <c r="W170" s="162"/>
      <c r="X170" s="148"/>
      <c r="Y170" s="161"/>
      <c r="Z170" s="146"/>
      <c r="AA170" s="162"/>
      <c r="AB170" s="148"/>
      <c r="AC170" s="161"/>
      <c r="AD170" s="146"/>
      <c r="AE170" s="162"/>
      <c r="AF170" s="148"/>
    </row>
    <row r="171">
      <c r="A171" s="161"/>
      <c r="B171" s="146" t="str">
        <f>IF(A171&lt;&gt;"", SUMIF(Bets!$F:$F, A171, Bets!Z:Z), "")</f>
        <v/>
      </c>
      <c r="C171" s="162"/>
      <c r="D171" s="148"/>
      <c r="E171" s="161"/>
      <c r="F171" s="146" t="str">
        <f>IF(E171&lt;&gt;"", SUMIF(Bets!$F:$F, E171, Bets!AB:AB), "")</f>
        <v/>
      </c>
      <c r="G171" s="162"/>
      <c r="H171" s="148"/>
      <c r="I171" s="161"/>
      <c r="J171" s="146" t="str">
        <f>IF(I171&lt;&gt;"", SUMIF(Bets!$F:$F, I171, Bets!AA:AA),)</f>
        <v/>
      </c>
      <c r="K171" s="162"/>
      <c r="L171" s="148"/>
      <c r="M171" s="161"/>
      <c r="N171" s="146"/>
      <c r="O171" s="162"/>
      <c r="P171" s="148"/>
      <c r="Q171" s="161"/>
      <c r="R171" s="146"/>
      <c r="S171" s="162"/>
      <c r="T171" s="148"/>
      <c r="U171" s="161"/>
      <c r="V171" s="146"/>
      <c r="W171" s="162"/>
      <c r="X171" s="148"/>
      <c r="Y171" s="161"/>
      <c r="Z171" s="146"/>
      <c r="AA171" s="162"/>
      <c r="AB171" s="148"/>
      <c r="AC171" s="161"/>
      <c r="AD171" s="146"/>
      <c r="AE171" s="162"/>
      <c r="AF171" s="148"/>
    </row>
    <row r="172">
      <c r="A172" s="161"/>
      <c r="B172" s="146" t="str">
        <f>IF(A172&lt;&gt;"", SUMIF(Bets!$F:$F, A172, Bets!Z:Z), "")</f>
        <v/>
      </c>
      <c r="C172" s="162"/>
      <c r="D172" s="148"/>
      <c r="E172" s="161"/>
      <c r="F172" s="146" t="str">
        <f>IF(E172&lt;&gt;"", SUMIF(Bets!$F:$F, E172, Bets!AB:AB), "")</f>
        <v/>
      </c>
      <c r="G172" s="162"/>
      <c r="H172" s="148"/>
      <c r="I172" s="161"/>
      <c r="J172" s="146" t="str">
        <f>IF(I172&lt;&gt;"", SUMIF(Bets!$F:$F, I172, Bets!AA:AA),)</f>
        <v/>
      </c>
      <c r="K172" s="162"/>
      <c r="L172" s="148"/>
      <c r="M172" s="161"/>
      <c r="N172" s="146"/>
      <c r="O172" s="162"/>
      <c r="P172" s="148"/>
      <c r="Q172" s="161"/>
      <c r="R172" s="146"/>
      <c r="S172" s="162"/>
      <c r="T172" s="148"/>
      <c r="U172" s="161"/>
      <c r="V172" s="146"/>
      <c r="W172" s="162"/>
      <c r="X172" s="148"/>
      <c r="Y172" s="161"/>
      <c r="Z172" s="146"/>
      <c r="AA172" s="162"/>
      <c r="AB172" s="148"/>
      <c r="AC172" s="161"/>
      <c r="AD172" s="146"/>
      <c r="AE172" s="162"/>
      <c r="AF172" s="148"/>
    </row>
    <row r="173">
      <c r="A173" s="161"/>
      <c r="B173" s="146" t="str">
        <f>IF(A173&lt;&gt;"", SUMIF(Bets!$F:$F, A173, Bets!Z:Z), "")</f>
        <v/>
      </c>
      <c r="C173" s="162"/>
      <c r="D173" s="148"/>
      <c r="E173" s="161"/>
      <c r="F173" s="146" t="str">
        <f>IF(E173&lt;&gt;"", SUMIF(Bets!$F:$F, E173, Bets!AB:AB), "")</f>
        <v/>
      </c>
      <c r="G173" s="162"/>
      <c r="H173" s="148"/>
      <c r="I173" s="161"/>
      <c r="J173" s="146" t="str">
        <f>IF(I173&lt;&gt;"", SUMIF(Bets!$F:$F, I173, Bets!AA:AA),)</f>
        <v/>
      </c>
      <c r="K173" s="162"/>
      <c r="L173" s="148"/>
      <c r="M173" s="161"/>
      <c r="N173" s="146"/>
      <c r="O173" s="162"/>
      <c r="P173" s="148"/>
      <c r="Q173" s="161"/>
      <c r="R173" s="146"/>
      <c r="S173" s="162"/>
      <c r="T173" s="148"/>
      <c r="U173" s="161"/>
      <c r="V173" s="146"/>
      <c r="W173" s="162"/>
      <c r="X173" s="148"/>
      <c r="Y173" s="161"/>
      <c r="Z173" s="146"/>
      <c r="AA173" s="162"/>
      <c r="AB173" s="148"/>
      <c r="AC173" s="161"/>
      <c r="AD173" s="146"/>
      <c r="AE173" s="162"/>
      <c r="AF173" s="148"/>
    </row>
    <row r="174">
      <c r="A174" s="161"/>
      <c r="B174" s="146" t="str">
        <f>IF(A174&lt;&gt;"", SUMIF(Bets!$F:$F, A174, Bets!Z:Z), "")</f>
        <v/>
      </c>
      <c r="C174" s="162"/>
      <c r="D174" s="148"/>
      <c r="E174" s="161"/>
      <c r="F174" s="146" t="str">
        <f>IF(E174&lt;&gt;"", SUMIF(Bets!$F:$F, E174, Bets!AB:AB), "")</f>
        <v/>
      </c>
      <c r="G174" s="162"/>
      <c r="H174" s="148"/>
      <c r="I174" s="161"/>
      <c r="J174" s="146" t="str">
        <f>IF(I174&lt;&gt;"", SUMIF(Bets!$F:$F, I174, Bets!AA:AA),)</f>
        <v/>
      </c>
      <c r="K174" s="162"/>
      <c r="L174" s="148"/>
      <c r="M174" s="161"/>
      <c r="N174" s="146"/>
      <c r="O174" s="162"/>
      <c r="P174" s="148"/>
      <c r="Q174" s="161"/>
      <c r="R174" s="146"/>
      <c r="S174" s="162"/>
      <c r="T174" s="148"/>
      <c r="U174" s="161"/>
      <c r="V174" s="146"/>
      <c r="W174" s="162"/>
      <c r="X174" s="148"/>
      <c r="Y174" s="161"/>
      <c r="Z174" s="146"/>
      <c r="AA174" s="162"/>
      <c r="AB174" s="148"/>
      <c r="AC174" s="161"/>
      <c r="AD174" s="146"/>
      <c r="AE174" s="162"/>
      <c r="AF174" s="148"/>
    </row>
    <row r="175">
      <c r="A175" s="161"/>
      <c r="B175" s="146" t="str">
        <f>IF(A175&lt;&gt;"", SUMIF(Bets!$F:$F, A175, Bets!Z:Z), "")</f>
        <v/>
      </c>
      <c r="C175" s="162"/>
      <c r="D175" s="148"/>
      <c r="E175" s="161"/>
      <c r="F175" s="146" t="str">
        <f>IF(E175&lt;&gt;"", SUMIF(Bets!$F:$F, E175, Bets!AB:AB), "")</f>
        <v/>
      </c>
      <c r="G175" s="162"/>
      <c r="H175" s="148"/>
      <c r="I175" s="161"/>
      <c r="J175" s="146" t="str">
        <f>IF(I175&lt;&gt;"", SUMIF(Bets!$F:$F, I175, Bets!AA:AA),)</f>
        <v/>
      </c>
      <c r="K175" s="162"/>
      <c r="L175" s="148"/>
      <c r="M175" s="161"/>
      <c r="N175" s="146"/>
      <c r="O175" s="162"/>
      <c r="P175" s="148"/>
      <c r="Q175" s="161"/>
      <c r="R175" s="146"/>
      <c r="S175" s="162"/>
      <c r="T175" s="148"/>
      <c r="U175" s="161"/>
      <c r="V175" s="146"/>
      <c r="W175" s="162"/>
      <c r="X175" s="148"/>
      <c r="Y175" s="161"/>
      <c r="Z175" s="146"/>
      <c r="AA175" s="162"/>
      <c r="AB175" s="148"/>
      <c r="AC175" s="161"/>
      <c r="AD175" s="146"/>
      <c r="AE175" s="162"/>
      <c r="AF175" s="148"/>
    </row>
    <row r="176">
      <c r="A176" s="161"/>
      <c r="B176" s="146" t="str">
        <f>IF(A176&lt;&gt;"", SUMIF(Bets!$F:$F, A176, Bets!Z:Z), "")</f>
        <v/>
      </c>
      <c r="C176" s="162"/>
      <c r="D176" s="148"/>
      <c r="E176" s="161"/>
      <c r="F176" s="146" t="str">
        <f>IF(E176&lt;&gt;"", SUMIF(Bets!$F:$F, E176, Bets!AB:AB), "")</f>
        <v/>
      </c>
      <c r="G176" s="162"/>
      <c r="H176" s="148"/>
      <c r="I176" s="161"/>
      <c r="J176" s="146" t="str">
        <f>IF(I176&lt;&gt;"", SUMIF(Bets!$F:$F, I176, Bets!AA:AA),)</f>
        <v/>
      </c>
      <c r="K176" s="162"/>
      <c r="L176" s="148"/>
      <c r="M176" s="161"/>
      <c r="N176" s="146"/>
      <c r="O176" s="162"/>
      <c r="P176" s="148"/>
      <c r="Q176" s="161"/>
      <c r="R176" s="146"/>
      <c r="S176" s="162"/>
      <c r="T176" s="148"/>
      <c r="U176" s="161"/>
      <c r="V176" s="146"/>
      <c r="W176" s="162"/>
      <c r="X176" s="148"/>
      <c r="Y176" s="161"/>
      <c r="Z176" s="146"/>
      <c r="AA176" s="162"/>
      <c r="AB176" s="148"/>
      <c r="AC176" s="161"/>
      <c r="AD176" s="146"/>
      <c r="AE176" s="162"/>
      <c r="AF176" s="148"/>
    </row>
    <row r="177">
      <c r="A177" s="161"/>
      <c r="B177" s="146" t="str">
        <f>IF(A177&lt;&gt;"", SUMIF(Bets!$F:$F, A177, Bets!Z:Z), "")</f>
        <v/>
      </c>
      <c r="C177" s="162"/>
      <c r="D177" s="148"/>
      <c r="E177" s="161"/>
      <c r="F177" s="146" t="str">
        <f>IF(E177&lt;&gt;"", SUMIF(Bets!$F:$F, E177, Bets!AB:AB), "")</f>
        <v/>
      </c>
      <c r="G177" s="162"/>
      <c r="H177" s="148"/>
      <c r="I177" s="161"/>
      <c r="J177" s="146" t="str">
        <f>IF(I177&lt;&gt;"", SUMIF(Bets!$F:$F, I177, Bets!AA:AA),)</f>
        <v/>
      </c>
      <c r="K177" s="162"/>
      <c r="L177" s="148"/>
      <c r="M177" s="161"/>
      <c r="N177" s="146"/>
      <c r="O177" s="162"/>
      <c r="P177" s="148"/>
      <c r="Q177" s="161"/>
      <c r="R177" s="146"/>
      <c r="S177" s="162"/>
      <c r="T177" s="148"/>
      <c r="U177" s="161"/>
      <c r="V177" s="146"/>
      <c r="W177" s="162"/>
      <c r="X177" s="148"/>
      <c r="Y177" s="161"/>
      <c r="Z177" s="146"/>
      <c r="AA177" s="162"/>
      <c r="AB177" s="148"/>
      <c r="AC177" s="161"/>
      <c r="AD177" s="146"/>
      <c r="AE177" s="162"/>
      <c r="AF177" s="148"/>
    </row>
    <row r="178">
      <c r="A178" s="161"/>
      <c r="B178" s="146" t="str">
        <f>IF(A178&lt;&gt;"", SUMIF(Bets!$F:$F, A178, Bets!Z:Z), "")</f>
        <v/>
      </c>
      <c r="C178" s="162"/>
      <c r="D178" s="148"/>
      <c r="E178" s="161"/>
      <c r="F178" s="146" t="str">
        <f>IF(E178&lt;&gt;"", SUMIF(Bets!$F:$F, E178, Bets!AB:AB), "")</f>
        <v/>
      </c>
      <c r="G178" s="162"/>
      <c r="H178" s="148"/>
      <c r="I178" s="161"/>
      <c r="J178" s="146" t="str">
        <f>IF(I178&lt;&gt;"", SUMIF(Bets!$F:$F, I178, Bets!AA:AA),)</f>
        <v/>
      </c>
      <c r="K178" s="162"/>
      <c r="L178" s="148"/>
      <c r="M178" s="161"/>
      <c r="N178" s="146"/>
      <c r="O178" s="162"/>
      <c r="P178" s="148"/>
      <c r="Q178" s="161"/>
      <c r="R178" s="146"/>
      <c r="S178" s="162"/>
      <c r="T178" s="148"/>
      <c r="U178" s="161"/>
      <c r="V178" s="146"/>
      <c r="W178" s="162"/>
      <c r="X178" s="148"/>
      <c r="Y178" s="161"/>
      <c r="Z178" s="146"/>
      <c r="AA178" s="162"/>
      <c r="AB178" s="148"/>
      <c r="AC178" s="161"/>
      <c r="AD178" s="146"/>
      <c r="AE178" s="162"/>
      <c r="AF178" s="148"/>
    </row>
    <row r="179">
      <c r="A179" s="161"/>
      <c r="B179" s="146" t="str">
        <f>IF(A179&lt;&gt;"", SUMIF(Bets!$F:$F, A179, Bets!Z:Z), "")</f>
        <v/>
      </c>
      <c r="C179" s="162"/>
      <c r="D179" s="148"/>
      <c r="E179" s="161"/>
      <c r="F179" s="146" t="str">
        <f>IF(E179&lt;&gt;"", SUMIF(Bets!$F:$F, E179, Bets!AB:AB), "")</f>
        <v/>
      </c>
      <c r="G179" s="162"/>
      <c r="H179" s="148"/>
      <c r="I179" s="161"/>
      <c r="J179" s="146" t="str">
        <f>IF(I179&lt;&gt;"", SUMIF(Bets!$F:$F, I179, Bets!AA:AA),)</f>
        <v/>
      </c>
      <c r="K179" s="162"/>
      <c r="L179" s="148"/>
      <c r="M179" s="161"/>
      <c r="N179" s="146"/>
      <c r="O179" s="162"/>
      <c r="P179" s="148"/>
      <c r="Q179" s="161"/>
      <c r="R179" s="146"/>
      <c r="S179" s="162"/>
      <c r="T179" s="148"/>
      <c r="U179" s="161"/>
      <c r="V179" s="146"/>
      <c r="W179" s="162"/>
      <c r="X179" s="148"/>
      <c r="Y179" s="161"/>
      <c r="Z179" s="146"/>
      <c r="AA179" s="162"/>
      <c r="AB179" s="148"/>
      <c r="AC179" s="161"/>
      <c r="AD179" s="146"/>
      <c r="AE179" s="162"/>
      <c r="AF179" s="148"/>
    </row>
    <row r="180">
      <c r="A180" s="161"/>
      <c r="B180" s="146" t="str">
        <f>IF(A180&lt;&gt;"", SUMIF(Bets!$F:$F, A180, Bets!Z:Z), "")</f>
        <v/>
      </c>
      <c r="C180" s="162"/>
      <c r="D180" s="148"/>
      <c r="E180" s="161"/>
      <c r="F180" s="146" t="str">
        <f>IF(E180&lt;&gt;"", SUMIF(Bets!$F:$F, E180, Bets!AB:AB), "")</f>
        <v/>
      </c>
      <c r="G180" s="162"/>
      <c r="H180" s="148"/>
      <c r="I180" s="161"/>
      <c r="J180" s="146" t="str">
        <f>IF(I180&lt;&gt;"", SUMIF(Bets!$F:$F, I180, Bets!AA:AA),)</f>
        <v/>
      </c>
      <c r="K180" s="162"/>
      <c r="L180" s="148"/>
      <c r="M180" s="161"/>
      <c r="N180" s="146"/>
      <c r="O180" s="162"/>
      <c r="P180" s="148"/>
      <c r="Q180" s="161"/>
      <c r="R180" s="146"/>
      <c r="S180" s="162"/>
      <c r="T180" s="148"/>
      <c r="U180" s="161"/>
      <c r="V180" s="146"/>
      <c r="W180" s="162"/>
      <c r="X180" s="148"/>
      <c r="Y180" s="161"/>
      <c r="Z180" s="146"/>
      <c r="AA180" s="162"/>
      <c r="AB180" s="148"/>
      <c r="AC180" s="161"/>
      <c r="AD180" s="146"/>
      <c r="AE180" s="162"/>
      <c r="AF180" s="148"/>
    </row>
    <row r="181">
      <c r="A181" s="161"/>
      <c r="B181" s="146" t="str">
        <f>IF(A181&lt;&gt;"", SUMIF(Bets!$F:$F, A181, Bets!Z:Z), "")</f>
        <v/>
      </c>
      <c r="C181" s="162"/>
      <c r="D181" s="148"/>
      <c r="E181" s="161"/>
      <c r="F181" s="146" t="str">
        <f>IF(E181&lt;&gt;"", SUMIF(Bets!$F:$F, E181, Bets!AB:AB), "")</f>
        <v/>
      </c>
      <c r="G181" s="162"/>
      <c r="H181" s="148"/>
      <c r="I181" s="161"/>
      <c r="J181" s="146" t="str">
        <f>IF(I181&lt;&gt;"", SUMIF(Bets!$F:$F, I181, Bets!AA:AA),)</f>
        <v/>
      </c>
      <c r="K181" s="162"/>
      <c r="L181" s="148"/>
      <c r="M181" s="161"/>
      <c r="N181" s="146"/>
      <c r="O181" s="162"/>
      <c r="P181" s="148"/>
      <c r="Q181" s="161"/>
      <c r="R181" s="146"/>
      <c r="S181" s="162"/>
      <c r="T181" s="148"/>
      <c r="U181" s="161"/>
      <c r="V181" s="146"/>
      <c r="W181" s="162"/>
      <c r="X181" s="148"/>
      <c r="Y181" s="161"/>
      <c r="Z181" s="146"/>
      <c r="AA181" s="162"/>
      <c r="AB181" s="148"/>
      <c r="AC181" s="161"/>
      <c r="AD181" s="146"/>
      <c r="AE181" s="162"/>
      <c r="AF181" s="148"/>
    </row>
    <row r="182">
      <c r="A182" s="161"/>
      <c r="B182" s="146" t="str">
        <f>IF(A182&lt;&gt;"", SUMIF(Bets!$F:$F, A182, Bets!Z:Z), "")</f>
        <v/>
      </c>
      <c r="C182" s="162"/>
      <c r="D182" s="148"/>
      <c r="E182" s="161"/>
      <c r="F182" s="146" t="str">
        <f>IF(E182&lt;&gt;"", SUMIF(Bets!$F:$F, E182, Bets!AB:AB), "")</f>
        <v/>
      </c>
      <c r="G182" s="162"/>
      <c r="H182" s="148"/>
      <c r="I182" s="161"/>
      <c r="J182" s="146" t="str">
        <f>IF(I182&lt;&gt;"", SUMIF(Bets!$F:$F, I182, Bets!AA:AA),)</f>
        <v/>
      </c>
      <c r="K182" s="162"/>
      <c r="L182" s="148"/>
      <c r="M182" s="161"/>
      <c r="N182" s="146"/>
      <c r="O182" s="162"/>
      <c r="P182" s="148"/>
      <c r="Q182" s="161"/>
      <c r="R182" s="146"/>
      <c r="S182" s="162"/>
      <c r="T182" s="148"/>
      <c r="U182" s="161"/>
      <c r="V182" s="146"/>
      <c r="W182" s="162"/>
      <c r="X182" s="148"/>
      <c r="Y182" s="161"/>
      <c r="Z182" s="146"/>
      <c r="AA182" s="162"/>
      <c r="AB182" s="148"/>
      <c r="AC182" s="161"/>
      <c r="AD182" s="146"/>
      <c r="AE182" s="162"/>
      <c r="AF182" s="148"/>
    </row>
    <row r="183">
      <c r="A183" s="161"/>
      <c r="B183" s="146" t="str">
        <f>IF(A183&lt;&gt;"", SUMIF(Bets!$F:$F, A183, Bets!Z:Z), "")</f>
        <v/>
      </c>
      <c r="C183" s="162"/>
      <c r="D183" s="148"/>
      <c r="E183" s="161"/>
      <c r="F183" s="146" t="str">
        <f>IF(E183&lt;&gt;"", SUMIF(Bets!$F:$F, E183, Bets!AB:AB), "")</f>
        <v/>
      </c>
      <c r="G183" s="162"/>
      <c r="H183" s="148"/>
      <c r="I183" s="161"/>
      <c r="J183" s="146" t="str">
        <f>IF(I183&lt;&gt;"", SUMIF(Bets!$F:$F, I183, Bets!AA:AA),)</f>
        <v/>
      </c>
      <c r="K183" s="162"/>
      <c r="L183" s="148"/>
      <c r="M183" s="161"/>
      <c r="N183" s="146"/>
      <c r="O183" s="162"/>
      <c r="P183" s="148"/>
      <c r="Q183" s="161"/>
      <c r="R183" s="146"/>
      <c r="S183" s="162"/>
      <c r="T183" s="148"/>
      <c r="U183" s="161"/>
      <c r="V183" s="146"/>
      <c r="W183" s="162"/>
      <c r="X183" s="148"/>
      <c r="Y183" s="161"/>
      <c r="Z183" s="146"/>
      <c r="AA183" s="162"/>
      <c r="AB183" s="148"/>
      <c r="AC183" s="161"/>
      <c r="AD183" s="146"/>
      <c r="AE183" s="162"/>
      <c r="AF183" s="148"/>
    </row>
    <row r="184">
      <c r="A184" s="161"/>
      <c r="B184" s="146" t="str">
        <f>IF(A184&lt;&gt;"", SUMIF(Bets!$F:$F, A184, Bets!Z:Z), "")</f>
        <v/>
      </c>
      <c r="C184" s="162"/>
      <c r="D184" s="148"/>
      <c r="E184" s="161"/>
      <c r="F184" s="146" t="str">
        <f>IF(E184&lt;&gt;"", SUMIF(Bets!$F:$F, E184, Bets!AB:AB), "")</f>
        <v/>
      </c>
      <c r="G184" s="162"/>
      <c r="H184" s="148"/>
      <c r="I184" s="161"/>
      <c r="J184" s="146" t="str">
        <f>IF(I184&lt;&gt;"", SUMIF(Bets!$F:$F, I184, Bets!AA:AA),)</f>
        <v/>
      </c>
      <c r="K184" s="162"/>
      <c r="L184" s="148"/>
      <c r="M184" s="161"/>
      <c r="N184" s="146"/>
      <c r="O184" s="162"/>
      <c r="P184" s="148"/>
      <c r="Q184" s="161"/>
      <c r="R184" s="146"/>
      <c r="S184" s="162"/>
      <c r="T184" s="148"/>
      <c r="U184" s="161"/>
      <c r="V184" s="146"/>
      <c r="W184" s="162"/>
      <c r="X184" s="148"/>
      <c r="Y184" s="161"/>
      <c r="Z184" s="146"/>
      <c r="AA184" s="162"/>
      <c r="AB184" s="148"/>
      <c r="AC184" s="161"/>
      <c r="AD184" s="146"/>
      <c r="AE184" s="162"/>
      <c r="AF184" s="148"/>
    </row>
    <row r="185">
      <c r="A185" s="161"/>
      <c r="B185" s="146" t="str">
        <f>IF(A185&lt;&gt;"", SUMIF(Bets!$F:$F, A185, Bets!Z:Z), "")</f>
        <v/>
      </c>
      <c r="C185" s="162"/>
      <c r="D185" s="148"/>
      <c r="E185" s="161"/>
      <c r="F185" s="146" t="str">
        <f>IF(E185&lt;&gt;"", SUMIF(Bets!$F:$F, E185, Bets!AB:AB), "")</f>
        <v/>
      </c>
      <c r="G185" s="162"/>
      <c r="H185" s="148"/>
      <c r="I185" s="161"/>
      <c r="J185" s="146" t="str">
        <f>IF(I185&lt;&gt;"", SUMIF(Bets!$F:$F, I185, Bets!AA:AA),)</f>
        <v/>
      </c>
      <c r="K185" s="162"/>
      <c r="L185" s="148"/>
      <c r="M185" s="161"/>
      <c r="N185" s="146"/>
      <c r="O185" s="162"/>
      <c r="P185" s="148"/>
      <c r="Q185" s="161"/>
      <c r="R185" s="146"/>
      <c r="S185" s="162"/>
      <c r="T185" s="148"/>
      <c r="U185" s="161"/>
      <c r="V185" s="146"/>
      <c r="W185" s="162"/>
      <c r="X185" s="148"/>
      <c r="Y185" s="161"/>
      <c r="Z185" s="146"/>
      <c r="AA185" s="162"/>
      <c r="AB185" s="148"/>
      <c r="AC185" s="161"/>
      <c r="AD185" s="146"/>
      <c r="AE185" s="162"/>
      <c r="AF185" s="148"/>
    </row>
    <row r="186">
      <c r="A186" s="161"/>
      <c r="B186" s="146" t="str">
        <f>IF(A186&lt;&gt;"", SUMIF(Bets!$F:$F, A186, Bets!Z:Z), "")</f>
        <v/>
      </c>
      <c r="C186" s="162"/>
      <c r="D186" s="148"/>
      <c r="E186" s="161"/>
      <c r="F186" s="146" t="str">
        <f>IF(E186&lt;&gt;"", SUMIF(Bets!$F:$F, E186, Bets!AB:AB), "")</f>
        <v/>
      </c>
      <c r="G186" s="162"/>
      <c r="H186" s="148"/>
      <c r="I186" s="161"/>
      <c r="J186" s="146" t="str">
        <f>IF(I186&lt;&gt;"", SUMIF(Bets!$F:$F, I186, Bets!AA:AA),)</f>
        <v/>
      </c>
      <c r="K186" s="162"/>
      <c r="L186" s="148"/>
      <c r="M186" s="161"/>
      <c r="N186" s="146"/>
      <c r="O186" s="162"/>
      <c r="P186" s="148"/>
      <c r="Q186" s="161"/>
      <c r="R186" s="146"/>
      <c r="S186" s="162"/>
      <c r="T186" s="148"/>
      <c r="U186" s="161"/>
      <c r="V186" s="146"/>
      <c r="W186" s="162"/>
      <c r="X186" s="148"/>
      <c r="Y186" s="161"/>
      <c r="Z186" s="146"/>
      <c r="AA186" s="162"/>
      <c r="AB186" s="148"/>
      <c r="AC186" s="161"/>
      <c r="AD186" s="146"/>
      <c r="AE186" s="162"/>
      <c r="AF186" s="148"/>
    </row>
    <row r="187">
      <c r="A187" s="161"/>
      <c r="B187" s="146" t="str">
        <f>IF(A187&lt;&gt;"", SUMIF(Bets!$F:$F, A187, Bets!Z:Z), "")</f>
        <v/>
      </c>
      <c r="C187" s="162"/>
      <c r="D187" s="148"/>
      <c r="E187" s="161"/>
      <c r="F187" s="146" t="str">
        <f>IF(E187&lt;&gt;"", SUMIF(Bets!$F:$F, E187, Bets!AB:AB), "")</f>
        <v/>
      </c>
      <c r="G187" s="162"/>
      <c r="H187" s="148"/>
      <c r="I187" s="161"/>
      <c r="J187" s="146" t="str">
        <f>IF(I187&lt;&gt;"", SUMIF(Bets!$F:$F, I187, Bets!AA:AA),)</f>
        <v/>
      </c>
      <c r="K187" s="162"/>
      <c r="L187" s="148"/>
      <c r="M187" s="161"/>
      <c r="N187" s="146"/>
      <c r="O187" s="162"/>
      <c r="P187" s="148"/>
      <c r="Q187" s="161"/>
      <c r="R187" s="146"/>
      <c r="S187" s="162"/>
      <c r="T187" s="148"/>
      <c r="U187" s="161"/>
      <c r="V187" s="146"/>
      <c r="W187" s="162"/>
      <c r="X187" s="148"/>
      <c r="Y187" s="161"/>
      <c r="Z187" s="146"/>
      <c r="AA187" s="162"/>
      <c r="AB187" s="148"/>
      <c r="AC187" s="161"/>
      <c r="AD187" s="146"/>
      <c r="AE187" s="162"/>
      <c r="AF187" s="148"/>
    </row>
    <row r="188">
      <c r="A188" s="161"/>
      <c r="B188" s="146" t="str">
        <f>IF(A188&lt;&gt;"", SUMIF(Bets!$F:$F, A188, Bets!Z:Z), "")</f>
        <v/>
      </c>
      <c r="C188" s="162"/>
      <c r="D188" s="148"/>
      <c r="E188" s="161"/>
      <c r="F188" s="146" t="str">
        <f>IF(E188&lt;&gt;"", SUMIF(Bets!$F:$F, E188, Bets!AB:AB), "")</f>
        <v/>
      </c>
      <c r="G188" s="162"/>
      <c r="H188" s="148"/>
      <c r="I188" s="161"/>
      <c r="J188" s="146" t="str">
        <f>IF(I188&lt;&gt;"", SUMIF(Bets!$F:$F, I188, Bets!AA:AA),)</f>
        <v/>
      </c>
      <c r="K188" s="162"/>
      <c r="L188" s="148"/>
      <c r="M188" s="161"/>
      <c r="N188" s="146"/>
      <c r="O188" s="162"/>
      <c r="P188" s="148"/>
      <c r="Q188" s="161"/>
      <c r="R188" s="146"/>
      <c r="S188" s="162"/>
      <c r="T188" s="148"/>
      <c r="U188" s="161"/>
      <c r="V188" s="146"/>
      <c r="W188" s="162"/>
      <c r="X188" s="148"/>
      <c r="Y188" s="161"/>
      <c r="Z188" s="146"/>
      <c r="AA188" s="162"/>
      <c r="AB188" s="148"/>
      <c r="AC188" s="161"/>
      <c r="AD188" s="146"/>
      <c r="AE188" s="162"/>
      <c r="AF188" s="148"/>
    </row>
    <row r="189">
      <c r="A189" s="161"/>
      <c r="B189" s="146" t="str">
        <f>IF(A189&lt;&gt;"", SUMIF(Bets!$F:$F, A189, Bets!Z:Z), "")</f>
        <v/>
      </c>
      <c r="C189" s="162"/>
      <c r="D189" s="148"/>
      <c r="E189" s="161"/>
      <c r="F189" s="146" t="str">
        <f>IF(E189&lt;&gt;"", SUMIF(Bets!$F:$F, E189, Bets!AB:AB), "")</f>
        <v/>
      </c>
      <c r="G189" s="162"/>
      <c r="H189" s="148"/>
      <c r="I189" s="161"/>
      <c r="J189" s="146" t="str">
        <f>IF(I189&lt;&gt;"", SUMIF(Bets!$F:$F, I189, Bets!AA:AA),)</f>
        <v/>
      </c>
      <c r="K189" s="162"/>
      <c r="L189" s="148"/>
      <c r="M189" s="161"/>
      <c r="N189" s="146"/>
      <c r="O189" s="162"/>
      <c r="P189" s="148"/>
      <c r="Q189" s="161"/>
      <c r="R189" s="146"/>
      <c r="S189" s="162"/>
      <c r="T189" s="148"/>
      <c r="U189" s="161"/>
      <c r="V189" s="146"/>
      <c r="W189" s="162"/>
      <c r="X189" s="148"/>
      <c r="Y189" s="161"/>
      <c r="Z189" s="146"/>
      <c r="AA189" s="162"/>
      <c r="AB189" s="148"/>
      <c r="AC189" s="161"/>
      <c r="AD189" s="146"/>
      <c r="AE189" s="162"/>
      <c r="AF189" s="148"/>
    </row>
    <row r="190">
      <c r="A190" s="161"/>
      <c r="B190" s="146" t="str">
        <f>IF(A190&lt;&gt;"", SUMIF(Bets!$F:$F, A190, Bets!Z:Z), "")</f>
        <v/>
      </c>
      <c r="C190" s="162"/>
      <c r="D190" s="148"/>
      <c r="E190" s="161"/>
      <c r="F190" s="146" t="str">
        <f>IF(E190&lt;&gt;"", SUMIF(Bets!$F:$F, E190, Bets!AB:AB), "")</f>
        <v/>
      </c>
      <c r="G190" s="162"/>
      <c r="H190" s="148"/>
      <c r="I190" s="161"/>
      <c r="J190" s="146" t="str">
        <f>IF(I190&lt;&gt;"", SUMIF(Bets!$F:$F, I190, Bets!AA:AA),)</f>
        <v/>
      </c>
      <c r="K190" s="162"/>
      <c r="L190" s="148"/>
      <c r="M190" s="161"/>
      <c r="N190" s="146"/>
      <c r="O190" s="162"/>
      <c r="P190" s="148"/>
      <c r="Q190" s="161"/>
      <c r="R190" s="146"/>
      <c r="S190" s="162"/>
      <c r="T190" s="148"/>
      <c r="U190" s="161"/>
      <c r="V190" s="146"/>
      <c r="W190" s="162"/>
      <c r="X190" s="148"/>
      <c r="Y190" s="161"/>
      <c r="Z190" s="146"/>
      <c r="AA190" s="162"/>
      <c r="AB190" s="148"/>
      <c r="AC190" s="161"/>
      <c r="AD190" s="146"/>
      <c r="AE190" s="162"/>
      <c r="AF190" s="148"/>
    </row>
    <row r="191">
      <c r="A191" s="161"/>
      <c r="B191" s="146" t="str">
        <f>IF(A191&lt;&gt;"", SUMIF(Bets!$F:$F, A191, Bets!Z:Z), "")</f>
        <v/>
      </c>
      <c r="C191" s="162"/>
      <c r="D191" s="148"/>
      <c r="E191" s="161"/>
      <c r="F191" s="146" t="str">
        <f>IF(E191&lt;&gt;"", SUMIF(Bets!$F:$F, E191, Bets!AB:AB), "")</f>
        <v/>
      </c>
      <c r="G191" s="162"/>
      <c r="H191" s="148"/>
      <c r="I191" s="161"/>
      <c r="J191" s="146" t="str">
        <f>IF(I191&lt;&gt;"", SUMIF(Bets!$F:$F, I191, Bets!AA:AA),)</f>
        <v/>
      </c>
      <c r="K191" s="162"/>
      <c r="L191" s="148"/>
      <c r="M191" s="161"/>
      <c r="N191" s="146"/>
      <c r="O191" s="162"/>
      <c r="P191" s="148"/>
      <c r="Q191" s="161"/>
      <c r="R191" s="146"/>
      <c r="S191" s="162"/>
      <c r="T191" s="148"/>
      <c r="U191" s="161"/>
      <c r="V191" s="146"/>
      <c r="W191" s="162"/>
      <c r="X191" s="148"/>
      <c r="Y191" s="161"/>
      <c r="Z191" s="146"/>
      <c r="AA191" s="162"/>
      <c r="AB191" s="148"/>
      <c r="AC191" s="161"/>
      <c r="AD191" s="146"/>
      <c r="AE191" s="162"/>
      <c r="AF191" s="148"/>
    </row>
    <row r="192">
      <c r="A192" s="161"/>
      <c r="B192" s="146" t="str">
        <f>IF(A192&lt;&gt;"", SUMIF(Bets!$F:$F, A192, Bets!Z:Z), "")</f>
        <v/>
      </c>
      <c r="C192" s="162"/>
      <c r="D192" s="148"/>
      <c r="E192" s="161"/>
      <c r="F192" s="146" t="str">
        <f>IF(E192&lt;&gt;"", SUMIF(Bets!$F:$F, E192, Bets!AB:AB), "")</f>
        <v/>
      </c>
      <c r="G192" s="162"/>
      <c r="H192" s="148"/>
      <c r="I192" s="161"/>
      <c r="J192" s="146" t="str">
        <f>IF(I192&lt;&gt;"", SUMIF(Bets!$F:$F, I192, Bets!AA:AA),)</f>
        <v/>
      </c>
      <c r="K192" s="162"/>
      <c r="L192" s="148"/>
      <c r="M192" s="161"/>
      <c r="N192" s="146"/>
      <c r="O192" s="162"/>
      <c r="P192" s="148"/>
      <c r="Q192" s="161"/>
      <c r="R192" s="146"/>
      <c r="S192" s="162"/>
      <c r="T192" s="148"/>
      <c r="U192" s="161"/>
      <c r="V192" s="146"/>
      <c r="W192" s="162"/>
      <c r="X192" s="148"/>
      <c r="Y192" s="161"/>
      <c r="Z192" s="146"/>
      <c r="AA192" s="162"/>
      <c r="AB192" s="148"/>
      <c r="AC192" s="161"/>
      <c r="AD192" s="146"/>
      <c r="AE192" s="162"/>
      <c r="AF192" s="148"/>
    </row>
    <row r="193">
      <c r="A193" s="161"/>
      <c r="B193" s="146" t="str">
        <f>IF(A193&lt;&gt;"", SUMIF(Bets!$F:$F, A193, Bets!Z:Z), "")</f>
        <v/>
      </c>
      <c r="C193" s="162"/>
      <c r="D193" s="148"/>
      <c r="E193" s="161"/>
      <c r="F193" s="146" t="str">
        <f>IF(E193&lt;&gt;"", SUMIF(Bets!$F:$F, E193, Bets!AB:AB), "")</f>
        <v/>
      </c>
      <c r="G193" s="162"/>
      <c r="H193" s="148"/>
      <c r="I193" s="161"/>
      <c r="J193" s="146" t="str">
        <f>IF(I193&lt;&gt;"", SUMIF(Bets!$F:$F, I193, Bets!AA:AA),)</f>
        <v/>
      </c>
      <c r="K193" s="162"/>
      <c r="L193" s="148"/>
      <c r="M193" s="161"/>
      <c r="N193" s="146"/>
      <c r="O193" s="162"/>
      <c r="P193" s="148"/>
      <c r="Q193" s="161"/>
      <c r="R193" s="146"/>
      <c r="S193" s="162"/>
      <c r="T193" s="148"/>
      <c r="U193" s="161"/>
      <c r="V193" s="146"/>
      <c r="W193" s="162"/>
      <c r="X193" s="148"/>
      <c r="Y193" s="161"/>
      <c r="Z193" s="146"/>
      <c r="AA193" s="162"/>
      <c r="AB193" s="148"/>
      <c r="AC193" s="161"/>
      <c r="AD193" s="146"/>
      <c r="AE193" s="162"/>
      <c r="AF193" s="148"/>
    </row>
    <row r="194">
      <c r="A194" s="161"/>
      <c r="B194" s="146" t="str">
        <f>IF(A194&lt;&gt;"", SUMIF(Bets!$F:$F, A194, Bets!Z:Z), "")</f>
        <v/>
      </c>
      <c r="C194" s="162"/>
      <c r="D194" s="148"/>
      <c r="E194" s="161"/>
      <c r="F194" s="146" t="str">
        <f>IF(E194&lt;&gt;"", SUMIF(Bets!$F:$F, E194, Bets!AB:AB), "")</f>
        <v/>
      </c>
      <c r="G194" s="162"/>
      <c r="H194" s="148"/>
      <c r="I194" s="161"/>
      <c r="J194" s="146" t="str">
        <f>IF(I194&lt;&gt;"", SUMIF(Bets!$F:$F, I194, Bets!AA:AA),)</f>
        <v/>
      </c>
      <c r="K194" s="162"/>
      <c r="L194" s="148"/>
      <c r="M194" s="161"/>
      <c r="N194" s="146"/>
      <c r="O194" s="162"/>
      <c r="P194" s="148"/>
      <c r="Q194" s="161"/>
      <c r="R194" s="146"/>
      <c r="S194" s="162"/>
      <c r="T194" s="148"/>
      <c r="U194" s="161"/>
      <c r="V194" s="146"/>
      <c r="W194" s="162"/>
      <c r="X194" s="148"/>
      <c r="Y194" s="161"/>
      <c r="Z194" s="146"/>
      <c r="AA194" s="162"/>
      <c r="AB194" s="148"/>
      <c r="AC194" s="161"/>
      <c r="AD194" s="146"/>
      <c r="AE194" s="162"/>
      <c r="AF194" s="148"/>
    </row>
    <row r="195">
      <c r="A195" s="161"/>
      <c r="B195" s="146" t="str">
        <f>IF(A195&lt;&gt;"", SUMIF(Bets!$F:$F, A195, Bets!Z:Z), "")</f>
        <v/>
      </c>
      <c r="C195" s="162"/>
      <c r="D195" s="148"/>
      <c r="E195" s="161"/>
      <c r="F195" s="146" t="str">
        <f>IF(E195&lt;&gt;"", SUMIF(Bets!$F:$F, E195, Bets!AB:AB), "")</f>
        <v/>
      </c>
      <c r="G195" s="162"/>
      <c r="H195" s="148"/>
      <c r="I195" s="161"/>
      <c r="J195" s="146" t="str">
        <f>IF(I195&lt;&gt;"", SUMIF(Bets!$F:$F, I195, Bets!AA:AA),)</f>
        <v/>
      </c>
      <c r="K195" s="162"/>
      <c r="L195" s="148"/>
      <c r="M195" s="161"/>
      <c r="N195" s="146"/>
      <c r="O195" s="162"/>
      <c r="P195" s="148"/>
      <c r="Q195" s="161"/>
      <c r="R195" s="146"/>
      <c r="S195" s="162"/>
      <c r="T195" s="148"/>
      <c r="U195" s="161"/>
      <c r="V195" s="146"/>
      <c r="W195" s="162"/>
      <c r="X195" s="148"/>
      <c r="Y195" s="161"/>
      <c r="Z195" s="146"/>
      <c r="AA195" s="162"/>
      <c r="AB195" s="148"/>
      <c r="AC195" s="161"/>
      <c r="AD195" s="146"/>
      <c r="AE195" s="162"/>
      <c r="AF195" s="148"/>
    </row>
    <row r="196">
      <c r="A196" s="161"/>
      <c r="B196" s="146" t="str">
        <f>IF(A196&lt;&gt;"", SUMIF(Bets!$F:$F, A196, Bets!Z:Z), "")</f>
        <v/>
      </c>
      <c r="C196" s="162"/>
      <c r="D196" s="148"/>
      <c r="E196" s="161"/>
      <c r="F196" s="146" t="str">
        <f>IF(E196&lt;&gt;"", SUMIF(Bets!$F:$F, E196, Bets!AB:AB), "")</f>
        <v/>
      </c>
      <c r="G196" s="162"/>
      <c r="H196" s="148"/>
      <c r="I196" s="161"/>
      <c r="J196" s="146" t="str">
        <f>IF(I196&lt;&gt;"", SUMIF(Bets!$F:$F, I196, Bets!AA:AA),)</f>
        <v/>
      </c>
      <c r="K196" s="162"/>
      <c r="L196" s="148"/>
      <c r="M196" s="161"/>
      <c r="N196" s="146"/>
      <c r="O196" s="162"/>
      <c r="P196" s="148"/>
      <c r="Q196" s="161"/>
      <c r="R196" s="146"/>
      <c r="S196" s="162"/>
      <c r="T196" s="148"/>
      <c r="U196" s="161"/>
      <c r="V196" s="146"/>
      <c r="W196" s="162"/>
      <c r="X196" s="148"/>
      <c r="Y196" s="161"/>
      <c r="Z196" s="146"/>
      <c r="AA196" s="162"/>
      <c r="AB196" s="148"/>
      <c r="AC196" s="161"/>
      <c r="AD196" s="146"/>
      <c r="AE196" s="162"/>
      <c r="AF196" s="148"/>
    </row>
    <row r="197">
      <c r="A197" s="161"/>
      <c r="B197" s="146" t="str">
        <f>IF(A197&lt;&gt;"", SUMIF(Bets!$F:$F, A197, Bets!Z:Z), "")</f>
        <v/>
      </c>
      <c r="C197" s="162"/>
      <c r="D197" s="148"/>
      <c r="E197" s="161"/>
      <c r="F197" s="146" t="str">
        <f>IF(E197&lt;&gt;"", SUMIF(Bets!$F:$F, E197, Bets!AB:AB), "")</f>
        <v/>
      </c>
      <c r="G197" s="162"/>
      <c r="H197" s="148"/>
      <c r="I197" s="161"/>
      <c r="J197" s="146" t="str">
        <f>IF(I197&lt;&gt;"", SUMIF(Bets!$F:$F, I197, Bets!AA:AA),)</f>
        <v/>
      </c>
      <c r="K197" s="162"/>
      <c r="L197" s="148"/>
      <c r="M197" s="161"/>
      <c r="N197" s="146"/>
      <c r="O197" s="162"/>
      <c r="P197" s="148"/>
      <c r="Q197" s="161"/>
      <c r="R197" s="146"/>
      <c r="S197" s="162"/>
      <c r="T197" s="148"/>
      <c r="U197" s="161"/>
      <c r="V197" s="146"/>
      <c r="W197" s="162"/>
      <c r="X197" s="148"/>
      <c r="Y197" s="161"/>
      <c r="Z197" s="146"/>
      <c r="AA197" s="162"/>
      <c r="AB197" s="148"/>
      <c r="AC197" s="161"/>
      <c r="AD197" s="146"/>
      <c r="AE197" s="162"/>
      <c r="AF197" s="148"/>
    </row>
    <row r="198">
      <c r="A198" s="161"/>
      <c r="B198" s="146" t="str">
        <f>IF(A198&lt;&gt;"", SUMIF(Bets!$F:$F, A198, Bets!Z:Z), "")</f>
        <v/>
      </c>
      <c r="C198" s="162"/>
      <c r="D198" s="148"/>
      <c r="E198" s="161"/>
      <c r="F198" s="146" t="str">
        <f>IF(E198&lt;&gt;"", SUMIF(Bets!$F:$F, E198, Bets!AB:AB), "")</f>
        <v/>
      </c>
      <c r="G198" s="162"/>
      <c r="H198" s="148"/>
      <c r="I198" s="161"/>
      <c r="J198" s="146" t="str">
        <f>IF(I198&lt;&gt;"", SUMIF(Bets!$F:$F, I198, Bets!AA:AA),)</f>
        <v/>
      </c>
      <c r="K198" s="162"/>
      <c r="L198" s="148"/>
      <c r="M198" s="161"/>
      <c r="N198" s="146"/>
      <c r="O198" s="162"/>
      <c r="P198" s="148"/>
      <c r="Q198" s="161"/>
      <c r="R198" s="146"/>
      <c r="S198" s="162"/>
      <c r="T198" s="148"/>
      <c r="U198" s="161"/>
      <c r="V198" s="146"/>
      <c r="W198" s="162"/>
      <c r="X198" s="148"/>
      <c r="Y198" s="161"/>
      <c r="Z198" s="146"/>
      <c r="AA198" s="162"/>
      <c r="AB198" s="148"/>
      <c r="AC198" s="161"/>
      <c r="AD198" s="146"/>
      <c r="AE198" s="162"/>
      <c r="AF198" s="148"/>
    </row>
    <row r="199">
      <c r="A199" s="161"/>
      <c r="B199" s="146" t="str">
        <f>IF(A199&lt;&gt;"", SUMIF(Bets!$F:$F, A199, Bets!Z:Z), "")</f>
        <v/>
      </c>
      <c r="C199" s="162"/>
      <c r="D199" s="148"/>
      <c r="E199" s="161"/>
      <c r="F199" s="146" t="str">
        <f>IF(E199&lt;&gt;"", SUMIF(Bets!$F:$F, E199, Bets!AB:AB), "")</f>
        <v/>
      </c>
      <c r="G199" s="162"/>
      <c r="H199" s="148"/>
      <c r="I199" s="161"/>
      <c r="J199" s="146" t="str">
        <f>IF(I199&lt;&gt;"", SUMIF(Bets!$F:$F, I199, Bets!AA:AA),)</f>
        <v/>
      </c>
      <c r="K199" s="162"/>
      <c r="L199" s="148"/>
      <c r="M199" s="161"/>
      <c r="N199" s="146"/>
      <c r="O199" s="162"/>
      <c r="P199" s="148"/>
      <c r="Q199" s="161"/>
      <c r="R199" s="146"/>
      <c r="S199" s="162"/>
      <c r="T199" s="148"/>
      <c r="U199" s="161"/>
      <c r="V199" s="146"/>
      <c r="W199" s="162"/>
      <c r="X199" s="148"/>
      <c r="Y199" s="161"/>
      <c r="Z199" s="146"/>
      <c r="AA199" s="162"/>
      <c r="AB199" s="148"/>
      <c r="AC199" s="161"/>
      <c r="AD199" s="146"/>
      <c r="AE199" s="162"/>
      <c r="AF199" s="148"/>
    </row>
    <row r="200">
      <c r="A200" s="161"/>
      <c r="B200" s="146" t="str">
        <f>IF(A200&lt;&gt;"", SUMIF(Bets!$F:$F, A200, Bets!Z:Z), "")</f>
        <v/>
      </c>
      <c r="C200" s="162"/>
      <c r="D200" s="148"/>
      <c r="E200" s="161"/>
      <c r="F200" s="146" t="str">
        <f>IF(E200&lt;&gt;"", SUMIF(Bets!$F:$F, E200, Bets!AB:AB), "")</f>
        <v/>
      </c>
      <c r="G200" s="162"/>
      <c r="H200" s="148"/>
      <c r="I200" s="161"/>
      <c r="J200" s="146" t="str">
        <f>IF(I200&lt;&gt;"", SUMIF(Bets!$F:$F, I200, Bets!AA:AA),)</f>
        <v/>
      </c>
      <c r="K200" s="162"/>
      <c r="L200" s="148"/>
      <c r="M200" s="161"/>
      <c r="N200" s="146"/>
      <c r="O200" s="162"/>
      <c r="P200" s="148"/>
      <c r="Q200" s="161"/>
      <c r="R200" s="146"/>
      <c r="S200" s="162"/>
      <c r="T200" s="148"/>
      <c r="U200" s="161"/>
      <c r="V200" s="146"/>
      <c r="W200" s="162"/>
      <c r="X200" s="148"/>
      <c r="Y200" s="161"/>
      <c r="Z200" s="146"/>
      <c r="AA200" s="162"/>
      <c r="AB200" s="148"/>
      <c r="AC200" s="161"/>
      <c r="AD200" s="146"/>
      <c r="AE200" s="162"/>
      <c r="AF200" s="148"/>
    </row>
    <row r="201">
      <c r="A201" s="161"/>
      <c r="B201" s="146" t="str">
        <f>IF(A201&lt;&gt;"", SUMIF(Bets!$F:$F, A201, Bets!Z:Z), "")</f>
        <v/>
      </c>
      <c r="C201" s="162"/>
      <c r="D201" s="148"/>
      <c r="E201" s="161"/>
      <c r="F201" s="146" t="str">
        <f>IF(E201&lt;&gt;"", SUMIF(Bets!$F:$F, E201, Bets!AB:AB), "")</f>
        <v/>
      </c>
      <c r="G201" s="162"/>
      <c r="H201" s="148"/>
      <c r="I201" s="161"/>
      <c r="J201" s="146" t="str">
        <f>IF(I201&lt;&gt;"", SUMIF(Bets!$F:$F, I201, Bets!AA:AA),)</f>
        <v/>
      </c>
      <c r="K201" s="162"/>
      <c r="L201" s="148"/>
      <c r="M201" s="161"/>
      <c r="N201" s="146"/>
      <c r="O201" s="162"/>
      <c r="P201" s="148"/>
      <c r="Q201" s="161"/>
      <c r="R201" s="146"/>
      <c r="S201" s="162"/>
      <c r="T201" s="148"/>
      <c r="U201" s="161"/>
      <c r="V201" s="146"/>
      <c r="W201" s="162"/>
      <c r="X201" s="148"/>
      <c r="Y201" s="161"/>
      <c r="Z201" s="146"/>
      <c r="AA201" s="162"/>
      <c r="AB201" s="148"/>
      <c r="AC201" s="161"/>
      <c r="AD201" s="146"/>
      <c r="AE201" s="162"/>
      <c r="AF201" s="148"/>
    </row>
    <row r="202">
      <c r="A202" s="161"/>
      <c r="B202" s="146" t="str">
        <f>IF(A202&lt;&gt;"", SUMIF(Bets!$F:$F, A202, Bets!Z:Z), "")</f>
        <v/>
      </c>
      <c r="C202" s="162"/>
      <c r="D202" s="148"/>
      <c r="E202" s="161"/>
      <c r="F202" s="146" t="str">
        <f>IF(E202&lt;&gt;"", SUMIF(Bets!$F:$F, E202, Bets!AB:AB), "")</f>
        <v/>
      </c>
      <c r="G202" s="162"/>
      <c r="H202" s="148"/>
      <c r="I202" s="161"/>
      <c r="J202" s="146" t="str">
        <f>IF(I202&lt;&gt;"", SUMIF(Bets!$F:$F, I202, Bets!AA:AA),)</f>
        <v/>
      </c>
      <c r="K202" s="162"/>
      <c r="L202" s="148"/>
      <c r="M202" s="161"/>
      <c r="N202" s="146"/>
      <c r="O202" s="162"/>
      <c r="P202" s="148"/>
      <c r="Q202" s="161"/>
      <c r="R202" s="146"/>
      <c r="S202" s="162"/>
      <c r="T202" s="148"/>
      <c r="U202" s="161"/>
      <c r="V202" s="146"/>
      <c r="W202" s="162"/>
      <c r="X202" s="148"/>
      <c r="Y202" s="161"/>
      <c r="Z202" s="146"/>
      <c r="AA202" s="162"/>
      <c r="AB202" s="148"/>
      <c r="AC202" s="161"/>
      <c r="AD202" s="146"/>
      <c r="AE202" s="162"/>
      <c r="AF202" s="148"/>
    </row>
    <row r="203">
      <c r="A203" s="161"/>
      <c r="B203" s="146" t="str">
        <f>IF(A203&lt;&gt;"", SUMIF(Bets!$F:$F, A203, Bets!Z:Z), "")</f>
        <v/>
      </c>
      <c r="C203" s="162"/>
      <c r="D203" s="148"/>
      <c r="E203" s="161"/>
      <c r="F203" s="146" t="str">
        <f>IF(E203&lt;&gt;"", SUMIF(Bets!$F:$F, E203, Bets!AB:AB), "")</f>
        <v/>
      </c>
      <c r="G203" s="162"/>
      <c r="H203" s="148"/>
      <c r="I203" s="161"/>
      <c r="J203" s="146" t="str">
        <f>IF(I203&lt;&gt;"", SUMIF(Bets!$F:$F, I203, Bets!AA:AA),)</f>
        <v/>
      </c>
      <c r="K203" s="162"/>
      <c r="L203" s="148"/>
      <c r="M203" s="161"/>
      <c r="N203" s="146"/>
      <c r="O203" s="162"/>
      <c r="P203" s="148"/>
      <c r="Q203" s="161"/>
      <c r="R203" s="146"/>
      <c r="S203" s="162"/>
      <c r="T203" s="148"/>
      <c r="U203" s="161"/>
      <c r="V203" s="146"/>
      <c r="W203" s="162"/>
      <c r="X203" s="148"/>
      <c r="Y203" s="161"/>
      <c r="Z203" s="146"/>
      <c r="AA203" s="162"/>
      <c r="AB203" s="148"/>
      <c r="AC203" s="161"/>
      <c r="AD203" s="146"/>
      <c r="AE203" s="162"/>
      <c r="AF203" s="148"/>
    </row>
    <row r="204">
      <c r="A204" s="161"/>
      <c r="B204" s="146" t="str">
        <f>IF(A204&lt;&gt;"", SUMIF(Bets!$F:$F, A204, Bets!Z:Z), "")</f>
        <v/>
      </c>
      <c r="C204" s="162"/>
      <c r="D204" s="148"/>
      <c r="E204" s="161"/>
      <c r="F204" s="146" t="str">
        <f>IF(E204&lt;&gt;"", SUMIF(Bets!$F:$F, E204, Bets!AB:AB), "")</f>
        <v/>
      </c>
      <c r="G204" s="162"/>
      <c r="H204" s="148"/>
      <c r="I204" s="161"/>
      <c r="J204" s="146" t="str">
        <f>IF(I204&lt;&gt;"", SUMIF(Bets!$F:$F, I204, Bets!AA:AA),)</f>
        <v/>
      </c>
      <c r="K204" s="162"/>
      <c r="L204" s="148"/>
      <c r="M204" s="161"/>
      <c r="N204" s="146"/>
      <c r="O204" s="162"/>
      <c r="P204" s="148"/>
      <c r="Q204" s="161"/>
      <c r="R204" s="146"/>
      <c r="S204" s="162"/>
      <c r="T204" s="148"/>
      <c r="U204" s="161"/>
      <c r="V204" s="146"/>
      <c r="W204" s="162"/>
      <c r="X204" s="148"/>
      <c r="Y204" s="161"/>
      <c r="Z204" s="146"/>
      <c r="AA204" s="162"/>
      <c r="AB204" s="148"/>
      <c r="AC204" s="161"/>
      <c r="AD204" s="146"/>
      <c r="AE204" s="162"/>
      <c r="AF204" s="148"/>
    </row>
    <row r="205">
      <c r="A205" s="161"/>
      <c r="B205" s="146" t="str">
        <f>IF(A205&lt;&gt;"", SUMIF(Bets!$F:$F, A205, Bets!Z:Z), "")</f>
        <v/>
      </c>
      <c r="C205" s="162"/>
      <c r="D205" s="148"/>
      <c r="E205" s="161"/>
      <c r="F205" s="146" t="str">
        <f>IF(E205&lt;&gt;"", SUMIF(Bets!$F:$F, E205, Bets!AB:AB), "")</f>
        <v/>
      </c>
      <c r="G205" s="162"/>
      <c r="H205" s="148"/>
      <c r="I205" s="161"/>
      <c r="J205" s="146" t="str">
        <f>IF(I205&lt;&gt;"", SUMIF(Bets!$F:$F, I205, Bets!AA:AA),)</f>
        <v/>
      </c>
      <c r="K205" s="162"/>
      <c r="L205" s="148"/>
      <c r="M205" s="161"/>
      <c r="N205" s="146"/>
      <c r="O205" s="162"/>
      <c r="P205" s="148"/>
      <c r="Q205" s="161"/>
      <c r="R205" s="146"/>
      <c r="S205" s="162"/>
      <c r="T205" s="148"/>
      <c r="U205" s="161"/>
      <c r="V205" s="146"/>
      <c r="W205" s="162"/>
      <c r="X205" s="148"/>
      <c r="Y205" s="161"/>
      <c r="Z205" s="146"/>
      <c r="AA205" s="162"/>
      <c r="AB205" s="148"/>
      <c r="AC205" s="161"/>
      <c r="AD205" s="146"/>
      <c r="AE205" s="162"/>
      <c r="AF205" s="148"/>
    </row>
    <row r="206">
      <c r="A206" s="161"/>
      <c r="B206" s="146" t="str">
        <f>IF(A206&lt;&gt;"", SUMIF(Bets!$F:$F, A206, Bets!Z:Z), "")</f>
        <v/>
      </c>
      <c r="C206" s="162"/>
      <c r="D206" s="148"/>
      <c r="E206" s="161"/>
      <c r="F206" s="146" t="str">
        <f>IF(E206&lt;&gt;"", SUMIF(Bets!$F:$F, E206, Bets!AB:AB), "")</f>
        <v/>
      </c>
      <c r="G206" s="162"/>
      <c r="H206" s="148"/>
      <c r="I206" s="161"/>
      <c r="J206" s="146" t="str">
        <f>IF(I206&lt;&gt;"", SUMIF(Bets!$F:$F, I206, Bets!AA:AA),)</f>
        <v/>
      </c>
      <c r="K206" s="162"/>
      <c r="L206" s="148"/>
      <c r="M206" s="161"/>
      <c r="N206" s="146"/>
      <c r="O206" s="162"/>
      <c r="P206" s="148"/>
      <c r="Q206" s="161"/>
      <c r="R206" s="146"/>
      <c r="S206" s="162"/>
      <c r="T206" s="148"/>
      <c r="U206" s="161"/>
      <c r="V206" s="146"/>
      <c r="W206" s="162"/>
      <c r="X206" s="148"/>
      <c r="Y206" s="161"/>
      <c r="Z206" s="146"/>
      <c r="AA206" s="162"/>
      <c r="AB206" s="148"/>
      <c r="AC206" s="161"/>
      <c r="AD206" s="146"/>
      <c r="AE206" s="162"/>
      <c r="AF206" s="148"/>
    </row>
    <row r="207">
      <c r="A207" s="161"/>
      <c r="B207" s="146" t="str">
        <f>IF(A207&lt;&gt;"", SUMIF(Bets!$F:$F, A207, Bets!Z:Z), "")</f>
        <v/>
      </c>
      <c r="C207" s="162"/>
      <c r="D207" s="148"/>
      <c r="E207" s="161"/>
      <c r="F207" s="146" t="str">
        <f>IF(E207&lt;&gt;"", SUMIF(Bets!$F:$F, E207, Bets!AB:AB), "")</f>
        <v/>
      </c>
      <c r="G207" s="162"/>
      <c r="H207" s="148"/>
      <c r="I207" s="161"/>
      <c r="J207" s="146" t="str">
        <f>IF(I207&lt;&gt;"", SUMIF(Bets!$F:$F, I207, Bets!AA:AA),)</f>
        <v/>
      </c>
      <c r="K207" s="162"/>
      <c r="L207" s="148"/>
      <c r="M207" s="161"/>
      <c r="N207" s="146"/>
      <c r="O207" s="162"/>
      <c r="P207" s="148"/>
      <c r="Q207" s="161"/>
      <c r="R207" s="146"/>
      <c r="S207" s="162"/>
      <c r="T207" s="148"/>
      <c r="U207" s="161"/>
      <c r="V207" s="146"/>
      <c r="W207" s="162"/>
      <c r="X207" s="148"/>
      <c r="Y207" s="161"/>
      <c r="Z207" s="146"/>
      <c r="AA207" s="162"/>
      <c r="AB207" s="148"/>
      <c r="AC207" s="161"/>
      <c r="AD207" s="146"/>
      <c r="AE207" s="162"/>
      <c r="AF207" s="148"/>
    </row>
    <row r="208">
      <c r="A208" s="161"/>
      <c r="B208" s="146" t="str">
        <f>IF(A208&lt;&gt;"", SUMIF(Bets!$F:$F, A208, Bets!Z:Z), "")</f>
        <v/>
      </c>
      <c r="C208" s="162"/>
      <c r="D208" s="148"/>
      <c r="E208" s="161"/>
      <c r="F208" s="146" t="str">
        <f>IF(E208&lt;&gt;"", SUMIF(Bets!$F:$F, E208, Bets!AB:AB), "")</f>
        <v/>
      </c>
      <c r="G208" s="162"/>
      <c r="H208" s="148"/>
      <c r="I208" s="161"/>
      <c r="J208" s="146" t="str">
        <f>IF(I208&lt;&gt;"", SUMIF(Bets!$F:$F, I208, Bets!AA:AA),)</f>
        <v/>
      </c>
      <c r="K208" s="162"/>
      <c r="L208" s="148"/>
      <c r="M208" s="161"/>
      <c r="N208" s="146"/>
      <c r="O208" s="162"/>
      <c r="P208" s="148"/>
      <c r="Q208" s="161"/>
      <c r="R208" s="146"/>
      <c r="S208" s="162"/>
      <c r="T208" s="148"/>
      <c r="U208" s="161"/>
      <c r="V208" s="146"/>
      <c r="W208" s="162"/>
      <c r="X208" s="148"/>
      <c r="Y208" s="161"/>
      <c r="Z208" s="146"/>
      <c r="AA208" s="162"/>
      <c r="AB208" s="148"/>
      <c r="AC208" s="161"/>
      <c r="AD208" s="146"/>
      <c r="AE208" s="162"/>
      <c r="AF208" s="148"/>
    </row>
    <row r="209">
      <c r="A209" s="161"/>
      <c r="B209" s="146" t="str">
        <f>IF(A209&lt;&gt;"", SUMIF(Bets!$F:$F, A209, Bets!Z:Z), "")</f>
        <v/>
      </c>
      <c r="C209" s="162"/>
      <c r="D209" s="148"/>
      <c r="E209" s="161"/>
      <c r="F209" s="146" t="str">
        <f>IF(E209&lt;&gt;"", SUMIF(Bets!$F:$F, E209, Bets!AB:AB), "")</f>
        <v/>
      </c>
      <c r="G209" s="162"/>
      <c r="H209" s="148"/>
      <c r="I209" s="161"/>
      <c r="J209" s="146" t="str">
        <f>IF(I209&lt;&gt;"", SUMIF(Bets!$F:$F, I209, Bets!AA:AA),)</f>
        <v/>
      </c>
      <c r="K209" s="162"/>
      <c r="L209" s="148"/>
      <c r="M209" s="161"/>
      <c r="N209" s="146"/>
      <c r="O209" s="162"/>
      <c r="P209" s="148"/>
      <c r="Q209" s="161"/>
      <c r="R209" s="146"/>
      <c r="S209" s="162"/>
      <c r="T209" s="148"/>
      <c r="U209" s="161"/>
      <c r="V209" s="146"/>
      <c r="W209" s="162"/>
      <c r="X209" s="148"/>
      <c r="Y209" s="161"/>
      <c r="Z209" s="146"/>
      <c r="AA209" s="162"/>
      <c r="AB209" s="148"/>
      <c r="AC209" s="161"/>
      <c r="AD209" s="146"/>
      <c r="AE209" s="162"/>
      <c r="AF209" s="148"/>
    </row>
    <row r="210">
      <c r="A210" s="161"/>
      <c r="B210" s="146" t="str">
        <f>IF(A210&lt;&gt;"", SUMIF(Bets!$F:$F, A210, Bets!Z:Z), "")</f>
        <v/>
      </c>
      <c r="C210" s="162"/>
      <c r="D210" s="148"/>
      <c r="E210" s="161"/>
      <c r="F210" s="146" t="str">
        <f>IF(E210&lt;&gt;"", SUMIF(Bets!$F:$F, E210, Bets!AB:AB), "")</f>
        <v/>
      </c>
      <c r="G210" s="162"/>
      <c r="H210" s="148"/>
      <c r="I210" s="161"/>
      <c r="J210" s="146" t="str">
        <f>IF(I210&lt;&gt;"", SUMIF(Bets!$F:$F, I210, Bets!AA:AA),)</f>
        <v/>
      </c>
      <c r="K210" s="162"/>
      <c r="L210" s="148"/>
      <c r="M210" s="161"/>
      <c r="N210" s="146"/>
      <c r="O210" s="162"/>
      <c r="P210" s="148"/>
      <c r="Q210" s="161"/>
      <c r="R210" s="146"/>
      <c r="S210" s="162"/>
      <c r="T210" s="148"/>
      <c r="U210" s="161"/>
      <c r="V210" s="146"/>
      <c r="W210" s="162"/>
      <c r="X210" s="148"/>
      <c r="Y210" s="161"/>
      <c r="Z210" s="146"/>
      <c r="AA210" s="162"/>
      <c r="AB210" s="148"/>
      <c r="AC210" s="161"/>
      <c r="AD210" s="146"/>
      <c r="AE210" s="162"/>
      <c r="AF210" s="148"/>
    </row>
    <row r="211">
      <c r="A211" s="161"/>
      <c r="B211" s="146" t="str">
        <f>IF(A211&lt;&gt;"", SUMIF(Bets!$F:$F, A211, Bets!Z:Z), "")</f>
        <v/>
      </c>
      <c r="C211" s="162"/>
      <c r="D211" s="148"/>
      <c r="E211" s="161"/>
      <c r="F211" s="146" t="str">
        <f>IF(E211&lt;&gt;"", SUMIF(Bets!$F:$F, E211, Bets!AB:AB), "")</f>
        <v/>
      </c>
      <c r="G211" s="162"/>
      <c r="H211" s="148"/>
      <c r="I211" s="161"/>
      <c r="J211" s="146" t="str">
        <f>IF(I211&lt;&gt;"", SUMIF(Bets!$F:$F, I211, Bets!AA:AA),)</f>
        <v/>
      </c>
      <c r="K211" s="162"/>
      <c r="L211" s="148"/>
      <c r="M211" s="161"/>
      <c r="N211" s="146"/>
      <c r="O211" s="162"/>
      <c r="P211" s="148"/>
      <c r="Q211" s="161"/>
      <c r="R211" s="146"/>
      <c r="S211" s="162"/>
      <c r="T211" s="148"/>
      <c r="U211" s="161"/>
      <c r="V211" s="146"/>
      <c r="W211" s="162"/>
      <c r="X211" s="148"/>
      <c r="Y211" s="161"/>
      <c r="Z211" s="146"/>
      <c r="AA211" s="162"/>
      <c r="AB211" s="148"/>
      <c r="AC211" s="161"/>
      <c r="AD211" s="146"/>
      <c r="AE211" s="162"/>
      <c r="AF211" s="148"/>
    </row>
    <row r="212">
      <c r="A212" s="161"/>
      <c r="B212" s="146" t="str">
        <f>IF(A212&lt;&gt;"", SUMIF(Bets!$F:$F, A212, Bets!Z:Z), "")</f>
        <v/>
      </c>
      <c r="C212" s="162"/>
      <c r="D212" s="148"/>
      <c r="E212" s="161"/>
      <c r="F212" s="146" t="str">
        <f>IF(E212&lt;&gt;"", SUMIF(Bets!$F:$F, E212, Bets!AB:AB), "")</f>
        <v/>
      </c>
      <c r="G212" s="162"/>
      <c r="H212" s="148"/>
      <c r="I212" s="161"/>
      <c r="J212" s="146" t="str">
        <f>IF(I212&lt;&gt;"", SUMIF(Bets!$F:$F, I212, Bets!AA:AA),)</f>
        <v/>
      </c>
      <c r="K212" s="162"/>
      <c r="L212" s="148"/>
      <c r="M212" s="161"/>
      <c r="N212" s="146"/>
      <c r="O212" s="162"/>
      <c r="P212" s="148"/>
      <c r="Q212" s="161"/>
      <c r="R212" s="146"/>
      <c r="S212" s="162"/>
      <c r="T212" s="148"/>
      <c r="U212" s="161"/>
      <c r="V212" s="146"/>
      <c r="W212" s="162"/>
      <c r="X212" s="148"/>
      <c r="Y212" s="161"/>
      <c r="Z212" s="146"/>
      <c r="AA212" s="162"/>
      <c r="AB212" s="148"/>
      <c r="AC212" s="161"/>
      <c r="AD212" s="146"/>
      <c r="AE212" s="162"/>
      <c r="AF212" s="148"/>
    </row>
    <row r="213">
      <c r="A213" s="161"/>
      <c r="B213" s="146" t="str">
        <f>IF(A213&lt;&gt;"", SUMIF(Bets!$F:$F, A213, Bets!Z:Z), "")</f>
        <v/>
      </c>
      <c r="C213" s="162"/>
      <c r="D213" s="148"/>
      <c r="E213" s="161"/>
      <c r="F213" s="146" t="str">
        <f>IF(E213&lt;&gt;"", SUMIF(Bets!$F:$F, E213, Bets!AB:AB), "")</f>
        <v/>
      </c>
      <c r="G213" s="162"/>
      <c r="H213" s="148"/>
      <c r="I213" s="161"/>
      <c r="J213" s="146" t="str">
        <f>IF(I213&lt;&gt;"", SUMIF(Bets!$F:$F, I213, Bets!AA:AA),)</f>
        <v/>
      </c>
      <c r="K213" s="162"/>
      <c r="L213" s="148"/>
      <c r="M213" s="161"/>
      <c r="N213" s="146"/>
      <c r="O213" s="162"/>
      <c r="P213" s="148"/>
      <c r="Q213" s="161"/>
      <c r="R213" s="146"/>
      <c r="S213" s="162"/>
      <c r="T213" s="148"/>
      <c r="U213" s="161"/>
      <c r="V213" s="146"/>
      <c r="W213" s="162"/>
      <c r="X213" s="148"/>
      <c r="Y213" s="161"/>
      <c r="Z213" s="146"/>
      <c r="AA213" s="162"/>
      <c r="AB213" s="148"/>
      <c r="AC213" s="161"/>
      <c r="AD213" s="146"/>
      <c r="AE213" s="162"/>
      <c r="AF213" s="148"/>
    </row>
    <row r="214">
      <c r="A214" s="161"/>
      <c r="B214" s="146" t="str">
        <f>IF(A214&lt;&gt;"", SUMIF(Bets!$F:$F, A214, Bets!Z:Z), "")</f>
        <v/>
      </c>
      <c r="C214" s="162"/>
      <c r="D214" s="148"/>
      <c r="E214" s="161"/>
      <c r="F214" s="146" t="str">
        <f>IF(E214&lt;&gt;"", SUMIF(Bets!$F:$F, E214, Bets!AB:AB), "")</f>
        <v/>
      </c>
      <c r="G214" s="162"/>
      <c r="H214" s="148"/>
      <c r="I214" s="161"/>
      <c r="J214" s="146" t="str">
        <f>IF(I214&lt;&gt;"", SUMIF(Bets!$F:$F, I214, Bets!AA:AA),)</f>
        <v/>
      </c>
      <c r="K214" s="162"/>
      <c r="L214" s="148"/>
      <c r="M214" s="161"/>
      <c r="N214" s="146"/>
      <c r="O214" s="162"/>
      <c r="P214" s="148"/>
      <c r="Q214" s="161"/>
      <c r="R214" s="146"/>
      <c r="S214" s="162"/>
      <c r="T214" s="148"/>
      <c r="U214" s="161"/>
      <c r="V214" s="146"/>
      <c r="W214" s="162"/>
      <c r="X214" s="148"/>
      <c r="Y214" s="161"/>
      <c r="Z214" s="146"/>
      <c r="AA214" s="162"/>
      <c r="AB214" s="148"/>
      <c r="AC214" s="161"/>
      <c r="AD214" s="146"/>
      <c r="AE214" s="162"/>
      <c r="AF214" s="148"/>
    </row>
    <row r="215">
      <c r="A215" s="161"/>
      <c r="B215" s="146" t="str">
        <f>IF(A215&lt;&gt;"", SUMIF(Bets!$F:$F, A215, Bets!Z:Z), "")</f>
        <v/>
      </c>
      <c r="C215" s="162"/>
      <c r="D215" s="148"/>
      <c r="E215" s="161"/>
      <c r="F215" s="146" t="str">
        <f>IF(E215&lt;&gt;"", SUMIF(Bets!$F:$F, E215, Bets!AB:AB), "")</f>
        <v/>
      </c>
      <c r="G215" s="162"/>
      <c r="H215" s="148"/>
      <c r="I215" s="161"/>
      <c r="J215" s="146" t="str">
        <f>IF(I215&lt;&gt;"", SUMIF(Bets!$F:$F, I215, Bets!AA:AA),)</f>
        <v/>
      </c>
      <c r="K215" s="162"/>
      <c r="L215" s="148"/>
      <c r="M215" s="161"/>
      <c r="N215" s="146"/>
      <c r="O215" s="162"/>
      <c r="P215" s="148"/>
      <c r="Q215" s="161"/>
      <c r="R215" s="146"/>
      <c r="S215" s="162"/>
      <c r="T215" s="148"/>
      <c r="U215" s="161"/>
      <c r="V215" s="146"/>
      <c r="W215" s="162"/>
      <c r="X215" s="148"/>
      <c r="Y215" s="161"/>
      <c r="Z215" s="146"/>
      <c r="AA215" s="162"/>
      <c r="AB215" s="148"/>
      <c r="AC215" s="161"/>
      <c r="AD215" s="146"/>
      <c r="AE215" s="162"/>
      <c r="AF215" s="148"/>
    </row>
    <row r="216">
      <c r="A216" s="161"/>
      <c r="B216" s="146" t="str">
        <f>IF(A216&lt;&gt;"", SUMIF(Bets!$F:$F, A216, Bets!Z:Z), "")</f>
        <v/>
      </c>
      <c r="C216" s="162"/>
      <c r="D216" s="148"/>
      <c r="E216" s="161"/>
      <c r="F216" s="146" t="str">
        <f>IF(E216&lt;&gt;"", SUMIF(Bets!$F:$F, E216, Bets!AB:AB), "")</f>
        <v/>
      </c>
      <c r="G216" s="162"/>
      <c r="H216" s="148"/>
      <c r="I216" s="161"/>
      <c r="J216" s="146" t="str">
        <f>IF(I216&lt;&gt;"", SUMIF(Bets!$F:$F, I216, Bets!AA:AA),)</f>
        <v/>
      </c>
      <c r="K216" s="162"/>
      <c r="L216" s="148"/>
      <c r="M216" s="161"/>
      <c r="N216" s="146"/>
      <c r="O216" s="162"/>
      <c r="P216" s="148"/>
      <c r="Q216" s="161"/>
      <c r="R216" s="146"/>
      <c r="S216" s="162"/>
      <c r="T216" s="148"/>
      <c r="U216" s="161"/>
      <c r="V216" s="146"/>
      <c r="W216" s="162"/>
      <c r="X216" s="148"/>
      <c r="Y216" s="161"/>
      <c r="Z216" s="146"/>
      <c r="AA216" s="162"/>
      <c r="AB216" s="148"/>
      <c r="AC216" s="161"/>
      <c r="AD216" s="146"/>
      <c r="AE216" s="162"/>
      <c r="AF216" s="148"/>
    </row>
    <row r="217">
      <c r="A217" s="161"/>
      <c r="B217" s="146" t="str">
        <f>IF(A217&lt;&gt;"", SUMIF(Bets!$F:$F, A217, Bets!Z:Z), "")</f>
        <v/>
      </c>
      <c r="C217" s="162"/>
      <c r="D217" s="148"/>
      <c r="E217" s="161"/>
      <c r="F217" s="146" t="str">
        <f>IF(E217&lt;&gt;"", SUMIF(Bets!$F:$F, E217, Bets!AB:AB), "")</f>
        <v/>
      </c>
      <c r="G217" s="162"/>
      <c r="H217" s="148"/>
      <c r="I217" s="161"/>
      <c r="J217" s="146" t="str">
        <f>IF(I217&lt;&gt;"", SUMIF(Bets!$F:$F, I217, Bets!AA:AA),)</f>
        <v/>
      </c>
      <c r="K217" s="162"/>
      <c r="L217" s="148"/>
      <c r="M217" s="161"/>
      <c r="N217" s="146"/>
      <c r="O217" s="162"/>
      <c r="P217" s="148"/>
      <c r="Q217" s="161"/>
      <c r="R217" s="146"/>
      <c r="S217" s="162"/>
      <c r="T217" s="148"/>
      <c r="U217" s="161"/>
      <c r="V217" s="146"/>
      <c r="W217" s="162"/>
      <c r="X217" s="148"/>
      <c r="Y217" s="161"/>
      <c r="Z217" s="146"/>
      <c r="AA217" s="162"/>
      <c r="AB217" s="148"/>
      <c r="AC217" s="161"/>
      <c r="AD217" s="146"/>
      <c r="AE217" s="162"/>
      <c r="AF217" s="148"/>
    </row>
    <row r="218">
      <c r="A218" s="161"/>
      <c r="B218" s="146" t="str">
        <f>IF(A218&lt;&gt;"", SUMIF(Bets!$F:$F, A218, Bets!Z:Z), "")</f>
        <v/>
      </c>
      <c r="C218" s="162"/>
      <c r="D218" s="148"/>
      <c r="E218" s="161"/>
      <c r="F218" s="146" t="str">
        <f>IF(E218&lt;&gt;"", SUMIF(Bets!$F:$F, E218, Bets!AB:AB), "")</f>
        <v/>
      </c>
      <c r="G218" s="162"/>
      <c r="H218" s="148"/>
      <c r="I218" s="161"/>
      <c r="J218" s="146" t="str">
        <f>IF(I218&lt;&gt;"", SUMIF(Bets!$F:$F, I218, Bets!AA:AA),)</f>
        <v/>
      </c>
      <c r="K218" s="162"/>
      <c r="L218" s="148"/>
      <c r="M218" s="161"/>
      <c r="N218" s="146"/>
      <c r="O218" s="162"/>
      <c r="P218" s="148"/>
      <c r="Q218" s="161"/>
      <c r="R218" s="146"/>
      <c r="S218" s="162"/>
      <c r="T218" s="148"/>
      <c r="U218" s="161"/>
      <c r="V218" s="146"/>
      <c r="W218" s="162"/>
      <c r="X218" s="148"/>
      <c r="Y218" s="161"/>
      <c r="Z218" s="146"/>
      <c r="AA218" s="162"/>
      <c r="AB218" s="148"/>
      <c r="AC218" s="161"/>
      <c r="AD218" s="146"/>
      <c r="AE218" s="162"/>
      <c r="AF218" s="148"/>
    </row>
    <row r="219">
      <c r="A219" s="161"/>
      <c r="B219" s="146" t="str">
        <f>IF(A219&lt;&gt;"", SUMIF(Bets!$F:$F, A219, Bets!Z:Z), "")</f>
        <v/>
      </c>
      <c r="C219" s="162"/>
      <c r="D219" s="148"/>
      <c r="E219" s="161"/>
      <c r="F219" s="146" t="str">
        <f>IF(E219&lt;&gt;"", SUMIF(Bets!$F:$F, E219, Bets!AB:AB), "")</f>
        <v/>
      </c>
      <c r="G219" s="162"/>
      <c r="H219" s="148"/>
      <c r="I219" s="161"/>
      <c r="J219" s="146" t="str">
        <f>IF(I219&lt;&gt;"", SUMIF(Bets!$F:$F, I219, Bets!AA:AA),)</f>
        <v/>
      </c>
      <c r="K219" s="162"/>
      <c r="L219" s="148"/>
      <c r="M219" s="161"/>
      <c r="N219" s="146"/>
      <c r="O219" s="162"/>
      <c r="P219" s="148"/>
      <c r="Q219" s="161"/>
      <c r="R219" s="146"/>
      <c r="S219" s="162"/>
      <c r="T219" s="148"/>
      <c r="U219" s="161"/>
      <c r="V219" s="146"/>
      <c r="W219" s="162"/>
      <c r="X219" s="148"/>
      <c r="Y219" s="161"/>
      <c r="Z219" s="146"/>
      <c r="AA219" s="162"/>
      <c r="AB219" s="148"/>
      <c r="AC219" s="161"/>
      <c r="AD219" s="146"/>
      <c r="AE219" s="162"/>
      <c r="AF219" s="148"/>
    </row>
    <row r="220">
      <c r="A220" s="161"/>
      <c r="B220" s="146" t="str">
        <f>IF(A220&lt;&gt;"", SUMIF(Bets!$F:$F, A220, Bets!Z:Z), "")</f>
        <v/>
      </c>
      <c r="C220" s="162"/>
      <c r="D220" s="148"/>
      <c r="E220" s="161"/>
      <c r="F220" s="146" t="str">
        <f>IF(E220&lt;&gt;"", SUMIF(Bets!$F:$F, E220, Bets!AB:AB), "")</f>
        <v/>
      </c>
      <c r="G220" s="162"/>
      <c r="H220" s="148"/>
      <c r="I220" s="161"/>
      <c r="J220" s="146" t="str">
        <f>IF(I220&lt;&gt;"", SUMIF(Bets!$F:$F, I220, Bets!AA:AA),)</f>
        <v/>
      </c>
      <c r="K220" s="162"/>
      <c r="L220" s="148"/>
      <c r="M220" s="161"/>
      <c r="N220" s="146"/>
      <c r="O220" s="162"/>
      <c r="P220" s="148"/>
      <c r="Q220" s="161"/>
      <c r="R220" s="146"/>
      <c r="S220" s="162"/>
      <c r="T220" s="148"/>
      <c r="U220" s="161"/>
      <c r="V220" s="146"/>
      <c r="W220" s="162"/>
      <c r="X220" s="148"/>
      <c r="Y220" s="161"/>
      <c r="Z220" s="146"/>
      <c r="AA220" s="162"/>
      <c r="AB220" s="148"/>
      <c r="AC220" s="161"/>
      <c r="AD220" s="146"/>
      <c r="AE220" s="162"/>
      <c r="AF220" s="148"/>
    </row>
    <row r="221">
      <c r="A221" s="161"/>
      <c r="B221" s="146" t="str">
        <f>IF(A221&lt;&gt;"", SUMIF(Bets!$F:$F, A221, Bets!Z:Z), "")</f>
        <v/>
      </c>
      <c r="C221" s="162"/>
      <c r="D221" s="148"/>
      <c r="E221" s="161"/>
      <c r="F221" s="146" t="str">
        <f>IF(E221&lt;&gt;"", SUMIF(Bets!$F:$F, E221, Bets!AB:AB), "")</f>
        <v/>
      </c>
      <c r="G221" s="162"/>
      <c r="H221" s="148"/>
      <c r="I221" s="161"/>
      <c r="J221" s="146" t="str">
        <f>IF(I221&lt;&gt;"", SUMIF(Bets!$F:$F, I221, Bets!AA:AA),)</f>
        <v/>
      </c>
      <c r="K221" s="162"/>
      <c r="L221" s="148"/>
      <c r="M221" s="161"/>
      <c r="N221" s="146"/>
      <c r="O221" s="162"/>
      <c r="P221" s="148"/>
      <c r="Q221" s="161"/>
      <c r="R221" s="146"/>
      <c r="S221" s="162"/>
      <c r="T221" s="148"/>
      <c r="U221" s="161"/>
      <c r="V221" s="146"/>
      <c r="W221" s="162"/>
      <c r="X221" s="148"/>
      <c r="Y221" s="161"/>
      <c r="Z221" s="146"/>
      <c r="AA221" s="162"/>
      <c r="AB221" s="148"/>
      <c r="AC221" s="161"/>
      <c r="AD221" s="146"/>
      <c r="AE221" s="162"/>
      <c r="AF221" s="148"/>
    </row>
    <row r="222">
      <c r="A222" s="161"/>
      <c r="B222" s="146" t="str">
        <f>IF(A222&lt;&gt;"", SUMIF(Bets!$F:$F, A222, Bets!Z:Z), "")</f>
        <v/>
      </c>
      <c r="C222" s="162"/>
      <c r="D222" s="148"/>
      <c r="E222" s="161"/>
      <c r="F222" s="146" t="str">
        <f>IF(E222&lt;&gt;"", SUMIF(Bets!$F:$F, E222, Bets!AB:AB), "")</f>
        <v/>
      </c>
      <c r="G222" s="162"/>
      <c r="H222" s="148"/>
      <c r="I222" s="161"/>
      <c r="J222" s="146" t="str">
        <f>IF(I222&lt;&gt;"", SUMIF(Bets!$F:$F, I222, Bets!AA:AA),)</f>
        <v/>
      </c>
      <c r="K222" s="162"/>
      <c r="L222" s="148"/>
      <c r="M222" s="161"/>
      <c r="N222" s="146"/>
      <c r="O222" s="162"/>
      <c r="P222" s="148"/>
      <c r="Q222" s="161"/>
      <c r="R222" s="146"/>
      <c r="S222" s="162"/>
      <c r="T222" s="148"/>
      <c r="U222" s="161"/>
      <c r="V222" s="146"/>
      <c r="W222" s="162"/>
      <c r="X222" s="148"/>
      <c r="Y222" s="161"/>
      <c r="Z222" s="146"/>
      <c r="AA222" s="162"/>
      <c r="AB222" s="148"/>
      <c r="AC222" s="161"/>
      <c r="AD222" s="146"/>
      <c r="AE222" s="162"/>
      <c r="AF222" s="148"/>
    </row>
    <row r="223">
      <c r="A223" s="161"/>
      <c r="B223" s="146" t="str">
        <f>IF(A223&lt;&gt;"", SUMIF(Bets!$F:$F, A223, Bets!Z:Z), "")</f>
        <v/>
      </c>
      <c r="C223" s="162"/>
      <c r="D223" s="148"/>
      <c r="E223" s="161"/>
      <c r="F223" s="146" t="str">
        <f>IF(E223&lt;&gt;"", SUMIF(Bets!$F:$F, E223, Bets!AB:AB), "")</f>
        <v/>
      </c>
      <c r="G223" s="162"/>
      <c r="H223" s="148"/>
      <c r="I223" s="161"/>
      <c r="J223" s="146" t="str">
        <f>IF(I223&lt;&gt;"", SUMIF(Bets!$F:$F, I223, Bets!AA:AA),)</f>
        <v/>
      </c>
      <c r="K223" s="162"/>
      <c r="L223" s="148"/>
      <c r="M223" s="161"/>
      <c r="N223" s="146"/>
      <c r="O223" s="162"/>
      <c r="P223" s="148"/>
      <c r="Q223" s="161"/>
      <c r="R223" s="146"/>
      <c r="S223" s="162"/>
      <c r="T223" s="148"/>
      <c r="U223" s="161"/>
      <c r="V223" s="146"/>
      <c r="W223" s="162"/>
      <c r="X223" s="148"/>
      <c r="Y223" s="161"/>
      <c r="Z223" s="146"/>
      <c r="AA223" s="162"/>
      <c r="AB223" s="148"/>
      <c r="AC223" s="161"/>
      <c r="AD223" s="146"/>
      <c r="AE223" s="162"/>
      <c r="AF223" s="148"/>
    </row>
    <row r="224">
      <c r="A224" s="161"/>
      <c r="B224" s="146" t="str">
        <f>IF(A224&lt;&gt;"", SUMIF(Bets!$F:$F, A224, Bets!Z:Z), "")</f>
        <v/>
      </c>
      <c r="C224" s="162"/>
      <c r="D224" s="148"/>
      <c r="E224" s="161"/>
      <c r="F224" s="146" t="str">
        <f>IF(E224&lt;&gt;"", SUMIF(Bets!$F:$F, E224, Bets!AB:AB), "")</f>
        <v/>
      </c>
      <c r="G224" s="162"/>
      <c r="H224" s="148"/>
      <c r="I224" s="161"/>
      <c r="J224" s="146" t="str">
        <f>IF(I224&lt;&gt;"", SUMIF(Bets!$F:$F, I224, Bets!AA:AA),)</f>
        <v/>
      </c>
      <c r="K224" s="162"/>
      <c r="L224" s="148"/>
      <c r="M224" s="161"/>
      <c r="N224" s="146"/>
      <c r="O224" s="162"/>
      <c r="P224" s="148"/>
      <c r="Q224" s="161"/>
      <c r="R224" s="146"/>
      <c r="S224" s="162"/>
      <c r="T224" s="148"/>
      <c r="U224" s="161"/>
      <c r="V224" s="146"/>
      <c r="W224" s="162"/>
      <c r="X224" s="148"/>
      <c r="Y224" s="161"/>
      <c r="Z224" s="146"/>
      <c r="AA224" s="162"/>
      <c r="AB224" s="148"/>
      <c r="AC224" s="161"/>
      <c r="AD224" s="146"/>
      <c r="AE224" s="162"/>
      <c r="AF224" s="148"/>
    </row>
    <row r="225">
      <c r="A225" s="161"/>
      <c r="B225" s="146" t="str">
        <f>IF(A225&lt;&gt;"", SUMIF(Bets!$F:$F, A225, Bets!Z:Z), "")</f>
        <v/>
      </c>
      <c r="C225" s="162"/>
      <c r="D225" s="148"/>
      <c r="E225" s="161"/>
      <c r="F225" s="146" t="str">
        <f>IF(E225&lt;&gt;"", SUMIF(Bets!$F:$F, E225, Bets!AB:AB), "")</f>
        <v/>
      </c>
      <c r="G225" s="162"/>
      <c r="H225" s="148"/>
      <c r="I225" s="161"/>
      <c r="J225" s="146" t="str">
        <f>IF(I225&lt;&gt;"", SUMIF(Bets!$F:$F, I225, Bets!AA:AA),)</f>
        <v/>
      </c>
      <c r="K225" s="162"/>
      <c r="L225" s="148"/>
      <c r="M225" s="161"/>
      <c r="N225" s="146"/>
      <c r="O225" s="162"/>
      <c r="P225" s="148"/>
      <c r="Q225" s="161"/>
      <c r="R225" s="146"/>
      <c r="S225" s="162"/>
      <c r="T225" s="148"/>
      <c r="U225" s="161"/>
      <c r="V225" s="146"/>
      <c r="W225" s="162"/>
      <c r="X225" s="148"/>
      <c r="Y225" s="161"/>
      <c r="Z225" s="146"/>
      <c r="AA225" s="162"/>
      <c r="AB225" s="148"/>
      <c r="AC225" s="161"/>
      <c r="AD225" s="146"/>
      <c r="AE225" s="162"/>
      <c r="AF225" s="148"/>
    </row>
    <row r="226">
      <c r="A226" s="161"/>
      <c r="B226" s="146" t="str">
        <f>IF(A226&lt;&gt;"", SUMIF(Bets!$F:$F, A226, Bets!Z:Z), "")</f>
        <v/>
      </c>
      <c r="C226" s="162"/>
      <c r="D226" s="148"/>
      <c r="E226" s="161"/>
      <c r="F226" s="146" t="str">
        <f>IF(E226&lt;&gt;"", SUMIF(Bets!$F:$F, E226, Bets!AB:AB), "")</f>
        <v/>
      </c>
      <c r="G226" s="162"/>
      <c r="H226" s="148"/>
      <c r="I226" s="161"/>
      <c r="J226" s="146" t="str">
        <f>IF(I226&lt;&gt;"", SUMIF(Bets!$F:$F, I226, Bets!AA:AA),)</f>
        <v/>
      </c>
      <c r="K226" s="162"/>
      <c r="L226" s="148"/>
      <c r="M226" s="161"/>
      <c r="N226" s="146"/>
      <c r="O226" s="162"/>
      <c r="P226" s="148"/>
      <c r="Q226" s="161"/>
      <c r="R226" s="146"/>
      <c r="S226" s="162"/>
      <c r="T226" s="148"/>
      <c r="U226" s="161"/>
      <c r="V226" s="146"/>
      <c r="W226" s="162"/>
      <c r="X226" s="148"/>
      <c r="Y226" s="161"/>
      <c r="Z226" s="146"/>
      <c r="AA226" s="162"/>
      <c r="AB226" s="148"/>
      <c r="AC226" s="161"/>
      <c r="AD226" s="146"/>
      <c r="AE226" s="162"/>
      <c r="AF226" s="148"/>
    </row>
    <row r="227">
      <c r="A227" s="161"/>
      <c r="B227" s="146" t="str">
        <f>IF(A227&lt;&gt;"", SUMIF(Bets!$F:$F, A227, Bets!Z:Z), "")</f>
        <v/>
      </c>
      <c r="C227" s="162"/>
      <c r="D227" s="148"/>
      <c r="E227" s="161"/>
      <c r="F227" s="146" t="str">
        <f>IF(E227&lt;&gt;"", SUMIF(Bets!$F:$F, E227, Bets!AB:AB), "")</f>
        <v/>
      </c>
      <c r="G227" s="162"/>
      <c r="H227" s="148"/>
      <c r="I227" s="161"/>
      <c r="J227" s="146" t="str">
        <f>IF(I227&lt;&gt;"", SUMIF(Bets!$F:$F, I227, Bets!AA:AA),)</f>
        <v/>
      </c>
      <c r="K227" s="162"/>
      <c r="L227" s="148"/>
      <c r="M227" s="161"/>
      <c r="N227" s="146"/>
      <c r="O227" s="162"/>
      <c r="P227" s="148"/>
      <c r="Q227" s="161"/>
      <c r="R227" s="146"/>
      <c r="S227" s="162"/>
      <c r="T227" s="148"/>
      <c r="U227" s="161"/>
      <c r="V227" s="146"/>
      <c r="W227" s="162"/>
      <c r="X227" s="148"/>
      <c r="Y227" s="161"/>
      <c r="Z227" s="146"/>
      <c r="AA227" s="162"/>
      <c r="AB227" s="148"/>
      <c r="AC227" s="161"/>
      <c r="AD227" s="146"/>
      <c r="AE227" s="162"/>
      <c r="AF227" s="148"/>
    </row>
    <row r="228">
      <c r="A228" s="161"/>
      <c r="B228" s="146" t="str">
        <f>IF(A228&lt;&gt;"", SUMIF(Bets!$F:$F, A228, Bets!Z:Z), "")</f>
        <v/>
      </c>
      <c r="C228" s="162"/>
      <c r="D228" s="148"/>
      <c r="E228" s="161"/>
      <c r="F228" s="146" t="str">
        <f>IF(E228&lt;&gt;"", SUMIF(Bets!$F:$F, E228, Bets!AB:AB), "")</f>
        <v/>
      </c>
      <c r="G228" s="162"/>
      <c r="H228" s="148"/>
      <c r="I228" s="161"/>
      <c r="J228" s="146" t="str">
        <f>IF(I228&lt;&gt;"", SUMIF(Bets!$F:$F, I228, Bets!AA:AA),)</f>
        <v/>
      </c>
      <c r="K228" s="162"/>
      <c r="L228" s="148"/>
      <c r="M228" s="161"/>
      <c r="N228" s="146"/>
      <c r="O228" s="162"/>
      <c r="P228" s="148"/>
      <c r="Q228" s="161"/>
      <c r="R228" s="146"/>
      <c r="S228" s="162"/>
      <c r="T228" s="148"/>
      <c r="U228" s="161"/>
      <c r="V228" s="146"/>
      <c r="W228" s="162"/>
      <c r="X228" s="148"/>
      <c r="Y228" s="161"/>
      <c r="Z228" s="146"/>
      <c r="AA228" s="162"/>
      <c r="AB228" s="148"/>
      <c r="AC228" s="161"/>
      <c r="AD228" s="146"/>
      <c r="AE228" s="162"/>
      <c r="AF228" s="148"/>
    </row>
    <row r="229">
      <c r="A229" s="161"/>
      <c r="B229" s="146" t="str">
        <f>IF(A229&lt;&gt;"", SUMIF(Bets!$F:$F, A229, Bets!Z:Z), "")</f>
        <v/>
      </c>
      <c r="C229" s="162"/>
      <c r="D229" s="148"/>
      <c r="E229" s="161"/>
      <c r="F229" s="146" t="str">
        <f>IF(E229&lt;&gt;"", SUMIF(Bets!$F:$F, E229, Bets!AB:AB), "")</f>
        <v/>
      </c>
      <c r="G229" s="162"/>
      <c r="H229" s="148"/>
      <c r="I229" s="161"/>
      <c r="J229" s="146" t="str">
        <f>IF(I229&lt;&gt;"", SUMIF(Bets!$F:$F, I229, Bets!AA:AA),)</f>
        <v/>
      </c>
      <c r="K229" s="162"/>
      <c r="L229" s="148"/>
      <c r="M229" s="161"/>
      <c r="N229" s="146"/>
      <c r="O229" s="162"/>
      <c r="P229" s="148"/>
      <c r="Q229" s="161"/>
      <c r="R229" s="146"/>
      <c r="S229" s="162"/>
      <c r="T229" s="148"/>
      <c r="U229" s="161"/>
      <c r="V229" s="146"/>
      <c r="W229" s="162"/>
      <c r="X229" s="148"/>
      <c r="Y229" s="161"/>
      <c r="Z229" s="146"/>
      <c r="AA229" s="162"/>
      <c r="AB229" s="148"/>
      <c r="AC229" s="161"/>
      <c r="AD229" s="146"/>
      <c r="AE229" s="162"/>
      <c r="AF229" s="148"/>
    </row>
    <row r="230">
      <c r="A230" s="161"/>
      <c r="B230" s="146" t="str">
        <f>IF(A230&lt;&gt;"", SUMIF(Bets!$F:$F, A230, Bets!Z:Z), "")</f>
        <v/>
      </c>
      <c r="C230" s="162"/>
      <c r="D230" s="148"/>
      <c r="E230" s="161"/>
      <c r="F230" s="146" t="str">
        <f>IF(E230&lt;&gt;"", SUMIF(Bets!$F:$F, E230, Bets!AB:AB), "")</f>
        <v/>
      </c>
      <c r="G230" s="162"/>
      <c r="H230" s="148"/>
      <c r="I230" s="161"/>
      <c r="J230" s="146" t="str">
        <f>IF(I230&lt;&gt;"", SUMIF(Bets!$F:$F, I230, Bets!AA:AA),)</f>
        <v/>
      </c>
      <c r="K230" s="162"/>
      <c r="L230" s="148"/>
      <c r="M230" s="161"/>
      <c r="N230" s="146"/>
      <c r="O230" s="162"/>
      <c r="P230" s="148"/>
      <c r="Q230" s="161"/>
      <c r="R230" s="146"/>
      <c r="S230" s="162"/>
      <c r="T230" s="148"/>
      <c r="U230" s="161"/>
      <c r="V230" s="146"/>
      <c r="W230" s="162"/>
      <c r="X230" s="148"/>
      <c r="Y230" s="161"/>
      <c r="Z230" s="146"/>
      <c r="AA230" s="162"/>
      <c r="AB230" s="148"/>
      <c r="AC230" s="161"/>
      <c r="AD230" s="146"/>
      <c r="AE230" s="162"/>
      <c r="AF230" s="148"/>
    </row>
    <row r="231">
      <c r="A231" s="161"/>
      <c r="B231" s="146" t="str">
        <f>IF(A231&lt;&gt;"", SUMIF(Bets!$F:$F, A231, Bets!Z:Z), "")</f>
        <v/>
      </c>
      <c r="C231" s="162"/>
      <c r="D231" s="148"/>
      <c r="E231" s="161"/>
      <c r="F231" s="146" t="str">
        <f>IF(E231&lt;&gt;"", SUMIF(Bets!$F:$F, E231, Bets!AB:AB), "")</f>
        <v/>
      </c>
      <c r="G231" s="162"/>
      <c r="H231" s="148"/>
      <c r="I231" s="161"/>
      <c r="J231" s="146" t="str">
        <f>IF(I231&lt;&gt;"", SUMIF(Bets!$F:$F, I231, Bets!AA:AA),)</f>
        <v/>
      </c>
      <c r="K231" s="162"/>
      <c r="L231" s="148"/>
      <c r="M231" s="161"/>
      <c r="N231" s="146"/>
      <c r="O231" s="162"/>
      <c r="P231" s="148"/>
      <c r="Q231" s="161"/>
      <c r="R231" s="146"/>
      <c r="S231" s="162"/>
      <c r="T231" s="148"/>
      <c r="U231" s="161"/>
      <c r="V231" s="146"/>
      <c r="W231" s="162"/>
      <c r="X231" s="148"/>
      <c r="Y231" s="161"/>
      <c r="Z231" s="146"/>
      <c r="AA231" s="162"/>
      <c r="AB231" s="148"/>
      <c r="AC231" s="161"/>
      <c r="AD231" s="146"/>
      <c r="AE231" s="162"/>
      <c r="AF231" s="148"/>
    </row>
    <row r="232">
      <c r="A232" s="161"/>
      <c r="B232" s="146" t="str">
        <f>IF(A232&lt;&gt;"", SUMIF(Bets!$F:$F, A232, Bets!Z:Z), "")</f>
        <v/>
      </c>
      <c r="C232" s="162"/>
      <c r="D232" s="148"/>
      <c r="E232" s="161"/>
      <c r="F232" s="146" t="str">
        <f>IF(E232&lt;&gt;"", SUMIF(Bets!$F:$F, E232, Bets!AB:AB), "")</f>
        <v/>
      </c>
      <c r="G232" s="162"/>
      <c r="H232" s="148"/>
      <c r="I232" s="161"/>
      <c r="J232" s="146" t="str">
        <f>IF(I232&lt;&gt;"", SUMIF(Bets!$F:$F, I232, Bets!AA:AA),)</f>
        <v/>
      </c>
      <c r="K232" s="162"/>
      <c r="L232" s="148"/>
      <c r="M232" s="161"/>
      <c r="N232" s="146"/>
      <c r="O232" s="162"/>
      <c r="P232" s="148"/>
      <c r="Q232" s="161"/>
      <c r="R232" s="146"/>
      <c r="S232" s="162"/>
      <c r="T232" s="148"/>
      <c r="U232" s="161"/>
      <c r="V232" s="146"/>
      <c r="W232" s="162"/>
      <c r="X232" s="148"/>
      <c r="Y232" s="161"/>
      <c r="Z232" s="146"/>
      <c r="AA232" s="162"/>
      <c r="AB232" s="148"/>
      <c r="AC232" s="161"/>
      <c r="AD232" s="146"/>
      <c r="AE232" s="162"/>
      <c r="AF232" s="148"/>
    </row>
    <row r="233">
      <c r="A233" s="161"/>
      <c r="B233" s="146" t="str">
        <f>IF(A233&lt;&gt;"", SUMIF(Bets!$F:$F, A233, Bets!Z:Z), "")</f>
        <v/>
      </c>
      <c r="C233" s="162"/>
      <c r="D233" s="148"/>
      <c r="E233" s="161"/>
      <c r="F233" s="146" t="str">
        <f>IF(E233&lt;&gt;"", SUMIF(Bets!$F:$F, E233, Bets!AB:AB), "")</f>
        <v/>
      </c>
      <c r="G233" s="162"/>
      <c r="H233" s="148"/>
      <c r="I233" s="161"/>
      <c r="J233" s="146" t="str">
        <f>IF(I233&lt;&gt;"", SUMIF(Bets!$F:$F, I233, Bets!AA:AA),)</f>
        <v/>
      </c>
      <c r="K233" s="162"/>
      <c r="L233" s="148"/>
      <c r="M233" s="161"/>
      <c r="N233" s="146"/>
      <c r="O233" s="162"/>
      <c r="P233" s="148"/>
      <c r="Q233" s="161"/>
      <c r="R233" s="146"/>
      <c r="S233" s="162"/>
      <c r="T233" s="148"/>
      <c r="U233" s="161"/>
      <c r="V233" s="146"/>
      <c r="W233" s="162"/>
      <c r="X233" s="148"/>
      <c r="Y233" s="161"/>
      <c r="Z233" s="146"/>
      <c r="AA233" s="162"/>
      <c r="AB233" s="148"/>
      <c r="AC233" s="161"/>
      <c r="AD233" s="146"/>
      <c r="AE233" s="162"/>
      <c r="AF233" s="148"/>
    </row>
    <row r="234">
      <c r="A234" s="161"/>
      <c r="B234" s="146" t="str">
        <f>IF(A234&lt;&gt;"", SUMIF(Bets!$F:$F, A234, Bets!Z:Z), "")</f>
        <v/>
      </c>
      <c r="C234" s="162"/>
      <c r="D234" s="148"/>
      <c r="E234" s="161"/>
      <c r="F234" s="146" t="str">
        <f>IF(E234&lt;&gt;"", SUMIF(Bets!$F:$F, E234, Bets!AB:AB), "")</f>
        <v/>
      </c>
      <c r="G234" s="162"/>
      <c r="H234" s="148"/>
      <c r="I234" s="161"/>
      <c r="J234" s="146" t="str">
        <f>IF(I234&lt;&gt;"", SUMIF(Bets!$F:$F, I234, Bets!AA:AA),)</f>
        <v/>
      </c>
      <c r="K234" s="162"/>
      <c r="L234" s="148"/>
      <c r="M234" s="161"/>
      <c r="N234" s="146"/>
      <c r="O234" s="162"/>
      <c r="P234" s="148"/>
      <c r="Q234" s="161"/>
      <c r="R234" s="146"/>
      <c r="S234" s="162"/>
      <c r="T234" s="148"/>
      <c r="U234" s="161"/>
      <c r="V234" s="146"/>
      <c r="W234" s="162"/>
      <c r="X234" s="148"/>
      <c r="Y234" s="161"/>
      <c r="Z234" s="146"/>
      <c r="AA234" s="162"/>
      <c r="AB234" s="148"/>
      <c r="AC234" s="161"/>
      <c r="AD234" s="146"/>
      <c r="AE234" s="162"/>
      <c r="AF234" s="148"/>
    </row>
    <row r="235">
      <c r="A235" s="161"/>
      <c r="B235" s="146" t="str">
        <f>IF(A235&lt;&gt;"", SUMIF(Bets!$F:$F, A235, Bets!Z:Z), "")</f>
        <v/>
      </c>
      <c r="C235" s="162"/>
      <c r="D235" s="148"/>
      <c r="E235" s="161"/>
      <c r="F235" s="146" t="str">
        <f>IF(E235&lt;&gt;"", SUMIF(Bets!$F:$F, E235, Bets!AB:AB), "")</f>
        <v/>
      </c>
      <c r="G235" s="162"/>
      <c r="H235" s="148"/>
      <c r="I235" s="161"/>
      <c r="J235" s="146" t="str">
        <f>IF(I235&lt;&gt;"", SUMIF(Bets!$F:$F, I235, Bets!AA:AA),)</f>
        <v/>
      </c>
      <c r="K235" s="162"/>
      <c r="L235" s="148"/>
      <c r="M235" s="161"/>
      <c r="N235" s="146"/>
      <c r="O235" s="162"/>
      <c r="P235" s="148"/>
      <c r="Q235" s="161"/>
      <c r="R235" s="146"/>
      <c r="S235" s="162"/>
      <c r="T235" s="148"/>
      <c r="U235" s="161"/>
      <c r="V235" s="146"/>
      <c r="W235" s="162"/>
      <c r="X235" s="148"/>
      <c r="Y235" s="161"/>
      <c r="Z235" s="146"/>
      <c r="AA235" s="162"/>
      <c r="AB235" s="148"/>
      <c r="AC235" s="161"/>
      <c r="AD235" s="146"/>
      <c r="AE235" s="162"/>
      <c r="AF235" s="148"/>
    </row>
    <row r="236">
      <c r="A236" s="161"/>
      <c r="B236" s="146" t="str">
        <f>IF(A236&lt;&gt;"", SUMIF(Bets!$F:$F, A236, Bets!Z:Z), "")</f>
        <v/>
      </c>
      <c r="C236" s="162"/>
      <c r="D236" s="148"/>
      <c r="E236" s="161"/>
      <c r="F236" s="146" t="str">
        <f>IF(E236&lt;&gt;"", SUMIF(Bets!$F:$F, E236, Bets!AB:AB), "")</f>
        <v/>
      </c>
      <c r="G236" s="162"/>
      <c r="H236" s="148"/>
      <c r="I236" s="161"/>
      <c r="J236" s="146" t="str">
        <f>IF(I236&lt;&gt;"", SUMIF(Bets!$F:$F, I236, Bets!AA:AA),)</f>
        <v/>
      </c>
      <c r="K236" s="162"/>
      <c r="L236" s="148"/>
      <c r="M236" s="161"/>
      <c r="N236" s="146"/>
      <c r="O236" s="162"/>
      <c r="P236" s="148"/>
      <c r="Q236" s="161"/>
      <c r="R236" s="146"/>
      <c r="S236" s="162"/>
      <c r="T236" s="148"/>
      <c r="U236" s="161"/>
      <c r="V236" s="146"/>
      <c r="W236" s="162"/>
      <c r="X236" s="148"/>
      <c r="Y236" s="161"/>
      <c r="Z236" s="146"/>
      <c r="AA236" s="162"/>
      <c r="AB236" s="148"/>
      <c r="AC236" s="161"/>
      <c r="AD236" s="146"/>
      <c r="AE236" s="162"/>
      <c r="AF236" s="148"/>
    </row>
    <row r="237">
      <c r="A237" s="161"/>
      <c r="B237" s="146" t="str">
        <f>IF(A237&lt;&gt;"", SUMIF(Bets!$F:$F, A237, Bets!Z:Z), "")</f>
        <v/>
      </c>
      <c r="C237" s="162"/>
      <c r="D237" s="148"/>
      <c r="E237" s="161"/>
      <c r="F237" s="146" t="str">
        <f>IF(E237&lt;&gt;"", SUMIF(Bets!$F:$F, E237, Bets!AB:AB), "")</f>
        <v/>
      </c>
      <c r="G237" s="162"/>
      <c r="H237" s="148"/>
      <c r="I237" s="161"/>
      <c r="J237" s="146" t="str">
        <f>IF(I237&lt;&gt;"", SUMIF(Bets!$F:$F, I237, Bets!AA:AA),)</f>
        <v/>
      </c>
      <c r="K237" s="162"/>
      <c r="L237" s="148"/>
      <c r="M237" s="161"/>
      <c r="N237" s="146"/>
      <c r="O237" s="162"/>
      <c r="P237" s="148"/>
      <c r="Q237" s="161"/>
      <c r="R237" s="146"/>
      <c r="S237" s="162"/>
      <c r="T237" s="148"/>
      <c r="U237" s="161"/>
      <c r="V237" s="146"/>
      <c r="W237" s="162"/>
      <c r="X237" s="148"/>
      <c r="Y237" s="161"/>
      <c r="Z237" s="146"/>
      <c r="AA237" s="162"/>
      <c r="AB237" s="148"/>
      <c r="AC237" s="161"/>
      <c r="AD237" s="146"/>
      <c r="AE237" s="162"/>
      <c r="AF237" s="148"/>
    </row>
    <row r="238">
      <c r="A238" s="161"/>
      <c r="B238" s="146" t="str">
        <f>IF(A238&lt;&gt;"", SUMIF(Bets!$F:$F, A238, Bets!Z:Z), "")</f>
        <v/>
      </c>
      <c r="C238" s="162"/>
      <c r="D238" s="148"/>
      <c r="E238" s="161"/>
      <c r="F238" s="146" t="str">
        <f>IF(E238&lt;&gt;"", SUMIF(Bets!$F:$F, E238, Bets!AB:AB), "")</f>
        <v/>
      </c>
      <c r="G238" s="162"/>
      <c r="H238" s="148"/>
      <c r="I238" s="161"/>
      <c r="J238" s="146" t="str">
        <f>IF(I238&lt;&gt;"", SUMIF(Bets!$F:$F, I238, Bets!AA:AA),)</f>
        <v/>
      </c>
      <c r="K238" s="162"/>
      <c r="L238" s="148"/>
      <c r="M238" s="161"/>
      <c r="N238" s="146"/>
      <c r="O238" s="162"/>
      <c r="P238" s="148"/>
      <c r="Q238" s="161"/>
      <c r="R238" s="146"/>
      <c r="S238" s="162"/>
      <c r="T238" s="148"/>
      <c r="U238" s="161"/>
      <c r="V238" s="146"/>
      <c r="W238" s="162"/>
      <c r="X238" s="148"/>
      <c r="Y238" s="161"/>
      <c r="Z238" s="146"/>
      <c r="AA238" s="162"/>
      <c r="AB238" s="148"/>
      <c r="AC238" s="161"/>
      <c r="AD238" s="146"/>
      <c r="AE238" s="162"/>
      <c r="AF238" s="148"/>
    </row>
    <row r="239">
      <c r="A239" s="161"/>
      <c r="B239" s="146" t="str">
        <f>IF(A239&lt;&gt;"", SUMIF(Bets!$F:$F, A239, Bets!Z:Z), "")</f>
        <v/>
      </c>
      <c r="C239" s="162"/>
      <c r="D239" s="148"/>
      <c r="E239" s="161"/>
      <c r="F239" s="146" t="str">
        <f>IF(E239&lt;&gt;"", SUMIF(Bets!$F:$F, E239, Bets!AB:AB), "")</f>
        <v/>
      </c>
      <c r="G239" s="162"/>
      <c r="H239" s="148"/>
      <c r="I239" s="161"/>
      <c r="J239" s="146" t="str">
        <f>IF(I239&lt;&gt;"", SUMIF(Bets!$F:$F, I239, Bets!AA:AA),)</f>
        <v/>
      </c>
      <c r="K239" s="162"/>
      <c r="L239" s="148"/>
      <c r="M239" s="161"/>
      <c r="N239" s="146"/>
      <c r="O239" s="162"/>
      <c r="P239" s="148"/>
      <c r="Q239" s="161"/>
      <c r="R239" s="146"/>
      <c r="S239" s="162"/>
      <c r="T239" s="148"/>
      <c r="U239" s="161"/>
      <c r="V239" s="146"/>
      <c r="W239" s="162"/>
      <c r="X239" s="148"/>
      <c r="Y239" s="161"/>
      <c r="Z239" s="146"/>
      <c r="AA239" s="162"/>
      <c r="AB239" s="148"/>
      <c r="AC239" s="161"/>
      <c r="AD239" s="146"/>
      <c r="AE239" s="162"/>
      <c r="AF239" s="148"/>
    </row>
    <row r="240">
      <c r="A240" s="161"/>
      <c r="B240" s="146" t="str">
        <f>IF(A240&lt;&gt;"", SUMIF(Bets!$F:$F, A240, Bets!Z:Z), "")</f>
        <v/>
      </c>
      <c r="C240" s="162"/>
      <c r="D240" s="148"/>
      <c r="E240" s="161"/>
      <c r="F240" s="146" t="str">
        <f>IF(E240&lt;&gt;"", SUMIF(Bets!$F:$F, E240, Bets!AB:AB), "")</f>
        <v/>
      </c>
      <c r="G240" s="162"/>
      <c r="H240" s="148"/>
      <c r="I240" s="161"/>
      <c r="J240" s="146" t="str">
        <f>IF(I240&lt;&gt;"", SUMIF(Bets!$F:$F, I240, Bets!AA:AA),)</f>
        <v/>
      </c>
      <c r="K240" s="162"/>
      <c r="L240" s="148"/>
      <c r="M240" s="161"/>
      <c r="N240" s="146"/>
      <c r="O240" s="162"/>
      <c r="P240" s="148"/>
      <c r="Q240" s="161"/>
      <c r="R240" s="146"/>
      <c r="S240" s="162"/>
      <c r="T240" s="148"/>
      <c r="U240" s="161"/>
      <c r="V240" s="146"/>
      <c r="W240" s="162"/>
      <c r="X240" s="148"/>
      <c r="Y240" s="161"/>
      <c r="Z240" s="146"/>
      <c r="AA240" s="162"/>
      <c r="AB240" s="148"/>
      <c r="AC240" s="161"/>
      <c r="AD240" s="146"/>
      <c r="AE240" s="162"/>
      <c r="AF240" s="148"/>
    </row>
    <row r="241">
      <c r="A241" s="161"/>
      <c r="B241" s="146" t="str">
        <f>IF(A241&lt;&gt;"", SUMIF(Bets!$F:$F, A241, Bets!Z:Z), "")</f>
        <v/>
      </c>
      <c r="C241" s="162"/>
      <c r="D241" s="148"/>
      <c r="E241" s="161"/>
      <c r="F241" s="146" t="str">
        <f>IF(E241&lt;&gt;"", SUMIF(Bets!$F:$F, E241, Bets!AB:AB), "")</f>
        <v/>
      </c>
      <c r="G241" s="162"/>
      <c r="H241" s="148"/>
      <c r="I241" s="161"/>
      <c r="J241" s="146" t="str">
        <f>IF(I241&lt;&gt;"", SUMIF(Bets!$F:$F, I241, Bets!AA:AA),)</f>
        <v/>
      </c>
      <c r="K241" s="162"/>
      <c r="L241" s="148"/>
      <c r="M241" s="161"/>
      <c r="N241" s="146"/>
      <c r="O241" s="162"/>
      <c r="P241" s="148"/>
      <c r="Q241" s="161"/>
      <c r="R241" s="146"/>
      <c r="S241" s="162"/>
      <c r="T241" s="148"/>
      <c r="U241" s="161"/>
      <c r="V241" s="146"/>
      <c r="W241" s="162"/>
      <c r="X241" s="148"/>
      <c r="Y241" s="161"/>
      <c r="Z241" s="146"/>
      <c r="AA241" s="162"/>
      <c r="AB241" s="148"/>
      <c r="AC241" s="161"/>
      <c r="AD241" s="146"/>
      <c r="AE241" s="162"/>
      <c r="AF241" s="148"/>
    </row>
    <row r="242">
      <c r="A242" s="161"/>
      <c r="B242" s="146" t="str">
        <f>IF(A242&lt;&gt;"", SUMIF(Bets!$F:$F, A242, Bets!Z:Z), "")</f>
        <v/>
      </c>
      <c r="C242" s="162"/>
      <c r="D242" s="148"/>
      <c r="E242" s="161"/>
      <c r="F242" s="146" t="str">
        <f>IF(E242&lt;&gt;"", SUMIF(Bets!$F:$F, E242, Bets!AB:AB), "")</f>
        <v/>
      </c>
      <c r="G242" s="162"/>
      <c r="H242" s="148"/>
      <c r="I242" s="161"/>
      <c r="J242" s="146" t="str">
        <f>IF(I242&lt;&gt;"", SUMIF(Bets!$F:$F, I242, Bets!AA:AA),)</f>
        <v/>
      </c>
      <c r="K242" s="162"/>
      <c r="L242" s="148"/>
      <c r="M242" s="161"/>
      <c r="N242" s="146"/>
      <c r="O242" s="162"/>
      <c r="P242" s="148"/>
      <c r="Q242" s="161"/>
      <c r="R242" s="146"/>
      <c r="S242" s="162"/>
      <c r="T242" s="148"/>
      <c r="U242" s="161"/>
      <c r="V242" s="146"/>
      <c r="W242" s="162"/>
      <c r="X242" s="148"/>
      <c r="Y242" s="161"/>
      <c r="Z242" s="146"/>
      <c r="AA242" s="162"/>
      <c r="AB242" s="148"/>
      <c r="AC242" s="161"/>
      <c r="AD242" s="146"/>
      <c r="AE242" s="162"/>
      <c r="AF242" s="148"/>
    </row>
    <row r="243">
      <c r="A243" s="161"/>
      <c r="B243" s="146" t="str">
        <f>IF(A243&lt;&gt;"", SUMIF(Bets!$F:$F, A243, Bets!Z:Z), "")</f>
        <v/>
      </c>
      <c r="C243" s="162"/>
      <c r="D243" s="148"/>
      <c r="E243" s="161"/>
      <c r="F243" s="146" t="str">
        <f>IF(E243&lt;&gt;"", SUMIF(Bets!$F:$F, E243, Bets!AB:AB), "")</f>
        <v/>
      </c>
      <c r="G243" s="162"/>
      <c r="H243" s="148"/>
      <c r="I243" s="161"/>
      <c r="J243" s="146" t="str">
        <f>IF(I243&lt;&gt;"", SUMIF(Bets!$F:$F, I243, Bets!AA:AA),)</f>
        <v/>
      </c>
      <c r="K243" s="162"/>
      <c r="L243" s="148"/>
      <c r="M243" s="161"/>
      <c r="N243" s="146"/>
      <c r="O243" s="162"/>
      <c r="P243" s="148"/>
      <c r="Q243" s="161"/>
      <c r="R243" s="146"/>
      <c r="S243" s="162"/>
      <c r="T243" s="148"/>
      <c r="U243" s="161"/>
      <c r="V243" s="146"/>
      <c r="W243" s="162"/>
      <c r="X243" s="148"/>
      <c r="Y243" s="161"/>
      <c r="Z243" s="146"/>
      <c r="AA243" s="162"/>
      <c r="AB243" s="148"/>
      <c r="AC243" s="161"/>
      <c r="AD243" s="146"/>
      <c r="AE243" s="162"/>
      <c r="AF243" s="148"/>
    </row>
    <row r="244">
      <c r="A244" s="161"/>
      <c r="B244" s="146" t="str">
        <f>IF(A244&lt;&gt;"", SUMIF(Bets!$F:$F, A244, Bets!Z:Z), "")</f>
        <v/>
      </c>
      <c r="C244" s="162"/>
      <c r="D244" s="148"/>
      <c r="E244" s="161"/>
      <c r="F244" s="146" t="str">
        <f>IF(E244&lt;&gt;"", SUMIF(Bets!$F:$F, E244, Bets!AB:AB), "")</f>
        <v/>
      </c>
      <c r="G244" s="162"/>
      <c r="H244" s="148"/>
      <c r="I244" s="161"/>
      <c r="J244" s="146" t="str">
        <f>IF(I244&lt;&gt;"", SUMIF(Bets!$F:$F, I244, Bets!AA:AA),)</f>
        <v/>
      </c>
      <c r="K244" s="162"/>
      <c r="L244" s="148"/>
      <c r="M244" s="161"/>
      <c r="N244" s="146"/>
      <c r="O244" s="162"/>
      <c r="P244" s="148"/>
      <c r="Q244" s="161"/>
      <c r="R244" s="146"/>
      <c r="S244" s="162"/>
      <c r="T244" s="148"/>
      <c r="U244" s="161"/>
      <c r="V244" s="146"/>
      <c r="W244" s="162"/>
      <c r="X244" s="148"/>
      <c r="Y244" s="161"/>
      <c r="Z244" s="146"/>
      <c r="AA244" s="162"/>
      <c r="AB244" s="148"/>
      <c r="AC244" s="161"/>
      <c r="AD244" s="146"/>
      <c r="AE244" s="162"/>
      <c r="AF244" s="148"/>
    </row>
    <row r="245">
      <c r="A245" s="161"/>
      <c r="B245" s="146" t="str">
        <f>IF(A245&lt;&gt;"", SUMIF(Bets!$F:$F, A245, Bets!Z:Z), "")</f>
        <v/>
      </c>
      <c r="C245" s="162"/>
      <c r="D245" s="148"/>
      <c r="E245" s="161"/>
      <c r="F245" s="146" t="str">
        <f>IF(E245&lt;&gt;"", SUMIF(Bets!$F:$F, E245, Bets!AB:AB), "")</f>
        <v/>
      </c>
      <c r="G245" s="162"/>
      <c r="H245" s="148"/>
      <c r="I245" s="161"/>
      <c r="J245" s="146" t="str">
        <f>IF(I245&lt;&gt;"", SUMIF(Bets!$F:$F, I245, Bets!AA:AA),)</f>
        <v/>
      </c>
      <c r="K245" s="162"/>
      <c r="L245" s="148"/>
      <c r="M245" s="161"/>
      <c r="N245" s="146"/>
      <c r="O245" s="162"/>
      <c r="P245" s="148"/>
      <c r="Q245" s="161"/>
      <c r="R245" s="146"/>
      <c r="S245" s="162"/>
      <c r="T245" s="148"/>
      <c r="U245" s="161"/>
      <c r="V245" s="146"/>
      <c r="W245" s="162"/>
      <c r="X245" s="148"/>
      <c r="Y245" s="161"/>
      <c r="Z245" s="146"/>
      <c r="AA245" s="162"/>
      <c r="AB245" s="148"/>
      <c r="AC245" s="161"/>
      <c r="AD245" s="146"/>
      <c r="AE245" s="162"/>
      <c r="AF245" s="148"/>
    </row>
    <row r="246">
      <c r="A246" s="161"/>
      <c r="B246" s="146" t="str">
        <f>IF(A246&lt;&gt;"", SUMIF(Bets!$F:$F, A246, Bets!Z:Z), "")</f>
        <v/>
      </c>
      <c r="C246" s="162"/>
      <c r="D246" s="148"/>
      <c r="E246" s="161"/>
      <c r="F246" s="146" t="str">
        <f>IF(E246&lt;&gt;"", SUMIF(Bets!$F:$F, E246, Bets!AB:AB), "")</f>
        <v/>
      </c>
      <c r="G246" s="162"/>
      <c r="H246" s="148"/>
      <c r="I246" s="161"/>
      <c r="J246" s="146" t="str">
        <f>IF(I246&lt;&gt;"", SUMIF(Bets!$F:$F, I246, Bets!AA:AA),)</f>
        <v/>
      </c>
      <c r="K246" s="162"/>
      <c r="L246" s="148"/>
      <c r="M246" s="161"/>
      <c r="N246" s="146"/>
      <c r="O246" s="162"/>
      <c r="P246" s="148"/>
      <c r="Q246" s="161"/>
      <c r="R246" s="146"/>
      <c r="S246" s="162"/>
      <c r="T246" s="148"/>
      <c r="U246" s="161"/>
      <c r="V246" s="146"/>
      <c r="W246" s="162"/>
      <c r="X246" s="148"/>
      <c r="Y246" s="161"/>
      <c r="Z246" s="146"/>
      <c r="AA246" s="162"/>
      <c r="AB246" s="148"/>
      <c r="AC246" s="161"/>
      <c r="AD246" s="146"/>
      <c r="AE246" s="162"/>
      <c r="AF246" s="148"/>
    </row>
    <row r="247">
      <c r="A247" s="161"/>
      <c r="B247" s="146" t="str">
        <f>IF(A247&lt;&gt;"", SUMIF(Bets!$F:$F, A247, Bets!Z:Z), "")</f>
        <v/>
      </c>
      <c r="C247" s="162"/>
      <c r="D247" s="148"/>
      <c r="E247" s="161"/>
      <c r="F247" s="146" t="str">
        <f>IF(E247&lt;&gt;"", SUMIF(Bets!$F:$F, E247, Bets!AB:AB), "")</f>
        <v/>
      </c>
      <c r="G247" s="162"/>
      <c r="H247" s="148"/>
      <c r="I247" s="161"/>
      <c r="J247" s="146" t="str">
        <f>IF(I247&lt;&gt;"", SUMIF(Bets!$F:$F, I247, Bets!AA:AA),)</f>
        <v/>
      </c>
      <c r="K247" s="162"/>
      <c r="L247" s="148"/>
      <c r="M247" s="161"/>
      <c r="N247" s="146"/>
      <c r="O247" s="162"/>
      <c r="P247" s="148"/>
      <c r="Q247" s="161"/>
      <c r="R247" s="146"/>
      <c r="S247" s="162"/>
      <c r="T247" s="148"/>
      <c r="U247" s="161"/>
      <c r="V247" s="146"/>
      <c r="W247" s="162"/>
      <c r="X247" s="148"/>
      <c r="Y247" s="161"/>
      <c r="Z247" s="146"/>
      <c r="AA247" s="162"/>
      <c r="AB247" s="148"/>
      <c r="AC247" s="161"/>
      <c r="AD247" s="146"/>
      <c r="AE247" s="162"/>
      <c r="AF247" s="148"/>
    </row>
    <row r="248">
      <c r="A248" s="161"/>
      <c r="B248" s="146" t="str">
        <f>IF(A248&lt;&gt;"", SUMIF(Bets!$F:$F, A248, Bets!Z:Z), "")</f>
        <v/>
      </c>
      <c r="C248" s="162"/>
      <c r="D248" s="148"/>
      <c r="E248" s="161"/>
      <c r="F248" s="146" t="str">
        <f>IF(E248&lt;&gt;"", SUMIF(Bets!$F:$F, E248, Bets!AB:AB), "")</f>
        <v/>
      </c>
      <c r="G248" s="162"/>
      <c r="H248" s="148"/>
      <c r="I248" s="161"/>
      <c r="J248" s="146" t="str">
        <f>IF(I248&lt;&gt;"", SUMIF(Bets!$F:$F, I248, Bets!AA:AA),)</f>
        <v/>
      </c>
      <c r="K248" s="162"/>
      <c r="L248" s="148"/>
      <c r="M248" s="161"/>
      <c r="N248" s="146"/>
      <c r="O248" s="162"/>
      <c r="P248" s="148"/>
      <c r="Q248" s="161"/>
      <c r="R248" s="146"/>
      <c r="S248" s="162"/>
      <c r="T248" s="148"/>
      <c r="U248" s="161"/>
      <c r="V248" s="146"/>
      <c r="W248" s="162"/>
      <c r="X248" s="148"/>
      <c r="Y248" s="161"/>
      <c r="Z248" s="146"/>
      <c r="AA248" s="162"/>
      <c r="AB248" s="148"/>
      <c r="AC248" s="161"/>
      <c r="AD248" s="146"/>
      <c r="AE248" s="162"/>
      <c r="AF248" s="148"/>
    </row>
    <row r="249">
      <c r="A249" s="161"/>
      <c r="B249" s="146" t="str">
        <f>IF(A249&lt;&gt;"", SUMIF(Bets!$F:$F, A249, Bets!Z:Z), "")</f>
        <v/>
      </c>
      <c r="C249" s="162"/>
      <c r="D249" s="148"/>
      <c r="E249" s="161"/>
      <c r="F249" s="146" t="str">
        <f>IF(E249&lt;&gt;"", SUMIF(Bets!$F:$F, E249, Bets!AB:AB), "")</f>
        <v/>
      </c>
      <c r="G249" s="162"/>
      <c r="H249" s="148"/>
      <c r="I249" s="161"/>
      <c r="J249" s="146" t="str">
        <f>IF(I249&lt;&gt;"", SUMIF(Bets!$F:$F, I249, Bets!AA:AA),)</f>
        <v/>
      </c>
      <c r="K249" s="162"/>
      <c r="L249" s="148"/>
      <c r="M249" s="161"/>
      <c r="N249" s="146"/>
      <c r="O249" s="162"/>
      <c r="P249" s="148"/>
      <c r="Q249" s="161"/>
      <c r="R249" s="146"/>
      <c r="S249" s="162"/>
      <c r="T249" s="148"/>
      <c r="U249" s="161"/>
      <c r="V249" s="146"/>
      <c r="W249" s="162"/>
      <c r="X249" s="148"/>
      <c r="Y249" s="161"/>
      <c r="Z249" s="146"/>
      <c r="AA249" s="162"/>
      <c r="AB249" s="148"/>
      <c r="AC249" s="161"/>
      <c r="AD249" s="146"/>
      <c r="AE249" s="162"/>
      <c r="AF249" s="148"/>
    </row>
    <row r="250">
      <c r="A250" s="161"/>
      <c r="B250" s="146" t="str">
        <f>IF(A250&lt;&gt;"", SUMIF(Bets!$F:$F, A250, Bets!Z:Z), "")</f>
        <v/>
      </c>
      <c r="C250" s="162"/>
      <c r="D250" s="148"/>
      <c r="E250" s="161"/>
      <c r="F250" s="146" t="str">
        <f>IF(E250&lt;&gt;"", SUMIF(Bets!$F:$F, E250, Bets!AB:AB), "")</f>
        <v/>
      </c>
      <c r="G250" s="162"/>
      <c r="H250" s="148"/>
      <c r="I250" s="161"/>
      <c r="J250" s="146" t="str">
        <f>IF(I250&lt;&gt;"", SUMIF(Bets!$F:$F, I250, Bets!AA:AA),)</f>
        <v/>
      </c>
      <c r="K250" s="162"/>
      <c r="L250" s="148"/>
      <c r="M250" s="161"/>
      <c r="N250" s="146"/>
      <c r="O250" s="162"/>
      <c r="P250" s="148"/>
      <c r="Q250" s="161"/>
      <c r="R250" s="146"/>
      <c r="S250" s="162"/>
      <c r="T250" s="148"/>
      <c r="U250" s="161"/>
      <c r="V250" s="146"/>
      <c r="W250" s="162"/>
      <c r="X250" s="148"/>
      <c r="Y250" s="161"/>
      <c r="Z250" s="146"/>
      <c r="AA250" s="162"/>
      <c r="AB250" s="148"/>
      <c r="AC250" s="161"/>
      <c r="AD250" s="146"/>
      <c r="AE250" s="162"/>
      <c r="AF250" s="148"/>
    </row>
    <row r="251">
      <c r="A251" s="161"/>
      <c r="B251" s="146" t="str">
        <f>IF(A251&lt;&gt;"", SUMIF(Bets!$F:$F, A251, Bets!Z:Z), "")</f>
        <v/>
      </c>
      <c r="C251" s="162"/>
      <c r="D251" s="148"/>
      <c r="E251" s="161"/>
      <c r="F251" s="146" t="str">
        <f>IF(E251&lt;&gt;"", SUMIF(Bets!$F:$F, E251, Bets!AB:AB), "")</f>
        <v/>
      </c>
      <c r="G251" s="162"/>
      <c r="H251" s="148"/>
      <c r="I251" s="161"/>
      <c r="J251" s="146" t="str">
        <f>IF(I251&lt;&gt;"", SUMIF(Bets!$F:$F, I251, Bets!AA:AA),)</f>
        <v/>
      </c>
      <c r="K251" s="162"/>
      <c r="L251" s="148"/>
      <c r="M251" s="161"/>
      <c r="N251" s="146"/>
      <c r="O251" s="162"/>
      <c r="P251" s="148"/>
      <c r="Q251" s="161"/>
      <c r="R251" s="146"/>
      <c r="S251" s="162"/>
      <c r="T251" s="148"/>
      <c r="U251" s="161"/>
      <c r="V251" s="146"/>
      <c r="W251" s="162"/>
      <c r="X251" s="148"/>
      <c r="Y251" s="161"/>
      <c r="Z251" s="146"/>
      <c r="AA251" s="162"/>
      <c r="AB251" s="148"/>
      <c r="AC251" s="161"/>
      <c r="AD251" s="146"/>
      <c r="AE251" s="162"/>
      <c r="AF251" s="148"/>
    </row>
    <row r="252">
      <c r="A252" s="161"/>
      <c r="B252" s="146" t="str">
        <f>IF(A252&lt;&gt;"", SUMIF(Bets!$F:$F, A252, Bets!Z:Z), "")</f>
        <v/>
      </c>
      <c r="C252" s="162"/>
      <c r="D252" s="148"/>
      <c r="E252" s="161"/>
      <c r="F252" s="146" t="str">
        <f>IF(E252&lt;&gt;"", SUMIF(Bets!$F:$F, E252, Bets!AB:AB), "")</f>
        <v/>
      </c>
      <c r="G252" s="162"/>
      <c r="H252" s="148"/>
      <c r="I252" s="161"/>
      <c r="J252" s="146" t="str">
        <f>IF(I252&lt;&gt;"", SUMIF(Bets!$F:$F, I252, Bets!AA:AA),)</f>
        <v/>
      </c>
      <c r="K252" s="162"/>
      <c r="L252" s="148"/>
      <c r="M252" s="161"/>
      <c r="N252" s="146"/>
      <c r="O252" s="162"/>
      <c r="P252" s="148"/>
      <c r="Q252" s="161"/>
      <c r="R252" s="146"/>
      <c r="S252" s="162"/>
      <c r="T252" s="148"/>
      <c r="U252" s="161"/>
      <c r="V252" s="146"/>
      <c r="W252" s="162"/>
      <c r="X252" s="148"/>
      <c r="Y252" s="161"/>
      <c r="Z252" s="146"/>
      <c r="AA252" s="162"/>
      <c r="AB252" s="148"/>
      <c r="AC252" s="161"/>
      <c r="AD252" s="146"/>
      <c r="AE252" s="162"/>
      <c r="AF252" s="148"/>
    </row>
    <row r="253">
      <c r="A253" s="161"/>
      <c r="B253" s="146" t="str">
        <f>IF(A253&lt;&gt;"", SUMIF(Bets!$F:$F, A253, Bets!Z:Z), "")</f>
        <v/>
      </c>
      <c r="C253" s="162"/>
      <c r="D253" s="148"/>
      <c r="E253" s="161"/>
      <c r="F253" s="146" t="str">
        <f>IF(E253&lt;&gt;"", SUMIF(Bets!$F:$F, E253, Bets!AB:AB), "")</f>
        <v/>
      </c>
      <c r="G253" s="162"/>
      <c r="H253" s="148"/>
      <c r="I253" s="161"/>
      <c r="J253" s="146" t="str">
        <f>IF(I253&lt;&gt;"", SUMIF(Bets!$F:$F, I253, Bets!AA:AA),)</f>
        <v/>
      </c>
      <c r="K253" s="162"/>
      <c r="L253" s="148"/>
      <c r="M253" s="161"/>
      <c r="N253" s="146"/>
      <c r="O253" s="162"/>
      <c r="P253" s="148"/>
      <c r="Q253" s="161"/>
      <c r="R253" s="146"/>
      <c r="S253" s="162"/>
      <c r="T253" s="148"/>
      <c r="U253" s="161"/>
      <c r="V253" s="146"/>
      <c r="W253" s="162"/>
      <c r="X253" s="148"/>
      <c r="Y253" s="161"/>
      <c r="Z253" s="146"/>
      <c r="AA253" s="162"/>
      <c r="AB253" s="148"/>
      <c r="AC253" s="161"/>
      <c r="AD253" s="146"/>
      <c r="AE253" s="162"/>
      <c r="AF253" s="148"/>
    </row>
    <row r="254">
      <c r="A254" s="161"/>
      <c r="B254" s="146" t="str">
        <f>IF(A254&lt;&gt;"", SUMIF(Bets!$F:$F, A254, Bets!Z:Z), "")</f>
        <v/>
      </c>
      <c r="C254" s="162"/>
      <c r="D254" s="148"/>
      <c r="E254" s="161"/>
      <c r="F254" s="146" t="str">
        <f>IF(E254&lt;&gt;"", SUMIF(Bets!$F:$F, E254, Bets!AB:AB), "")</f>
        <v/>
      </c>
      <c r="G254" s="162"/>
      <c r="H254" s="148"/>
      <c r="I254" s="161"/>
      <c r="J254" s="146" t="str">
        <f>IF(I254&lt;&gt;"", SUMIF(Bets!$F:$F, I254, Bets!AA:AA),)</f>
        <v/>
      </c>
      <c r="K254" s="162"/>
      <c r="L254" s="148"/>
      <c r="M254" s="161"/>
      <c r="N254" s="146"/>
      <c r="O254" s="162"/>
      <c r="P254" s="148"/>
      <c r="Q254" s="161"/>
      <c r="R254" s="146"/>
      <c r="S254" s="162"/>
      <c r="T254" s="148"/>
      <c r="U254" s="161"/>
      <c r="V254" s="146"/>
      <c r="W254" s="162"/>
      <c r="X254" s="148"/>
      <c r="Y254" s="161"/>
      <c r="Z254" s="146"/>
      <c r="AA254" s="162"/>
      <c r="AB254" s="148"/>
      <c r="AC254" s="161"/>
      <c r="AD254" s="146"/>
      <c r="AE254" s="162"/>
      <c r="AF254" s="148"/>
    </row>
    <row r="255">
      <c r="A255" s="161"/>
      <c r="B255" s="146" t="str">
        <f>IF(A255&lt;&gt;"", SUMIF(Bets!$F:$F, A255, Bets!Z:Z), "")</f>
        <v/>
      </c>
      <c r="C255" s="162"/>
      <c r="D255" s="148"/>
      <c r="E255" s="161"/>
      <c r="F255" s="146" t="str">
        <f>IF(E255&lt;&gt;"", SUMIF(Bets!$F:$F, E255, Bets!AB:AB), "")</f>
        <v/>
      </c>
      <c r="G255" s="162"/>
      <c r="H255" s="148"/>
      <c r="I255" s="161"/>
      <c r="J255" s="146" t="str">
        <f>IF(I255&lt;&gt;"", SUMIF(Bets!$F:$F, I255, Bets!AA:AA),)</f>
        <v/>
      </c>
      <c r="K255" s="162"/>
      <c r="L255" s="148"/>
      <c r="M255" s="161"/>
      <c r="N255" s="146"/>
      <c r="O255" s="162"/>
      <c r="P255" s="148"/>
      <c r="Q255" s="161"/>
      <c r="R255" s="146"/>
      <c r="S255" s="162"/>
      <c r="T255" s="148"/>
      <c r="U255" s="161"/>
      <c r="V255" s="146"/>
      <c r="W255" s="162"/>
      <c r="X255" s="148"/>
      <c r="Y255" s="161"/>
      <c r="Z255" s="146"/>
      <c r="AA255" s="162"/>
      <c r="AB255" s="148"/>
      <c r="AC255" s="161"/>
      <c r="AD255" s="146"/>
      <c r="AE255" s="162"/>
      <c r="AF255" s="148"/>
    </row>
    <row r="256">
      <c r="A256" s="161"/>
      <c r="B256" s="146" t="str">
        <f>IF(A256&lt;&gt;"", SUMIF(Bets!$F:$F, A256, Bets!Z:Z), "")</f>
        <v/>
      </c>
      <c r="C256" s="162"/>
      <c r="D256" s="148"/>
      <c r="E256" s="161"/>
      <c r="F256" s="146" t="str">
        <f>IF(E256&lt;&gt;"", SUMIF(Bets!$F:$F, E256, Bets!AB:AB), "")</f>
        <v/>
      </c>
      <c r="G256" s="162"/>
      <c r="H256" s="148"/>
      <c r="I256" s="161"/>
      <c r="J256" s="146" t="str">
        <f>IF(I256&lt;&gt;"", SUMIF(Bets!$F:$F, I256, Bets!AA:AA),)</f>
        <v/>
      </c>
      <c r="K256" s="162"/>
      <c r="L256" s="148"/>
      <c r="M256" s="161"/>
      <c r="N256" s="146"/>
      <c r="O256" s="162"/>
      <c r="P256" s="148"/>
      <c r="Q256" s="161"/>
      <c r="R256" s="146"/>
      <c r="S256" s="162"/>
      <c r="T256" s="148"/>
      <c r="U256" s="161"/>
      <c r="V256" s="146"/>
      <c r="W256" s="162"/>
      <c r="X256" s="148"/>
      <c r="Y256" s="161"/>
      <c r="Z256" s="146"/>
      <c r="AA256" s="162"/>
      <c r="AB256" s="148"/>
      <c r="AC256" s="161"/>
      <c r="AD256" s="146"/>
      <c r="AE256" s="162"/>
      <c r="AF256" s="148"/>
    </row>
    <row r="257">
      <c r="A257" s="161"/>
      <c r="B257" s="146" t="str">
        <f>IF(A257&lt;&gt;"", SUMIF(Bets!$F:$F, A257, Bets!Z:Z), "")</f>
        <v/>
      </c>
      <c r="C257" s="162"/>
      <c r="D257" s="148"/>
      <c r="E257" s="161"/>
      <c r="F257" s="146" t="str">
        <f>IF(E257&lt;&gt;"", SUMIF(Bets!$F:$F, E257, Bets!AB:AB), "")</f>
        <v/>
      </c>
      <c r="G257" s="162"/>
      <c r="H257" s="148"/>
      <c r="I257" s="161"/>
      <c r="J257" s="146" t="str">
        <f>IF(I257&lt;&gt;"", SUMIF(Bets!$F:$F, I257, Bets!AA:AA),)</f>
        <v/>
      </c>
      <c r="K257" s="162"/>
      <c r="L257" s="148"/>
      <c r="M257" s="161"/>
      <c r="N257" s="146"/>
      <c r="O257" s="162"/>
      <c r="P257" s="148"/>
      <c r="Q257" s="161"/>
      <c r="R257" s="146"/>
      <c r="S257" s="162"/>
      <c r="T257" s="148"/>
      <c r="U257" s="161"/>
      <c r="V257" s="146"/>
      <c r="W257" s="162"/>
      <c r="X257" s="148"/>
      <c r="Y257" s="161"/>
      <c r="Z257" s="146"/>
      <c r="AA257" s="162"/>
      <c r="AB257" s="148"/>
      <c r="AC257" s="161"/>
      <c r="AD257" s="146"/>
      <c r="AE257" s="162"/>
      <c r="AF257" s="148"/>
    </row>
    <row r="258">
      <c r="A258" s="161"/>
      <c r="B258" s="146" t="str">
        <f>IF(A258&lt;&gt;"", SUMIF(Bets!$F:$F, A258, Bets!Z:Z), "")</f>
        <v/>
      </c>
      <c r="C258" s="162"/>
      <c r="D258" s="148"/>
      <c r="E258" s="161"/>
      <c r="F258" s="146" t="str">
        <f>IF(E258&lt;&gt;"", SUMIF(Bets!$F:$F, E258, Bets!AB:AB), "")</f>
        <v/>
      </c>
      <c r="G258" s="162"/>
      <c r="H258" s="148"/>
      <c r="I258" s="161"/>
      <c r="J258" s="146" t="str">
        <f>IF(I258&lt;&gt;"", SUMIF(Bets!$F:$F, I258, Bets!AA:AA),)</f>
        <v/>
      </c>
      <c r="K258" s="162"/>
      <c r="L258" s="148"/>
      <c r="M258" s="161"/>
      <c r="N258" s="146"/>
      <c r="O258" s="162"/>
      <c r="P258" s="148"/>
      <c r="Q258" s="161"/>
      <c r="R258" s="146"/>
      <c r="S258" s="162"/>
      <c r="T258" s="148"/>
      <c r="U258" s="161"/>
      <c r="V258" s="146"/>
      <c r="W258" s="162"/>
      <c r="X258" s="148"/>
      <c r="Y258" s="161"/>
      <c r="Z258" s="146"/>
      <c r="AA258" s="162"/>
      <c r="AB258" s="148"/>
      <c r="AC258" s="161"/>
      <c r="AD258" s="146"/>
      <c r="AE258" s="162"/>
      <c r="AF258" s="148"/>
    </row>
    <row r="259">
      <c r="A259" s="161"/>
      <c r="B259" s="146" t="str">
        <f>IF(A259&lt;&gt;"", SUMIF(Bets!$F:$F, A259, Bets!Z:Z), "")</f>
        <v/>
      </c>
      <c r="C259" s="162"/>
      <c r="D259" s="148"/>
      <c r="E259" s="161"/>
      <c r="F259" s="146" t="str">
        <f>IF(E259&lt;&gt;"", SUMIF(Bets!$F:$F, E259, Bets!AB:AB), "")</f>
        <v/>
      </c>
      <c r="G259" s="162"/>
      <c r="H259" s="148"/>
      <c r="I259" s="161"/>
      <c r="J259" s="146" t="str">
        <f>IF(I259&lt;&gt;"", SUMIF(Bets!$F:$F, I259, Bets!AA:AA),)</f>
        <v/>
      </c>
      <c r="K259" s="162"/>
      <c r="L259" s="148"/>
      <c r="M259" s="161"/>
      <c r="N259" s="146"/>
      <c r="O259" s="162"/>
      <c r="P259" s="148"/>
      <c r="Q259" s="161"/>
      <c r="R259" s="146"/>
      <c r="S259" s="162"/>
      <c r="T259" s="148"/>
      <c r="U259" s="161"/>
      <c r="V259" s="146"/>
      <c r="W259" s="162"/>
      <c r="X259" s="148"/>
      <c r="Y259" s="161"/>
      <c r="Z259" s="146"/>
      <c r="AA259" s="162"/>
      <c r="AB259" s="148"/>
      <c r="AC259" s="161"/>
      <c r="AD259" s="146"/>
      <c r="AE259" s="162"/>
      <c r="AF259" s="148"/>
    </row>
    <row r="260">
      <c r="A260" s="161"/>
      <c r="B260" s="146" t="str">
        <f>IF(A260&lt;&gt;"", SUMIF(Bets!$F:$F, A260, Bets!Z:Z), "")</f>
        <v/>
      </c>
      <c r="C260" s="162"/>
      <c r="D260" s="148"/>
      <c r="E260" s="161"/>
      <c r="F260" s="146" t="str">
        <f>IF(E260&lt;&gt;"", SUMIF(Bets!$F:$F, E260, Bets!AB:AB), "")</f>
        <v/>
      </c>
      <c r="G260" s="162"/>
      <c r="H260" s="148"/>
      <c r="I260" s="161"/>
      <c r="J260" s="146" t="str">
        <f>IF(I260&lt;&gt;"", SUMIF(Bets!$F:$F, I260, Bets!AA:AA),)</f>
        <v/>
      </c>
      <c r="K260" s="162"/>
      <c r="L260" s="148"/>
      <c r="M260" s="161"/>
      <c r="N260" s="146"/>
      <c r="O260" s="162"/>
      <c r="P260" s="148"/>
      <c r="Q260" s="161"/>
      <c r="R260" s="146"/>
      <c r="S260" s="162"/>
      <c r="T260" s="148"/>
      <c r="U260" s="161"/>
      <c r="V260" s="146"/>
      <c r="W260" s="162"/>
      <c r="X260" s="148"/>
      <c r="Y260" s="161"/>
      <c r="Z260" s="146"/>
      <c r="AA260" s="162"/>
      <c r="AB260" s="148"/>
      <c r="AC260" s="161"/>
      <c r="AD260" s="146"/>
      <c r="AE260" s="162"/>
      <c r="AF260" s="148"/>
    </row>
    <row r="261">
      <c r="A261" s="161"/>
      <c r="B261" s="146" t="str">
        <f>IF(A261&lt;&gt;"", SUMIF(Bets!$F:$F, A261, Bets!Z:Z), "")</f>
        <v/>
      </c>
      <c r="C261" s="162"/>
      <c r="D261" s="148"/>
      <c r="E261" s="161"/>
      <c r="F261" s="146" t="str">
        <f>IF(E261&lt;&gt;"", SUMIF(Bets!$F:$F, E261, Bets!AB:AB), "")</f>
        <v/>
      </c>
      <c r="G261" s="162"/>
      <c r="H261" s="148"/>
      <c r="I261" s="161"/>
      <c r="J261" s="146" t="str">
        <f>IF(I261&lt;&gt;"", SUMIF(Bets!$F:$F, I261, Bets!AA:AA),)</f>
        <v/>
      </c>
      <c r="K261" s="162"/>
      <c r="L261" s="148"/>
      <c r="M261" s="161"/>
      <c r="N261" s="146"/>
      <c r="O261" s="162"/>
      <c r="P261" s="148"/>
      <c r="Q261" s="161"/>
      <c r="R261" s="146"/>
      <c r="S261" s="162"/>
      <c r="T261" s="148"/>
      <c r="U261" s="161"/>
      <c r="V261" s="146"/>
      <c r="W261" s="162"/>
      <c r="X261" s="148"/>
      <c r="Y261" s="161"/>
      <c r="Z261" s="146"/>
      <c r="AA261" s="162"/>
      <c r="AB261" s="148"/>
      <c r="AC261" s="161"/>
      <c r="AD261" s="146"/>
      <c r="AE261" s="162"/>
      <c r="AF261" s="148"/>
    </row>
    <row r="262">
      <c r="A262" s="161"/>
      <c r="B262" s="146" t="str">
        <f>IF(A262&lt;&gt;"", SUMIF(Bets!$F:$F, A262, Bets!Z:Z), "")</f>
        <v/>
      </c>
      <c r="C262" s="162"/>
      <c r="D262" s="148"/>
      <c r="E262" s="161"/>
      <c r="F262" s="146" t="str">
        <f>IF(E262&lt;&gt;"", SUMIF(Bets!$F:$F, E262, Bets!AB:AB), "")</f>
        <v/>
      </c>
      <c r="G262" s="162"/>
      <c r="H262" s="148"/>
      <c r="I262" s="161"/>
      <c r="J262" s="146" t="str">
        <f>IF(I262&lt;&gt;"", SUMIF(Bets!$F:$F, I262, Bets!AA:AA),)</f>
        <v/>
      </c>
      <c r="K262" s="162"/>
      <c r="L262" s="148"/>
      <c r="M262" s="161"/>
      <c r="N262" s="146"/>
      <c r="O262" s="162"/>
      <c r="P262" s="148"/>
      <c r="Q262" s="161"/>
      <c r="R262" s="146"/>
      <c r="S262" s="162"/>
      <c r="T262" s="148"/>
      <c r="U262" s="161"/>
      <c r="V262" s="146"/>
      <c r="W262" s="162"/>
      <c r="X262" s="148"/>
      <c r="Y262" s="161"/>
      <c r="Z262" s="146"/>
      <c r="AA262" s="162"/>
      <c r="AB262" s="148"/>
      <c r="AC262" s="161"/>
      <c r="AD262" s="146"/>
      <c r="AE262" s="162"/>
      <c r="AF262" s="148"/>
    </row>
    <row r="263">
      <c r="A263" s="161"/>
      <c r="B263" s="146" t="str">
        <f>IF(A263&lt;&gt;"", SUMIF(Bets!$F:$F, A263, Bets!Z:Z), "")</f>
        <v/>
      </c>
      <c r="C263" s="162"/>
      <c r="D263" s="148"/>
      <c r="E263" s="161"/>
      <c r="F263" s="146" t="str">
        <f>IF(E263&lt;&gt;"", SUMIF(Bets!$F:$F, E263, Bets!AB:AB), "")</f>
        <v/>
      </c>
      <c r="G263" s="162"/>
      <c r="H263" s="148"/>
      <c r="I263" s="161"/>
      <c r="J263" s="146" t="str">
        <f>IF(I263&lt;&gt;"", SUMIF(Bets!$F:$F, I263, Bets!AA:AA),)</f>
        <v/>
      </c>
      <c r="K263" s="162"/>
      <c r="L263" s="148"/>
      <c r="M263" s="161"/>
      <c r="N263" s="146"/>
      <c r="O263" s="162"/>
      <c r="P263" s="148"/>
      <c r="Q263" s="161"/>
      <c r="R263" s="146"/>
      <c r="S263" s="162"/>
      <c r="T263" s="148"/>
      <c r="U263" s="161"/>
      <c r="V263" s="146"/>
      <c r="W263" s="162"/>
      <c r="X263" s="148"/>
      <c r="Y263" s="161"/>
      <c r="Z263" s="146"/>
      <c r="AA263" s="162"/>
      <c r="AB263" s="148"/>
      <c r="AC263" s="161"/>
      <c r="AD263" s="146"/>
      <c r="AE263" s="162"/>
      <c r="AF263" s="148"/>
    </row>
    <row r="264">
      <c r="A264" s="161"/>
      <c r="B264" s="146" t="str">
        <f>IF(A264&lt;&gt;"", SUMIF(Bets!$F:$F, A264, Bets!Z:Z), "")</f>
        <v/>
      </c>
      <c r="C264" s="162"/>
      <c r="D264" s="148"/>
      <c r="E264" s="161"/>
      <c r="F264" s="146" t="str">
        <f>IF(E264&lt;&gt;"", SUMIF(Bets!$F:$F, E264, Bets!AB:AB), "")</f>
        <v/>
      </c>
      <c r="G264" s="162"/>
      <c r="H264" s="148"/>
      <c r="I264" s="161"/>
      <c r="J264" s="146" t="str">
        <f>IF(I264&lt;&gt;"", SUMIF(Bets!$F:$F, I264, Bets!AA:AA),)</f>
        <v/>
      </c>
      <c r="K264" s="162"/>
      <c r="L264" s="148"/>
      <c r="M264" s="161"/>
      <c r="N264" s="146"/>
      <c r="O264" s="162"/>
      <c r="P264" s="148"/>
      <c r="Q264" s="161"/>
      <c r="R264" s="146"/>
      <c r="S264" s="162"/>
      <c r="T264" s="148"/>
      <c r="U264" s="161"/>
      <c r="V264" s="146"/>
      <c r="W264" s="162"/>
      <c r="X264" s="148"/>
      <c r="Y264" s="161"/>
      <c r="Z264" s="146"/>
      <c r="AA264" s="162"/>
      <c r="AB264" s="148"/>
      <c r="AC264" s="161"/>
      <c r="AD264" s="146"/>
      <c r="AE264" s="162"/>
      <c r="AF264" s="148"/>
    </row>
    <row r="265">
      <c r="A265" s="161"/>
      <c r="B265" s="146" t="str">
        <f>IF(A265&lt;&gt;"", SUMIF(Bets!$F:$F, A265, Bets!Z:Z), "")</f>
        <v/>
      </c>
      <c r="C265" s="162"/>
      <c r="D265" s="148"/>
      <c r="E265" s="161"/>
      <c r="F265" s="146" t="str">
        <f>IF(E265&lt;&gt;"", SUMIF(Bets!$F:$F, E265, Bets!AB:AB), "")</f>
        <v/>
      </c>
      <c r="G265" s="162"/>
      <c r="H265" s="148"/>
      <c r="I265" s="161"/>
      <c r="J265" s="146" t="str">
        <f>IF(I265&lt;&gt;"", SUMIF(Bets!$F:$F, I265, Bets!AA:AA),)</f>
        <v/>
      </c>
      <c r="K265" s="162"/>
      <c r="L265" s="148"/>
      <c r="M265" s="161"/>
      <c r="N265" s="146"/>
      <c r="O265" s="162"/>
      <c r="P265" s="148"/>
      <c r="Q265" s="161"/>
      <c r="R265" s="146"/>
      <c r="S265" s="162"/>
      <c r="T265" s="148"/>
      <c r="U265" s="161"/>
      <c r="V265" s="146"/>
      <c r="W265" s="162"/>
      <c r="X265" s="148"/>
      <c r="Y265" s="161"/>
      <c r="Z265" s="146"/>
      <c r="AA265" s="162"/>
      <c r="AB265" s="148"/>
      <c r="AC265" s="161"/>
      <c r="AD265" s="146"/>
      <c r="AE265" s="162"/>
      <c r="AF265" s="148"/>
    </row>
    <row r="266">
      <c r="A266" s="161"/>
      <c r="B266" s="146" t="str">
        <f>IF(A266&lt;&gt;"", SUMIF(Bets!$F:$F, A266, Bets!Z:Z), "")</f>
        <v/>
      </c>
      <c r="C266" s="162"/>
      <c r="D266" s="148"/>
      <c r="E266" s="161"/>
      <c r="F266" s="146" t="str">
        <f>IF(E266&lt;&gt;"", SUMIF(Bets!$F:$F, E266, Bets!AB:AB), "")</f>
        <v/>
      </c>
      <c r="G266" s="162"/>
      <c r="H266" s="148"/>
      <c r="I266" s="161"/>
      <c r="J266" s="146" t="str">
        <f>IF(I266&lt;&gt;"", SUMIF(Bets!$F:$F, I266, Bets!AA:AA),)</f>
        <v/>
      </c>
      <c r="K266" s="162"/>
      <c r="L266" s="148"/>
      <c r="M266" s="161"/>
      <c r="N266" s="146"/>
      <c r="O266" s="162"/>
      <c r="P266" s="148"/>
      <c r="Q266" s="161"/>
      <c r="R266" s="146"/>
      <c r="S266" s="162"/>
      <c r="T266" s="148"/>
      <c r="U266" s="161"/>
      <c r="V266" s="146"/>
      <c r="W266" s="162"/>
      <c r="X266" s="148"/>
      <c r="Y266" s="161"/>
      <c r="Z266" s="146"/>
      <c r="AA266" s="162"/>
      <c r="AB266" s="148"/>
      <c r="AC266" s="161"/>
      <c r="AD266" s="146"/>
      <c r="AE266" s="162"/>
      <c r="AF266" s="148"/>
    </row>
    <row r="267">
      <c r="A267" s="161"/>
      <c r="B267" s="146" t="str">
        <f>IF(A267&lt;&gt;"", SUMIF(Bets!$F:$F, A267, Bets!Z:Z), "")</f>
        <v/>
      </c>
      <c r="C267" s="162"/>
      <c r="D267" s="148"/>
      <c r="E267" s="161"/>
      <c r="F267" s="146" t="str">
        <f>IF(E267&lt;&gt;"", SUMIF(Bets!$F:$F, E267, Bets!AB:AB), "")</f>
        <v/>
      </c>
      <c r="G267" s="162"/>
      <c r="H267" s="148"/>
      <c r="I267" s="161"/>
      <c r="J267" s="146" t="str">
        <f>IF(I267&lt;&gt;"", SUMIF(Bets!$F:$F, I267, Bets!AA:AA),)</f>
        <v/>
      </c>
      <c r="K267" s="162"/>
      <c r="L267" s="148"/>
      <c r="M267" s="161"/>
      <c r="N267" s="146"/>
      <c r="O267" s="162"/>
      <c r="P267" s="148"/>
      <c r="Q267" s="161"/>
      <c r="R267" s="146"/>
      <c r="S267" s="162"/>
      <c r="T267" s="148"/>
      <c r="U267" s="161"/>
      <c r="V267" s="146"/>
      <c r="W267" s="162"/>
      <c r="X267" s="148"/>
      <c r="Y267" s="161"/>
      <c r="Z267" s="146"/>
      <c r="AA267" s="162"/>
      <c r="AB267" s="148"/>
      <c r="AC267" s="161"/>
      <c r="AD267" s="146"/>
      <c r="AE267" s="162"/>
      <c r="AF267" s="148"/>
    </row>
    <row r="268">
      <c r="A268" s="161"/>
      <c r="B268" s="146" t="str">
        <f>IF(A268&lt;&gt;"", SUMIF(Bets!$F:$F, A268, Bets!Z:Z), "")</f>
        <v/>
      </c>
      <c r="C268" s="162"/>
      <c r="D268" s="148"/>
      <c r="E268" s="161"/>
      <c r="F268" s="146" t="str">
        <f>IF(E268&lt;&gt;"", SUMIF(Bets!$F:$F, E268, Bets!AB:AB), "")</f>
        <v/>
      </c>
      <c r="G268" s="162"/>
      <c r="H268" s="148"/>
      <c r="I268" s="161"/>
      <c r="J268" s="146" t="str">
        <f>IF(I268&lt;&gt;"", SUMIF(Bets!$F:$F, I268, Bets!AA:AA),)</f>
        <v/>
      </c>
      <c r="K268" s="162"/>
      <c r="L268" s="148"/>
      <c r="M268" s="161"/>
      <c r="N268" s="146"/>
      <c r="O268" s="162"/>
      <c r="P268" s="148"/>
      <c r="Q268" s="161"/>
      <c r="R268" s="146"/>
      <c r="S268" s="162"/>
      <c r="T268" s="148"/>
      <c r="U268" s="161"/>
      <c r="V268" s="146"/>
      <c r="W268" s="162"/>
      <c r="X268" s="148"/>
      <c r="Y268" s="161"/>
      <c r="Z268" s="146"/>
      <c r="AA268" s="162"/>
      <c r="AB268" s="148"/>
      <c r="AC268" s="161"/>
      <c r="AD268" s="146"/>
      <c r="AE268" s="162"/>
      <c r="AF268" s="148"/>
    </row>
    <row r="269">
      <c r="A269" s="161"/>
      <c r="B269" s="146" t="str">
        <f>IF(A269&lt;&gt;"", SUMIF(Bets!$F:$F, A269, Bets!Z:Z), "")</f>
        <v/>
      </c>
      <c r="C269" s="162"/>
      <c r="D269" s="148"/>
      <c r="E269" s="161"/>
      <c r="F269" s="146" t="str">
        <f>IF(E269&lt;&gt;"", SUMIF(Bets!$F:$F, E269, Bets!AB:AB), "")</f>
        <v/>
      </c>
      <c r="G269" s="162"/>
      <c r="H269" s="148"/>
      <c r="I269" s="161"/>
      <c r="J269" s="146" t="str">
        <f>IF(I269&lt;&gt;"", SUMIF(Bets!$F:$F, I269, Bets!AA:AA),)</f>
        <v/>
      </c>
      <c r="K269" s="162"/>
      <c r="L269" s="148"/>
      <c r="M269" s="161"/>
      <c r="N269" s="146"/>
      <c r="O269" s="162"/>
      <c r="P269" s="148"/>
      <c r="Q269" s="161"/>
      <c r="R269" s="146"/>
      <c r="S269" s="162"/>
      <c r="T269" s="148"/>
      <c r="U269" s="161"/>
      <c r="V269" s="146"/>
      <c r="W269" s="162"/>
      <c r="X269" s="148"/>
      <c r="Y269" s="161"/>
      <c r="Z269" s="146"/>
      <c r="AA269" s="162"/>
      <c r="AB269" s="148"/>
      <c r="AC269" s="161"/>
      <c r="AD269" s="146"/>
      <c r="AE269" s="162"/>
      <c r="AF269" s="148"/>
    </row>
    <row r="270">
      <c r="A270" s="161"/>
      <c r="B270" s="146" t="str">
        <f>IF(A270&lt;&gt;"", SUMIF(Bets!$F:$F, A270, Bets!Z:Z), "")</f>
        <v/>
      </c>
      <c r="C270" s="162"/>
      <c r="D270" s="148"/>
      <c r="E270" s="161"/>
      <c r="F270" s="146" t="str">
        <f>IF(E270&lt;&gt;"", SUMIF(Bets!$F:$F, E270, Bets!AB:AB), "")</f>
        <v/>
      </c>
      <c r="G270" s="162"/>
      <c r="H270" s="148"/>
      <c r="I270" s="161"/>
      <c r="J270" s="146" t="str">
        <f>IF(I270&lt;&gt;"", SUMIF(Bets!$F:$F, I270, Bets!AA:AA),)</f>
        <v/>
      </c>
      <c r="K270" s="162"/>
      <c r="L270" s="148"/>
      <c r="M270" s="161"/>
      <c r="N270" s="146"/>
      <c r="O270" s="162"/>
      <c r="P270" s="148"/>
      <c r="Q270" s="161"/>
      <c r="R270" s="146"/>
      <c r="S270" s="162"/>
      <c r="T270" s="148"/>
      <c r="U270" s="161"/>
      <c r="V270" s="146"/>
      <c r="W270" s="162"/>
      <c r="X270" s="148"/>
      <c r="Y270" s="161"/>
      <c r="Z270" s="146"/>
      <c r="AA270" s="162"/>
      <c r="AB270" s="148"/>
      <c r="AC270" s="161"/>
      <c r="AD270" s="146"/>
      <c r="AE270" s="162"/>
      <c r="AF270" s="148"/>
    </row>
    <row r="271">
      <c r="A271" s="161"/>
      <c r="B271" s="146" t="str">
        <f>IF(A271&lt;&gt;"", SUMIF(Bets!$F:$F, A271, Bets!Z:Z), "")</f>
        <v/>
      </c>
      <c r="C271" s="162"/>
      <c r="D271" s="148"/>
      <c r="E271" s="161"/>
      <c r="F271" s="146" t="str">
        <f>IF(E271&lt;&gt;"", SUMIF(Bets!$F:$F, E271, Bets!AB:AB), "")</f>
        <v/>
      </c>
      <c r="G271" s="162"/>
      <c r="H271" s="148"/>
      <c r="I271" s="161"/>
      <c r="J271" s="146" t="str">
        <f>IF(I271&lt;&gt;"", SUMIF(Bets!$F:$F, I271, Bets!AA:AA),)</f>
        <v/>
      </c>
      <c r="K271" s="162"/>
      <c r="L271" s="148"/>
      <c r="M271" s="161"/>
      <c r="N271" s="146"/>
      <c r="O271" s="162"/>
      <c r="P271" s="148"/>
      <c r="Q271" s="161"/>
      <c r="R271" s="146"/>
      <c r="S271" s="162"/>
      <c r="T271" s="148"/>
      <c r="U271" s="161"/>
      <c r="V271" s="146"/>
      <c r="W271" s="162"/>
      <c r="X271" s="148"/>
      <c r="Y271" s="161"/>
      <c r="Z271" s="146"/>
      <c r="AA271" s="162"/>
      <c r="AB271" s="148"/>
      <c r="AC271" s="161"/>
      <c r="AD271" s="146"/>
      <c r="AE271" s="162"/>
      <c r="AF271" s="148"/>
    </row>
    <row r="272">
      <c r="A272" s="161"/>
      <c r="B272" s="146" t="str">
        <f>IF(A272&lt;&gt;"", SUMIF(Bets!$F:$F, A272, Bets!Z:Z), "")</f>
        <v/>
      </c>
      <c r="C272" s="162"/>
      <c r="D272" s="148"/>
      <c r="E272" s="161"/>
      <c r="F272" s="146" t="str">
        <f>IF(E272&lt;&gt;"", SUMIF(Bets!$F:$F, E272, Bets!AB:AB), "")</f>
        <v/>
      </c>
      <c r="G272" s="162"/>
      <c r="H272" s="148"/>
      <c r="I272" s="161"/>
      <c r="J272" s="146" t="str">
        <f>IF(I272&lt;&gt;"", SUMIF(Bets!$F:$F, I272, Bets!AA:AA),)</f>
        <v/>
      </c>
      <c r="K272" s="162"/>
      <c r="L272" s="148"/>
      <c r="M272" s="161"/>
      <c r="N272" s="146"/>
      <c r="O272" s="162"/>
      <c r="P272" s="148"/>
      <c r="Q272" s="161"/>
      <c r="R272" s="146"/>
      <c r="S272" s="162"/>
      <c r="T272" s="148"/>
      <c r="U272" s="161"/>
      <c r="V272" s="146"/>
      <c r="W272" s="162"/>
      <c r="X272" s="148"/>
      <c r="Y272" s="161"/>
      <c r="Z272" s="146"/>
      <c r="AA272" s="162"/>
      <c r="AB272" s="148"/>
      <c r="AC272" s="161"/>
      <c r="AD272" s="146"/>
      <c r="AE272" s="162"/>
      <c r="AF272" s="148"/>
    </row>
    <row r="273">
      <c r="A273" s="161"/>
      <c r="B273" s="146" t="str">
        <f>IF(A273&lt;&gt;"", SUMIF(Bets!$F:$F, A273, Bets!Z:Z), "")</f>
        <v/>
      </c>
      <c r="C273" s="162"/>
      <c r="D273" s="148"/>
      <c r="E273" s="161"/>
      <c r="F273" s="146" t="str">
        <f>IF(E273&lt;&gt;"", SUMIF(Bets!$F:$F, E273, Bets!AB:AB), "")</f>
        <v/>
      </c>
      <c r="G273" s="162"/>
      <c r="H273" s="148"/>
      <c r="I273" s="161"/>
      <c r="J273" s="146" t="str">
        <f>IF(I273&lt;&gt;"", SUMIF(Bets!$F:$F, I273, Bets!AA:AA),)</f>
        <v/>
      </c>
      <c r="K273" s="162"/>
      <c r="L273" s="148"/>
      <c r="M273" s="161"/>
      <c r="N273" s="146"/>
      <c r="O273" s="162"/>
      <c r="P273" s="148"/>
      <c r="Q273" s="161"/>
      <c r="R273" s="146"/>
      <c r="S273" s="162"/>
      <c r="T273" s="148"/>
      <c r="U273" s="161"/>
      <c r="V273" s="146"/>
      <c r="W273" s="162"/>
      <c r="X273" s="148"/>
      <c r="Y273" s="161"/>
      <c r="Z273" s="146"/>
      <c r="AA273" s="162"/>
      <c r="AB273" s="148"/>
      <c r="AC273" s="161"/>
      <c r="AD273" s="146"/>
      <c r="AE273" s="162"/>
      <c r="AF273" s="148"/>
    </row>
    <row r="274">
      <c r="A274" s="161"/>
      <c r="B274" s="146" t="str">
        <f>IF(A274&lt;&gt;"", SUMIF(Bets!$F:$F, A274, Bets!Z:Z), "")</f>
        <v/>
      </c>
      <c r="C274" s="162"/>
      <c r="D274" s="148"/>
      <c r="E274" s="161"/>
      <c r="F274" s="146" t="str">
        <f>IF(E274&lt;&gt;"", SUMIF(Bets!$F:$F, E274, Bets!AB:AB), "")</f>
        <v/>
      </c>
      <c r="G274" s="162"/>
      <c r="H274" s="148"/>
      <c r="I274" s="161"/>
      <c r="J274" s="146" t="str">
        <f>IF(I274&lt;&gt;"", SUMIF(Bets!$F:$F, I274, Bets!AA:AA),)</f>
        <v/>
      </c>
      <c r="K274" s="162"/>
      <c r="L274" s="148"/>
      <c r="M274" s="161"/>
      <c r="N274" s="146"/>
      <c r="O274" s="162"/>
      <c r="P274" s="148"/>
      <c r="Q274" s="161"/>
      <c r="R274" s="146"/>
      <c r="S274" s="162"/>
      <c r="T274" s="148"/>
      <c r="U274" s="161"/>
      <c r="V274" s="146"/>
      <c r="W274" s="162"/>
      <c r="X274" s="148"/>
      <c r="Y274" s="161"/>
      <c r="Z274" s="146"/>
      <c r="AA274" s="162"/>
      <c r="AB274" s="148"/>
      <c r="AC274" s="161"/>
      <c r="AD274" s="146"/>
      <c r="AE274" s="162"/>
      <c r="AF274" s="148"/>
    </row>
    <row r="275">
      <c r="A275" s="161"/>
      <c r="B275" s="146" t="str">
        <f>IF(A275&lt;&gt;"", SUMIF(Bets!$F:$F, A275, Bets!Z:Z), "")</f>
        <v/>
      </c>
      <c r="C275" s="162"/>
      <c r="D275" s="148"/>
      <c r="E275" s="161"/>
      <c r="F275" s="146" t="str">
        <f>IF(E275&lt;&gt;"", SUMIF(Bets!$F:$F, E275, Bets!AB:AB), "")</f>
        <v/>
      </c>
      <c r="G275" s="162"/>
      <c r="H275" s="148"/>
      <c r="I275" s="161"/>
      <c r="J275" s="146" t="str">
        <f>IF(I275&lt;&gt;"", SUMIF(Bets!$F:$F, I275, Bets!AA:AA),)</f>
        <v/>
      </c>
      <c r="K275" s="162"/>
      <c r="L275" s="148"/>
      <c r="M275" s="161"/>
      <c r="N275" s="146"/>
      <c r="O275" s="162"/>
      <c r="P275" s="148"/>
      <c r="Q275" s="161"/>
      <c r="R275" s="146"/>
      <c r="S275" s="162"/>
      <c r="T275" s="148"/>
      <c r="U275" s="161"/>
      <c r="V275" s="146"/>
      <c r="W275" s="162"/>
      <c r="X275" s="148"/>
      <c r="Y275" s="161"/>
      <c r="Z275" s="146"/>
      <c r="AA275" s="162"/>
      <c r="AB275" s="148"/>
      <c r="AC275" s="161"/>
      <c r="AD275" s="146"/>
      <c r="AE275" s="162"/>
      <c r="AF275" s="148"/>
    </row>
    <row r="276">
      <c r="A276" s="161"/>
      <c r="B276" s="146" t="str">
        <f>IF(A276&lt;&gt;"", SUMIF(Bets!$F:$F, A276, Bets!Z:Z), "")</f>
        <v/>
      </c>
      <c r="C276" s="162"/>
      <c r="D276" s="148"/>
      <c r="E276" s="161"/>
      <c r="F276" s="146" t="str">
        <f>IF(E276&lt;&gt;"", SUMIF(Bets!$F:$F, E276, Bets!AB:AB), "")</f>
        <v/>
      </c>
      <c r="G276" s="162"/>
      <c r="H276" s="148"/>
      <c r="I276" s="161"/>
      <c r="J276" s="146" t="str">
        <f>IF(I276&lt;&gt;"", SUMIF(Bets!$F:$F, I276, Bets!AA:AA),)</f>
        <v/>
      </c>
      <c r="K276" s="162"/>
      <c r="L276" s="148"/>
      <c r="M276" s="161"/>
      <c r="N276" s="146"/>
      <c r="O276" s="162"/>
      <c r="P276" s="148"/>
      <c r="Q276" s="161"/>
      <c r="R276" s="146"/>
      <c r="S276" s="162"/>
      <c r="T276" s="148"/>
      <c r="U276" s="161"/>
      <c r="V276" s="146"/>
      <c r="W276" s="162"/>
      <c r="X276" s="148"/>
      <c r="Y276" s="161"/>
      <c r="Z276" s="146"/>
      <c r="AA276" s="162"/>
      <c r="AB276" s="148"/>
      <c r="AC276" s="161"/>
      <c r="AD276" s="146"/>
      <c r="AE276" s="162"/>
      <c r="AF276" s="148"/>
    </row>
    <row r="277">
      <c r="A277" s="161"/>
      <c r="B277" s="146" t="str">
        <f>IF(A277&lt;&gt;"", SUMIF(Bets!$F:$F, A277, Bets!Z:Z), "")</f>
        <v/>
      </c>
      <c r="C277" s="162"/>
      <c r="D277" s="148"/>
      <c r="E277" s="161"/>
      <c r="F277" s="146" t="str">
        <f>IF(E277&lt;&gt;"", SUMIF(Bets!$F:$F, E277, Bets!AB:AB), "")</f>
        <v/>
      </c>
      <c r="G277" s="162"/>
      <c r="H277" s="148"/>
      <c r="I277" s="161"/>
      <c r="J277" s="146" t="str">
        <f>IF(I277&lt;&gt;"", SUMIF(Bets!$F:$F, I277, Bets!AA:AA),)</f>
        <v/>
      </c>
      <c r="K277" s="162"/>
      <c r="L277" s="148"/>
      <c r="M277" s="161"/>
      <c r="N277" s="146"/>
      <c r="O277" s="162"/>
      <c r="P277" s="148"/>
      <c r="Q277" s="161"/>
      <c r="R277" s="146"/>
      <c r="S277" s="162"/>
      <c r="T277" s="148"/>
      <c r="U277" s="161"/>
      <c r="V277" s="146"/>
      <c r="W277" s="162"/>
      <c r="X277" s="148"/>
      <c r="Y277" s="161"/>
      <c r="Z277" s="146"/>
      <c r="AA277" s="162"/>
      <c r="AB277" s="148"/>
      <c r="AC277" s="161"/>
      <c r="AD277" s="146"/>
      <c r="AE277" s="162"/>
      <c r="AF277" s="148"/>
    </row>
    <row r="278">
      <c r="A278" s="161"/>
      <c r="B278" s="146" t="str">
        <f>IF(A278&lt;&gt;"", SUMIF(Bets!$F:$F, A278, Bets!Z:Z), "")</f>
        <v/>
      </c>
      <c r="C278" s="162"/>
      <c r="D278" s="148"/>
      <c r="E278" s="161"/>
      <c r="F278" s="146" t="str">
        <f>IF(E278&lt;&gt;"", SUMIF(Bets!$F:$F, E278, Bets!AB:AB), "")</f>
        <v/>
      </c>
      <c r="G278" s="162"/>
      <c r="H278" s="148"/>
      <c r="I278" s="161"/>
      <c r="J278" s="146" t="str">
        <f>IF(I278&lt;&gt;"", SUMIF(Bets!$F:$F, I278, Bets!AA:AA),)</f>
        <v/>
      </c>
      <c r="K278" s="162"/>
      <c r="L278" s="148"/>
      <c r="M278" s="161"/>
      <c r="N278" s="146"/>
      <c r="O278" s="162"/>
      <c r="P278" s="148"/>
      <c r="Q278" s="161"/>
      <c r="R278" s="146"/>
      <c r="S278" s="162"/>
      <c r="T278" s="148"/>
      <c r="U278" s="161"/>
      <c r="V278" s="146"/>
      <c r="W278" s="162"/>
      <c r="X278" s="148"/>
      <c r="Y278" s="161"/>
      <c r="Z278" s="146"/>
      <c r="AA278" s="162"/>
      <c r="AB278" s="148"/>
      <c r="AC278" s="161"/>
      <c r="AD278" s="146"/>
      <c r="AE278" s="162"/>
      <c r="AF278" s="148"/>
    </row>
    <row r="279">
      <c r="A279" s="161"/>
      <c r="B279" s="146" t="str">
        <f>IF(A279&lt;&gt;"", SUMIF(Bets!$F:$F, A279, Bets!Z:Z), "")</f>
        <v/>
      </c>
      <c r="C279" s="162"/>
      <c r="D279" s="148"/>
      <c r="E279" s="161"/>
      <c r="F279" s="146" t="str">
        <f>IF(E279&lt;&gt;"", SUMIF(Bets!$F:$F, E279, Bets!AB:AB), "")</f>
        <v/>
      </c>
      <c r="G279" s="162"/>
      <c r="H279" s="148"/>
      <c r="I279" s="161"/>
      <c r="J279" s="146" t="str">
        <f>IF(I279&lt;&gt;"", SUMIF(Bets!$F:$F, I279, Bets!AA:AA),)</f>
        <v/>
      </c>
      <c r="K279" s="162"/>
      <c r="L279" s="148"/>
      <c r="M279" s="161"/>
      <c r="N279" s="146"/>
      <c r="O279" s="162"/>
      <c r="P279" s="148"/>
      <c r="Q279" s="161"/>
      <c r="R279" s="146"/>
      <c r="S279" s="162"/>
      <c r="T279" s="148"/>
      <c r="U279" s="161"/>
      <c r="V279" s="146"/>
      <c r="W279" s="162"/>
      <c r="X279" s="148"/>
      <c r="Y279" s="161"/>
      <c r="Z279" s="146"/>
      <c r="AA279" s="162"/>
      <c r="AB279" s="148"/>
      <c r="AC279" s="161"/>
      <c r="AD279" s="146"/>
      <c r="AE279" s="162"/>
      <c r="AF279" s="148"/>
    </row>
    <row r="280">
      <c r="A280" s="161"/>
      <c r="B280" s="146" t="str">
        <f>IF(A280&lt;&gt;"", SUMIF(Bets!$F:$F, A280, Bets!Z:Z), "")</f>
        <v/>
      </c>
      <c r="C280" s="162"/>
      <c r="D280" s="148"/>
      <c r="E280" s="161"/>
      <c r="F280" s="146" t="str">
        <f>IF(E280&lt;&gt;"", SUMIF(Bets!$F:$F, E280, Bets!AB:AB), "")</f>
        <v/>
      </c>
      <c r="G280" s="162"/>
      <c r="H280" s="148"/>
      <c r="I280" s="161"/>
      <c r="J280" s="146" t="str">
        <f>IF(I280&lt;&gt;"", SUMIF(Bets!$F:$F, I280, Bets!AA:AA),)</f>
        <v/>
      </c>
      <c r="K280" s="162"/>
      <c r="L280" s="148"/>
      <c r="M280" s="161"/>
      <c r="N280" s="146"/>
      <c r="O280" s="162"/>
      <c r="P280" s="148"/>
      <c r="Q280" s="161"/>
      <c r="R280" s="146"/>
      <c r="S280" s="162"/>
      <c r="T280" s="148"/>
      <c r="U280" s="161"/>
      <c r="V280" s="146"/>
      <c r="W280" s="162"/>
      <c r="X280" s="148"/>
      <c r="Y280" s="161"/>
      <c r="Z280" s="146"/>
      <c r="AA280" s="162"/>
      <c r="AB280" s="148"/>
      <c r="AC280" s="161"/>
      <c r="AD280" s="146"/>
      <c r="AE280" s="162"/>
      <c r="AF280" s="148"/>
    </row>
    <row r="281">
      <c r="A281" s="161"/>
      <c r="B281" s="146" t="str">
        <f>IF(A281&lt;&gt;"", SUMIF(Bets!$F:$F, A281, Bets!Z:Z), "")</f>
        <v/>
      </c>
      <c r="C281" s="162"/>
      <c r="D281" s="148"/>
      <c r="E281" s="161"/>
      <c r="F281" s="146" t="str">
        <f>IF(E281&lt;&gt;"", SUMIF(Bets!$F:$F, E281, Bets!AB:AB), "")</f>
        <v/>
      </c>
      <c r="G281" s="162"/>
      <c r="H281" s="148"/>
      <c r="I281" s="161"/>
      <c r="J281" s="146" t="str">
        <f>IF(I281&lt;&gt;"", SUMIF(Bets!$F:$F, I281, Bets!AA:AA),)</f>
        <v/>
      </c>
      <c r="K281" s="162"/>
      <c r="L281" s="148"/>
      <c r="M281" s="161"/>
      <c r="N281" s="146"/>
      <c r="O281" s="162"/>
      <c r="P281" s="148"/>
      <c r="Q281" s="161"/>
      <c r="R281" s="146"/>
      <c r="S281" s="162"/>
      <c r="T281" s="148"/>
      <c r="U281" s="161"/>
      <c r="V281" s="146"/>
      <c r="W281" s="162"/>
      <c r="X281" s="148"/>
      <c r="Y281" s="161"/>
      <c r="Z281" s="146"/>
      <c r="AA281" s="162"/>
      <c r="AB281" s="148"/>
      <c r="AC281" s="161"/>
      <c r="AD281" s="146"/>
      <c r="AE281" s="162"/>
      <c r="AF281" s="148"/>
    </row>
    <row r="282">
      <c r="A282" s="161"/>
      <c r="B282" s="146" t="str">
        <f>IF(A282&lt;&gt;"", SUMIF(Bets!$F:$F, A282, Bets!Z:Z), "")</f>
        <v/>
      </c>
      <c r="C282" s="162"/>
      <c r="D282" s="148"/>
      <c r="E282" s="161"/>
      <c r="F282" s="146" t="str">
        <f>IF(E282&lt;&gt;"", SUMIF(Bets!$F:$F, E282, Bets!AB:AB), "")</f>
        <v/>
      </c>
      <c r="G282" s="162"/>
      <c r="H282" s="148"/>
      <c r="I282" s="161"/>
      <c r="J282" s="146" t="str">
        <f>IF(I282&lt;&gt;"", SUMIF(Bets!$F:$F, I282, Bets!AA:AA),)</f>
        <v/>
      </c>
      <c r="K282" s="162"/>
      <c r="L282" s="148"/>
      <c r="M282" s="161"/>
      <c r="N282" s="146"/>
      <c r="O282" s="162"/>
      <c r="P282" s="148"/>
      <c r="Q282" s="161"/>
      <c r="R282" s="146"/>
      <c r="S282" s="162"/>
      <c r="T282" s="148"/>
      <c r="U282" s="161"/>
      <c r="V282" s="146"/>
      <c r="W282" s="162"/>
      <c r="X282" s="148"/>
      <c r="Y282" s="161"/>
      <c r="Z282" s="146"/>
      <c r="AA282" s="162"/>
      <c r="AB282" s="148"/>
      <c r="AC282" s="161"/>
      <c r="AD282" s="146"/>
      <c r="AE282" s="162"/>
      <c r="AF282" s="148"/>
    </row>
    <row r="283">
      <c r="A283" s="161"/>
      <c r="B283" s="146" t="str">
        <f>IF(A283&lt;&gt;"", SUMIF(Bets!$F:$F, A283, Bets!Z:Z), "")</f>
        <v/>
      </c>
      <c r="C283" s="162"/>
      <c r="D283" s="148"/>
      <c r="E283" s="161"/>
      <c r="F283" s="146" t="str">
        <f>IF(E283&lt;&gt;"", SUMIF(Bets!$F:$F, E283, Bets!AB:AB), "")</f>
        <v/>
      </c>
      <c r="G283" s="162"/>
      <c r="H283" s="148"/>
      <c r="I283" s="161"/>
      <c r="J283" s="146" t="str">
        <f>IF(I283&lt;&gt;"", SUMIF(Bets!$F:$F, I283, Bets!AA:AA),)</f>
        <v/>
      </c>
      <c r="K283" s="162"/>
      <c r="L283" s="148"/>
      <c r="M283" s="161"/>
      <c r="N283" s="146"/>
      <c r="O283" s="162"/>
      <c r="P283" s="148"/>
      <c r="Q283" s="161"/>
      <c r="R283" s="146"/>
      <c r="S283" s="162"/>
      <c r="T283" s="148"/>
      <c r="U283" s="161"/>
      <c r="V283" s="146"/>
      <c r="W283" s="162"/>
      <c r="X283" s="148"/>
      <c r="Y283" s="161"/>
      <c r="Z283" s="146"/>
      <c r="AA283" s="162"/>
      <c r="AB283" s="148"/>
      <c r="AC283" s="161"/>
      <c r="AD283" s="146"/>
      <c r="AE283" s="162"/>
      <c r="AF283" s="148"/>
    </row>
    <row r="284">
      <c r="A284" s="161"/>
      <c r="B284" s="146" t="str">
        <f>IF(A284&lt;&gt;"", SUMIF(Bets!$F:$F, A284, Bets!Z:Z), "")</f>
        <v/>
      </c>
      <c r="C284" s="162"/>
      <c r="D284" s="148"/>
      <c r="E284" s="161"/>
      <c r="F284" s="146" t="str">
        <f>IF(E284&lt;&gt;"", SUMIF(Bets!$F:$F, E284, Bets!AB:AB), "")</f>
        <v/>
      </c>
      <c r="G284" s="162"/>
      <c r="H284" s="148"/>
      <c r="I284" s="161"/>
      <c r="J284" s="146" t="str">
        <f>IF(I284&lt;&gt;"", SUMIF(Bets!$F:$F, I284, Bets!AA:AA),)</f>
        <v/>
      </c>
      <c r="K284" s="162"/>
      <c r="L284" s="148"/>
      <c r="M284" s="161"/>
      <c r="N284" s="146"/>
      <c r="O284" s="162"/>
      <c r="P284" s="148"/>
      <c r="Q284" s="161"/>
      <c r="R284" s="146"/>
      <c r="S284" s="162"/>
      <c r="T284" s="148"/>
      <c r="U284" s="161"/>
      <c r="V284" s="146"/>
      <c r="W284" s="162"/>
      <c r="X284" s="148"/>
      <c r="Y284" s="161"/>
      <c r="Z284" s="146"/>
      <c r="AA284" s="162"/>
      <c r="AB284" s="148"/>
      <c r="AC284" s="161"/>
      <c r="AD284" s="146"/>
      <c r="AE284" s="162"/>
      <c r="AF284" s="148"/>
    </row>
    <row r="285">
      <c r="A285" s="161"/>
      <c r="B285" s="146" t="str">
        <f>IF(A285&lt;&gt;"", SUMIF(Bets!$F:$F, A285, Bets!Z:Z), "")</f>
        <v/>
      </c>
      <c r="C285" s="162"/>
      <c r="D285" s="148"/>
      <c r="E285" s="161"/>
      <c r="F285" s="146" t="str">
        <f>IF(E285&lt;&gt;"", SUMIF(Bets!$F:$F, E285, Bets!AB:AB), "")</f>
        <v/>
      </c>
      <c r="G285" s="162"/>
      <c r="H285" s="148"/>
      <c r="I285" s="161"/>
      <c r="J285" s="146" t="str">
        <f>IF(I285&lt;&gt;"", SUMIF(Bets!$F:$F, I285, Bets!AA:AA),)</f>
        <v/>
      </c>
      <c r="K285" s="162"/>
      <c r="L285" s="148"/>
      <c r="M285" s="161"/>
      <c r="N285" s="146"/>
      <c r="O285" s="162"/>
      <c r="P285" s="148"/>
      <c r="Q285" s="161"/>
      <c r="R285" s="146"/>
      <c r="S285" s="162"/>
      <c r="T285" s="148"/>
      <c r="U285" s="161"/>
      <c r="V285" s="146"/>
      <c r="W285" s="162"/>
      <c r="X285" s="148"/>
      <c r="Y285" s="161"/>
      <c r="Z285" s="146"/>
      <c r="AA285" s="162"/>
      <c r="AB285" s="148"/>
      <c r="AC285" s="161"/>
      <c r="AD285" s="146"/>
      <c r="AE285" s="162"/>
      <c r="AF285" s="148"/>
    </row>
    <row r="286">
      <c r="A286" s="161"/>
      <c r="B286" s="146" t="str">
        <f>IF(A286&lt;&gt;"", SUMIF(Bets!$F:$F, A286, Bets!Z:Z), "")</f>
        <v/>
      </c>
      <c r="C286" s="162"/>
      <c r="D286" s="148"/>
      <c r="E286" s="161"/>
      <c r="F286" s="146" t="str">
        <f>IF(E286&lt;&gt;"", SUMIF(Bets!$F:$F, E286, Bets!AB:AB), "")</f>
        <v/>
      </c>
      <c r="G286" s="162"/>
      <c r="H286" s="148"/>
      <c r="I286" s="161"/>
      <c r="J286" s="146" t="str">
        <f>IF(I286&lt;&gt;"", SUMIF(Bets!$F:$F, I286, Bets!AA:AA),)</f>
        <v/>
      </c>
      <c r="K286" s="162"/>
      <c r="L286" s="148"/>
      <c r="M286" s="161"/>
      <c r="N286" s="146"/>
      <c r="O286" s="162"/>
      <c r="P286" s="148"/>
      <c r="Q286" s="161"/>
      <c r="R286" s="146"/>
      <c r="S286" s="162"/>
      <c r="T286" s="148"/>
      <c r="U286" s="161"/>
      <c r="V286" s="146"/>
      <c r="W286" s="162"/>
      <c r="X286" s="148"/>
      <c r="Y286" s="161"/>
      <c r="Z286" s="146"/>
      <c r="AA286" s="162"/>
      <c r="AB286" s="148"/>
      <c r="AC286" s="161"/>
      <c r="AD286" s="146"/>
      <c r="AE286" s="162"/>
      <c r="AF286" s="148"/>
    </row>
    <row r="287">
      <c r="A287" s="161"/>
      <c r="B287" s="146" t="str">
        <f>IF(A287&lt;&gt;"", SUMIF(Bets!$F:$F, A287, Bets!Z:Z), "")</f>
        <v/>
      </c>
      <c r="C287" s="162"/>
      <c r="D287" s="148"/>
      <c r="E287" s="161"/>
      <c r="F287" s="146" t="str">
        <f>IF(E287&lt;&gt;"", SUMIF(Bets!$F:$F, E287, Bets!AB:AB), "")</f>
        <v/>
      </c>
      <c r="G287" s="162"/>
      <c r="H287" s="148"/>
      <c r="I287" s="161"/>
      <c r="J287" s="146" t="str">
        <f>IF(I287&lt;&gt;"", SUMIF(Bets!$F:$F, I287, Bets!AA:AA),)</f>
        <v/>
      </c>
      <c r="K287" s="162"/>
      <c r="L287" s="148"/>
      <c r="M287" s="161"/>
      <c r="N287" s="146"/>
      <c r="O287" s="162"/>
      <c r="P287" s="148"/>
      <c r="Q287" s="161"/>
      <c r="R287" s="146"/>
      <c r="S287" s="162"/>
      <c r="T287" s="148"/>
      <c r="U287" s="161"/>
      <c r="V287" s="146"/>
      <c r="W287" s="162"/>
      <c r="X287" s="148"/>
      <c r="Y287" s="161"/>
      <c r="Z287" s="146"/>
      <c r="AA287" s="162"/>
      <c r="AB287" s="148"/>
      <c r="AC287" s="161"/>
      <c r="AD287" s="146"/>
      <c r="AE287" s="162"/>
      <c r="AF287" s="148"/>
    </row>
    <row r="288">
      <c r="A288" s="161"/>
      <c r="B288" s="146" t="str">
        <f>IF(A288&lt;&gt;"", SUMIF(Bets!$F:$F, A288, Bets!Z:Z), "")</f>
        <v/>
      </c>
      <c r="C288" s="162"/>
      <c r="D288" s="148"/>
      <c r="E288" s="161"/>
      <c r="F288" s="146" t="str">
        <f>IF(E288&lt;&gt;"", SUMIF(Bets!$F:$F, E288, Bets!AB:AB), "")</f>
        <v/>
      </c>
      <c r="G288" s="162"/>
      <c r="H288" s="148"/>
      <c r="I288" s="161"/>
      <c r="J288" s="146" t="str">
        <f>IF(I288&lt;&gt;"", SUMIF(Bets!$F:$F, I288, Bets!AA:AA),)</f>
        <v/>
      </c>
      <c r="K288" s="162"/>
      <c r="L288" s="148"/>
      <c r="M288" s="161"/>
      <c r="N288" s="146"/>
      <c r="O288" s="162"/>
      <c r="P288" s="148"/>
      <c r="Q288" s="161"/>
      <c r="R288" s="146"/>
      <c r="S288" s="162"/>
      <c r="T288" s="148"/>
      <c r="U288" s="161"/>
      <c r="V288" s="146"/>
      <c r="W288" s="162"/>
      <c r="X288" s="148"/>
      <c r="Y288" s="161"/>
      <c r="Z288" s="146"/>
      <c r="AA288" s="162"/>
      <c r="AB288" s="148"/>
      <c r="AC288" s="161"/>
      <c r="AD288" s="146"/>
      <c r="AE288" s="162"/>
      <c r="AF288" s="148"/>
    </row>
    <row r="289">
      <c r="A289" s="161"/>
      <c r="B289" s="146" t="str">
        <f>IF(A289&lt;&gt;"", SUMIF(Bets!$F:$F, A289, Bets!Z:Z), "")</f>
        <v/>
      </c>
      <c r="C289" s="162"/>
      <c r="D289" s="148"/>
      <c r="E289" s="161"/>
      <c r="F289" s="146" t="str">
        <f>IF(E289&lt;&gt;"", SUMIF(Bets!$F:$F, E289, Bets!AB:AB), "")</f>
        <v/>
      </c>
      <c r="G289" s="162"/>
      <c r="H289" s="148"/>
      <c r="I289" s="161"/>
      <c r="J289" s="146" t="str">
        <f>IF(I289&lt;&gt;"", SUMIF(Bets!$F:$F, I289, Bets!AA:AA),)</f>
        <v/>
      </c>
      <c r="K289" s="162"/>
      <c r="L289" s="148"/>
      <c r="M289" s="161"/>
      <c r="N289" s="146"/>
      <c r="O289" s="162"/>
      <c r="P289" s="148"/>
      <c r="Q289" s="161"/>
      <c r="R289" s="146"/>
      <c r="S289" s="162"/>
      <c r="T289" s="148"/>
      <c r="U289" s="161"/>
      <c r="V289" s="146"/>
      <c r="W289" s="162"/>
      <c r="X289" s="148"/>
      <c r="Y289" s="161"/>
      <c r="Z289" s="146"/>
      <c r="AA289" s="162"/>
      <c r="AB289" s="148"/>
      <c r="AC289" s="161"/>
      <c r="AD289" s="146"/>
      <c r="AE289" s="162"/>
      <c r="AF289" s="148"/>
    </row>
    <row r="290">
      <c r="A290" s="161"/>
      <c r="B290" s="146" t="str">
        <f>IF(A290&lt;&gt;"", SUMIF(Bets!$F:$F, A290, Bets!Z:Z), "")</f>
        <v/>
      </c>
      <c r="C290" s="162"/>
      <c r="D290" s="148"/>
      <c r="E290" s="161"/>
      <c r="F290" s="146" t="str">
        <f>IF(E290&lt;&gt;"", SUMIF(Bets!$F:$F, E290, Bets!AB:AB), "")</f>
        <v/>
      </c>
      <c r="G290" s="162"/>
      <c r="H290" s="148"/>
      <c r="I290" s="161"/>
      <c r="J290" s="146" t="str">
        <f>IF(I290&lt;&gt;"", SUMIF(Bets!$F:$F, I290, Bets!AA:AA),)</f>
        <v/>
      </c>
      <c r="K290" s="162"/>
      <c r="L290" s="148"/>
      <c r="M290" s="161"/>
      <c r="N290" s="146"/>
      <c r="O290" s="162"/>
      <c r="P290" s="148"/>
      <c r="Q290" s="161"/>
      <c r="R290" s="146"/>
      <c r="S290" s="162"/>
      <c r="T290" s="148"/>
      <c r="U290" s="161"/>
      <c r="V290" s="146"/>
      <c r="W290" s="162"/>
      <c r="X290" s="148"/>
      <c r="Y290" s="161"/>
      <c r="Z290" s="146"/>
      <c r="AA290" s="162"/>
      <c r="AB290" s="148"/>
      <c r="AC290" s="161"/>
      <c r="AD290" s="146"/>
      <c r="AE290" s="162"/>
      <c r="AF290" s="148"/>
    </row>
    <row r="291">
      <c r="A291" s="161"/>
      <c r="B291" s="146" t="str">
        <f>IF(A291&lt;&gt;"", SUMIF(Bets!$F:$F, A291, Bets!Z:Z), "")</f>
        <v/>
      </c>
      <c r="C291" s="162"/>
      <c r="D291" s="148"/>
      <c r="E291" s="161"/>
      <c r="F291" s="146" t="str">
        <f>IF(E291&lt;&gt;"", SUMIF(Bets!$F:$F, E291, Bets!AB:AB), "")</f>
        <v/>
      </c>
      <c r="G291" s="162"/>
      <c r="H291" s="148"/>
      <c r="I291" s="161"/>
      <c r="J291" s="146" t="str">
        <f>IF(I291&lt;&gt;"", SUMIF(Bets!$F:$F, I291, Bets!AA:AA),)</f>
        <v/>
      </c>
      <c r="K291" s="162"/>
      <c r="L291" s="148"/>
      <c r="M291" s="161"/>
      <c r="N291" s="146"/>
      <c r="O291" s="162"/>
      <c r="P291" s="148"/>
      <c r="Q291" s="161"/>
      <c r="R291" s="146"/>
      <c r="S291" s="162"/>
      <c r="T291" s="148"/>
      <c r="U291" s="161"/>
      <c r="V291" s="146"/>
      <c r="W291" s="162"/>
      <c r="X291" s="148"/>
      <c r="Y291" s="161"/>
      <c r="Z291" s="146"/>
      <c r="AA291" s="162"/>
      <c r="AB291" s="148"/>
      <c r="AC291" s="161"/>
      <c r="AD291" s="146"/>
      <c r="AE291" s="162"/>
      <c r="AF291" s="148"/>
    </row>
    <row r="292">
      <c r="A292" s="161"/>
      <c r="B292" s="146" t="str">
        <f>IF(A292&lt;&gt;"", SUMIF(Bets!$F:$F, A292, Bets!Z:Z), "")</f>
        <v/>
      </c>
      <c r="C292" s="162"/>
      <c r="D292" s="148"/>
      <c r="E292" s="161"/>
      <c r="F292" s="146" t="str">
        <f>IF(E292&lt;&gt;"", SUMIF(Bets!$F:$F, E292, Bets!AB:AB), "")</f>
        <v/>
      </c>
      <c r="G292" s="162"/>
      <c r="H292" s="148"/>
      <c r="I292" s="161"/>
      <c r="J292" s="146" t="str">
        <f>IF(I292&lt;&gt;"", SUMIF(Bets!$F:$F, I292, Bets!AA:AA),)</f>
        <v/>
      </c>
      <c r="K292" s="162"/>
      <c r="L292" s="148"/>
      <c r="M292" s="161"/>
      <c r="N292" s="146"/>
      <c r="O292" s="162"/>
      <c r="P292" s="148"/>
      <c r="Q292" s="161"/>
      <c r="R292" s="146"/>
      <c r="S292" s="162"/>
      <c r="T292" s="148"/>
      <c r="U292" s="161"/>
      <c r="V292" s="146"/>
      <c r="W292" s="162"/>
      <c r="X292" s="148"/>
      <c r="Y292" s="161"/>
      <c r="Z292" s="146"/>
      <c r="AA292" s="162"/>
      <c r="AB292" s="148"/>
      <c r="AC292" s="161"/>
      <c r="AD292" s="146"/>
      <c r="AE292" s="162"/>
      <c r="AF292" s="148"/>
    </row>
    <row r="293">
      <c r="A293" s="161"/>
      <c r="B293" s="146" t="str">
        <f>IF(A293&lt;&gt;"", SUMIF(Bets!$F:$F, A293, Bets!Z:Z), "")</f>
        <v/>
      </c>
      <c r="C293" s="162"/>
      <c r="D293" s="148"/>
      <c r="E293" s="161"/>
      <c r="F293" s="146" t="str">
        <f>IF(E293&lt;&gt;"", SUMIF(Bets!$F:$F, E293, Bets!AB:AB), "")</f>
        <v/>
      </c>
      <c r="G293" s="162"/>
      <c r="H293" s="148"/>
      <c r="I293" s="161"/>
      <c r="J293" s="146" t="str">
        <f>IF(I293&lt;&gt;"", SUMIF(Bets!$F:$F, I293, Bets!AA:AA),)</f>
        <v/>
      </c>
      <c r="K293" s="162"/>
      <c r="L293" s="148"/>
      <c r="M293" s="161"/>
      <c r="N293" s="146"/>
      <c r="O293" s="162"/>
      <c r="P293" s="148"/>
      <c r="Q293" s="161"/>
      <c r="R293" s="146"/>
      <c r="S293" s="162"/>
      <c r="T293" s="148"/>
      <c r="U293" s="161"/>
      <c r="V293" s="146"/>
      <c r="W293" s="162"/>
      <c r="X293" s="148"/>
      <c r="Y293" s="161"/>
      <c r="Z293" s="146"/>
      <c r="AA293" s="162"/>
      <c r="AB293" s="148"/>
      <c r="AC293" s="161"/>
      <c r="AD293" s="146"/>
      <c r="AE293" s="162"/>
      <c r="AF293" s="148"/>
    </row>
    <row r="294">
      <c r="A294" s="161"/>
      <c r="B294" s="146" t="str">
        <f>IF(A294&lt;&gt;"", SUMIF(Bets!$F:$F, A294, Bets!Z:Z), "")</f>
        <v/>
      </c>
      <c r="C294" s="162"/>
      <c r="D294" s="148"/>
      <c r="E294" s="161"/>
      <c r="F294" s="146" t="str">
        <f>IF(E294&lt;&gt;"", SUMIF(Bets!$F:$F, E294, Bets!AB:AB), "")</f>
        <v/>
      </c>
      <c r="G294" s="162"/>
      <c r="H294" s="148"/>
      <c r="I294" s="161"/>
      <c r="J294" s="146" t="str">
        <f>IF(I294&lt;&gt;"", SUMIF(Bets!$F:$F, I294, Bets!AA:AA),)</f>
        <v/>
      </c>
      <c r="K294" s="162"/>
      <c r="L294" s="148"/>
      <c r="M294" s="161"/>
      <c r="N294" s="146"/>
      <c r="O294" s="162"/>
      <c r="P294" s="148"/>
      <c r="Q294" s="161"/>
      <c r="R294" s="146"/>
      <c r="S294" s="162"/>
      <c r="T294" s="148"/>
      <c r="U294" s="161"/>
      <c r="V294" s="146"/>
      <c r="W294" s="162"/>
      <c r="X294" s="148"/>
      <c r="Y294" s="161"/>
      <c r="Z294" s="146"/>
      <c r="AA294" s="162"/>
      <c r="AB294" s="148"/>
      <c r="AC294" s="161"/>
      <c r="AD294" s="146"/>
      <c r="AE294" s="162"/>
      <c r="AF294" s="148"/>
    </row>
    <row r="295">
      <c r="A295" s="161"/>
      <c r="B295" s="146" t="str">
        <f>IF(A295&lt;&gt;"", SUMIF(Bets!$F:$F, A295, Bets!Z:Z), "")</f>
        <v/>
      </c>
      <c r="C295" s="162"/>
      <c r="D295" s="148"/>
      <c r="E295" s="161"/>
      <c r="F295" s="146" t="str">
        <f>IF(E295&lt;&gt;"", SUMIF(Bets!$F:$F, E295, Bets!AB:AB), "")</f>
        <v/>
      </c>
      <c r="G295" s="162"/>
      <c r="H295" s="148"/>
      <c r="I295" s="161"/>
      <c r="J295" s="146" t="str">
        <f>IF(I295&lt;&gt;"", SUMIF(Bets!$F:$F, I295, Bets!AA:AA),)</f>
        <v/>
      </c>
      <c r="K295" s="162"/>
      <c r="L295" s="148"/>
      <c r="M295" s="161"/>
      <c r="N295" s="146"/>
      <c r="O295" s="162"/>
      <c r="P295" s="148"/>
      <c r="Q295" s="161"/>
      <c r="R295" s="146"/>
      <c r="S295" s="162"/>
      <c r="T295" s="148"/>
      <c r="U295" s="161"/>
      <c r="V295" s="146"/>
      <c r="W295" s="162"/>
      <c r="X295" s="148"/>
      <c r="Y295" s="161"/>
      <c r="Z295" s="146"/>
      <c r="AA295" s="162"/>
      <c r="AB295" s="148"/>
      <c r="AC295" s="161"/>
      <c r="AD295" s="146"/>
      <c r="AE295" s="162"/>
      <c r="AF295" s="148"/>
    </row>
    <row r="296">
      <c r="A296" s="161"/>
      <c r="B296" s="146" t="str">
        <f>IF(A296&lt;&gt;"", SUMIF(Bets!$F:$F, A296, Bets!Z:Z), "")</f>
        <v/>
      </c>
      <c r="C296" s="162"/>
      <c r="D296" s="148"/>
      <c r="E296" s="161"/>
      <c r="F296" s="146" t="str">
        <f>IF(E296&lt;&gt;"", SUMIF(Bets!$F:$F, E296, Bets!AB:AB), "")</f>
        <v/>
      </c>
      <c r="G296" s="162"/>
      <c r="H296" s="148"/>
      <c r="I296" s="161"/>
      <c r="J296" s="146" t="str">
        <f>IF(I296&lt;&gt;"", SUMIF(Bets!$F:$F, I296, Bets!AA:AA),)</f>
        <v/>
      </c>
      <c r="K296" s="162"/>
      <c r="L296" s="148"/>
      <c r="M296" s="161"/>
      <c r="N296" s="146"/>
      <c r="O296" s="162"/>
      <c r="P296" s="148"/>
      <c r="Q296" s="161"/>
      <c r="R296" s="146"/>
      <c r="S296" s="162"/>
      <c r="T296" s="148"/>
      <c r="U296" s="161"/>
      <c r="V296" s="146"/>
      <c r="W296" s="162"/>
      <c r="X296" s="148"/>
      <c r="Y296" s="161"/>
      <c r="Z296" s="146"/>
      <c r="AA296" s="162"/>
      <c r="AB296" s="148"/>
      <c r="AC296" s="161"/>
      <c r="AD296" s="146"/>
      <c r="AE296" s="162"/>
      <c r="AF296" s="148"/>
    </row>
    <row r="297">
      <c r="A297" s="161"/>
      <c r="B297" s="146" t="str">
        <f>IF(A297&lt;&gt;"", SUMIF(Bets!$F:$F, A297, Bets!Z:Z), "")</f>
        <v/>
      </c>
      <c r="C297" s="162"/>
      <c r="D297" s="148"/>
      <c r="E297" s="161"/>
      <c r="F297" s="146" t="str">
        <f>IF(E297&lt;&gt;"", SUMIF(Bets!$F:$F, E297, Bets!AB:AB), "")</f>
        <v/>
      </c>
      <c r="G297" s="162"/>
      <c r="H297" s="148"/>
      <c r="I297" s="161"/>
      <c r="J297" s="146" t="str">
        <f>IF(I297&lt;&gt;"", SUMIF(Bets!$F:$F, I297, Bets!AA:AA),)</f>
        <v/>
      </c>
      <c r="K297" s="162"/>
      <c r="L297" s="148"/>
      <c r="M297" s="161"/>
      <c r="N297" s="146"/>
      <c r="O297" s="162"/>
      <c r="P297" s="148"/>
      <c r="Q297" s="161"/>
      <c r="R297" s="146"/>
      <c r="S297" s="162"/>
      <c r="T297" s="148"/>
      <c r="U297" s="161"/>
      <c r="V297" s="146"/>
      <c r="W297" s="162"/>
      <c r="X297" s="148"/>
      <c r="Y297" s="161"/>
      <c r="Z297" s="146"/>
      <c r="AA297" s="162"/>
      <c r="AB297" s="148"/>
      <c r="AC297" s="161"/>
      <c r="AD297" s="146"/>
      <c r="AE297" s="162"/>
      <c r="AF297" s="148"/>
    </row>
    <row r="298">
      <c r="A298" s="161"/>
      <c r="B298" s="146" t="str">
        <f>IF(A298&lt;&gt;"", SUMIF(Bets!$F:$F, A298, Bets!Z:Z), "")</f>
        <v/>
      </c>
      <c r="C298" s="162"/>
      <c r="D298" s="148"/>
      <c r="E298" s="161"/>
      <c r="F298" s="146" t="str">
        <f>IF(E298&lt;&gt;"", SUMIF(Bets!$F:$F, E298, Bets!AB:AB), "")</f>
        <v/>
      </c>
      <c r="G298" s="162"/>
      <c r="H298" s="148"/>
      <c r="I298" s="161"/>
      <c r="J298" s="146" t="str">
        <f>IF(I298&lt;&gt;"", SUMIF(Bets!$F:$F, I298, Bets!AA:AA),)</f>
        <v/>
      </c>
      <c r="K298" s="162"/>
      <c r="L298" s="148"/>
      <c r="M298" s="161"/>
      <c r="N298" s="146"/>
      <c r="O298" s="162"/>
      <c r="P298" s="148"/>
      <c r="Q298" s="161"/>
      <c r="R298" s="146"/>
      <c r="S298" s="162"/>
      <c r="T298" s="148"/>
      <c r="U298" s="161"/>
      <c r="V298" s="146"/>
      <c r="W298" s="162"/>
      <c r="X298" s="148"/>
      <c r="Y298" s="161"/>
      <c r="Z298" s="146"/>
      <c r="AA298" s="162"/>
      <c r="AB298" s="148"/>
      <c r="AC298" s="161"/>
      <c r="AD298" s="146"/>
      <c r="AE298" s="162"/>
      <c r="AF298" s="148"/>
    </row>
    <row r="299">
      <c r="A299" s="161"/>
      <c r="B299" s="146" t="str">
        <f>IF(A299&lt;&gt;"", SUMIF(Bets!$F:$F, A299, Bets!Z:Z), "")</f>
        <v/>
      </c>
      <c r="C299" s="162"/>
      <c r="D299" s="148"/>
      <c r="E299" s="161"/>
      <c r="F299" s="146" t="str">
        <f>IF(E299&lt;&gt;"", SUMIF(Bets!$F:$F, E299, Bets!AB:AB), "")</f>
        <v/>
      </c>
      <c r="G299" s="162"/>
      <c r="H299" s="148"/>
      <c r="I299" s="161"/>
      <c r="J299" s="146" t="str">
        <f>IF(I299&lt;&gt;"", SUMIF(Bets!$F:$F, I299, Bets!AA:AA),)</f>
        <v/>
      </c>
      <c r="K299" s="162"/>
      <c r="L299" s="148"/>
      <c r="M299" s="161"/>
      <c r="N299" s="146"/>
      <c r="O299" s="162"/>
      <c r="P299" s="148"/>
      <c r="Q299" s="161"/>
      <c r="R299" s="146"/>
      <c r="S299" s="162"/>
      <c r="T299" s="148"/>
      <c r="U299" s="161"/>
      <c r="V299" s="146"/>
      <c r="W299" s="162"/>
      <c r="X299" s="148"/>
      <c r="Y299" s="161"/>
      <c r="Z299" s="146"/>
      <c r="AA299" s="162"/>
      <c r="AB299" s="148"/>
      <c r="AC299" s="161"/>
      <c r="AD299" s="146"/>
      <c r="AE299" s="162"/>
      <c r="AF299" s="148"/>
    </row>
    <row r="300">
      <c r="A300" s="161"/>
      <c r="B300" s="146" t="str">
        <f>IF(A300&lt;&gt;"", SUMIF(Bets!$F:$F, A300, Bets!Z:Z), "")</f>
        <v/>
      </c>
      <c r="C300" s="162"/>
      <c r="D300" s="148"/>
      <c r="E300" s="161"/>
      <c r="F300" s="146" t="str">
        <f>IF(E300&lt;&gt;"", SUMIF(Bets!$F:$F, E300, Bets!AB:AB), "")</f>
        <v/>
      </c>
      <c r="G300" s="162"/>
      <c r="H300" s="148"/>
      <c r="I300" s="161"/>
      <c r="J300" s="146" t="str">
        <f>IF(I300&lt;&gt;"", SUMIF(Bets!$F:$F, I300, Bets!AA:AA),)</f>
        <v/>
      </c>
      <c r="K300" s="162"/>
      <c r="L300" s="148"/>
      <c r="M300" s="161"/>
      <c r="N300" s="146"/>
      <c r="O300" s="162"/>
      <c r="P300" s="148"/>
      <c r="Q300" s="161"/>
      <c r="R300" s="146"/>
      <c r="S300" s="162"/>
      <c r="T300" s="148"/>
      <c r="U300" s="161"/>
      <c r="V300" s="146"/>
      <c r="W300" s="162"/>
      <c r="X300" s="148"/>
      <c r="Y300" s="161"/>
      <c r="Z300" s="146"/>
      <c r="AA300" s="162"/>
      <c r="AB300" s="148"/>
      <c r="AC300" s="161"/>
      <c r="AD300" s="146"/>
      <c r="AE300" s="162"/>
      <c r="AF300" s="148"/>
    </row>
    <row r="301">
      <c r="A301" s="161"/>
      <c r="B301" s="146" t="str">
        <f>IF(A301&lt;&gt;"", SUMIF(Bets!$F:$F, A301, Bets!Z:Z), "")</f>
        <v/>
      </c>
      <c r="C301" s="162"/>
      <c r="D301" s="148"/>
      <c r="E301" s="161"/>
      <c r="F301" s="146" t="str">
        <f>IF(E301&lt;&gt;"", SUMIF(Bets!$F:$F, E301, Bets!AB:AB), "")</f>
        <v/>
      </c>
      <c r="G301" s="162"/>
      <c r="H301" s="148"/>
      <c r="I301" s="161"/>
      <c r="J301" s="146" t="str">
        <f>IF(I301&lt;&gt;"", SUMIF(Bets!$F:$F, I301, Bets!AA:AA),)</f>
        <v/>
      </c>
      <c r="K301" s="162"/>
      <c r="L301" s="148"/>
      <c r="M301" s="161"/>
      <c r="N301" s="146"/>
      <c r="O301" s="162"/>
      <c r="P301" s="148"/>
      <c r="Q301" s="161"/>
      <c r="R301" s="146"/>
      <c r="S301" s="162"/>
      <c r="T301" s="148"/>
      <c r="U301" s="161"/>
      <c r="V301" s="146"/>
      <c r="W301" s="162"/>
      <c r="X301" s="148"/>
      <c r="Y301" s="161"/>
      <c r="Z301" s="146"/>
      <c r="AA301" s="162"/>
      <c r="AB301" s="148"/>
      <c r="AC301" s="161"/>
      <c r="AD301" s="146"/>
      <c r="AE301" s="162"/>
      <c r="AF301" s="148"/>
    </row>
    <row r="302">
      <c r="A302" s="161"/>
      <c r="B302" s="146" t="str">
        <f>IF(A302&lt;&gt;"", SUMIF(Bets!$F:$F, A302, Bets!Z:Z), "")</f>
        <v/>
      </c>
      <c r="C302" s="162"/>
      <c r="D302" s="148"/>
      <c r="E302" s="161"/>
      <c r="F302" s="146" t="str">
        <f>IF(E302&lt;&gt;"", SUMIF(Bets!$F:$F, E302, Bets!AB:AB), "")</f>
        <v/>
      </c>
      <c r="G302" s="162"/>
      <c r="H302" s="148"/>
      <c r="I302" s="161"/>
      <c r="J302" s="146" t="str">
        <f>IF(I302&lt;&gt;"", SUMIF(Bets!$F:$F, I302, Bets!AA:AA),)</f>
        <v/>
      </c>
      <c r="K302" s="162"/>
      <c r="L302" s="148"/>
      <c r="M302" s="161"/>
      <c r="N302" s="146"/>
      <c r="O302" s="162"/>
      <c r="P302" s="148"/>
      <c r="Q302" s="161"/>
      <c r="R302" s="146"/>
      <c r="S302" s="162"/>
      <c r="T302" s="148"/>
      <c r="U302" s="161"/>
      <c r="V302" s="146"/>
      <c r="W302" s="162"/>
      <c r="X302" s="148"/>
      <c r="Y302" s="161"/>
      <c r="Z302" s="146"/>
      <c r="AA302" s="162"/>
      <c r="AB302" s="148"/>
      <c r="AC302" s="161"/>
      <c r="AD302" s="146"/>
      <c r="AE302" s="162"/>
      <c r="AF302" s="148"/>
    </row>
    <row r="303">
      <c r="A303" s="161"/>
      <c r="B303" s="146" t="str">
        <f>IF(A303&lt;&gt;"", SUMIF(Bets!$F:$F, A303, Bets!Z:Z), "")</f>
        <v/>
      </c>
      <c r="C303" s="162"/>
      <c r="D303" s="148"/>
      <c r="E303" s="161"/>
      <c r="F303" s="146" t="str">
        <f>IF(E303&lt;&gt;"", SUMIF(Bets!$F:$F, E303, Bets!AB:AB), "")</f>
        <v/>
      </c>
      <c r="G303" s="162"/>
      <c r="H303" s="148"/>
      <c r="I303" s="161"/>
      <c r="J303" s="146" t="str">
        <f>IF(I303&lt;&gt;"", SUMIF(Bets!$F:$F, I303, Bets!AA:AA),)</f>
        <v/>
      </c>
      <c r="K303" s="162"/>
      <c r="L303" s="148"/>
      <c r="M303" s="161"/>
      <c r="N303" s="146"/>
      <c r="O303" s="162"/>
      <c r="P303" s="148"/>
      <c r="Q303" s="161"/>
      <c r="R303" s="146"/>
      <c r="S303" s="162"/>
      <c r="T303" s="148"/>
      <c r="U303" s="161"/>
      <c r="V303" s="146"/>
      <c r="W303" s="162"/>
      <c r="X303" s="148"/>
      <c r="Y303" s="161"/>
      <c r="Z303" s="146"/>
      <c r="AA303" s="162"/>
      <c r="AB303" s="148"/>
      <c r="AC303" s="161"/>
      <c r="AD303" s="146"/>
      <c r="AE303" s="162"/>
      <c r="AF303" s="148"/>
    </row>
    <row r="304">
      <c r="A304" s="161"/>
      <c r="B304" s="146" t="str">
        <f>IF(A304&lt;&gt;"", SUMIF(Bets!$F:$F, A304, Bets!Z:Z), "")</f>
        <v/>
      </c>
      <c r="C304" s="162"/>
      <c r="D304" s="148"/>
      <c r="E304" s="161"/>
      <c r="F304" s="146" t="str">
        <f>IF(E304&lt;&gt;"", SUMIF(Bets!$F:$F, E304, Bets!AB:AB), "")</f>
        <v/>
      </c>
      <c r="G304" s="162"/>
      <c r="H304" s="148"/>
      <c r="I304" s="161"/>
      <c r="J304" s="146" t="str">
        <f>IF(I304&lt;&gt;"", SUMIF(Bets!$F:$F, I304, Bets!AA:AA),)</f>
        <v/>
      </c>
      <c r="K304" s="162"/>
      <c r="L304" s="148"/>
      <c r="M304" s="161"/>
      <c r="N304" s="146"/>
      <c r="O304" s="162"/>
      <c r="P304" s="148"/>
      <c r="Q304" s="161"/>
      <c r="R304" s="146"/>
      <c r="S304" s="162"/>
      <c r="T304" s="148"/>
      <c r="U304" s="161"/>
      <c r="V304" s="146"/>
      <c r="W304" s="162"/>
      <c r="X304" s="148"/>
      <c r="Y304" s="161"/>
      <c r="Z304" s="146"/>
      <c r="AA304" s="162"/>
      <c r="AB304" s="148"/>
      <c r="AC304" s="161"/>
      <c r="AD304" s="146"/>
      <c r="AE304" s="162"/>
      <c r="AF304" s="148"/>
    </row>
    <row r="305">
      <c r="A305" s="161"/>
      <c r="B305" s="146" t="str">
        <f>IF(A305&lt;&gt;"", SUMIF(Bets!$F:$F, A305, Bets!Z:Z), "")</f>
        <v/>
      </c>
      <c r="C305" s="162"/>
      <c r="D305" s="148"/>
      <c r="E305" s="161"/>
      <c r="F305" s="146" t="str">
        <f>IF(E305&lt;&gt;"", SUMIF(Bets!$F:$F, E305, Bets!AB:AB), "")</f>
        <v/>
      </c>
      <c r="G305" s="162"/>
      <c r="H305" s="148"/>
      <c r="I305" s="161"/>
      <c r="J305" s="146" t="str">
        <f>IF(I305&lt;&gt;"", SUMIF(Bets!$F:$F, I305, Bets!AA:AA),)</f>
        <v/>
      </c>
      <c r="K305" s="162"/>
      <c r="L305" s="148"/>
      <c r="M305" s="161"/>
      <c r="N305" s="146"/>
      <c r="O305" s="162"/>
      <c r="P305" s="148"/>
      <c r="Q305" s="161"/>
      <c r="R305" s="146"/>
      <c r="S305" s="162"/>
      <c r="T305" s="148"/>
      <c r="U305" s="161"/>
      <c r="V305" s="146"/>
      <c r="W305" s="162"/>
      <c r="X305" s="148"/>
      <c r="Y305" s="161"/>
      <c r="Z305" s="146"/>
      <c r="AA305" s="162"/>
      <c r="AB305" s="148"/>
      <c r="AC305" s="161"/>
      <c r="AD305" s="146"/>
      <c r="AE305" s="162"/>
      <c r="AF305" s="148"/>
    </row>
    <row r="306">
      <c r="A306" s="161"/>
      <c r="B306" s="146" t="str">
        <f>IF(A306&lt;&gt;"", SUMIF(Bets!$F:$F, A306, Bets!Z:Z), "")</f>
        <v/>
      </c>
      <c r="C306" s="162"/>
      <c r="D306" s="148"/>
      <c r="E306" s="161"/>
      <c r="F306" s="146" t="str">
        <f>IF(E306&lt;&gt;"", SUMIF(Bets!$F:$F, E306, Bets!AB:AB), "")</f>
        <v/>
      </c>
      <c r="G306" s="162"/>
      <c r="H306" s="148"/>
      <c r="I306" s="161"/>
      <c r="J306" s="146" t="str">
        <f>IF(I306&lt;&gt;"", SUMIF(Bets!$F:$F, I306, Bets!AA:AA),)</f>
        <v/>
      </c>
      <c r="K306" s="162"/>
      <c r="L306" s="148"/>
      <c r="M306" s="161"/>
      <c r="N306" s="146"/>
      <c r="O306" s="162"/>
      <c r="P306" s="148"/>
      <c r="Q306" s="161"/>
      <c r="R306" s="146"/>
      <c r="S306" s="162"/>
      <c r="T306" s="148"/>
      <c r="U306" s="161"/>
      <c r="V306" s="146"/>
      <c r="W306" s="162"/>
      <c r="X306" s="148"/>
      <c r="Y306" s="161"/>
      <c r="Z306" s="146"/>
      <c r="AA306" s="162"/>
      <c r="AB306" s="148"/>
      <c r="AC306" s="161"/>
      <c r="AD306" s="146"/>
      <c r="AE306" s="162"/>
      <c r="AF306" s="148"/>
    </row>
    <row r="307">
      <c r="A307" s="161"/>
      <c r="B307" s="146" t="str">
        <f>IF(A307&lt;&gt;"", SUMIF(Bets!$F:$F, A307, Bets!Z:Z), "")</f>
        <v/>
      </c>
      <c r="C307" s="162"/>
      <c r="D307" s="148"/>
      <c r="E307" s="161"/>
      <c r="F307" s="146" t="str">
        <f>IF(E307&lt;&gt;"", SUMIF(Bets!$F:$F, E307, Bets!AB:AB), "")</f>
        <v/>
      </c>
      <c r="G307" s="162"/>
      <c r="H307" s="148"/>
      <c r="I307" s="161"/>
      <c r="J307" s="146" t="str">
        <f>IF(I307&lt;&gt;"", SUMIF(Bets!$F:$F, I307, Bets!AA:AA),)</f>
        <v/>
      </c>
      <c r="K307" s="162"/>
      <c r="L307" s="148"/>
      <c r="M307" s="161"/>
      <c r="N307" s="146"/>
      <c r="O307" s="162"/>
      <c r="P307" s="148"/>
      <c r="Q307" s="161"/>
      <c r="R307" s="146"/>
      <c r="S307" s="162"/>
      <c r="T307" s="148"/>
      <c r="U307" s="161"/>
      <c r="V307" s="146"/>
      <c r="W307" s="162"/>
      <c r="X307" s="148"/>
      <c r="Y307" s="161"/>
      <c r="Z307" s="146"/>
      <c r="AA307" s="162"/>
      <c r="AB307" s="148"/>
      <c r="AC307" s="161"/>
      <c r="AD307" s="146"/>
      <c r="AE307" s="162"/>
      <c r="AF307" s="148"/>
    </row>
    <row r="308">
      <c r="A308" s="161"/>
      <c r="B308" s="146" t="str">
        <f>IF(A308&lt;&gt;"", SUMIF(Bets!$F:$F, A308, Bets!Z:Z), "")</f>
        <v/>
      </c>
      <c r="C308" s="162"/>
      <c r="D308" s="148"/>
      <c r="E308" s="161"/>
      <c r="F308" s="146" t="str">
        <f>IF(E308&lt;&gt;"", SUMIF(Bets!$F:$F, E308, Bets!AB:AB), "")</f>
        <v/>
      </c>
      <c r="G308" s="162"/>
      <c r="H308" s="148"/>
      <c r="I308" s="161"/>
      <c r="J308" s="146" t="str">
        <f>IF(I308&lt;&gt;"", SUMIF(Bets!$F:$F, I308, Bets!AA:AA),)</f>
        <v/>
      </c>
      <c r="K308" s="162"/>
      <c r="L308" s="148"/>
      <c r="M308" s="161"/>
      <c r="N308" s="146"/>
      <c r="O308" s="162"/>
      <c r="P308" s="148"/>
      <c r="Q308" s="161"/>
      <c r="R308" s="146"/>
      <c r="S308" s="162"/>
      <c r="T308" s="148"/>
      <c r="U308" s="161"/>
      <c r="V308" s="146"/>
      <c r="W308" s="162"/>
      <c r="X308" s="148"/>
      <c r="Y308" s="161"/>
      <c r="Z308" s="146"/>
      <c r="AA308" s="162"/>
      <c r="AB308" s="148"/>
      <c r="AC308" s="161"/>
      <c r="AD308" s="146"/>
      <c r="AE308" s="162"/>
      <c r="AF308" s="148"/>
    </row>
    <row r="309">
      <c r="A309" s="161"/>
      <c r="B309" s="146" t="str">
        <f>IF(A309&lt;&gt;"", SUMIF(Bets!$F:$F, A309, Bets!Z:Z), "")</f>
        <v/>
      </c>
      <c r="C309" s="162"/>
      <c r="D309" s="148"/>
      <c r="E309" s="161"/>
      <c r="F309" s="146" t="str">
        <f>IF(E309&lt;&gt;"", SUMIF(Bets!$F:$F, E309, Bets!AB:AB), "")</f>
        <v/>
      </c>
      <c r="G309" s="162"/>
      <c r="H309" s="148"/>
      <c r="I309" s="161"/>
      <c r="J309" s="146" t="str">
        <f>IF(I309&lt;&gt;"", SUMIF(Bets!$F:$F, I309, Bets!AA:AA),)</f>
        <v/>
      </c>
      <c r="K309" s="162"/>
      <c r="L309" s="148"/>
      <c r="M309" s="161"/>
      <c r="N309" s="146"/>
      <c r="O309" s="162"/>
      <c r="P309" s="148"/>
      <c r="Q309" s="161"/>
      <c r="R309" s="146"/>
      <c r="S309" s="162"/>
      <c r="T309" s="148"/>
      <c r="U309" s="161"/>
      <c r="V309" s="146"/>
      <c r="W309" s="162"/>
      <c r="X309" s="148"/>
      <c r="Y309" s="161"/>
      <c r="Z309" s="146"/>
      <c r="AA309" s="162"/>
      <c r="AB309" s="148"/>
      <c r="AC309" s="161"/>
      <c r="AD309" s="146"/>
      <c r="AE309" s="162"/>
      <c r="AF309" s="148"/>
    </row>
    <row r="310">
      <c r="A310" s="161"/>
      <c r="B310" s="146" t="str">
        <f>IF(A310&lt;&gt;"", SUMIF(Bets!$F:$F, A310, Bets!Z:Z), "")</f>
        <v/>
      </c>
      <c r="C310" s="162"/>
      <c r="D310" s="148"/>
      <c r="E310" s="161"/>
      <c r="F310" s="146" t="str">
        <f>IF(E310&lt;&gt;"", SUMIF(Bets!$F:$F, E310, Bets!AB:AB), "")</f>
        <v/>
      </c>
      <c r="G310" s="162"/>
      <c r="H310" s="148"/>
      <c r="I310" s="161"/>
      <c r="J310" s="146" t="str">
        <f>IF(I310&lt;&gt;"", SUMIF(Bets!$F:$F, I310, Bets!AA:AA),)</f>
        <v/>
      </c>
      <c r="K310" s="162"/>
      <c r="L310" s="148"/>
      <c r="M310" s="161"/>
      <c r="N310" s="146"/>
      <c r="O310" s="162"/>
      <c r="P310" s="148"/>
      <c r="Q310" s="161"/>
      <c r="R310" s="146"/>
      <c r="S310" s="162"/>
      <c r="T310" s="148"/>
      <c r="U310" s="161"/>
      <c r="V310" s="146"/>
      <c r="W310" s="162"/>
      <c r="X310" s="148"/>
      <c r="Y310" s="161"/>
      <c r="Z310" s="146"/>
      <c r="AA310" s="162"/>
      <c r="AB310" s="148"/>
      <c r="AC310" s="161"/>
      <c r="AD310" s="146"/>
      <c r="AE310" s="162"/>
      <c r="AF310" s="148"/>
    </row>
    <row r="311">
      <c r="A311" s="161"/>
      <c r="B311" s="146" t="str">
        <f>IF(A311&lt;&gt;"", SUMIF(Bets!$F:$F, A311, Bets!Z:Z), "")</f>
        <v/>
      </c>
      <c r="C311" s="162"/>
      <c r="D311" s="148"/>
      <c r="E311" s="161"/>
      <c r="F311" s="146" t="str">
        <f>IF(E311&lt;&gt;"", SUMIF(Bets!$F:$F, E311, Bets!AB:AB), "")</f>
        <v/>
      </c>
      <c r="G311" s="162"/>
      <c r="H311" s="148"/>
      <c r="I311" s="161"/>
      <c r="J311" s="146" t="str">
        <f>IF(I311&lt;&gt;"", SUMIF(Bets!$F:$F, I311, Bets!AA:AA),)</f>
        <v/>
      </c>
      <c r="K311" s="162"/>
      <c r="L311" s="148"/>
      <c r="M311" s="161"/>
      <c r="N311" s="146"/>
      <c r="O311" s="162"/>
      <c r="P311" s="148"/>
      <c r="Q311" s="161"/>
      <c r="R311" s="146"/>
      <c r="S311" s="162"/>
      <c r="T311" s="148"/>
      <c r="U311" s="161"/>
      <c r="V311" s="146"/>
      <c r="W311" s="162"/>
      <c r="X311" s="148"/>
      <c r="Y311" s="161"/>
      <c r="Z311" s="146"/>
      <c r="AA311" s="162"/>
      <c r="AB311" s="148"/>
      <c r="AC311" s="161"/>
      <c r="AD311" s="146"/>
      <c r="AE311" s="162"/>
      <c r="AF311" s="148"/>
    </row>
    <row r="312">
      <c r="A312" s="161"/>
      <c r="B312" s="146" t="str">
        <f>IF(A312&lt;&gt;"", SUMIF(Bets!$F:$F, A312, Bets!Z:Z), "")</f>
        <v/>
      </c>
      <c r="C312" s="162"/>
      <c r="D312" s="148"/>
      <c r="E312" s="161"/>
      <c r="F312" s="146" t="str">
        <f>IF(E312&lt;&gt;"", SUMIF(Bets!$F:$F, E312, Bets!AB:AB), "")</f>
        <v/>
      </c>
      <c r="G312" s="162"/>
      <c r="H312" s="148"/>
      <c r="I312" s="161"/>
      <c r="J312" s="146" t="str">
        <f>IF(I312&lt;&gt;"", SUMIF(Bets!$F:$F, I312, Bets!AA:AA),)</f>
        <v/>
      </c>
      <c r="K312" s="162"/>
      <c r="L312" s="148"/>
      <c r="M312" s="161"/>
      <c r="N312" s="146"/>
      <c r="O312" s="162"/>
      <c r="P312" s="148"/>
      <c r="Q312" s="161"/>
      <c r="R312" s="146"/>
      <c r="S312" s="162"/>
      <c r="T312" s="148"/>
      <c r="U312" s="161"/>
      <c r="V312" s="146"/>
      <c r="W312" s="162"/>
      <c r="X312" s="148"/>
      <c r="Y312" s="161"/>
      <c r="Z312" s="146"/>
      <c r="AA312" s="162"/>
      <c r="AB312" s="148"/>
      <c r="AC312" s="161"/>
      <c r="AD312" s="146"/>
      <c r="AE312" s="162"/>
      <c r="AF312" s="148"/>
    </row>
    <row r="313">
      <c r="A313" s="161"/>
      <c r="B313" s="146" t="str">
        <f>IF(A313&lt;&gt;"", SUMIF(Bets!$F:$F, A313, Bets!Z:Z), "")</f>
        <v/>
      </c>
      <c r="C313" s="162"/>
      <c r="D313" s="148"/>
      <c r="E313" s="161"/>
      <c r="F313" s="146" t="str">
        <f>IF(E313&lt;&gt;"", SUMIF(Bets!$F:$F, E313, Bets!AB:AB), "")</f>
        <v/>
      </c>
      <c r="G313" s="162"/>
      <c r="H313" s="148"/>
      <c r="I313" s="161"/>
      <c r="J313" s="146" t="str">
        <f>IF(I313&lt;&gt;"", SUMIF(Bets!$F:$F, I313, Bets!AA:AA),)</f>
        <v/>
      </c>
      <c r="K313" s="162"/>
      <c r="L313" s="148"/>
      <c r="M313" s="161"/>
      <c r="N313" s="146"/>
      <c r="O313" s="162"/>
      <c r="P313" s="148"/>
      <c r="Q313" s="161"/>
      <c r="R313" s="146"/>
      <c r="S313" s="162"/>
      <c r="T313" s="148"/>
      <c r="U313" s="161"/>
      <c r="V313" s="146"/>
      <c r="W313" s="162"/>
      <c r="X313" s="148"/>
      <c r="Y313" s="161"/>
      <c r="Z313" s="146"/>
      <c r="AA313" s="162"/>
      <c r="AB313" s="148"/>
      <c r="AC313" s="161"/>
      <c r="AD313" s="146"/>
      <c r="AE313" s="162"/>
      <c r="AF313" s="148"/>
    </row>
    <row r="314">
      <c r="A314" s="161"/>
      <c r="B314" s="146" t="str">
        <f>IF(A314&lt;&gt;"", SUMIF(Bets!$F:$F, A314, Bets!Z:Z), "")</f>
        <v/>
      </c>
      <c r="C314" s="162"/>
      <c r="D314" s="148"/>
      <c r="E314" s="161"/>
      <c r="F314" s="146" t="str">
        <f>IF(E314&lt;&gt;"", SUMIF(Bets!$F:$F, E314, Bets!AB:AB), "")</f>
        <v/>
      </c>
      <c r="G314" s="162"/>
      <c r="H314" s="148"/>
      <c r="I314" s="161"/>
      <c r="J314" s="146" t="str">
        <f>IF(I314&lt;&gt;"", SUMIF(Bets!$F:$F, I314, Bets!AA:AA),)</f>
        <v/>
      </c>
      <c r="K314" s="162"/>
      <c r="L314" s="148"/>
      <c r="M314" s="161"/>
      <c r="N314" s="146"/>
      <c r="O314" s="162"/>
      <c r="P314" s="148"/>
      <c r="Q314" s="161"/>
      <c r="R314" s="146"/>
      <c r="S314" s="162"/>
      <c r="T314" s="148"/>
      <c r="U314" s="161"/>
      <c r="V314" s="146"/>
      <c r="W314" s="162"/>
      <c r="X314" s="148"/>
      <c r="Y314" s="161"/>
      <c r="Z314" s="146"/>
      <c r="AA314" s="162"/>
      <c r="AB314" s="148"/>
      <c r="AC314" s="161"/>
      <c r="AD314" s="146"/>
      <c r="AE314" s="162"/>
      <c r="AF314" s="148"/>
    </row>
    <row r="315">
      <c r="A315" s="161"/>
      <c r="B315" s="146" t="str">
        <f>IF(A315&lt;&gt;"", SUMIF(Bets!$F:$F, A315, Bets!Z:Z), "")</f>
        <v/>
      </c>
      <c r="C315" s="162"/>
      <c r="D315" s="148"/>
      <c r="E315" s="161"/>
      <c r="F315" s="146" t="str">
        <f>IF(E315&lt;&gt;"", SUMIF(Bets!$F:$F, E315, Bets!AB:AB), "")</f>
        <v/>
      </c>
      <c r="G315" s="162"/>
      <c r="H315" s="148"/>
      <c r="I315" s="161"/>
      <c r="J315" s="146" t="str">
        <f>IF(I315&lt;&gt;"", SUMIF(Bets!$F:$F, I315, Bets!AA:AA),)</f>
        <v/>
      </c>
      <c r="K315" s="162"/>
      <c r="L315" s="148"/>
      <c r="M315" s="161"/>
      <c r="N315" s="146"/>
      <c r="O315" s="162"/>
      <c r="P315" s="148"/>
      <c r="Q315" s="161"/>
      <c r="R315" s="146"/>
      <c r="S315" s="162"/>
      <c r="T315" s="148"/>
      <c r="U315" s="161"/>
      <c r="V315" s="146"/>
      <c r="W315" s="162"/>
      <c r="X315" s="148"/>
      <c r="Y315" s="161"/>
      <c r="Z315" s="146"/>
      <c r="AA315" s="162"/>
      <c r="AB315" s="148"/>
      <c r="AC315" s="161"/>
      <c r="AD315" s="146"/>
      <c r="AE315" s="162"/>
      <c r="AF315" s="148"/>
    </row>
    <row r="316">
      <c r="A316" s="161"/>
      <c r="B316" s="146" t="str">
        <f>IF(A316&lt;&gt;"", SUMIF(Bets!$F:$F, A316, Bets!Z:Z), "")</f>
        <v/>
      </c>
      <c r="C316" s="162"/>
      <c r="D316" s="148"/>
      <c r="E316" s="161"/>
      <c r="F316" s="146" t="str">
        <f>IF(E316&lt;&gt;"", SUMIF(Bets!$F:$F, E316, Bets!AB:AB), "")</f>
        <v/>
      </c>
      <c r="G316" s="162"/>
      <c r="H316" s="148"/>
      <c r="I316" s="161"/>
      <c r="J316" s="146" t="str">
        <f>IF(I316&lt;&gt;"", SUMIF(Bets!$F:$F, I316, Bets!AA:AA),)</f>
        <v/>
      </c>
      <c r="K316" s="162"/>
      <c r="L316" s="148"/>
      <c r="M316" s="161"/>
      <c r="N316" s="146"/>
      <c r="O316" s="162"/>
      <c r="P316" s="148"/>
      <c r="Q316" s="161"/>
      <c r="R316" s="146"/>
      <c r="S316" s="162"/>
      <c r="T316" s="148"/>
      <c r="U316" s="161"/>
      <c r="V316" s="146"/>
      <c r="W316" s="162"/>
      <c r="X316" s="148"/>
      <c r="Y316" s="161"/>
      <c r="Z316" s="146"/>
      <c r="AA316" s="162"/>
      <c r="AB316" s="148"/>
      <c r="AC316" s="161"/>
      <c r="AD316" s="146"/>
      <c r="AE316" s="162"/>
      <c r="AF316" s="148"/>
    </row>
    <row r="317">
      <c r="A317" s="161"/>
      <c r="B317" s="146" t="str">
        <f>IF(A317&lt;&gt;"", SUMIF(Bets!$F:$F, A317, Bets!Z:Z), "")</f>
        <v/>
      </c>
      <c r="C317" s="162"/>
      <c r="D317" s="148"/>
      <c r="E317" s="161"/>
      <c r="F317" s="146" t="str">
        <f>IF(E317&lt;&gt;"", SUMIF(Bets!$F:$F, E317, Bets!AB:AB), "")</f>
        <v/>
      </c>
      <c r="G317" s="162"/>
      <c r="H317" s="148"/>
      <c r="I317" s="161"/>
      <c r="J317" s="146" t="str">
        <f>IF(I317&lt;&gt;"", SUMIF(Bets!$F:$F, I317, Bets!AA:AA),)</f>
        <v/>
      </c>
      <c r="K317" s="162"/>
      <c r="L317" s="148"/>
      <c r="M317" s="161"/>
      <c r="N317" s="146"/>
      <c r="O317" s="162"/>
      <c r="P317" s="148"/>
      <c r="Q317" s="161"/>
      <c r="R317" s="146"/>
      <c r="S317" s="162"/>
      <c r="T317" s="148"/>
      <c r="U317" s="161"/>
      <c r="V317" s="146"/>
      <c r="W317" s="162"/>
      <c r="X317" s="148"/>
      <c r="Y317" s="161"/>
      <c r="Z317" s="146"/>
      <c r="AA317" s="162"/>
      <c r="AB317" s="148"/>
      <c r="AC317" s="161"/>
      <c r="AD317" s="146"/>
      <c r="AE317" s="162"/>
      <c r="AF317" s="148"/>
    </row>
    <row r="318">
      <c r="A318" s="161"/>
      <c r="B318" s="146" t="str">
        <f>IF(A318&lt;&gt;"", SUMIF(Bets!$F:$F, A318, Bets!Z:Z), "")</f>
        <v/>
      </c>
      <c r="C318" s="162"/>
      <c r="D318" s="148"/>
      <c r="E318" s="161"/>
      <c r="F318" s="146" t="str">
        <f>IF(E318&lt;&gt;"", SUMIF(Bets!$F:$F, E318, Bets!AB:AB), "")</f>
        <v/>
      </c>
      <c r="G318" s="162"/>
      <c r="H318" s="148"/>
      <c r="I318" s="161"/>
      <c r="J318" s="146" t="str">
        <f>IF(I318&lt;&gt;"", SUMIF(Bets!$F:$F, I318, Bets!AA:AA),)</f>
        <v/>
      </c>
      <c r="K318" s="162"/>
      <c r="L318" s="148"/>
      <c r="M318" s="161"/>
      <c r="N318" s="146"/>
      <c r="O318" s="162"/>
      <c r="P318" s="148"/>
      <c r="Q318" s="161"/>
      <c r="R318" s="146"/>
      <c r="S318" s="162"/>
      <c r="T318" s="148"/>
      <c r="U318" s="161"/>
      <c r="V318" s="146"/>
      <c r="W318" s="162"/>
      <c r="X318" s="148"/>
      <c r="Y318" s="161"/>
      <c r="Z318" s="146"/>
      <c r="AA318" s="162"/>
      <c r="AB318" s="148"/>
      <c r="AC318" s="161"/>
      <c r="AD318" s="146"/>
      <c r="AE318" s="162"/>
      <c r="AF318" s="148"/>
    </row>
    <row r="319">
      <c r="A319" s="161"/>
      <c r="B319" s="146" t="str">
        <f>IF(A319&lt;&gt;"", SUMIF(Bets!$F:$F, A319, Bets!Z:Z), "")</f>
        <v/>
      </c>
      <c r="C319" s="162"/>
      <c r="D319" s="148"/>
      <c r="E319" s="161"/>
      <c r="F319" s="146" t="str">
        <f>IF(E319&lt;&gt;"", SUMIF(Bets!$F:$F, E319, Bets!AB:AB), "")</f>
        <v/>
      </c>
      <c r="G319" s="162"/>
      <c r="H319" s="148"/>
      <c r="I319" s="161"/>
      <c r="J319" s="146" t="str">
        <f>IF(I319&lt;&gt;"", SUMIF(Bets!$F:$F, I319, Bets!AA:AA),)</f>
        <v/>
      </c>
      <c r="K319" s="162"/>
      <c r="L319" s="148"/>
      <c r="M319" s="161"/>
      <c r="N319" s="146"/>
      <c r="O319" s="162"/>
      <c r="P319" s="148"/>
      <c r="Q319" s="161"/>
      <c r="R319" s="146"/>
      <c r="S319" s="162"/>
      <c r="T319" s="148"/>
      <c r="U319" s="161"/>
      <c r="V319" s="146"/>
      <c r="W319" s="162"/>
      <c r="X319" s="148"/>
      <c r="Y319" s="161"/>
      <c r="Z319" s="146"/>
      <c r="AA319" s="162"/>
      <c r="AB319" s="148"/>
      <c r="AC319" s="161"/>
      <c r="AD319" s="146"/>
      <c r="AE319" s="162"/>
      <c r="AF319" s="148"/>
    </row>
    <row r="320">
      <c r="A320" s="161"/>
      <c r="B320" s="146" t="str">
        <f>IF(A320&lt;&gt;"", SUMIF(Bets!$F:$F, A320, Bets!Z:Z), "")</f>
        <v/>
      </c>
      <c r="C320" s="162"/>
      <c r="D320" s="148"/>
      <c r="E320" s="161"/>
      <c r="F320" s="146" t="str">
        <f>IF(E320&lt;&gt;"", SUMIF(Bets!$F:$F, E320, Bets!AB:AB), "")</f>
        <v/>
      </c>
      <c r="G320" s="162"/>
      <c r="H320" s="148"/>
      <c r="I320" s="161"/>
      <c r="J320" s="146" t="str">
        <f>IF(I320&lt;&gt;"", SUMIF(Bets!$F:$F, I320, Bets!AA:AA),)</f>
        <v/>
      </c>
      <c r="K320" s="162"/>
      <c r="L320" s="148"/>
      <c r="M320" s="161"/>
      <c r="N320" s="146"/>
      <c r="O320" s="162"/>
      <c r="P320" s="148"/>
      <c r="Q320" s="161"/>
      <c r="R320" s="146"/>
      <c r="S320" s="162"/>
      <c r="T320" s="148"/>
      <c r="U320" s="161"/>
      <c r="V320" s="146"/>
      <c r="W320" s="162"/>
      <c r="X320" s="148"/>
      <c r="Y320" s="161"/>
      <c r="Z320" s="146"/>
      <c r="AA320" s="162"/>
      <c r="AB320" s="148"/>
      <c r="AC320" s="161"/>
      <c r="AD320" s="146"/>
      <c r="AE320" s="162"/>
      <c r="AF320" s="148"/>
    </row>
    <row r="321">
      <c r="A321" s="161"/>
      <c r="B321" s="146" t="str">
        <f>IF(A321&lt;&gt;"", SUMIF(Bets!$F:$F, A321, Bets!Z:Z), "")</f>
        <v/>
      </c>
      <c r="C321" s="162"/>
      <c r="D321" s="148"/>
      <c r="E321" s="161"/>
      <c r="F321" s="146" t="str">
        <f>IF(E321&lt;&gt;"", SUMIF(Bets!$F:$F, E321, Bets!AB:AB), "")</f>
        <v/>
      </c>
      <c r="G321" s="162"/>
      <c r="H321" s="148"/>
      <c r="I321" s="161"/>
      <c r="J321" s="146" t="str">
        <f>IF(I321&lt;&gt;"", SUMIF(Bets!$F:$F, I321, Bets!AA:AA),)</f>
        <v/>
      </c>
      <c r="K321" s="162"/>
      <c r="L321" s="148"/>
      <c r="M321" s="161"/>
      <c r="N321" s="146"/>
      <c r="O321" s="162"/>
      <c r="P321" s="148"/>
      <c r="Q321" s="161"/>
      <c r="R321" s="146"/>
      <c r="S321" s="162"/>
      <c r="T321" s="148"/>
      <c r="U321" s="161"/>
      <c r="V321" s="146"/>
      <c r="W321" s="162"/>
      <c r="X321" s="148"/>
      <c r="Y321" s="161"/>
      <c r="Z321" s="146"/>
      <c r="AA321" s="162"/>
      <c r="AB321" s="148"/>
      <c r="AC321" s="161"/>
      <c r="AD321" s="146"/>
      <c r="AE321" s="162"/>
      <c r="AF321" s="148"/>
    </row>
    <row r="322">
      <c r="A322" s="161"/>
      <c r="B322" s="146" t="str">
        <f>IF(A322&lt;&gt;"", SUMIF(Bets!$F:$F, A322, Bets!Z:Z), "")</f>
        <v/>
      </c>
      <c r="C322" s="162"/>
      <c r="D322" s="148"/>
      <c r="E322" s="161"/>
      <c r="F322" s="146" t="str">
        <f>IF(E322&lt;&gt;"", SUMIF(Bets!$F:$F, E322, Bets!AB:AB), "")</f>
        <v/>
      </c>
      <c r="G322" s="162"/>
      <c r="H322" s="148"/>
      <c r="I322" s="161"/>
      <c r="J322" s="146" t="str">
        <f>IF(I322&lt;&gt;"", SUMIF(Bets!$F:$F, I322, Bets!AA:AA),)</f>
        <v/>
      </c>
      <c r="K322" s="162"/>
      <c r="L322" s="148"/>
      <c r="M322" s="161"/>
      <c r="N322" s="146"/>
      <c r="O322" s="162"/>
      <c r="P322" s="148"/>
      <c r="Q322" s="161"/>
      <c r="R322" s="146"/>
      <c r="S322" s="162"/>
      <c r="T322" s="148"/>
      <c r="U322" s="161"/>
      <c r="V322" s="146"/>
      <c r="W322" s="162"/>
      <c r="X322" s="148"/>
      <c r="Y322" s="161"/>
      <c r="Z322" s="146"/>
      <c r="AA322" s="162"/>
      <c r="AB322" s="148"/>
      <c r="AC322" s="161"/>
      <c r="AD322" s="146"/>
      <c r="AE322" s="162"/>
      <c r="AF322" s="148"/>
    </row>
    <row r="323">
      <c r="A323" s="161"/>
      <c r="B323" s="146" t="str">
        <f>IF(A323&lt;&gt;"", SUMIF(Bets!$F:$F, A323, Bets!Z:Z), "")</f>
        <v/>
      </c>
      <c r="C323" s="162"/>
      <c r="D323" s="148"/>
      <c r="E323" s="161"/>
      <c r="F323" s="146" t="str">
        <f>IF(E323&lt;&gt;"", SUMIF(Bets!$F:$F, E323, Bets!AB:AB), "")</f>
        <v/>
      </c>
      <c r="G323" s="162"/>
      <c r="H323" s="148"/>
      <c r="I323" s="161"/>
      <c r="J323" s="146" t="str">
        <f>IF(I323&lt;&gt;"", SUMIF(Bets!$F:$F, I323, Bets!AA:AA),)</f>
        <v/>
      </c>
      <c r="K323" s="162"/>
      <c r="L323" s="148"/>
      <c r="M323" s="161"/>
      <c r="N323" s="146"/>
      <c r="O323" s="162"/>
      <c r="P323" s="148"/>
      <c r="Q323" s="161"/>
      <c r="R323" s="146"/>
      <c r="S323" s="162"/>
      <c r="T323" s="148"/>
      <c r="U323" s="161"/>
      <c r="V323" s="146"/>
      <c r="W323" s="162"/>
      <c r="X323" s="148"/>
      <c r="Y323" s="161"/>
      <c r="Z323" s="146"/>
      <c r="AA323" s="162"/>
      <c r="AB323" s="148"/>
      <c r="AC323" s="161"/>
      <c r="AD323" s="146"/>
      <c r="AE323" s="162"/>
      <c r="AF323" s="148"/>
    </row>
    <row r="324">
      <c r="A324" s="161"/>
      <c r="B324" s="146" t="str">
        <f>IF(A324&lt;&gt;"", SUMIF(Bets!$F:$F, A324, Bets!Z:Z), "")</f>
        <v/>
      </c>
      <c r="C324" s="162"/>
      <c r="D324" s="148"/>
      <c r="E324" s="161"/>
      <c r="F324" s="146" t="str">
        <f>IF(E324&lt;&gt;"", SUMIF(Bets!$F:$F, E324, Bets!AB:AB), "")</f>
        <v/>
      </c>
      <c r="G324" s="162"/>
      <c r="H324" s="148"/>
      <c r="I324" s="161"/>
      <c r="J324" s="146" t="str">
        <f>IF(I324&lt;&gt;"", SUMIF(Bets!$F:$F, I324, Bets!AA:AA),)</f>
        <v/>
      </c>
      <c r="K324" s="162"/>
      <c r="L324" s="148"/>
      <c r="M324" s="161"/>
      <c r="N324" s="146"/>
      <c r="O324" s="162"/>
      <c r="P324" s="148"/>
      <c r="Q324" s="161"/>
      <c r="R324" s="146"/>
      <c r="S324" s="162"/>
      <c r="T324" s="148"/>
      <c r="U324" s="161"/>
      <c r="V324" s="146"/>
      <c r="W324" s="162"/>
      <c r="X324" s="148"/>
      <c r="Y324" s="161"/>
      <c r="Z324" s="146"/>
      <c r="AA324" s="162"/>
      <c r="AB324" s="148"/>
      <c r="AC324" s="161"/>
      <c r="AD324" s="146"/>
      <c r="AE324" s="162"/>
      <c r="AF324" s="148"/>
    </row>
    <row r="325">
      <c r="A325" s="161"/>
      <c r="B325" s="146" t="str">
        <f>IF(A325&lt;&gt;"", SUMIF(Bets!$F:$F, A325, Bets!Z:Z), "")</f>
        <v/>
      </c>
      <c r="C325" s="162"/>
      <c r="D325" s="148"/>
      <c r="E325" s="161"/>
      <c r="F325" s="146" t="str">
        <f>IF(E325&lt;&gt;"", SUMIF(Bets!$F:$F, E325, Bets!AB:AB), "")</f>
        <v/>
      </c>
      <c r="G325" s="162"/>
      <c r="H325" s="148"/>
      <c r="I325" s="161"/>
      <c r="J325" s="146" t="str">
        <f>IF(I325&lt;&gt;"", SUMIF(Bets!$F:$F, I325, Bets!AA:AA),)</f>
        <v/>
      </c>
      <c r="K325" s="162"/>
      <c r="L325" s="148"/>
      <c r="M325" s="161"/>
      <c r="N325" s="146"/>
      <c r="O325" s="162"/>
      <c r="P325" s="148"/>
      <c r="Q325" s="161"/>
      <c r="R325" s="146"/>
      <c r="S325" s="162"/>
      <c r="T325" s="148"/>
      <c r="U325" s="161"/>
      <c r="V325" s="146"/>
      <c r="W325" s="162"/>
      <c r="X325" s="148"/>
      <c r="Y325" s="161"/>
      <c r="Z325" s="146"/>
      <c r="AA325" s="162"/>
      <c r="AB325" s="148"/>
      <c r="AC325" s="161"/>
      <c r="AD325" s="146"/>
      <c r="AE325" s="162"/>
      <c r="AF325" s="148"/>
    </row>
    <row r="326">
      <c r="A326" s="161"/>
      <c r="B326" s="146" t="str">
        <f>IF(A326&lt;&gt;"", SUMIF(Bets!$F:$F, A326, Bets!Z:Z), "")</f>
        <v/>
      </c>
      <c r="C326" s="162"/>
      <c r="D326" s="148"/>
      <c r="E326" s="161"/>
      <c r="F326" s="146" t="str">
        <f>IF(E326&lt;&gt;"", SUMIF(Bets!$F:$F, E326, Bets!AB:AB), "")</f>
        <v/>
      </c>
      <c r="G326" s="162"/>
      <c r="H326" s="148"/>
      <c r="I326" s="161"/>
      <c r="J326" s="146" t="str">
        <f>IF(I326&lt;&gt;"", SUMIF(Bets!$F:$F, I326, Bets!AA:AA),)</f>
        <v/>
      </c>
      <c r="K326" s="162"/>
      <c r="L326" s="148"/>
      <c r="M326" s="161"/>
      <c r="N326" s="146"/>
      <c r="O326" s="162"/>
      <c r="P326" s="148"/>
      <c r="Q326" s="161"/>
      <c r="R326" s="146"/>
      <c r="S326" s="162"/>
      <c r="T326" s="148"/>
      <c r="U326" s="161"/>
      <c r="V326" s="146"/>
      <c r="W326" s="162"/>
      <c r="X326" s="148"/>
      <c r="Y326" s="161"/>
      <c r="Z326" s="146"/>
      <c r="AA326" s="162"/>
      <c r="AB326" s="148"/>
      <c r="AC326" s="161"/>
      <c r="AD326" s="146"/>
      <c r="AE326" s="162"/>
      <c r="AF326" s="148"/>
    </row>
    <row r="327">
      <c r="A327" s="161"/>
      <c r="B327" s="146" t="str">
        <f>IF(A327&lt;&gt;"", SUMIF(Bets!$F:$F, A327, Bets!Z:Z), "")</f>
        <v/>
      </c>
      <c r="C327" s="162"/>
      <c r="D327" s="148"/>
      <c r="E327" s="161"/>
      <c r="F327" s="146" t="str">
        <f>IF(E327&lt;&gt;"", SUMIF(Bets!$F:$F, E327, Bets!AB:AB), "")</f>
        <v/>
      </c>
      <c r="G327" s="162"/>
      <c r="H327" s="148"/>
      <c r="I327" s="161"/>
      <c r="J327" s="146" t="str">
        <f>IF(I327&lt;&gt;"", SUMIF(Bets!$F:$F, I327, Bets!AA:AA),)</f>
        <v/>
      </c>
      <c r="K327" s="162"/>
      <c r="L327" s="148"/>
      <c r="M327" s="161"/>
      <c r="N327" s="146"/>
      <c r="O327" s="162"/>
      <c r="P327" s="148"/>
      <c r="Q327" s="161"/>
      <c r="R327" s="146"/>
      <c r="S327" s="162"/>
      <c r="T327" s="148"/>
      <c r="U327" s="161"/>
      <c r="V327" s="146"/>
      <c r="W327" s="162"/>
      <c r="X327" s="148"/>
      <c r="Y327" s="161"/>
      <c r="Z327" s="146"/>
      <c r="AA327" s="162"/>
      <c r="AB327" s="148"/>
      <c r="AC327" s="161"/>
      <c r="AD327" s="146"/>
      <c r="AE327" s="162"/>
      <c r="AF327" s="148"/>
    </row>
    <row r="328">
      <c r="A328" s="161"/>
      <c r="B328" s="146" t="str">
        <f>IF(A328&lt;&gt;"", SUMIF(Bets!$F:$F, A328, Bets!Z:Z), "")</f>
        <v/>
      </c>
      <c r="C328" s="162"/>
      <c r="D328" s="148"/>
      <c r="E328" s="161"/>
      <c r="F328" s="146" t="str">
        <f>IF(E328&lt;&gt;"", SUMIF(Bets!$F:$F, E328, Bets!AB:AB), "")</f>
        <v/>
      </c>
      <c r="G328" s="162"/>
      <c r="H328" s="148"/>
      <c r="I328" s="161"/>
      <c r="J328" s="146" t="str">
        <f>IF(I328&lt;&gt;"", SUMIF(Bets!$F:$F, I328, Bets!AA:AA),)</f>
        <v/>
      </c>
      <c r="K328" s="162"/>
      <c r="L328" s="148"/>
      <c r="M328" s="161"/>
      <c r="N328" s="146"/>
      <c r="O328" s="162"/>
      <c r="P328" s="148"/>
      <c r="Q328" s="161"/>
      <c r="R328" s="146"/>
      <c r="S328" s="162"/>
      <c r="T328" s="148"/>
      <c r="U328" s="161"/>
      <c r="V328" s="146"/>
      <c r="W328" s="162"/>
      <c r="X328" s="148"/>
      <c r="Y328" s="161"/>
      <c r="Z328" s="146"/>
      <c r="AA328" s="162"/>
      <c r="AB328" s="148"/>
      <c r="AC328" s="161"/>
      <c r="AD328" s="146"/>
      <c r="AE328" s="162"/>
      <c r="AF328" s="148"/>
    </row>
    <row r="329">
      <c r="A329" s="161"/>
      <c r="B329" s="146" t="str">
        <f>IF(A329&lt;&gt;"", SUMIF(Bets!$F:$F, A329, Bets!Z:Z), "")</f>
        <v/>
      </c>
      <c r="C329" s="162"/>
      <c r="D329" s="148"/>
      <c r="E329" s="161"/>
      <c r="F329" s="146" t="str">
        <f>IF(E329&lt;&gt;"", SUMIF(Bets!$F:$F, E329, Bets!AB:AB), "")</f>
        <v/>
      </c>
      <c r="G329" s="162"/>
      <c r="H329" s="148"/>
      <c r="I329" s="161"/>
      <c r="J329" s="146" t="str">
        <f>IF(I329&lt;&gt;"", SUMIF(Bets!$F:$F, I329, Bets!AA:AA),)</f>
        <v/>
      </c>
      <c r="K329" s="162"/>
      <c r="L329" s="148"/>
      <c r="M329" s="161"/>
      <c r="N329" s="146"/>
      <c r="O329" s="162"/>
      <c r="P329" s="148"/>
      <c r="Q329" s="161"/>
      <c r="R329" s="146"/>
      <c r="S329" s="162"/>
      <c r="T329" s="148"/>
      <c r="U329" s="161"/>
      <c r="V329" s="146"/>
      <c r="W329" s="162"/>
      <c r="X329" s="148"/>
      <c r="Y329" s="161"/>
      <c r="Z329" s="146"/>
      <c r="AA329" s="162"/>
      <c r="AB329" s="148"/>
      <c r="AC329" s="161"/>
      <c r="AD329" s="146"/>
      <c r="AE329" s="162"/>
      <c r="AF329" s="148"/>
    </row>
    <row r="330">
      <c r="A330" s="161"/>
      <c r="B330" s="146" t="str">
        <f>IF(A330&lt;&gt;"", SUMIF(Bets!$F:$F, A330, Bets!Z:Z), "")</f>
        <v/>
      </c>
      <c r="C330" s="162"/>
      <c r="D330" s="148"/>
      <c r="E330" s="161"/>
      <c r="F330" s="146" t="str">
        <f>IF(E330&lt;&gt;"", SUMIF(Bets!$F:$F, E330, Bets!AB:AB), "")</f>
        <v/>
      </c>
      <c r="G330" s="162"/>
      <c r="H330" s="148"/>
      <c r="I330" s="161"/>
      <c r="J330" s="146" t="str">
        <f>IF(I330&lt;&gt;"", SUMIF(Bets!$F:$F, I330, Bets!AA:AA),)</f>
        <v/>
      </c>
      <c r="K330" s="162"/>
      <c r="L330" s="148"/>
      <c r="M330" s="161"/>
      <c r="N330" s="146"/>
      <c r="O330" s="162"/>
      <c r="P330" s="148"/>
      <c r="Q330" s="161"/>
      <c r="R330" s="146"/>
      <c r="S330" s="162"/>
      <c r="T330" s="148"/>
      <c r="U330" s="161"/>
      <c r="V330" s="146"/>
      <c r="W330" s="162"/>
      <c r="X330" s="148"/>
      <c r="Y330" s="161"/>
      <c r="Z330" s="146"/>
      <c r="AA330" s="162"/>
      <c r="AB330" s="148"/>
      <c r="AC330" s="161"/>
      <c r="AD330" s="146"/>
      <c r="AE330" s="162"/>
      <c r="AF330" s="148"/>
    </row>
    <row r="331">
      <c r="A331" s="161"/>
      <c r="B331" s="146" t="str">
        <f>IF(A331&lt;&gt;"", SUMIF(Bets!$F:$F, A331, Bets!Z:Z), "")</f>
        <v/>
      </c>
      <c r="C331" s="162"/>
      <c r="D331" s="148"/>
      <c r="E331" s="161"/>
      <c r="F331" s="146" t="str">
        <f>IF(E331&lt;&gt;"", SUMIF(Bets!$F:$F, E331, Bets!AB:AB), "")</f>
        <v/>
      </c>
      <c r="G331" s="162"/>
      <c r="H331" s="148"/>
      <c r="I331" s="161"/>
      <c r="J331" s="146" t="str">
        <f>IF(I331&lt;&gt;"", SUMIF(Bets!$F:$F, I331, Bets!AA:AA),)</f>
        <v/>
      </c>
      <c r="K331" s="162"/>
      <c r="L331" s="148"/>
      <c r="M331" s="161"/>
      <c r="N331" s="146"/>
      <c r="O331" s="162"/>
      <c r="P331" s="148"/>
      <c r="Q331" s="161"/>
      <c r="R331" s="146"/>
      <c r="S331" s="162"/>
      <c r="T331" s="148"/>
      <c r="U331" s="161"/>
      <c r="V331" s="146"/>
      <c r="W331" s="162"/>
      <c r="X331" s="148"/>
      <c r="Y331" s="161"/>
      <c r="Z331" s="146"/>
      <c r="AA331" s="162"/>
      <c r="AB331" s="148"/>
      <c r="AC331" s="161"/>
      <c r="AD331" s="146"/>
      <c r="AE331" s="162"/>
      <c r="AF331" s="148"/>
    </row>
    <row r="332">
      <c r="A332" s="161"/>
      <c r="B332" s="146" t="str">
        <f>IF(A332&lt;&gt;"", SUMIF(Bets!$F:$F, A332, Bets!Z:Z), "")</f>
        <v/>
      </c>
      <c r="C332" s="162"/>
      <c r="D332" s="148"/>
      <c r="E332" s="161"/>
      <c r="F332" s="146" t="str">
        <f>IF(E332&lt;&gt;"", SUMIF(Bets!$F:$F, E332, Bets!AB:AB), "")</f>
        <v/>
      </c>
      <c r="G332" s="162"/>
      <c r="H332" s="148"/>
      <c r="I332" s="161"/>
      <c r="J332" s="146" t="str">
        <f>IF(I332&lt;&gt;"", SUMIF(Bets!$F:$F, I332, Bets!AA:AA),)</f>
        <v/>
      </c>
      <c r="K332" s="162"/>
      <c r="L332" s="148"/>
      <c r="M332" s="161"/>
      <c r="N332" s="146"/>
      <c r="O332" s="162"/>
      <c r="P332" s="148"/>
      <c r="Q332" s="161"/>
      <c r="R332" s="146"/>
      <c r="S332" s="162"/>
      <c r="T332" s="148"/>
      <c r="U332" s="161"/>
      <c r="V332" s="146"/>
      <c r="W332" s="162"/>
      <c r="X332" s="148"/>
      <c r="Y332" s="161"/>
      <c r="Z332" s="146"/>
      <c r="AA332" s="162"/>
      <c r="AB332" s="148"/>
      <c r="AC332" s="161"/>
      <c r="AD332" s="146"/>
      <c r="AE332" s="162"/>
      <c r="AF332" s="148"/>
    </row>
    <row r="333">
      <c r="A333" s="161"/>
      <c r="B333" s="146" t="str">
        <f>IF(A333&lt;&gt;"", SUMIF(Bets!$F:$F, A333, Bets!Z:Z), "")</f>
        <v/>
      </c>
      <c r="C333" s="162"/>
      <c r="D333" s="148"/>
      <c r="E333" s="161"/>
      <c r="F333" s="146" t="str">
        <f>IF(E333&lt;&gt;"", SUMIF(Bets!$F:$F, E333, Bets!AB:AB), "")</f>
        <v/>
      </c>
      <c r="G333" s="162"/>
      <c r="H333" s="148"/>
      <c r="I333" s="161"/>
      <c r="J333" s="146" t="str">
        <f>IF(I333&lt;&gt;"", SUMIF(Bets!$F:$F, I333, Bets!AA:AA),)</f>
        <v/>
      </c>
      <c r="K333" s="162"/>
      <c r="L333" s="148"/>
      <c r="M333" s="161"/>
      <c r="N333" s="146"/>
      <c r="O333" s="162"/>
      <c r="P333" s="148"/>
      <c r="Q333" s="161"/>
      <c r="R333" s="146"/>
      <c r="S333" s="162"/>
      <c r="T333" s="148"/>
      <c r="U333" s="161"/>
      <c r="V333" s="146"/>
      <c r="W333" s="162"/>
      <c r="X333" s="148"/>
      <c r="Y333" s="161"/>
      <c r="Z333" s="146"/>
      <c r="AA333" s="162"/>
      <c r="AB333" s="148"/>
      <c r="AC333" s="161"/>
      <c r="AD333" s="146"/>
      <c r="AE333" s="162"/>
      <c r="AF333" s="148"/>
    </row>
    <row r="334">
      <c r="A334" s="161"/>
      <c r="B334" s="146" t="str">
        <f>IF(A334&lt;&gt;"", SUMIF(Bets!$F:$F, A334, Bets!Z:Z), "")</f>
        <v/>
      </c>
      <c r="C334" s="162"/>
      <c r="D334" s="148"/>
      <c r="E334" s="161"/>
      <c r="F334" s="146" t="str">
        <f>IF(E334&lt;&gt;"", SUMIF(Bets!$F:$F, E334, Bets!AB:AB), "")</f>
        <v/>
      </c>
      <c r="G334" s="162"/>
      <c r="H334" s="148"/>
      <c r="I334" s="161"/>
      <c r="J334" s="146" t="str">
        <f>IF(I334&lt;&gt;"", SUMIF(Bets!$F:$F, I334, Bets!AA:AA),)</f>
        <v/>
      </c>
      <c r="K334" s="162"/>
      <c r="L334" s="148"/>
      <c r="M334" s="161"/>
      <c r="N334" s="146"/>
      <c r="O334" s="162"/>
      <c r="P334" s="148"/>
      <c r="Q334" s="161"/>
      <c r="R334" s="146"/>
      <c r="S334" s="162"/>
      <c r="T334" s="148"/>
      <c r="U334" s="161"/>
      <c r="V334" s="146"/>
      <c r="W334" s="162"/>
      <c r="X334" s="148"/>
      <c r="Y334" s="161"/>
      <c r="Z334" s="146"/>
      <c r="AA334" s="162"/>
      <c r="AB334" s="148"/>
      <c r="AC334" s="161"/>
      <c r="AD334" s="146"/>
      <c r="AE334" s="162"/>
      <c r="AF334" s="148"/>
    </row>
    <row r="335">
      <c r="A335" s="161"/>
      <c r="B335" s="146" t="str">
        <f>IF(A335&lt;&gt;"", SUMIF(Bets!$F:$F, A335, Bets!Z:Z), "")</f>
        <v/>
      </c>
      <c r="C335" s="162"/>
      <c r="D335" s="148"/>
      <c r="E335" s="161"/>
      <c r="F335" s="146" t="str">
        <f>IF(E335&lt;&gt;"", SUMIF(Bets!$F:$F, E335, Bets!AB:AB), "")</f>
        <v/>
      </c>
      <c r="G335" s="162"/>
      <c r="H335" s="148"/>
      <c r="I335" s="161"/>
      <c r="J335" s="146" t="str">
        <f>IF(I335&lt;&gt;"", SUMIF(Bets!$F:$F, I335, Bets!AA:AA),)</f>
        <v/>
      </c>
      <c r="K335" s="162"/>
      <c r="L335" s="148"/>
      <c r="M335" s="161"/>
      <c r="N335" s="146"/>
      <c r="O335" s="162"/>
      <c r="P335" s="148"/>
      <c r="Q335" s="161"/>
      <c r="R335" s="146"/>
      <c r="S335" s="162"/>
      <c r="T335" s="148"/>
      <c r="U335" s="161"/>
      <c r="V335" s="146"/>
      <c r="W335" s="162"/>
      <c r="X335" s="148"/>
      <c r="Y335" s="161"/>
      <c r="Z335" s="146"/>
      <c r="AA335" s="162"/>
      <c r="AB335" s="148"/>
      <c r="AC335" s="161"/>
      <c r="AD335" s="146"/>
      <c r="AE335" s="162"/>
      <c r="AF335" s="148"/>
    </row>
    <row r="336">
      <c r="A336" s="161"/>
      <c r="B336" s="146" t="str">
        <f>IF(A336&lt;&gt;"", SUMIF(Bets!$F:$F, A336, Bets!Z:Z), "")</f>
        <v/>
      </c>
      <c r="C336" s="162"/>
      <c r="D336" s="148"/>
      <c r="E336" s="161"/>
      <c r="F336" s="146" t="str">
        <f>IF(E336&lt;&gt;"", SUMIF(Bets!$F:$F, E336, Bets!AB:AB), "")</f>
        <v/>
      </c>
      <c r="G336" s="162"/>
      <c r="H336" s="148"/>
      <c r="I336" s="161"/>
      <c r="J336" s="146" t="str">
        <f>IF(I336&lt;&gt;"", SUMIF(Bets!$F:$F, I336, Bets!AA:AA),)</f>
        <v/>
      </c>
      <c r="K336" s="162"/>
      <c r="L336" s="148"/>
      <c r="M336" s="161"/>
      <c r="N336" s="146"/>
      <c r="O336" s="162"/>
      <c r="P336" s="148"/>
      <c r="Q336" s="161"/>
      <c r="R336" s="146"/>
      <c r="S336" s="162"/>
      <c r="T336" s="148"/>
      <c r="U336" s="161"/>
      <c r="V336" s="146"/>
      <c r="W336" s="162"/>
      <c r="X336" s="148"/>
      <c r="Y336" s="161"/>
      <c r="Z336" s="146"/>
      <c r="AA336" s="162"/>
      <c r="AB336" s="148"/>
      <c r="AC336" s="161"/>
      <c r="AD336" s="146"/>
      <c r="AE336" s="162"/>
      <c r="AF336" s="148"/>
    </row>
    <row r="337">
      <c r="A337" s="161"/>
      <c r="B337" s="146" t="str">
        <f>IF(A337&lt;&gt;"", SUMIF(Bets!$F:$F, A337, Bets!Z:Z), "")</f>
        <v/>
      </c>
      <c r="C337" s="162"/>
      <c r="D337" s="148"/>
      <c r="E337" s="161"/>
      <c r="F337" s="146" t="str">
        <f>IF(E337&lt;&gt;"", SUMIF(Bets!$F:$F, E337, Bets!AB:AB), "")</f>
        <v/>
      </c>
      <c r="G337" s="162"/>
      <c r="H337" s="148"/>
      <c r="I337" s="161"/>
      <c r="J337" s="146" t="str">
        <f>IF(I337&lt;&gt;"", SUMIF(Bets!$F:$F, I337, Bets!AA:AA),)</f>
        <v/>
      </c>
      <c r="K337" s="162"/>
      <c r="L337" s="148"/>
      <c r="M337" s="161"/>
      <c r="N337" s="146"/>
      <c r="O337" s="162"/>
      <c r="P337" s="148"/>
      <c r="Q337" s="161"/>
      <c r="R337" s="146"/>
      <c r="S337" s="162"/>
      <c r="T337" s="148"/>
      <c r="U337" s="161"/>
      <c r="V337" s="146"/>
      <c r="W337" s="162"/>
      <c r="X337" s="148"/>
      <c r="Y337" s="161"/>
      <c r="Z337" s="146"/>
      <c r="AA337" s="162"/>
      <c r="AB337" s="148"/>
      <c r="AC337" s="161"/>
      <c r="AD337" s="146"/>
      <c r="AE337" s="162"/>
      <c r="AF337" s="148"/>
    </row>
    <row r="338">
      <c r="A338" s="161"/>
      <c r="B338" s="146" t="str">
        <f>IF(A338&lt;&gt;"", SUMIF(Bets!$F:$F, A338, Bets!Z:Z), "")</f>
        <v/>
      </c>
      <c r="C338" s="162"/>
      <c r="D338" s="148"/>
      <c r="E338" s="161"/>
      <c r="F338" s="146" t="str">
        <f>IF(E338&lt;&gt;"", SUMIF(Bets!$F:$F, E338, Bets!AB:AB), "")</f>
        <v/>
      </c>
      <c r="G338" s="162"/>
      <c r="H338" s="148"/>
      <c r="I338" s="161"/>
      <c r="J338" s="146" t="str">
        <f>IF(I338&lt;&gt;"", SUMIF(Bets!$F:$F, I338, Bets!AA:AA),)</f>
        <v/>
      </c>
      <c r="K338" s="162"/>
      <c r="L338" s="148"/>
      <c r="M338" s="161"/>
      <c r="N338" s="146"/>
      <c r="O338" s="162"/>
      <c r="P338" s="148"/>
      <c r="Q338" s="161"/>
      <c r="R338" s="146"/>
      <c r="S338" s="162"/>
      <c r="T338" s="148"/>
      <c r="U338" s="161"/>
      <c r="V338" s="146"/>
      <c r="W338" s="162"/>
      <c r="X338" s="148"/>
      <c r="Y338" s="161"/>
      <c r="Z338" s="146"/>
      <c r="AA338" s="162"/>
      <c r="AB338" s="148"/>
      <c r="AC338" s="161"/>
      <c r="AD338" s="146"/>
      <c r="AE338" s="162"/>
      <c r="AF338" s="148"/>
    </row>
    <row r="339">
      <c r="A339" s="161"/>
      <c r="B339" s="146" t="str">
        <f>IF(A339&lt;&gt;"", SUMIF(Bets!$F:$F, A339, Bets!Z:Z), "")</f>
        <v/>
      </c>
      <c r="C339" s="162"/>
      <c r="D339" s="148"/>
      <c r="E339" s="161"/>
      <c r="F339" s="146" t="str">
        <f>IF(E339&lt;&gt;"", SUMIF(Bets!$F:$F, E339, Bets!AB:AB), "")</f>
        <v/>
      </c>
      <c r="G339" s="162"/>
      <c r="H339" s="148"/>
      <c r="I339" s="161"/>
      <c r="J339" s="146" t="str">
        <f>IF(I339&lt;&gt;"", SUMIF(Bets!$F:$F, I339, Bets!AA:AA),)</f>
        <v/>
      </c>
      <c r="K339" s="162"/>
      <c r="L339" s="148"/>
      <c r="M339" s="161"/>
      <c r="N339" s="146"/>
      <c r="O339" s="162"/>
      <c r="P339" s="148"/>
      <c r="Q339" s="161"/>
      <c r="R339" s="146"/>
      <c r="S339" s="162"/>
      <c r="T339" s="148"/>
      <c r="U339" s="161"/>
      <c r="V339" s="146"/>
      <c r="W339" s="162"/>
      <c r="X339" s="148"/>
      <c r="Y339" s="161"/>
      <c r="Z339" s="146"/>
      <c r="AA339" s="162"/>
      <c r="AB339" s="148"/>
      <c r="AC339" s="161"/>
      <c r="AD339" s="146"/>
      <c r="AE339" s="162"/>
      <c r="AF339" s="148"/>
    </row>
    <row r="340">
      <c r="A340" s="161"/>
      <c r="B340" s="146" t="str">
        <f>IF(A340&lt;&gt;"", SUMIF(Bets!$F:$F, A340, Bets!Z:Z), "")</f>
        <v/>
      </c>
      <c r="C340" s="162"/>
      <c r="D340" s="148"/>
      <c r="E340" s="161"/>
      <c r="F340" s="146" t="str">
        <f>IF(E340&lt;&gt;"", SUMIF(Bets!$F:$F, E340, Bets!AB:AB), "")</f>
        <v/>
      </c>
      <c r="G340" s="162"/>
      <c r="H340" s="148"/>
      <c r="I340" s="161"/>
      <c r="J340" s="146" t="str">
        <f>IF(I340&lt;&gt;"", SUMIF(Bets!$F:$F, I340, Bets!AA:AA),)</f>
        <v/>
      </c>
      <c r="K340" s="162"/>
      <c r="L340" s="148"/>
      <c r="M340" s="161"/>
      <c r="N340" s="146"/>
      <c r="O340" s="162"/>
      <c r="P340" s="148"/>
      <c r="Q340" s="161"/>
      <c r="R340" s="146"/>
      <c r="S340" s="162"/>
      <c r="T340" s="148"/>
      <c r="U340" s="161"/>
      <c r="V340" s="146"/>
      <c r="W340" s="162"/>
      <c r="X340" s="148"/>
      <c r="Y340" s="161"/>
      <c r="Z340" s="146"/>
      <c r="AA340" s="162"/>
      <c r="AB340" s="148"/>
      <c r="AC340" s="161"/>
      <c r="AD340" s="146"/>
      <c r="AE340" s="162"/>
      <c r="AF340" s="148"/>
    </row>
    <row r="341">
      <c r="A341" s="161"/>
      <c r="B341" s="146" t="str">
        <f>IF(A341&lt;&gt;"", SUMIF(Bets!$F:$F, A341, Bets!Z:Z), "")</f>
        <v/>
      </c>
      <c r="C341" s="162"/>
      <c r="D341" s="148"/>
      <c r="E341" s="161"/>
      <c r="F341" s="146" t="str">
        <f>IF(E341&lt;&gt;"", SUMIF(Bets!$F:$F, E341, Bets!AB:AB), "")</f>
        <v/>
      </c>
      <c r="G341" s="162"/>
      <c r="H341" s="148"/>
      <c r="I341" s="161"/>
      <c r="J341" s="146" t="str">
        <f>IF(I341&lt;&gt;"", SUMIF(Bets!$F:$F, I341, Bets!AA:AA),)</f>
        <v/>
      </c>
      <c r="K341" s="162"/>
      <c r="L341" s="148"/>
      <c r="M341" s="161"/>
      <c r="N341" s="146"/>
      <c r="O341" s="162"/>
      <c r="P341" s="148"/>
      <c r="Q341" s="161"/>
      <c r="R341" s="146"/>
      <c r="S341" s="162"/>
      <c r="T341" s="148"/>
      <c r="U341" s="161"/>
      <c r="V341" s="146"/>
      <c r="W341" s="162"/>
      <c r="X341" s="148"/>
      <c r="Y341" s="161"/>
      <c r="Z341" s="146"/>
      <c r="AA341" s="162"/>
      <c r="AB341" s="148"/>
      <c r="AC341" s="161"/>
      <c r="AD341" s="146"/>
      <c r="AE341" s="162"/>
      <c r="AF341" s="148"/>
    </row>
    <row r="342">
      <c r="A342" s="161"/>
      <c r="B342" s="146" t="str">
        <f>IF(A342&lt;&gt;"", SUMIF(Bets!$F:$F, A342, Bets!Z:Z), "")</f>
        <v/>
      </c>
      <c r="C342" s="162"/>
      <c r="D342" s="148"/>
      <c r="E342" s="161"/>
      <c r="F342" s="146" t="str">
        <f>IF(E342&lt;&gt;"", SUMIF(Bets!$F:$F, E342, Bets!AB:AB), "")</f>
        <v/>
      </c>
      <c r="G342" s="162"/>
      <c r="H342" s="148"/>
      <c r="I342" s="161"/>
      <c r="J342" s="146" t="str">
        <f>IF(I342&lt;&gt;"", SUMIF(Bets!$F:$F, I342, Bets!AA:AA),)</f>
        <v/>
      </c>
      <c r="K342" s="162"/>
      <c r="L342" s="148"/>
      <c r="M342" s="161"/>
      <c r="N342" s="146"/>
      <c r="O342" s="162"/>
      <c r="P342" s="148"/>
      <c r="Q342" s="161"/>
      <c r="R342" s="146"/>
      <c r="S342" s="162"/>
      <c r="T342" s="148"/>
      <c r="U342" s="161"/>
      <c r="V342" s="146"/>
      <c r="W342" s="162"/>
      <c r="X342" s="148"/>
      <c r="Y342" s="161"/>
      <c r="Z342" s="146"/>
      <c r="AA342" s="162"/>
      <c r="AB342" s="148"/>
      <c r="AC342" s="161"/>
      <c r="AD342" s="146"/>
      <c r="AE342" s="162"/>
      <c r="AF342" s="148"/>
    </row>
    <row r="343">
      <c r="A343" s="161"/>
      <c r="B343" s="146" t="str">
        <f>IF(A343&lt;&gt;"", SUMIF(Bets!$F:$F, A343, Bets!Z:Z), "")</f>
        <v/>
      </c>
      <c r="C343" s="162"/>
      <c r="D343" s="148"/>
      <c r="E343" s="161"/>
      <c r="F343" s="146" t="str">
        <f>IF(E343&lt;&gt;"", SUMIF(Bets!$F:$F, E343, Bets!AB:AB), "")</f>
        <v/>
      </c>
      <c r="G343" s="162"/>
      <c r="H343" s="148"/>
      <c r="I343" s="161"/>
      <c r="J343" s="146" t="str">
        <f>IF(I343&lt;&gt;"", SUMIF(Bets!$F:$F, I343, Bets!AA:AA),)</f>
        <v/>
      </c>
      <c r="K343" s="162"/>
      <c r="L343" s="148"/>
      <c r="M343" s="161"/>
      <c r="N343" s="146"/>
      <c r="O343" s="162"/>
      <c r="P343" s="148"/>
      <c r="Q343" s="161"/>
      <c r="R343" s="146"/>
      <c r="S343" s="162"/>
      <c r="T343" s="148"/>
      <c r="U343" s="161"/>
      <c r="V343" s="146"/>
      <c r="W343" s="162"/>
      <c r="X343" s="148"/>
      <c r="Y343" s="161"/>
      <c r="Z343" s="146"/>
      <c r="AA343" s="162"/>
      <c r="AB343" s="148"/>
      <c r="AC343" s="161"/>
      <c r="AD343" s="146"/>
      <c r="AE343" s="162"/>
      <c r="AF343" s="148"/>
    </row>
    <row r="344">
      <c r="A344" s="161"/>
      <c r="B344" s="146" t="str">
        <f>IF(A344&lt;&gt;"", SUMIF(Bets!$F:$F, A344, Bets!Z:Z), "")</f>
        <v/>
      </c>
      <c r="C344" s="162"/>
      <c r="D344" s="148"/>
      <c r="E344" s="161"/>
      <c r="F344" s="146" t="str">
        <f>IF(E344&lt;&gt;"", SUMIF(Bets!$F:$F, E344, Bets!AB:AB), "")</f>
        <v/>
      </c>
      <c r="G344" s="162"/>
      <c r="H344" s="148"/>
      <c r="I344" s="161"/>
      <c r="J344" s="146" t="str">
        <f>IF(I344&lt;&gt;"", SUMIF(Bets!$F:$F, I344, Bets!AA:AA),)</f>
        <v/>
      </c>
      <c r="K344" s="162"/>
      <c r="L344" s="148"/>
      <c r="M344" s="161"/>
      <c r="N344" s="146"/>
      <c r="O344" s="162"/>
      <c r="P344" s="148"/>
      <c r="Q344" s="161"/>
      <c r="R344" s="146"/>
      <c r="S344" s="162"/>
      <c r="T344" s="148"/>
      <c r="U344" s="161"/>
      <c r="V344" s="146"/>
      <c r="W344" s="162"/>
      <c r="X344" s="148"/>
      <c r="Y344" s="161"/>
      <c r="Z344" s="146"/>
      <c r="AA344" s="162"/>
      <c r="AB344" s="148"/>
      <c r="AC344" s="161"/>
      <c r="AD344" s="146"/>
      <c r="AE344" s="162"/>
      <c r="AF344" s="148"/>
    </row>
    <row r="345">
      <c r="A345" s="161"/>
      <c r="B345" s="146" t="str">
        <f>IF(A345&lt;&gt;"", SUMIF(Bets!$F:$F, A345, Bets!Z:Z), "")</f>
        <v/>
      </c>
      <c r="C345" s="162"/>
      <c r="D345" s="148"/>
      <c r="E345" s="161"/>
      <c r="F345" s="146" t="str">
        <f>IF(E345&lt;&gt;"", SUMIF(Bets!$F:$F, E345, Bets!AB:AB), "")</f>
        <v/>
      </c>
      <c r="G345" s="162"/>
      <c r="H345" s="148"/>
      <c r="I345" s="161"/>
      <c r="J345" s="146" t="str">
        <f>IF(I345&lt;&gt;"", SUMIF(Bets!$F:$F, I345, Bets!AA:AA),)</f>
        <v/>
      </c>
      <c r="K345" s="162"/>
      <c r="L345" s="148"/>
      <c r="M345" s="161"/>
      <c r="N345" s="146"/>
      <c r="O345" s="162"/>
      <c r="P345" s="148"/>
      <c r="Q345" s="161"/>
      <c r="R345" s="146"/>
      <c r="S345" s="162"/>
      <c r="T345" s="148"/>
      <c r="U345" s="161"/>
      <c r="V345" s="146"/>
      <c r="W345" s="162"/>
      <c r="X345" s="148"/>
      <c r="Y345" s="161"/>
      <c r="Z345" s="146"/>
      <c r="AA345" s="162"/>
      <c r="AB345" s="148"/>
      <c r="AC345" s="161"/>
      <c r="AD345" s="146"/>
      <c r="AE345" s="162"/>
      <c r="AF345" s="148"/>
    </row>
    <row r="346">
      <c r="A346" s="161"/>
      <c r="B346" s="146" t="str">
        <f>IF(A346&lt;&gt;"", SUMIF(Bets!$F:$F, A346, Bets!Z:Z), "")</f>
        <v/>
      </c>
      <c r="C346" s="162"/>
      <c r="D346" s="148"/>
      <c r="E346" s="161"/>
      <c r="F346" s="146" t="str">
        <f>IF(E346&lt;&gt;"", SUMIF(Bets!$F:$F, E346, Bets!AB:AB), "")</f>
        <v/>
      </c>
      <c r="G346" s="162"/>
      <c r="H346" s="148"/>
      <c r="I346" s="161"/>
      <c r="J346" s="146" t="str">
        <f>IF(I346&lt;&gt;"", SUMIF(Bets!$F:$F, I346, Bets!AA:AA),)</f>
        <v/>
      </c>
      <c r="K346" s="162"/>
      <c r="L346" s="148"/>
      <c r="M346" s="161"/>
      <c r="N346" s="146"/>
      <c r="O346" s="162"/>
      <c r="P346" s="148"/>
      <c r="Q346" s="161"/>
      <c r="R346" s="146"/>
      <c r="S346" s="162"/>
      <c r="T346" s="148"/>
      <c r="U346" s="161"/>
      <c r="V346" s="146"/>
      <c r="W346" s="162"/>
      <c r="X346" s="148"/>
      <c r="Y346" s="161"/>
      <c r="Z346" s="146"/>
      <c r="AA346" s="162"/>
      <c r="AB346" s="148"/>
      <c r="AC346" s="161"/>
      <c r="AD346" s="146"/>
      <c r="AE346" s="162"/>
      <c r="AF346" s="148"/>
    </row>
    <row r="347">
      <c r="A347" s="161"/>
      <c r="B347" s="146" t="str">
        <f>IF(A347&lt;&gt;"", SUMIF(Bets!$F:$F, A347, Bets!Z:Z), "")</f>
        <v/>
      </c>
      <c r="C347" s="162"/>
      <c r="D347" s="148"/>
      <c r="E347" s="161"/>
      <c r="F347" s="146" t="str">
        <f>IF(E347&lt;&gt;"", SUMIF(Bets!$F:$F, E347, Bets!AB:AB), "")</f>
        <v/>
      </c>
      <c r="G347" s="162"/>
      <c r="H347" s="148"/>
      <c r="I347" s="161"/>
      <c r="J347" s="146" t="str">
        <f>IF(I347&lt;&gt;"", SUMIF(Bets!$F:$F, I347, Bets!AA:AA),)</f>
        <v/>
      </c>
      <c r="K347" s="162"/>
      <c r="L347" s="148"/>
      <c r="M347" s="161"/>
      <c r="N347" s="146"/>
      <c r="O347" s="162"/>
      <c r="P347" s="148"/>
      <c r="Q347" s="161"/>
      <c r="R347" s="146"/>
      <c r="S347" s="162"/>
      <c r="T347" s="148"/>
      <c r="U347" s="161"/>
      <c r="V347" s="146"/>
      <c r="W347" s="162"/>
      <c r="X347" s="148"/>
      <c r="Y347" s="161"/>
      <c r="Z347" s="146"/>
      <c r="AA347" s="162"/>
      <c r="AB347" s="148"/>
      <c r="AC347" s="161"/>
      <c r="AD347" s="146"/>
      <c r="AE347" s="162"/>
      <c r="AF347" s="148"/>
    </row>
    <row r="348">
      <c r="A348" s="161"/>
      <c r="B348" s="146" t="str">
        <f>IF(A348&lt;&gt;"", SUMIF(Bets!$F:$F, A348, Bets!Z:Z), "")</f>
        <v/>
      </c>
      <c r="C348" s="162"/>
      <c r="D348" s="148"/>
      <c r="E348" s="161"/>
      <c r="F348" s="146" t="str">
        <f>IF(E348&lt;&gt;"", SUMIF(Bets!$F:$F, E348, Bets!AB:AB), "")</f>
        <v/>
      </c>
      <c r="G348" s="162"/>
      <c r="H348" s="148"/>
      <c r="I348" s="161"/>
      <c r="J348" s="146" t="str">
        <f>IF(I348&lt;&gt;"", SUMIF(Bets!$F:$F, I348, Bets!AA:AA),)</f>
        <v/>
      </c>
      <c r="K348" s="162"/>
      <c r="L348" s="148"/>
      <c r="M348" s="161"/>
      <c r="N348" s="146"/>
      <c r="O348" s="162"/>
      <c r="P348" s="148"/>
      <c r="Q348" s="161"/>
      <c r="R348" s="146"/>
      <c r="S348" s="162"/>
      <c r="T348" s="148"/>
      <c r="U348" s="161"/>
      <c r="V348" s="146"/>
      <c r="W348" s="162"/>
      <c r="X348" s="148"/>
      <c r="Y348" s="161"/>
      <c r="Z348" s="146"/>
      <c r="AA348" s="162"/>
      <c r="AB348" s="148"/>
      <c r="AC348" s="161"/>
      <c r="AD348" s="146"/>
      <c r="AE348" s="162"/>
      <c r="AF348" s="148"/>
    </row>
    <row r="349">
      <c r="A349" s="161"/>
      <c r="B349" s="146" t="str">
        <f>IF(A349&lt;&gt;"", SUMIF(Bets!$F:$F, A349, Bets!Z:Z), "")</f>
        <v/>
      </c>
      <c r="C349" s="162"/>
      <c r="D349" s="148"/>
      <c r="E349" s="161"/>
      <c r="F349" s="146" t="str">
        <f>IF(E349&lt;&gt;"", SUMIF(Bets!$F:$F, E349, Bets!AB:AB), "")</f>
        <v/>
      </c>
      <c r="G349" s="162"/>
      <c r="H349" s="148"/>
      <c r="I349" s="161"/>
      <c r="J349" s="146" t="str">
        <f>IF(I349&lt;&gt;"", SUMIF(Bets!$F:$F, I349, Bets!AA:AA),)</f>
        <v/>
      </c>
      <c r="K349" s="162"/>
      <c r="L349" s="148"/>
      <c r="M349" s="161"/>
      <c r="N349" s="146"/>
      <c r="O349" s="162"/>
      <c r="P349" s="148"/>
      <c r="Q349" s="161"/>
      <c r="R349" s="146"/>
      <c r="S349" s="162"/>
      <c r="T349" s="148"/>
      <c r="U349" s="161"/>
      <c r="V349" s="146"/>
      <c r="W349" s="162"/>
      <c r="X349" s="148"/>
      <c r="Y349" s="161"/>
      <c r="Z349" s="146"/>
      <c r="AA349" s="162"/>
      <c r="AB349" s="148"/>
      <c r="AC349" s="161"/>
      <c r="AD349" s="146"/>
      <c r="AE349" s="162"/>
      <c r="AF349" s="148"/>
    </row>
    <row r="350">
      <c r="A350" s="161"/>
      <c r="B350" s="146" t="str">
        <f>IF(A350&lt;&gt;"", SUMIF(Bets!$F:$F, A350, Bets!Z:Z), "")</f>
        <v/>
      </c>
      <c r="C350" s="162"/>
      <c r="D350" s="148"/>
      <c r="E350" s="161"/>
      <c r="F350" s="146" t="str">
        <f>IF(E350&lt;&gt;"", SUMIF(Bets!$F:$F, E350, Bets!AB:AB), "")</f>
        <v/>
      </c>
      <c r="G350" s="162"/>
      <c r="H350" s="148"/>
      <c r="I350" s="161"/>
      <c r="J350" s="146" t="str">
        <f>IF(I350&lt;&gt;"", SUMIF(Bets!$F:$F, I350, Bets!AA:AA),)</f>
        <v/>
      </c>
      <c r="K350" s="162"/>
      <c r="L350" s="148"/>
      <c r="M350" s="161"/>
      <c r="N350" s="146"/>
      <c r="O350" s="162"/>
      <c r="P350" s="148"/>
      <c r="Q350" s="161"/>
      <c r="R350" s="146"/>
      <c r="S350" s="162"/>
      <c r="T350" s="148"/>
      <c r="U350" s="161"/>
      <c r="V350" s="146"/>
      <c r="W350" s="162"/>
      <c r="X350" s="148"/>
      <c r="Y350" s="161"/>
      <c r="Z350" s="146"/>
      <c r="AA350" s="162"/>
      <c r="AB350" s="148"/>
      <c r="AC350" s="161"/>
      <c r="AD350" s="146"/>
      <c r="AE350" s="162"/>
      <c r="AF350" s="148"/>
    </row>
    <row r="351">
      <c r="A351" s="161"/>
      <c r="B351" s="146" t="str">
        <f>IF(A351&lt;&gt;"", SUMIF(Bets!$F:$F, A351, Bets!Z:Z), "")</f>
        <v/>
      </c>
      <c r="C351" s="162"/>
      <c r="D351" s="148"/>
      <c r="E351" s="161"/>
      <c r="F351" s="146" t="str">
        <f>IF(E351&lt;&gt;"", SUMIF(Bets!$F:$F, E351, Bets!AB:AB), "")</f>
        <v/>
      </c>
      <c r="G351" s="162"/>
      <c r="H351" s="148"/>
      <c r="I351" s="161"/>
      <c r="J351" s="146" t="str">
        <f>IF(I351&lt;&gt;"", SUMIF(Bets!$F:$F, I351, Bets!AA:AA),)</f>
        <v/>
      </c>
      <c r="K351" s="162"/>
      <c r="L351" s="148"/>
      <c r="M351" s="161"/>
      <c r="N351" s="146"/>
      <c r="O351" s="162"/>
      <c r="P351" s="148"/>
      <c r="Q351" s="161"/>
      <c r="R351" s="146"/>
      <c r="S351" s="162"/>
      <c r="T351" s="148"/>
      <c r="U351" s="161"/>
      <c r="V351" s="146"/>
      <c r="W351" s="162"/>
      <c r="X351" s="148"/>
      <c r="Y351" s="161"/>
      <c r="Z351" s="146"/>
      <c r="AA351" s="162"/>
      <c r="AB351" s="148"/>
      <c r="AC351" s="161"/>
      <c r="AD351" s="146"/>
      <c r="AE351" s="162"/>
      <c r="AF351" s="148"/>
    </row>
    <row r="352">
      <c r="A352" s="161"/>
      <c r="B352" s="146" t="str">
        <f>IF(A352&lt;&gt;"", SUMIF(Bets!$F:$F, A352, Bets!Z:Z), "")</f>
        <v/>
      </c>
      <c r="C352" s="162"/>
      <c r="D352" s="148"/>
      <c r="E352" s="161"/>
      <c r="F352" s="146" t="str">
        <f>IF(E352&lt;&gt;"", SUMIF(Bets!$F:$F, E352, Bets!AB:AB), "")</f>
        <v/>
      </c>
      <c r="G352" s="162"/>
      <c r="H352" s="148"/>
      <c r="I352" s="161"/>
      <c r="J352" s="146" t="str">
        <f>IF(I352&lt;&gt;"", SUMIF(Bets!$F:$F, I352, Bets!AA:AA),)</f>
        <v/>
      </c>
      <c r="K352" s="162"/>
      <c r="L352" s="148"/>
      <c r="M352" s="161"/>
      <c r="N352" s="146"/>
      <c r="O352" s="162"/>
      <c r="P352" s="148"/>
      <c r="Q352" s="161"/>
      <c r="R352" s="146"/>
      <c r="S352" s="162"/>
      <c r="T352" s="148"/>
      <c r="U352" s="161"/>
      <c r="V352" s="146"/>
      <c r="W352" s="162"/>
      <c r="X352" s="148"/>
      <c r="Y352" s="161"/>
      <c r="Z352" s="146"/>
      <c r="AA352" s="162"/>
      <c r="AB352" s="148"/>
      <c r="AC352" s="161"/>
      <c r="AD352" s="146"/>
      <c r="AE352" s="162"/>
      <c r="AF352" s="148"/>
    </row>
    <row r="353">
      <c r="A353" s="161"/>
      <c r="B353" s="146" t="str">
        <f>IF(A353&lt;&gt;"", SUMIF(Bets!$F:$F, A353, Bets!Z:Z), "")</f>
        <v/>
      </c>
      <c r="C353" s="162"/>
      <c r="D353" s="148"/>
      <c r="E353" s="161"/>
      <c r="F353" s="146" t="str">
        <f>IF(E353&lt;&gt;"", SUMIF(Bets!$F:$F, E353, Bets!AB:AB), "")</f>
        <v/>
      </c>
      <c r="G353" s="162"/>
      <c r="H353" s="148"/>
      <c r="I353" s="161"/>
      <c r="J353" s="146" t="str">
        <f>IF(I353&lt;&gt;"", SUMIF(Bets!$F:$F, I353, Bets!AA:AA),)</f>
        <v/>
      </c>
      <c r="K353" s="162"/>
      <c r="L353" s="148"/>
      <c r="M353" s="161"/>
      <c r="N353" s="146"/>
      <c r="O353" s="162"/>
      <c r="P353" s="148"/>
      <c r="Q353" s="161"/>
      <c r="R353" s="146"/>
      <c r="S353" s="162"/>
      <c r="T353" s="148"/>
      <c r="U353" s="161"/>
      <c r="V353" s="146"/>
      <c r="W353" s="162"/>
      <c r="X353" s="148"/>
      <c r="Y353" s="161"/>
      <c r="Z353" s="146"/>
      <c r="AA353" s="162"/>
      <c r="AB353" s="148"/>
      <c r="AC353" s="161"/>
      <c r="AD353" s="146"/>
      <c r="AE353" s="162"/>
      <c r="AF353" s="148"/>
    </row>
    <row r="354">
      <c r="A354" s="161"/>
      <c r="B354" s="146" t="str">
        <f>IF(A354&lt;&gt;"", SUMIF(Bets!$F:$F, A354, Bets!Z:Z), "")</f>
        <v/>
      </c>
      <c r="C354" s="162"/>
      <c r="D354" s="148"/>
      <c r="E354" s="161"/>
      <c r="F354" s="146" t="str">
        <f>IF(E354&lt;&gt;"", SUMIF(Bets!$F:$F, E354, Bets!AB:AB), "")</f>
        <v/>
      </c>
      <c r="G354" s="162"/>
      <c r="H354" s="148"/>
      <c r="I354" s="161"/>
      <c r="J354" s="146" t="str">
        <f>IF(I354&lt;&gt;"", SUMIF(Bets!$F:$F, I354, Bets!AA:AA),)</f>
        <v/>
      </c>
      <c r="K354" s="162"/>
      <c r="L354" s="148"/>
      <c r="M354" s="161"/>
      <c r="N354" s="146"/>
      <c r="O354" s="162"/>
      <c r="P354" s="148"/>
      <c r="Q354" s="161"/>
      <c r="R354" s="146"/>
      <c r="S354" s="162"/>
      <c r="T354" s="148"/>
      <c r="U354" s="161"/>
      <c r="V354" s="146"/>
      <c r="W354" s="162"/>
      <c r="X354" s="148"/>
      <c r="Y354" s="161"/>
      <c r="Z354" s="146"/>
      <c r="AA354" s="162"/>
      <c r="AB354" s="148"/>
      <c r="AC354" s="161"/>
      <c r="AD354" s="146"/>
      <c r="AE354" s="162"/>
      <c r="AF354" s="148"/>
    </row>
    <row r="355">
      <c r="A355" s="161"/>
      <c r="B355" s="146" t="str">
        <f>IF(A355&lt;&gt;"", SUMIF(Bets!$F:$F, A355, Bets!Z:Z), "")</f>
        <v/>
      </c>
      <c r="C355" s="162"/>
      <c r="D355" s="148"/>
      <c r="E355" s="161"/>
      <c r="F355" s="146" t="str">
        <f>IF(E355&lt;&gt;"", SUMIF(Bets!$F:$F, E355, Bets!AB:AB), "")</f>
        <v/>
      </c>
      <c r="G355" s="162"/>
      <c r="H355" s="148"/>
      <c r="I355" s="161"/>
      <c r="J355" s="146" t="str">
        <f>IF(I355&lt;&gt;"", SUMIF(Bets!$F:$F, I355, Bets!AA:AA),)</f>
        <v/>
      </c>
      <c r="K355" s="162"/>
      <c r="L355" s="148"/>
      <c r="M355" s="161"/>
      <c r="N355" s="146"/>
      <c r="O355" s="162"/>
      <c r="P355" s="148"/>
      <c r="Q355" s="161"/>
      <c r="R355" s="146"/>
      <c r="S355" s="162"/>
      <c r="T355" s="148"/>
      <c r="U355" s="161"/>
      <c r="V355" s="146"/>
      <c r="W355" s="162"/>
      <c r="X355" s="148"/>
      <c r="Y355" s="161"/>
      <c r="Z355" s="146"/>
      <c r="AA355" s="162"/>
      <c r="AB355" s="148"/>
      <c r="AC355" s="161"/>
      <c r="AD355" s="146"/>
      <c r="AE355" s="162"/>
      <c r="AF355" s="148"/>
    </row>
    <row r="356">
      <c r="A356" s="161"/>
      <c r="B356" s="146" t="str">
        <f>IF(A356&lt;&gt;"", SUMIF(Bets!$F:$F, A356, Bets!Z:Z), "")</f>
        <v/>
      </c>
      <c r="C356" s="162"/>
      <c r="D356" s="148"/>
      <c r="E356" s="161"/>
      <c r="F356" s="146" t="str">
        <f>IF(E356&lt;&gt;"", SUMIF(Bets!$F:$F, E356, Bets!AB:AB), "")</f>
        <v/>
      </c>
      <c r="G356" s="162"/>
      <c r="H356" s="148"/>
      <c r="I356" s="161"/>
      <c r="J356" s="146" t="str">
        <f>IF(I356&lt;&gt;"", SUMIF(Bets!$F:$F, I356, Bets!AA:AA),)</f>
        <v/>
      </c>
      <c r="K356" s="162"/>
      <c r="L356" s="148"/>
      <c r="M356" s="161"/>
      <c r="N356" s="146"/>
      <c r="O356" s="162"/>
      <c r="P356" s="148"/>
      <c r="Q356" s="161"/>
      <c r="R356" s="146"/>
      <c r="S356" s="162"/>
      <c r="T356" s="148"/>
      <c r="U356" s="161"/>
      <c r="V356" s="146"/>
      <c r="W356" s="162"/>
      <c r="X356" s="148"/>
      <c r="Y356" s="161"/>
      <c r="Z356" s="146"/>
      <c r="AA356" s="162"/>
      <c r="AB356" s="148"/>
      <c r="AC356" s="161"/>
      <c r="AD356" s="146"/>
      <c r="AE356" s="162"/>
      <c r="AF356" s="148"/>
    </row>
    <row r="357">
      <c r="A357" s="161"/>
      <c r="B357" s="146" t="str">
        <f>IF(A357&lt;&gt;"", SUMIF(Bets!$F:$F, A357, Bets!Z:Z), "")</f>
        <v/>
      </c>
      <c r="C357" s="162"/>
      <c r="D357" s="148"/>
      <c r="E357" s="161"/>
      <c r="F357" s="146" t="str">
        <f>IF(E357&lt;&gt;"", SUMIF(Bets!$F:$F, E357, Bets!AB:AB), "")</f>
        <v/>
      </c>
      <c r="G357" s="162"/>
      <c r="H357" s="148"/>
      <c r="I357" s="161"/>
      <c r="J357" s="146" t="str">
        <f>IF(I357&lt;&gt;"", SUMIF(Bets!$F:$F, I357, Bets!AA:AA),)</f>
        <v/>
      </c>
      <c r="K357" s="162"/>
      <c r="L357" s="148"/>
      <c r="M357" s="161"/>
      <c r="N357" s="146"/>
      <c r="O357" s="162"/>
      <c r="P357" s="148"/>
      <c r="Q357" s="161"/>
      <c r="R357" s="146"/>
      <c r="S357" s="162"/>
      <c r="T357" s="148"/>
      <c r="U357" s="161"/>
      <c r="V357" s="146"/>
      <c r="W357" s="162"/>
      <c r="X357" s="148"/>
      <c r="Y357" s="161"/>
      <c r="Z357" s="146"/>
      <c r="AA357" s="162"/>
      <c r="AB357" s="148"/>
      <c r="AC357" s="161"/>
      <c r="AD357" s="146"/>
      <c r="AE357" s="162"/>
      <c r="AF357" s="148"/>
    </row>
    <row r="358">
      <c r="A358" s="161"/>
      <c r="B358" s="146" t="str">
        <f>IF(A358&lt;&gt;"", SUMIF(Bets!$F:$F, A358, Bets!Z:Z), "")</f>
        <v/>
      </c>
      <c r="C358" s="162"/>
      <c r="D358" s="148"/>
      <c r="E358" s="161"/>
      <c r="F358" s="146" t="str">
        <f>IF(E358&lt;&gt;"", SUMIF(Bets!$F:$F, E358, Bets!AB:AB), "")</f>
        <v/>
      </c>
      <c r="G358" s="162"/>
      <c r="H358" s="148"/>
      <c r="I358" s="161"/>
      <c r="J358" s="146" t="str">
        <f>IF(I358&lt;&gt;"", SUMIF(Bets!$F:$F, I358, Bets!AA:AA),)</f>
        <v/>
      </c>
      <c r="K358" s="162"/>
      <c r="L358" s="148"/>
      <c r="M358" s="161"/>
      <c r="N358" s="146"/>
      <c r="O358" s="162"/>
      <c r="P358" s="148"/>
      <c r="Q358" s="161"/>
      <c r="R358" s="146"/>
      <c r="S358" s="162"/>
      <c r="T358" s="148"/>
      <c r="U358" s="161"/>
      <c r="V358" s="146"/>
      <c r="W358" s="162"/>
      <c r="X358" s="148"/>
      <c r="Y358" s="161"/>
      <c r="Z358" s="146"/>
      <c r="AA358" s="162"/>
      <c r="AB358" s="148"/>
      <c r="AC358" s="161"/>
      <c r="AD358" s="146"/>
      <c r="AE358" s="162"/>
      <c r="AF358" s="148"/>
    </row>
    <row r="359">
      <c r="A359" s="161"/>
      <c r="B359" s="146" t="str">
        <f>IF(A359&lt;&gt;"", SUMIF(Bets!$F:$F, A359, Bets!Z:Z), "")</f>
        <v/>
      </c>
      <c r="C359" s="162"/>
      <c r="D359" s="148"/>
      <c r="E359" s="161"/>
      <c r="F359" s="146" t="str">
        <f>IF(E359&lt;&gt;"", SUMIF(Bets!$F:$F, E359, Bets!AB:AB), "")</f>
        <v/>
      </c>
      <c r="G359" s="162"/>
      <c r="H359" s="148"/>
      <c r="I359" s="161"/>
      <c r="J359" s="146" t="str">
        <f>IF(I359&lt;&gt;"", SUMIF(Bets!$F:$F, I359, Bets!AA:AA),)</f>
        <v/>
      </c>
      <c r="K359" s="162"/>
      <c r="L359" s="148"/>
      <c r="M359" s="161"/>
      <c r="N359" s="146"/>
      <c r="O359" s="162"/>
      <c r="P359" s="148"/>
      <c r="Q359" s="161"/>
      <c r="R359" s="146"/>
      <c r="S359" s="162"/>
      <c r="T359" s="148"/>
      <c r="U359" s="161"/>
      <c r="V359" s="146"/>
      <c r="W359" s="162"/>
      <c r="X359" s="148"/>
      <c r="Y359" s="161"/>
      <c r="Z359" s="146"/>
      <c r="AA359" s="162"/>
      <c r="AB359" s="148"/>
      <c r="AC359" s="161"/>
      <c r="AD359" s="146"/>
      <c r="AE359" s="162"/>
      <c r="AF359" s="148"/>
    </row>
    <row r="360">
      <c r="A360" s="161"/>
      <c r="B360" s="146" t="str">
        <f>IF(A360&lt;&gt;"", SUMIF(Bets!$F:$F, A360, Bets!Z:Z), "")</f>
        <v/>
      </c>
      <c r="C360" s="162"/>
      <c r="D360" s="148"/>
      <c r="E360" s="161"/>
      <c r="F360" s="146" t="str">
        <f>IF(E360&lt;&gt;"", SUMIF(Bets!$F:$F, E360, Bets!AB:AB), "")</f>
        <v/>
      </c>
      <c r="G360" s="162"/>
      <c r="H360" s="148"/>
      <c r="I360" s="161"/>
      <c r="J360" s="146" t="str">
        <f>IF(I360&lt;&gt;"", SUMIF(Bets!$F:$F, I360, Bets!AA:AA),)</f>
        <v/>
      </c>
      <c r="K360" s="162"/>
      <c r="L360" s="148"/>
      <c r="M360" s="161"/>
      <c r="N360" s="146"/>
      <c r="O360" s="162"/>
      <c r="P360" s="148"/>
      <c r="Q360" s="161"/>
      <c r="R360" s="146"/>
      <c r="S360" s="162"/>
      <c r="T360" s="148"/>
      <c r="U360" s="161"/>
      <c r="V360" s="146"/>
      <c r="W360" s="162"/>
      <c r="X360" s="148"/>
      <c r="Y360" s="161"/>
      <c r="Z360" s="146"/>
      <c r="AA360" s="162"/>
      <c r="AB360" s="148"/>
      <c r="AC360" s="161"/>
      <c r="AD360" s="146"/>
      <c r="AE360" s="162"/>
      <c r="AF360" s="148"/>
    </row>
    <row r="361">
      <c r="A361" s="161"/>
      <c r="B361" s="146" t="str">
        <f>IF(A361&lt;&gt;"", SUMIF(Bets!$F:$F, A361, Bets!Z:Z), "")</f>
        <v/>
      </c>
      <c r="C361" s="162"/>
      <c r="D361" s="148"/>
      <c r="E361" s="161"/>
      <c r="F361" s="146" t="str">
        <f>IF(E361&lt;&gt;"", SUMIF(Bets!$F:$F, E361, Bets!AB:AB), "")</f>
        <v/>
      </c>
      <c r="G361" s="162"/>
      <c r="H361" s="148"/>
      <c r="I361" s="161"/>
      <c r="J361" s="146" t="str">
        <f>IF(I361&lt;&gt;"", SUMIF(Bets!$F:$F, I361, Bets!AA:AA),)</f>
        <v/>
      </c>
      <c r="K361" s="162"/>
      <c r="L361" s="148"/>
      <c r="M361" s="161"/>
      <c r="N361" s="146"/>
      <c r="O361" s="162"/>
      <c r="P361" s="148"/>
      <c r="Q361" s="161"/>
      <c r="R361" s="146"/>
      <c r="S361" s="162"/>
      <c r="T361" s="148"/>
      <c r="U361" s="161"/>
      <c r="V361" s="146"/>
      <c r="W361" s="162"/>
      <c r="X361" s="148"/>
      <c r="Y361" s="161"/>
      <c r="Z361" s="146"/>
      <c r="AA361" s="162"/>
      <c r="AB361" s="148"/>
      <c r="AC361" s="161"/>
      <c r="AD361" s="146"/>
      <c r="AE361" s="162"/>
      <c r="AF361" s="148"/>
    </row>
    <row r="362">
      <c r="A362" s="161"/>
      <c r="B362" s="146" t="str">
        <f>IF(A362&lt;&gt;"", SUMIF(Bets!$F:$F, A362, Bets!Z:Z), "")</f>
        <v/>
      </c>
      <c r="C362" s="162"/>
      <c r="D362" s="148"/>
      <c r="E362" s="161"/>
      <c r="F362" s="146" t="str">
        <f>IF(E362&lt;&gt;"", SUMIF(Bets!$F:$F, E362, Bets!AB:AB), "")</f>
        <v/>
      </c>
      <c r="G362" s="162"/>
      <c r="H362" s="148"/>
      <c r="I362" s="161"/>
      <c r="J362" s="146" t="str">
        <f>IF(I362&lt;&gt;"", SUMIF(Bets!$F:$F, I362, Bets!AA:AA),)</f>
        <v/>
      </c>
      <c r="K362" s="162"/>
      <c r="L362" s="148"/>
      <c r="M362" s="161"/>
      <c r="N362" s="146"/>
      <c r="O362" s="162"/>
      <c r="P362" s="148"/>
      <c r="Q362" s="161"/>
      <c r="R362" s="146"/>
      <c r="S362" s="162"/>
      <c r="T362" s="148"/>
      <c r="U362" s="161"/>
      <c r="V362" s="146"/>
      <c r="W362" s="162"/>
      <c r="X362" s="148"/>
      <c r="Y362" s="161"/>
      <c r="Z362" s="146"/>
      <c r="AA362" s="162"/>
      <c r="AB362" s="148"/>
      <c r="AC362" s="161"/>
      <c r="AD362" s="146"/>
      <c r="AE362" s="162"/>
      <c r="AF362" s="148"/>
    </row>
    <row r="363">
      <c r="A363" s="161"/>
      <c r="B363" s="146" t="str">
        <f>IF(A363&lt;&gt;"", SUMIF(Bets!$F:$F, A363, Bets!Z:Z), "")</f>
        <v/>
      </c>
      <c r="C363" s="162"/>
      <c r="D363" s="148"/>
      <c r="E363" s="161"/>
      <c r="F363" s="146" t="str">
        <f>IF(E363&lt;&gt;"", SUMIF(Bets!$F:$F, E363, Bets!AB:AB), "")</f>
        <v/>
      </c>
      <c r="G363" s="162"/>
      <c r="H363" s="148"/>
      <c r="I363" s="161"/>
      <c r="J363" s="146" t="str">
        <f>IF(I363&lt;&gt;"", SUMIF(Bets!$F:$F, I363, Bets!AA:AA),)</f>
        <v/>
      </c>
      <c r="K363" s="162"/>
      <c r="L363" s="148"/>
      <c r="M363" s="161"/>
      <c r="N363" s="146"/>
      <c r="O363" s="162"/>
      <c r="P363" s="148"/>
      <c r="Q363" s="161"/>
      <c r="R363" s="146"/>
      <c r="S363" s="162"/>
      <c r="T363" s="148"/>
      <c r="U363" s="161"/>
      <c r="V363" s="146"/>
      <c r="W363" s="162"/>
      <c r="X363" s="148"/>
      <c r="Y363" s="161"/>
      <c r="Z363" s="146"/>
      <c r="AA363" s="162"/>
      <c r="AB363" s="148"/>
      <c r="AC363" s="161"/>
      <c r="AD363" s="146"/>
      <c r="AE363" s="162"/>
      <c r="AF363" s="148"/>
    </row>
    <row r="364">
      <c r="A364" s="161"/>
      <c r="B364" s="146" t="str">
        <f>IF(A364&lt;&gt;"", SUMIF(Bets!$F:$F, A364, Bets!Z:Z), "")</f>
        <v/>
      </c>
      <c r="C364" s="162"/>
      <c r="D364" s="148"/>
      <c r="E364" s="161"/>
      <c r="F364" s="146" t="str">
        <f>IF(E364&lt;&gt;"", SUMIF(Bets!$F:$F, E364, Bets!AB:AB), "")</f>
        <v/>
      </c>
      <c r="G364" s="162"/>
      <c r="H364" s="148"/>
      <c r="I364" s="161"/>
      <c r="J364" s="146" t="str">
        <f>IF(I364&lt;&gt;"", SUMIF(Bets!$F:$F, I364, Bets!AA:AA),)</f>
        <v/>
      </c>
      <c r="K364" s="162"/>
      <c r="L364" s="148"/>
      <c r="M364" s="161"/>
      <c r="N364" s="146"/>
      <c r="O364" s="162"/>
      <c r="P364" s="148"/>
      <c r="Q364" s="161"/>
      <c r="R364" s="146"/>
      <c r="S364" s="162"/>
      <c r="T364" s="148"/>
      <c r="U364" s="161"/>
      <c r="V364" s="146"/>
      <c r="W364" s="162"/>
      <c r="X364" s="148"/>
      <c r="Y364" s="161"/>
      <c r="Z364" s="146"/>
      <c r="AA364" s="162"/>
      <c r="AB364" s="148"/>
      <c r="AC364" s="161"/>
      <c r="AD364" s="146"/>
      <c r="AE364" s="162"/>
      <c r="AF364" s="148"/>
    </row>
    <row r="365">
      <c r="A365" s="161"/>
      <c r="B365" s="146" t="str">
        <f>IF(A365&lt;&gt;"", SUMIF(Bets!$F:$F, A365, Bets!Z:Z), "")</f>
        <v/>
      </c>
      <c r="C365" s="162"/>
      <c r="D365" s="148"/>
      <c r="E365" s="161"/>
      <c r="F365" s="146" t="str">
        <f>IF(E365&lt;&gt;"", SUMIF(Bets!$F:$F, E365, Bets!AB:AB), "")</f>
        <v/>
      </c>
      <c r="G365" s="162"/>
      <c r="H365" s="148"/>
      <c r="I365" s="161"/>
      <c r="J365" s="146" t="str">
        <f>IF(I365&lt;&gt;"", SUMIF(Bets!$F:$F, I365, Bets!AA:AA),)</f>
        <v/>
      </c>
      <c r="K365" s="162"/>
      <c r="L365" s="148"/>
      <c r="M365" s="161"/>
      <c r="N365" s="146"/>
      <c r="O365" s="162"/>
      <c r="P365" s="148"/>
      <c r="Q365" s="161"/>
      <c r="R365" s="146"/>
      <c r="S365" s="162"/>
      <c r="T365" s="148"/>
      <c r="U365" s="161"/>
      <c r="V365" s="146"/>
      <c r="W365" s="162"/>
      <c r="X365" s="148"/>
      <c r="Y365" s="161"/>
      <c r="Z365" s="146"/>
      <c r="AA365" s="162"/>
      <c r="AB365" s="148"/>
      <c r="AC365" s="161"/>
      <c r="AD365" s="146"/>
      <c r="AE365" s="162"/>
      <c r="AF365" s="148"/>
    </row>
    <row r="366">
      <c r="A366" s="161"/>
      <c r="B366" s="146" t="str">
        <f>IF(A366&lt;&gt;"", SUMIF(Bets!$F:$F, A366, Bets!Z:Z), "")</f>
        <v/>
      </c>
      <c r="C366" s="162"/>
      <c r="D366" s="148"/>
      <c r="E366" s="161"/>
      <c r="F366" s="146" t="str">
        <f>IF(E366&lt;&gt;"", SUMIF(Bets!$F:$F, E366, Bets!AB:AB), "")</f>
        <v/>
      </c>
      <c r="G366" s="162"/>
      <c r="H366" s="148"/>
      <c r="I366" s="161"/>
      <c r="J366" s="146" t="str">
        <f>IF(I366&lt;&gt;"", SUMIF(Bets!$F:$F, I366, Bets!AA:AA),)</f>
        <v/>
      </c>
      <c r="K366" s="162"/>
      <c r="L366" s="148"/>
      <c r="M366" s="161"/>
      <c r="N366" s="146"/>
      <c r="O366" s="162"/>
      <c r="P366" s="148"/>
      <c r="Q366" s="161"/>
      <c r="R366" s="146"/>
      <c r="S366" s="162"/>
      <c r="T366" s="148"/>
      <c r="U366" s="161"/>
      <c r="V366" s="146"/>
      <c r="W366" s="162"/>
      <c r="X366" s="148"/>
      <c r="Y366" s="161"/>
      <c r="Z366" s="146"/>
      <c r="AA366" s="162"/>
      <c r="AB366" s="148"/>
      <c r="AC366" s="161"/>
      <c r="AD366" s="146"/>
      <c r="AE366" s="162"/>
      <c r="AF366" s="148"/>
    </row>
    <row r="367">
      <c r="A367" s="161"/>
      <c r="B367" s="146" t="str">
        <f>IF(A367&lt;&gt;"", SUMIF(Bets!$F:$F, A367, Bets!Z:Z), "")</f>
        <v/>
      </c>
      <c r="C367" s="162"/>
      <c r="D367" s="148"/>
      <c r="E367" s="161"/>
      <c r="F367" s="146" t="str">
        <f>IF(E367&lt;&gt;"", SUMIF(Bets!$F:$F, E367, Bets!AB:AB), "")</f>
        <v/>
      </c>
      <c r="G367" s="162"/>
      <c r="H367" s="148"/>
      <c r="I367" s="161"/>
      <c r="J367" s="146" t="str">
        <f>IF(I367&lt;&gt;"", SUMIF(Bets!$F:$F, I367, Bets!AA:AA),)</f>
        <v/>
      </c>
      <c r="K367" s="162"/>
      <c r="L367" s="148"/>
      <c r="M367" s="161"/>
      <c r="N367" s="146"/>
      <c r="O367" s="162"/>
      <c r="P367" s="148"/>
      <c r="Q367" s="161"/>
      <c r="R367" s="146"/>
      <c r="S367" s="162"/>
      <c r="T367" s="148"/>
      <c r="U367" s="161"/>
      <c r="V367" s="146"/>
      <c r="W367" s="162"/>
      <c r="X367" s="148"/>
      <c r="Y367" s="161"/>
      <c r="Z367" s="146"/>
      <c r="AA367" s="162"/>
      <c r="AB367" s="148"/>
      <c r="AC367" s="161"/>
      <c r="AD367" s="146"/>
      <c r="AE367" s="162"/>
      <c r="AF367" s="148"/>
    </row>
    <row r="368">
      <c r="A368" s="161"/>
      <c r="B368" s="146" t="str">
        <f>IF(A368&lt;&gt;"", SUMIF(Bets!$F:$F, A368, Bets!Z:Z), "")</f>
        <v/>
      </c>
      <c r="C368" s="162"/>
      <c r="D368" s="148"/>
      <c r="E368" s="161"/>
      <c r="F368" s="146" t="str">
        <f>IF(E368&lt;&gt;"", SUMIF(Bets!$F:$F, E368, Bets!AB:AB), "")</f>
        <v/>
      </c>
      <c r="G368" s="162"/>
      <c r="H368" s="148"/>
      <c r="I368" s="161"/>
      <c r="J368" s="146" t="str">
        <f>IF(I368&lt;&gt;"", SUMIF(Bets!$F:$F, I368, Bets!AA:AA),)</f>
        <v/>
      </c>
      <c r="K368" s="162"/>
      <c r="L368" s="148"/>
      <c r="M368" s="161"/>
      <c r="N368" s="146"/>
      <c r="O368" s="162"/>
      <c r="P368" s="148"/>
      <c r="Q368" s="161"/>
      <c r="R368" s="146"/>
      <c r="S368" s="162"/>
      <c r="T368" s="148"/>
      <c r="U368" s="161"/>
      <c r="V368" s="146"/>
      <c r="W368" s="162"/>
      <c r="X368" s="148"/>
      <c r="Y368" s="161"/>
      <c r="Z368" s="146"/>
      <c r="AA368" s="162"/>
      <c r="AB368" s="148"/>
      <c r="AC368" s="161"/>
      <c r="AD368" s="146"/>
      <c r="AE368" s="162"/>
      <c r="AF368" s="148"/>
    </row>
    <row r="369">
      <c r="A369" s="161"/>
      <c r="B369" s="146" t="str">
        <f>IF(A369&lt;&gt;"", SUMIF(Bets!$F:$F, A369, Bets!Z:Z), "")</f>
        <v/>
      </c>
      <c r="C369" s="162"/>
      <c r="D369" s="148"/>
      <c r="E369" s="161"/>
      <c r="F369" s="146" t="str">
        <f>IF(E369&lt;&gt;"", SUMIF(Bets!$F:$F, E369, Bets!AB:AB), "")</f>
        <v/>
      </c>
      <c r="G369" s="162"/>
      <c r="H369" s="148"/>
      <c r="I369" s="161"/>
      <c r="J369" s="146" t="str">
        <f>IF(I369&lt;&gt;"", SUMIF(Bets!$F:$F, I369, Bets!AA:AA),)</f>
        <v/>
      </c>
      <c r="K369" s="162"/>
      <c r="L369" s="148"/>
      <c r="M369" s="161"/>
      <c r="N369" s="146"/>
      <c r="O369" s="162"/>
      <c r="P369" s="148"/>
      <c r="Q369" s="161"/>
      <c r="R369" s="146"/>
      <c r="S369" s="162"/>
      <c r="T369" s="148"/>
      <c r="U369" s="161"/>
      <c r="V369" s="146"/>
      <c r="W369" s="162"/>
      <c r="X369" s="148"/>
      <c r="Y369" s="161"/>
      <c r="Z369" s="146"/>
      <c r="AA369" s="162"/>
      <c r="AB369" s="148"/>
      <c r="AC369" s="161"/>
      <c r="AD369" s="146"/>
      <c r="AE369" s="162"/>
      <c r="AF369" s="148"/>
    </row>
    <row r="370">
      <c r="A370" s="161"/>
      <c r="B370" s="146" t="str">
        <f>IF(A370&lt;&gt;"", SUMIF(Bets!$F:$F, A370, Bets!Z:Z), "")</f>
        <v/>
      </c>
      <c r="C370" s="162"/>
      <c r="D370" s="148"/>
      <c r="E370" s="161"/>
      <c r="F370" s="146" t="str">
        <f>IF(E370&lt;&gt;"", SUMIF(Bets!$F:$F, E370, Bets!AB:AB), "")</f>
        <v/>
      </c>
      <c r="G370" s="162"/>
      <c r="H370" s="148"/>
      <c r="I370" s="161"/>
      <c r="J370" s="146" t="str">
        <f>IF(I370&lt;&gt;"", SUMIF(Bets!$F:$F, I370, Bets!AA:AA),)</f>
        <v/>
      </c>
      <c r="K370" s="162"/>
      <c r="L370" s="148"/>
      <c r="M370" s="161"/>
      <c r="N370" s="146"/>
      <c r="O370" s="162"/>
      <c r="P370" s="148"/>
      <c r="Q370" s="161"/>
      <c r="R370" s="146"/>
      <c r="S370" s="162"/>
      <c r="T370" s="148"/>
      <c r="U370" s="161"/>
      <c r="V370" s="146"/>
      <c r="W370" s="162"/>
      <c r="X370" s="148"/>
      <c r="Y370" s="161"/>
      <c r="Z370" s="146"/>
      <c r="AA370" s="162"/>
      <c r="AB370" s="148"/>
      <c r="AC370" s="161"/>
      <c r="AD370" s="146"/>
      <c r="AE370" s="162"/>
      <c r="AF370" s="148"/>
    </row>
    <row r="371">
      <c r="A371" s="161"/>
      <c r="B371" s="146" t="str">
        <f>IF(A371&lt;&gt;"", SUMIF(Bets!$F:$F, A371, Bets!Z:Z), "")</f>
        <v/>
      </c>
      <c r="C371" s="162"/>
      <c r="D371" s="148"/>
      <c r="E371" s="161"/>
      <c r="F371" s="146" t="str">
        <f>IF(E371&lt;&gt;"", SUMIF(Bets!$F:$F, E371, Bets!AB:AB), "")</f>
        <v/>
      </c>
      <c r="G371" s="162"/>
      <c r="H371" s="148"/>
      <c r="I371" s="161"/>
      <c r="J371" s="146" t="str">
        <f>IF(I371&lt;&gt;"", SUMIF(Bets!$F:$F, I371, Bets!AA:AA),)</f>
        <v/>
      </c>
      <c r="K371" s="162"/>
      <c r="L371" s="148"/>
      <c r="M371" s="161"/>
      <c r="N371" s="146"/>
      <c r="O371" s="162"/>
      <c r="P371" s="148"/>
      <c r="Q371" s="161"/>
      <c r="R371" s="146"/>
      <c r="S371" s="162"/>
      <c r="T371" s="148"/>
      <c r="U371" s="161"/>
      <c r="V371" s="146"/>
      <c r="W371" s="162"/>
      <c r="X371" s="148"/>
      <c r="Y371" s="161"/>
      <c r="Z371" s="146"/>
      <c r="AA371" s="162"/>
      <c r="AB371" s="148"/>
      <c r="AC371" s="161"/>
      <c r="AD371" s="146"/>
      <c r="AE371" s="162"/>
      <c r="AF371" s="148"/>
    </row>
    <row r="372">
      <c r="A372" s="161"/>
      <c r="B372" s="146" t="str">
        <f>IF(A372&lt;&gt;"", SUMIF(Bets!$F:$F, A372, Bets!Z:Z), "")</f>
        <v/>
      </c>
      <c r="C372" s="162"/>
      <c r="D372" s="148"/>
      <c r="E372" s="161"/>
      <c r="F372" s="146" t="str">
        <f>IF(E372&lt;&gt;"", SUMIF(Bets!$F:$F, E372, Bets!AB:AB), "")</f>
        <v/>
      </c>
      <c r="G372" s="162"/>
      <c r="H372" s="148"/>
      <c r="I372" s="161"/>
      <c r="J372" s="146" t="str">
        <f>IF(I372&lt;&gt;"", SUMIF(Bets!$F:$F, I372, Bets!AA:AA),)</f>
        <v/>
      </c>
      <c r="K372" s="162"/>
      <c r="L372" s="148"/>
      <c r="M372" s="161"/>
      <c r="N372" s="146"/>
      <c r="O372" s="162"/>
      <c r="P372" s="148"/>
      <c r="Q372" s="161"/>
      <c r="R372" s="146"/>
      <c r="S372" s="162"/>
      <c r="T372" s="148"/>
      <c r="U372" s="161"/>
      <c r="V372" s="146"/>
      <c r="W372" s="162"/>
      <c r="X372" s="148"/>
      <c r="Y372" s="161"/>
      <c r="Z372" s="146"/>
      <c r="AA372" s="162"/>
      <c r="AB372" s="148"/>
      <c r="AC372" s="161"/>
      <c r="AD372" s="146"/>
      <c r="AE372" s="162"/>
      <c r="AF372" s="148"/>
    </row>
    <row r="373">
      <c r="A373" s="161"/>
      <c r="B373" s="146" t="str">
        <f>IF(A373&lt;&gt;"", SUMIF(Bets!$F:$F, A373, Bets!Z:Z), "")</f>
        <v/>
      </c>
      <c r="C373" s="162"/>
      <c r="D373" s="148"/>
      <c r="E373" s="161"/>
      <c r="F373" s="146" t="str">
        <f>IF(E373&lt;&gt;"", SUMIF(Bets!$F:$F, E373, Bets!AB:AB), "")</f>
        <v/>
      </c>
      <c r="G373" s="162"/>
      <c r="H373" s="148"/>
      <c r="I373" s="161"/>
      <c r="J373" s="146" t="str">
        <f>IF(I373&lt;&gt;"", SUMIF(Bets!$F:$F, I373, Bets!AA:AA),)</f>
        <v/>
      </c>
      <c r="K373" s="162"/>
      <c r="L373" s="148"/>
      <c r="M373" s="161"/>
      <c r="N373" s="146"/>
      <c r="O373" s="162"/>
      <c r="P373" s="148"/>
      <c r="Q373" s="161"/>
      <c r="R373" s="146"/>
      <c r="S373" s="162"/>
      <c r="T373" s="148"/>
      <c r="U373" s="161"/>
      <c r="V373" s="146"/>
      <c r="W373" s="162"/>
      <c r="X373" s="148"/>
      <c r="Y373" s="161"/>
      <c r="Z373" s="146"/>
      <c r="AA373" s="162"/>
      <c r="AB373" s="148"/>
      <c r="AC373" s="161"/>
      <c r="AD373" s="146"/>
      <c r="AE373" s="162"/>
      <c r="AF373" s="148"/>
    </row>
    <row r="374">
      <c r="A374" s="161"/>
      <c r="B374" s="146" t="str">
        <f>IF(A374&lt;&gt;"", SUMIF(Bets!$F:$F, A374, Bets!Z:Z), "")</f>
        <v/>
      </c>
      <c r="C374" s="162"/>
      <c r="D374" s="148"/>
      <c r="E374" s="161"/>
      <c r="F374" s="146" t="str">
        <f>IF(E374&lt;&gt;"", SUMIF(Bets!$F:$F, E374, Bets!AB:AB), "")</f>
        <v/>
      </c>
      <c r="G374" s="162"/>
      <c r="H374" s="148"/>
      <c r="I374" s="161"/>
      <c r="J374" s="146" t="str">
        <f>IF(I374&lt;&gt;"", SUMIF(Bets!$F:$F, I374, Bets!AA:AA),)</f>
        <v/>
      </c>
      <c r="K374" s="162"/>
      <c r="L374" s="148"/>
      <c r="M374" s="161"/>
      <c r="N374" s="146"/>
      <c r="O374" s="162"/>
      <c r="P374" s="148"/>
      <c r="Q374" s="161"/>
      <c r="R374" s="146"/>
      <c r="S374" s="162"/>
      <c r="T374" s="148"/>
      <c r="U374" s="161"/>
      <c r="V374" s="146"/>
      <c r="W374" s="162"/>
      <c r="X374" s="148"/>
      <c r="Y374" s="161"/>
      <c r="Z374" s="146"/>
      <c r="AA374" s="162"/>
      <c r="AB374" s="148"/>
      <c r="AC374" s="161"/>
      <c r="AD374" s="146"/>
      <c r="AE374" s="162"/>
      <c r="AF374" s="148"/>
    </row>
    <row r="375">
      <c r="A375" s="161"/>
      <c r="B375" s="146" t="str">
        <f>IF(A375&lt;&gt;"", SUMIF(Bets!$F:$F, A375, Bets!Z:Z), "")</f>
        <v/>
      </c>
      <c r="C375" s="162"/>
      <c r="D375" s="148"/>
      <c r="E375" s="161"/>
      <c r="F375" s="146" t="str">
        <f>IF(E375&lt;&gt;"", SUMIF(Bets!$F:$F, E375, Bets!AB:AB), "")</f>
        <v/>
      </c>
      <c r="G375" s="162"/>
      <c r="H375" s="148"/>
      <c r="I375" s="161"/>
      <c r="J375" s="146" t="str">
        <f>IF(I375&lt;&gt;"", SUMIF(Bets!$F:$F, I375, Bets!AA:AA),)</f>
        <v/>
      </c>
      <c r="K375" s="162"/>
      <c r="L375" s="148"/>
      <c r="M375" s="161"/>
      <c r="N375" s="146"/>
      <c r="O375" s="162"/>
      <c r="P375" s="148"/>
      <c r="Q375" s="161"/>
      <c r="R375" s="146"/>
      <c r="S375" s="162"/>
      <c r="T375" s="148"/>
      <c r="U375" s="161"/>
      <c r="V375" s="146"/>
      <c r="W375" s="162"/>
      <c r="X375" s="148"/>
      <c r="Y375" s="161"/>
      <c r="Z375" s="146"/>
      <c r="AA375" s="162"/>
      <c r="AB375" s="148"/>
      <c r="AC375" s="161"/>
      <c r="AD375" s="146"/>
      <c r="AE375" s="162"/>
      <c r="AF375" s="148"/>
    </row>
    <row r="376">
      <c r="A376" s="161"/>
      <c r="B376" s="146" t="str">
        <f>IF(A376&lt;&gt;"", SUMIF(Bets!$F:$F, A376, Bets!Z:Z), "")</f>
        <v/>
      </c>
      <c r="C376" s="162"/>
      <c r="D376" s="148"/>
      <c r="E376" s="161"/>
      <c r="F376" s="146" t="str">
        <f>IF(E376&lt;&gt;"", SUMIF(Bets!$F:$F, E376, Bets!AB:AB), "")</f>
        <v/>
      </c>
      <c r="G376" s="162"/>
      <c r="H376" s="148"/>
      <c r="I376" s="161"/>
      <c r="J376" s="146" t="str">
        <f>IF(I376&lt;&gt;"", SUMIF(Bets!$F:$F, I376, Bets!AA:AA),)</f>
        <v/>
      </c>
      <c r="K376" s="162"/>
      <c r="L376" s="148"/>
      <c r="M376" s="161"/>
      <c r="N376" s="146"/>
      <c r="O376" s="162"/>
      <c r="P376" s="148"/>
      <c r="Q376" s="161"/>
      <c r="R376" s="146"/>
      <c r="S376" s="162"/>
      <c r="T376" s="148"/>
      <c r="U376" s="161"/>
      <c r="V376" s="146"/>
      <c r="W376" s="162"/>
      <c r="X376" s="148"/>
      <c r="Y376" s="161"/>
      <c r="Z376" s="146"/>
      <c r="AA376" s="162"/>
      <c r="AB376" s="148"/>
      <c r="AC376" s="161"/>
      <c r="AD376" s="146"/>
      <c r="AE376" s="162"/>
      <c r="AF376" s="148"/>
    </row>
    <row r="377">
      <c r="A377" s="161"/>
      <c r="B377" s="146" t="str">
        <f>IF(A377&lt;&gt;"", SUMIF(Bets!$F:$F, A377, Bets!Z:Z), "")</f>
        <v/>
      </c>
      <c r="C377" s="162"/>
      <c r="D377" s="148"/>
      <c r="E377" s="161"/>
      <c r="F377" s="146" t="str">
        <f>IF(E377&lt;&gt;"", SUMIF(Bets!$F:$F, E377, Bets!AB:AB), "")</f>
        <v/>
      </c>
      <c r="G377" s="162"/>
      <c r="H377" s="148"/>
      <c r="I377" s="161"/>
      <c r="J377" s="146" t="str">
        <f>IF(I377&lt;&gt;"", SUMIF(Bets!$F:$F, I377, Bets!AA:AA),)</f>
        <v/>
      </c>
      <c r="K377" s="162"/>
      <c r="L377" s="148"/>
      <c r="M377" s="161"/>
      <c r="N377" s="146"/>
      <c r="O377" s="162"/>
      <c r="P377" s="148"/>
      <c r="Q377" s="161"/>
      <c r="R377" s="146"/>
      <c r="S377" s="162"/>
      <c r="T377" s="148"/>
      <c r="U377" s="161"/>
      <c r="V377" s="146"/>
      <c r="W377" s="162"/>
      <c r="X377" s="148"/>
      <c r="Y377" s="161"/>
      <c r="Z377" s="146"/>
      <c r="AA377" s="162"/>
      <c r="AB377" s="148"/>
      <c r="AC377" s="161"/>
      <c r="AD377" s="146"/>
      <c r="AE377" s="162"/>
      <c r="AF377" s="148"/>
    </row>
    <row r="378">
      <c r="A378" s="161"/>
      <c r="B378" s="146" t="str">
        <f>IF(A378&lt;&gt;"", SUMIF(Bets!$F:$F, A378, Bets!Z:Z), "")</f>
        <v/>
      </c>
      <c r="C378" s="162"/>
      <c r="D378" s="148"/>
      <c r="E378" s="161"/>
      <c r="F378" s="146" t="str">
        <f>IF(E378&lt;&gt;"", SUMIF(Bets!$F:$F, E378, Bets!AB:AB), "")</f>
        <v/>
      </c>
      <c r="G378" s="162"/>
      <c r="H378" s="148"/>
      <c r="I378" s="161"/>
      <c r="J378" s="146" t="str">
        <f>IF(I378&lt;&gt;"", SUMIF(Bets!$F:$F, I378, Bets!AA:AA),)</f>
        <v/>
      </c>
      <c r="K378" s="162"/>
      <c r="L378" s="148"/>
      <c r="M378" s="161"/>
      <c r="N378" s="146"/>
      <c r="O378" s="162"/>
      <c r="P378" s="148"/>
      <c r="Q378" s="161"/>
      <c r="R378" s="146"/>
      <c r="S378" s="162"/>
      <c r="T378" s="148"/>
      <c r="U378" s="161"/>
      <c r="V378" s="146"/>
      <c r="W378" s="162"/>
      <c r="X378" s="148"/>
      <c r="Y378" s="161"/>
      <c r="Z378" s="146"/>
      <c r="AA378" s="162"/>
      <c r="AB378" s="148"/>
      <c r="AC378" s="161"/>
      <c r="AD378" s="146"/>
      <c r="AE378" s="162"/>
      <c r="AF378" s="148"/>
    </row>
    <row r="379">
      <c r="A379" s="161"/>
      <c r="B379" s="146" t="str">
        <f>IF(A379&lt;&gt;"", SUMIF(Bets!$F:$F, A379, Bets!Z:Z), "")</f>
        <v/>
      </c>
      <c r="C379" s="162"/>
      <c r="D379" s="148"/>
      <c r="E379" s="161"/>
      <c r="F379" s="146" t="str">
        <f>IF(E379&lt;&gt;"", SUMIF(Bets!$F:$F, E379, Bets!AB:AB), "")</f>
        <v/>
      </c>
      <c r="G379" s="162"/>
      <c r="H379" s="148"/>
      <c r="I379" s="161"/>
      <c r="J379" s="146" t="str">
        <f>IF(I379&lt;&gt;"", SUMIF(Bets!$F:$F, I379, Bets!AA:AA),)</f>
        <v/>
      </c>
      <c r="K379" s="162"/>
      <c r="L379" s="148"/>
      <c r="M379" s="161"/>
      <c r="N379" s="146"/>
      <c r="O379" s="162"/>
      <c r="P379" s="148"/>
      <c r="Q379" s="161"/>
      <c r="R379" s="146"/>
      <c r="S379" s="162"/>
      <c r="T379" s="148"/>
      <c r="U379" s="161"/>
      <c r="V379" s="146"/>
      <c r="W379" s="162"/>
      <c r="X379" s="148"/>
      <c r="Y379" s="161"/>
      <c r="Z379" s="146"/>
      <c r="AA379" s="162"/>
      <c r="AB379" s="148"/>
      <c r="AC379" s="161"/>
      <c r="AD379" s="146"/>
      <c r="AE379" s="162"/>
      <c r="AF379" s="148"/>
    </row>
    <row r="380">
      <c r="A380" s="161"/>
      <c r="B380" s="146" t="str">
        <f>IF(A380&lt;&gt;"", SUMIF(Bets!$F:$F, A380, Bets!Z:Z), "")</f>
        <v/>
      </c>
      <c r="C380" s="162"/>
      <c r="D380" s="148"/>
      <c r="E380" s="161"/>
      <c r="F380" s="146" t="str">
        <f>IF(E380&lt;&gt;"", SUMIF(Bets!$F:$F, E380, Bets!AB:AB), "")</f>
        <v/>
      </c>
      <c r="G380" s="162"/>
      <c r="H380" s="148"/>
      <c r="I380" s="161"/>
      <c r="J380" s="146" t="str">
        <f>IF(I380&lt;&gt;"", SUMIF(Bets!$F:$F, I380, Bets!AA:AA),)</f>
        <v/>
      </c>
      <c r="K380" s="162"/>
      <c r="L380" s="148"/>
      <c r="M380" s="161"/>
      <c r="N380" s="146"/>
      <c r="O380" s="162"/>
      <c r="P380" s="148"/>
      <c r="Q380" s="161"/>
      <c r="R380" s="146"/>
      <c r="S380" s="162"/>
      <c r="T380" s="148"/>
      <c r="U380" s="161"/>
      <c r="V380" s="146"/>
      <c r="W380" s="162"/>
      <c r="X380" s="148"/>
      <c r="Y380" s="161"/>
      <c r="Z380" s="146"/>
      <c r="AA380" s="162"/>
      <c r="AB380" s="148"/>
      <c r="AC380" s="161"/>
      <c r="AD380" s="146"/>
      <c r="AE380" s="162"/>
      <c r="AF380" s="148"/>
    </row>
    <row r="381">
      <c r="A381" s="161"/>
      <c r="B381" s="146" t="str">
        <f>IF(A381&lt;&gt;"", SUMIF(Bets!$F:$F, A381, Bets!Z:Z), "")</f>
        <v/>
      </c>
      <c r="C381" s="162"/>
      <c r="D381" s="148"/>
      <c r="E381" s="161"/>
      <c r="F381" s="146" t="str">
        <f>IF(E381&lt;&gt;"", SUMIF(Bets!$F:$F, E381, Bets!AB:AB), "")</f>
        <v/>
      </c>
      <c r="G381" s="162"/>
      <c r="H381" s="148"/>
      <c r="I381" s="161"/>
      <c r="J381" s="146" t="str">
        <f>IF(I381&lt;&gt;"", SUMIF(Bets!$F:$F, I381, Bets!AA:AA),)</f>
        <v/>
      </c>
      <c r="K381" s="162"/>
      <c r="L381" s="148"/>
      <c r="M381" s="161"/>
      <c r="N381" s="146"/>
      <c r="O381" s="162"/>
      <c r="P381" s="148"/>
      <c r="Q381" s="161"/>
      <c r="R381" s="146"/>
      <c r="S381" s="162"/>
      <c r="T381" s="148"/>
      <c r="U381" s="161"/>
      <c r="V381" s="146"/>
      <c r="W381" s="162"/>
      <c r="X381" s="148"/>
      <c r="Y381" s="161"/>
      <c r="Z381" s="146"/>
      <c r="AA381" s="162"/>
      <c r="AB381" s="148"/>
      <c r="AC381" s="161"/>
      <c r="AD381" s="146"/>
      <c r="AE381" s="162"/>
      <c r="AF381" s="148"/>
    </row>
    <row r="382">
      <c r="A382" s="161"/>
      <c r="B382" s="146" t="str">
        <f>IF(A382&lt;&gt;"", SUMIF(Bets!$F:$F, A382, Bets!Z:Z), "")</f>
        <v/>
      </c>
      <c r="C382" s="162"/>
      <c r="D382" s="148"/>
      <c r="E382" s="161"/>
      <c r="F382" s="146" t="str">
        <f>IF(E382&lt;&gt;"", SUMIF(Bets!$F:$F, E382, Bets!AB:AB), "")</f>
        <v/>
      </c>
      <c r="G382" s="162"/>
      <c r="H382" s="148"/>
      <c r="I382" s="161"/>
      <c r="J382" s="146" t="str">
        <f>IF(I382&lt;&gt;"", SUMIF(Bets!$F:$F, I382, Bets!AA:AA),)</f>
        <v/>
      </c>
      <c r="K382" s="162"/>
      <c r="L382" s="148"/>
      <c r="M382" s="161"/>
      <c r="N382" s="146"/>
      <c r="O382" s="162"/>
      <c r="P382" s="148"/>
      <c r="Q382" s="161"/>
      <c r="R382" s="146"/>
      <c r="S382" s="162"/>
      <c r="T382" s="148"/>
      <c r="U382" s="161"/>
      <c r="V382" s="146"/>
      <c r="W382" s="162"/>
      <c r="X382" s="148"/>
      <c r="Y382" s="161"/>
      <c r="Z382" s="146"/>
      <c r="AA382" s="162"/>
      <c r="AB382" s="148"/>
      <c r="AC382" s="161"/>
      <c r="AD382" s="146"/>
      <c r="AE382" s="162"/>
      <c r="AF382" s="148"/>
    </row>
    <row r="383">
      <c r="A383" s="161"/>
      <c r="B383" s="146" t="str">
        <f>IF(A383&lt;&gt;"", SUMIF(Bets!$F:$F, A383, Bets!Z:Z), "")</f>
        <v/>
      </c>
      <c r="C383" s="162"/>
      <c r="D383" s="148"/>
      <c r="E383" s="161"/>
      <c r="F383" s="146" t="str">
        <f>IF(E383&lt;&gt;"", SUMIF(Bets!$F:$F, E383, Bets!AB:AB), "")</f>
        <v/>
      </c>
      <c r="G383" s="162"/>
      <c r="H383" s="148"/>
      <c r="I383" s="161"/>
      <c r="J383" s="146" t="str">
        <f>IF(I383&lt;&gt;"", SUMIF(Bets!$F:$F, I383, Bets!AA:AA),)</f>
        <v/>
      </c>
      <c r="K383" s="162"/>
      <c r="L383" s="148"/>
      <c r="M383" s="161"/>
      <c r="N383" s="146"/>
      <c r="O383" s="162"/>
      <c r="P383" s="148"/>
      <c r="Q383" s="161"/>
      <c r="R383" s="146"/>
      <c r="S383" s="162"/>
      <c r="T383" s="148"/>
      <c r="U383" s="161"/>
      <c r="V383" s="146"/>
      <c r="W383" s="162"/>
      <c r="X383" s="148"/>
      <c r="Y383" s="161"/>
      <c r="Z383" s="146"/>
      <c r="AA383" s="162"/>
      <c r="AB383" s="148"/>
      <c r="AC383" s="161"/>
      <c r="AD383" s="146"/>
      <c r="AE383" s="162"/>
      <c r="AF383" s="148"/>
    </row>
    <row r="384">
      <c r="A384" s="161"/>
      <c r="B384" s="146" t="str">
        <f>IF(A384&lt;&gt;"", SUMIF(Bets!$F:$F, A384, Bets!Z:Z), "")</f>
        <v/>
      </c>
      <c r="C384" s="162"/>
      <c r="D384" s="148"/>
      <c r="E384" s="161"/>
      <c r="F384" s="146" t="str">
        <f>IF(E384&lt;&gt;"", SUMIF(Bets!$F:$F, E384, Bets!AB:AB), "")</f>
        <v/>
      </c>
      <c r="G384" s="162"/>
      <c r="H384" s="148"/>
      <c r="I384" s="161"/>
      <c r="J384" s="146" t="str">
        <f>IF(I384&lt;&gt;"", SUMIF(Bets!$F:$F, I384, Bets!AA:AA),)</f>
        <v/>
      </c>
      <c r="K384" s="162"/>
      <c r="L384" s="148"/>
      <c r="M384" s="161"/>
      <c r="N384" s="146"/>
      <c r="O384" s="162"/>
      <c r="P384" s="148"/>
      <c r="Q384" s="161"/>
      <c r="R384" s="146"/>
      <c r="S384" s="162"/>
      <c r="T384" s="148"/>
      <c r="U384" s="161"/>
      <c r="V384" s="146"/>
      <c r="W384" s="162"/>
      <c r="X384" s="148"/>
      <c r="Y384" s="161"/>
      <c r="Z384" s="146"/>
      <c r="AA384" s="162"/>
      <c r="AB384" s="148"/>
      <c r="AC384" s="161"/>
      <c r="AD384" s="146"/>
      <c r="AE384" s="162"/>
      <c r="AF384" s="148"/>
    </row>
    <row r="385">
      <c r="A385" s="161"/>
      <c r="B385" s="146" t="str">
        <f>IF(A385&lt;&gt;"", SUMIF(Bets!$F:$F, A385, Bets!Z:Z), "")</f>
        <v/>
      </c>
      <c r="C385" s="162"/>
      <c r="D385" s="148"/>
      <c r="E385" s="161"/>
      <c r="F385" s="146" t="str">
        <f>IF(E385&lt;&gt;"", SUMIF(Bets!$F:$F, E385, Bets!AB:AB), "")</f>
        <v/>
      </c>
      <c r="G385" s="162"/>
      <c r="H385" s="148"/>
      <c r="I385" s="161"/>
      <c r="J385" s="146" t="str">
        <f>IF(I385&lt;&gt;"", SUMIF(Bets!$F:$F, I385, Bets!AA:AA),)</f>
        <v/>
      </c>
      <c r="K385" s="162"/>
      <c r="L385" s="148"/>
      <c r="M385" s="161"/>
      <c r="N385" s="146"/>
      <c r="O385" s="162"/>
      <c r="P385" s="148"/>
      <c r="Q385" s="161"/>
      <c r="R385" s="146"/>
      <c r="S385" s="162"/>
      <c r="T385" s="148"/>
      <c r="U385" s="161"/>
      <c r="V385" s="146"/>
      <c r="W385" s="162"/>
      <c r="X385" s="148"/>
      <c r="Y385" s="161"/>
      <c r="Z385" s="146"/>
      <c r="AA385" s="162"/>
      <c r="AB385" s="148"/>
      <c r="AC385" s="161"/>
      <c r="AD385" s="146"/>
      <c r="AE385" s="162"/>
      <c r="AF385" s="148"/>
    </row>
    <row r="386">
      <c r="A386" s="161"/>
      <c r="B386" s="146" t="str">
        <f>IF(A386&lt;&gt;"", SUMIF(Bets!$F:$F, A386, Bets!Z:Z), "")</f>
        <v/>
      </c>
      <c r="C386" s="162"/>
      <c r="D386" s="148"/>
      <c r="E386" s="161"/>
      <c r="F386" s="146" t="str">
        <f>IF(E386&lt;&gt;"", SUMIF(Bets!$F:$F, E386, Bets!AB:AB), "")</f>
        <v/>
      </c>
      <c r="G386" s="162"/>
      <c r="H386" s="148"/>
      <c r="I386" s="161"/>
      <c r="J386" s="146" t="str">
        <f>IF(I386&lt;&gt;"", SUMIF(Bets!$F:$F, I386, Bets!AA:AA),)</f>
        <v/>
      </c>
      <c r="K386" s="162"/>
      <c r="L386" s="148"/>
      <c r="M386" s="161"/>
      <c r="N386" s="146"/>
      <c r="O386" s="162"/>
      <c r="P386" s="148"/>
      <c r="Q386" s="161"/>
      <c r="R386" s="146"/>
      <c r="S386" s="162"/>
      <c r="T386" s="148"/>
      <c r="U386" s="161"/>
      <c r="V386" s="146"/>
      <c r="W386" s="162"/>
      <c r="X386" s="148"/>
      <c r="Y386" s="161"/>
      <c r="Z386" s="146"/>
      <c r="AA386" s="162"/>
      <c r="AB386" s="148"/>
      <c r="AC386" s="161"/>
      <c r="AD386" s="146"/>
      <c r="AE386" s="162"/>
      <c r="AF386" s="148"/>
    </row>
    <row r="387">
      <c r="A387" s="161"/>
      <c r="B387" s="146" t="str">
        <f>IF(A387&lt;&gt;"", SUMIF(Bets!$F:$F, A387, Bets!Z:Z), "")</f>
        <v/>
      </c>
      <c r="C387" s="162"/>
      <c r="D387" s="148"/>
      <c r="E387" s="161"/>
      <c r="F387" s="146" t="str">
        <f>IF(E387&lt;&gt;"", SUMIF(Bets!$F:$F, E387, Bets!AB:AB), "")</f>
        <v/>
      </c>
      <c r="G387" s="162"/>
      <c r="H387" s="148"/>
      <c r="I387" s="161"/>
      <c r="J387" s="146" t="str">
        <f>IF(I387&lt;&gt;"", SUMIF(Bets!$F:$F, I387, Bets!AA:AA),)</f>
        <v/>
      </c>
      <c r="K387" s="162"/>
      <c r="L387" s="148"/>
      <c r="M387" s="161"/>
      <c r="N387" s="146"/>
      <c r="O387" s="162"/>
      <c r="P387" s="148"/>
      <c r="Q387" s="161"/>
      <c r="R387" s="146"/>
      <c r="S387" s="162"/>
      <c r="T387" s="148"/>
      <c r="U387" s="161"/>
      <c r="V387" s="146"/>
      <c r="W387" s="162"/>
      <c r="X387" s="148"/>
      <c r="Y387" s="161"/>
      <c r="Z387" s="146"/>
      <c r="AA387" s="162"/>
      <c r="AB387" s="148"/>
      <c r="AC387" s="161"/>
      <c r="AD387" s="146"/>
      <c r="AE387" s="162"/>
      <c r="AF387" s="148"/>
    </row>
    <row r="388">
      <c r="A388" s="161"/>
      <c r="B388" s="146" t="str">
        <f>IF(A388&lt;&gt;"", SUMIF(Bets!$F:$F, A388, Bets!Z:Z), "")</f>
        <v/>
      </c>
      <c r="C388" s="162"/>
      <c r="D388" s="148"/>
      <c r="E388" s="161"/>
      <c r="F388" s="146" t="str">
        <f>IF(E388&lt;&gt;"", SUMIF(Bets!$F:$F, E388, Bets!AB:AB), "")</f>
        <v/>
      </c>
      <c r="G388" s="162"/>
      <c r="H388" s="148"/>
      <c r="I388" s="161"/>
      <c r="J388" s="146" t="str">
        <f>IF(I388&lt;&gt;"", SUMIF(Bets!$F:$F, I388, Bets!AA:AA),)</f>
        <v/>
      </c>
      <c r="K388" s="162"/>
      <c r="L388" s="148"/>
      <c r="M388" s="161"/>
      <c r="N388" s="146"/>
      <c r="O388" s="162"/>
      <c r="P388" s="148"/>
      <c r="Q388" s="161"/>
      <c r="R388" s="146"/>
      <c r="S388" s="162"/>
      <c r="T388" s="148"/>
      <c r="U388" s="161"/>
      <c r="V388" s="146"/>
      <c r="W388" s="162"/>
      <c r="X388" s="148"/>
      <c r="Y388" s="161"/>
      <c r="Z388" s="146"/>
      <c r="AA388" s="162"/>
      <c r="AB388" s="148"/>
      <c r="AC388" s="161"/>
      <c r="AD388" s="146"/>
      <c r="AE388" s="162"/>
      <c r="AF388" s="148"/>
    </row>
    <row r="389">
      <c r="A389" s="161"/>
      <c r="B389" s="146" t="str">
        <f>IF(A389&lt;&gt;"", SUMIF(Bets!$F:$F, A389, Bets!Z:Z), "")</f>
        <v/>
      </c>
      <c r="C389" s="162"/>
      <c r="D389" s="148"/>
      <c r="E389" s="161"/>
      <c r="F389" s="146" t="str">
        <f>IF(E389&lt;&gt;"", SUMIF(Bets!$F:$F, E389, Bets!AB:AB), "")</f>
        <v/>
      </c>
      <c r="G389" s="162"/>
      <c r="H389" s="148"/>
      <c r="I389" s="161"/>
      <c r="J389" s="146" t="str">
        <f>IF(I389&lt;&gt;"", SUMIF(Bets!$F:$F, I389, Bets!AA:AA),)</f>
        <v/>
      </c>
      <c r="K389" s="162"/>
      <c r="L389" s="148"/>
      <c r="M389" s="161"/>
      <c r="N389" s="146"/>
      <c r="O389" s="162"/>
      <c r="P389" s="148"/>
      <c r="Q389" s="161"/>
      <c r="R389" s="146"/>
      <c r="S389" s="162"/>
      <c r="T389" s="148"/>
      <c r="U389" s="161"/>
      <c r="V389" s="146"/>
      <c r="W389" s="162"/>
      <c r="X389" s="148"/>
      <c r="Y389" s="161"/>
      <c r="Z389" s="146"/>
      <c r="AA389" s="162"/>
      <c r="AB389" s="148"/>
      <c r="AC389" s="161"/>
      <c r="AD389" s="146"/>
      <c r="AE389" s="162"/>
      <c r="AF389" s="148"/>
    </row>
    <row r="390">
      <c r="A390" s="161"/>
      <c r="B390" s="146" t="str">
        <f>IF(A390&lt;&gt;"", SUMIF(Bets!$F:$F, A390, Bets!Z:Z), "")</f>
        <v/>
      </c>
      <c r="C390" s="162"/>
      <c r="D390" s="148"/>
      <c r="E390" s="161"/>
      <c r="F390" s="146" t="str">
        <f>IF(E390&lt;&gt;"", SUMIF(Bets!$F:$F, E390, Bets!AB:AB), "")</f>
        <v/>
      </c>
      <c r="G390" s="162"/>
      <c r="H390" s="148"/>
      <c r="I390" s="161"/>
      <c r="J390" s="146" t="str">
        <f>IF(I390&lt;&gt;"", SUMIF(Bets!$F:$F, I390, Bets!AA:AA),)</f>
        <v/>
      </c>
      <c r="K390" s="162"/>
      <c r="L390" s="148"/>
      <c r="M390" s="161"/>
      <c r="N390" s="146"/>
      <c r="O390" s="162"/>
      <c r="P390" s="148"/>
      <c r="Q390" s="161"/>
      <c r="R390" s="146"/>
      <c r="S390" s="162"/>
      <c r="T390" s="148"/>
      <c r="U390" s="161"/>
      <c r="V390" s="146"/>
      <c r="W390" s="162"/>
      <c r="X390" s="148"/>
      <c r="Y390" s="161"/>
      <c r="Z390" s="146"/>
      <c r="AA390" s="162"/>
      <c r="AB390" s="148"/>
      <c r="AC390" s="161"/>
      <c r="AD390" s="146"/>
      <c r="AE390" s="162"/>
      <c r="AF390" s="148"/>
    </row>
    <row r="391">
      <c r="A391" s="161"/>
      <c r="B391" s="146" t="str">
        <f>IF(A391&lt;&gt;"", SUMIF(Bets!$F:$F, A391, Bets!Z:Z), "")</f>
        <v/>
      </c>
      <c r="C391" s="162"/>
      <c r="D391" s="148"/>
      <c r="E391" s="161"/>
      <c r="F391" s="146" t="str">
        <f>IF(E391&lt;&gt;"", SUMIF(Bets!$F:$F, E391, Bets!AB:AB), "")</f>
        <v/>
      </c>
      <c r="G391" s="162"/>
      <c r="H391" s="148"/>
      <c r="I391" s="161"/>
      <c r="J391" s="146" t="str">
        <f>IF(I391&lt;&gt;"", SUMIF(Bets!$F:$F, I391, Bets!AA:AA),)</f>
        <v/>
      </c>
      <c r="K391" s="162"/>
      <c r="L391" s="148"/>
      <c r="M391" s="161"/>
      <c r="N391" s="146"/>
      <c r="O391" s="162"/>
      <c r="P391" s="148"/>
      <c r="Q391" s="161"/>
      <c r="R391" s="146"/>
      <c r="S391" s="162"/>
      <c r="T391" s="148"/>
      <c r="U391" s="161"/>
      <c r="V391" s="146"/>
      <c r="W391" s="162"/>
      <c r="X391" s="148"/>
      <c r="Y391" s="161"/>
      <c r="Z391" s="146"/>
      <c r="AA391" s="162"/>
      <c r="AB391" s="148"/>
      <c r="AC391" s="161"/>
      <c r="AD391" s="146"/>
      <c r="AE391" s="162"/>
      <c r="AF391" s="148"/>
    </row>
    <row r="392">
      <c r="A392" s="161"/>
      <c r="B392" s="146" t="str">
        <f>IF(A392&lt;&gt;"", SUMIF(Bets!$F:$F, A392, Bets!Z:Z), "")</f>
        <v/>
      </c>
      <c r="C392" s="162"/>
      <c r="D392" s="148"/>
      <c r="E392" s="161"/>
      <c r="F392" s="146" t="str">
        <f>IF(E392&lt;&gt;"", SUMIF(Bets!$F:$F, E392, Bets!AB:AB), "")</f>
        <v/>
      </c>
      <c r="G392" s="162"/>
      <c r="H392" s="148"/>
      <c r="I392" s="161"/>
      <c r="J392" s="146" t="str">
        <f>IF(I392&lt;&gt;"", SUMIF(Bets!$F:$F, I392, Bets!AA:AA),)</f>
        <v/>
      </c>
      <c r="K392" s="162"/>
      <c r="L392" s="148"/>
      <c r="M392" s="161"/>
      <c r="N392" s="146"/>
      <c r="O392" s="162"/>
      <c r="P392" s="148"/>
      <c r="Q392" s="161"/>
      <c r="R392" s="146"/>
      <c r="S392" s="162"/>
      <c r="T392" s="148"/>
      <c r="U392" s="161"/>
      <c r="V392" s="146"/>
      <c r="W392" s="162"/>
      <c r="X392" s="148"/>
      <c r="Y392" s="161"/>
      <c r="Z392" s="146"/>
      <c r="AA392" s="162"/>
      <c r="AB392" s="148"/>
      <c r="AC392" s="161"/>
      <c r="AD392" s="146"/>
      <c r="AE392" s="162"/>
      <c r="AF392" s="148"/>
    </row>
    <row r="393">
      <c r="A393" s="161"/>
      <c r="B393" s="146" t="str">
        <f>IF(A393&lt;&gt;"", SUMIF(Bets!$F:$F, A393, Bets!Z:Z), "")</f>
        <v/>
      </c>
      <c r="C393" s="162"/>
      <c r="D393" s="148"/>
      <c r="E393" s="161"/>
      <c r="F393" s="146" t="str">
        <f>IF(E393&lt;&gt;"", SUMIF(Bets!$F:$F, E393, Bets!AB:AB), "")</f>
        <v/>
      </c>
      <c r="G393" s="162"/>
      <c r="H393" s="148"/>
      <c r="I393" s="161"/>
      <c r="J393" s="146" t="str">
        <f>IF(I393&lt;&gt;"", SUMIF(Bets!$F:$F, I393, Bets!AA:AA),)</f>
        <v/>
      </c>
      <c r="K393" s="162"/>
      <c r="L393" s="148"/>
      <c r="M393" s="161"/>
      <c r="N393" s="146"/>
      <c r="O393" s="162"/>
      <c r="P393" s="148"/>
      <c r="Q393" s="161"/>
      <c r="R393" s="146"/>
      <c r="S393" s="162"/>
      <c r="T393" s="148"/>
      <c r="U393" s="161"/>
      <c r="V393" s="146"/>
      <c r="W393" s="162"/>
      <c r="X393" s="148"/>
      <c r="Y393" s="161"/>
      <c r="Z393" s="146"/>
      <c r="AA393" s="162"/>
      <c r="AB393" s="148"/>
      <c r="AC393" s="161"/>
      <c r="AD393" s="146"/>
      <c r="AE393" s="162"/>
      <c r="AF393" s="148"/>
    </row>
    <row r="394">
      <c r="A394" s="161"/>
      <c r="B394" s="146" t="str">
        <f>IF(A394&lt;&gt;"", SUMIF(Bets!$F:$F, A394, Bets!Z:Z), "")</f>
        <v/>
      </c>
      <c r="C394" s="162"/>
      <c r="D394" s="148"/>
      <c r="E394" s="161"/>
      <c r="F394" s="146" t="str">
        <f>IF(E394&lt;&gt;"", SUMIF(Bets!$F:$F, E394, Bets!AB:AB), "")</f>
        <v/>
      </c>
      <c r="G394" s="162"/>
      <c r="H394" s="148"/>
      <c r="I394" s="161"/>
      <c r="J394" s="146" t="str">
        <f>IF(I394&lt;&gt;"", SUMIF(Bets!$F:$F, I394, Bets!AA:AA),)</f>
        <v/>
      </c>
      <c r="K394" s="162"/>
      <c r="L394" s="148"/>
      <c r="M394" s="161"/>
      <c r="N394" s="146"/>
      <c r="O394" s="162"/>
      <c r="P394" s="148"/>
      <c r="Q394" s="161"/>
      <c r="R394" s="146"/>
      <c r="S394" s="162"/>
      <c r="T394" s="148"/>
      <c r="U394" s="161"/>
      <c r="V394" s="146"/>
      <c r="W394" s="162"/>
      <c r="X394" s="148"/>
      <c r="Y394" s="161"/>
      <c r="Z394" s="146"/>
      <c r="AA394" s="162"/>
      <c r="AB394" s="148"/>
      <c r="AC394" s="161"/>
      <c r="AD394" s="146"/>
      <c r="AE394" s="162"/>
      <c r="AF394" s="148"/>
    </row>
    <row r="395">
      <c r="A395" s="161"/>
      <c r="B395" s="146" t="str">
        <f>IF(A395&lt;&gt;"", SUMIF(Bets!$F:$F, A395, Bets!Z:Z), "")</f>
        <v/>
      </c>
      <c r="C395" s="162"/>
      <c r="D395" s="148"/>
      <c r="E395" s="161"/>
      <c r="F395" s="146" t="str">
        <f>IF(E395&lt;&gt;"", SUMIF(Bets!$F:$F, E395, Bets!AB:AB), "")</f>
        <v/>
      </c>
      <c r="G395" s="162"/>
      <c r="H395" s="148"/>
      <c r="I395" s="161"/>
      <c r="J395" s="146" t="str">
        <f>IF(I395&lt;&gt;"", SUMIF(Bets!$F:$F, I395, Bets!AA:AA),)</f>
        <v/>
      </c>
      <c r="K395" s="162"/>
      <c r="L395" s="148"/>
      <c r="M395" s="161"/>
      <c r="N395" s="146"/>
      <c r="O395" s="162"/>
      <c r="P395" s="148"/>
      <c r="Q395" s="161"/>
      <c r="R395" s="146"/>
      <c r="S395" s="162"/>
      <c r="T395" s="148"/>
      <c r="U395" s="161"/>
      <c r="V395" s="146"/>
      <c r="W395" s="162"/>
      <c r="X395" s="148"/>
      <c r="Y395" s="161"/>
      <c r="Z395" s="146"/>
      <c r="AA395" s="162"/>
      <c r="AB395" s="148"/>
      <c r="AC395" s="161"/>
      <c r="AD395" s="146"/>
      <c r="AE395" s="162"/>
      <c r="AF395" s="148"/>
    </row>
    <row r="396">
      <c r="A396" s="161"/>
      <c r="B396" s="146" t="str">
        <f>IF(A396&lt;&gt;"", SUMIF(Bets!$F:$F, A396, Bets!Z:Z), "")</f>
        <v/>
      </c>
      <c r="C396" s="162"/>
      <c r="D396" s="148"/>
      <c r="E396" s="161"/>
      <c r="F396" s="146" t="str">
        <f>IF(E396&lt;&gt;"", SUMIF(Bets!$F:$F, E396, Bets!AB:AB), "")</f>
        <v/>
      </c>
      <c r="G396" s="162"/>
      <c r="H396" s="148"/>
      <c r="I396" s="161"/>
      <c r="J396" s="146" t="str">
        <f>IF(I396&lt;&gt;"", SUMIF(Bets!$F:$F, I396, Bets!AA:AA),)</f>
        <v/>
      </c>
      <c r="K396" s="162"/>
      <c r="L396" s="148"/>
      <c r="M396" s="161"/>
      <c r="N396" s="146"/>
      <c r="O396" s="162"/>
      <c r="P396" s="148"/>
      <c r="Q396" s="161"/>
      <c r="R396" s="146"/>
      <c r="S396" s="162"/>
      <c r="T396" s="148"/>
      <c r="U396" s="161"/>
      <c r="V396" s="146"/>
      <c r="W396" s="162"/>
      <c r="X396" s="148"/>
      <c r="Y396" s="161"/>
      <c r="Z396" s="146"/>
      <c r="AA396" s="162"/>
      <c r="AB396" s="148"/>
      <c r="AC396" s="161"/>
      <c r="AD396" s="146"/>
      <c r="AE396" s="162"/>
      <c r="AF396" s="148"/>
    </row>
    <row r="397">
      <c r="A397" s="161"/>
      <c r="B397" s="146" t="str">
        <f>IF(A397&lt;&gt;"", SUMIF(Bets!$F:$F, A397, Bets!Z:Z), "")</f>
        <v/>
      </c>
      <c r="C397" s="162"/>
      <c r="D397" s="148"/>
      <c r="E397" s="161"/>
      <c r="F397" s="146" t="str">
        <f>IF(E397&lt;&gt;"", SUMIF(Bets!$F:$F, E397, Bets!AB:AB), "")</f>
        <v/>
      </c>
      <c r="G397" s="162"/>
      <c r="H397" s="148"/>
      <c r="I397" s="161"/>
      <c r="J397" s="146" t="str">
        <f>IF(I397&lt;&gt;"", SUMIF(Bets!$F:$F, I397, Bets!AA:AA),)</f>
        <v/>
      </c>
      <c r="K397" s="162"/>
      <c r="L397" s="148"/>
      <c r="M397" s="161"/>
      <c r="N397" s="146"/>
      <c r="O397" s="162"/>
      <c r="P397" s="148"/>
      <c r="Q397" s="161"/>
      <c r="R397" s="146"/>
      <c r="S397" s="162"/>
      <c r="T397" s="148"/>
      <c r="U397" s="161"/>
      <c r="V397" s="146"/>
      <c r="W397" s="162"/>
      <c r="X397" s="148"/>
      <c r="Y397" s="161"/>
      <c r="Z397" s="146"/>
      <c r="AA397" s="162"/>
      <c r="AB397" s="148"/>
      <c r="AC397" s="161"/>
      <c r="AD397" s="146"/>
      <c r="AE397" s="162"/>
      <c r="AF397" s="148"/>
    </row>
    <row r="398">
      <c r="A398" s="161"/>
      <c r="B398" s="146" t="str">
        <f>IF(A398&lt;&gt;"", SUMIF(Bets!$F:$F, A398, Bets!Z:Z), "")</f>
        <v/>
      </c>
      <c r="C398" s="162"/>
      <c r="D398" s="148"/>
      <c r="E398" s="161"/>
      <c r="F398" s="146" t="str">
        <f>IF(E398&lt;&gt;"", SUMIF(Bets!$F:$F, E398, Bets!AB:AB), "")</f>
        <v/>
      </c>
      <c r="G398" s="162"/>
      <c r="H398" s="148"/>
      <c r="I398" s="161"/>
      <c r="J398" s="146" t="str">
        <f>IF(I398&lt;&gt;"", SUMIF(Bets!$F:$F, I398, Bets!AA:AA),)</f>
        <v/>
      </c>
      <c r="K398" s="162"/>
      <c r="L398" s="148"/>
      <c r="M398" s="161"/>
      <c r="N398" s="146"/>
      <c r="O398" s="162"/>
      <c r="P398" s="148"/>
      <c r="Q398" s="161"/>
      <c r="R398" s="146"/>
      <c r="S398" s="162"/>
      <c r="T398" s="148"/>
      <c r="U398" s="161"/>
      <c r="V398" s="146"/>
      <c r="W398" s="162"/>
      <c r="X398" s="148"/>
      <c r="Y398" s="161"/>
      <c r="Z398" s="146"/>
      <c r="AA398" s="162"/>
      <c r="AB398" s="148"/>
      <c r="AC398" s="161"/>
      <c r="AD398" s="146"/>
      <c r="AE398" s="162"/>
      <c r="AF398" s="148"/>
    </row>
    <row r="399">
      <c r="A399" s="161"/>
      <c r="B399" s="146" t="str">
        <f>IF(A399&lt;&gt;"", SUMIF(Bets!$F:$F, A399, Bets!Z:Z), "")</f>
        <v/>
      </c>
      <c r="C399" s="162"/>
      <c r="D399" s="148"/>
      <c r="E399" s="161"/>
      <c r="F399" s="146" t="str">
        <f>IF(E399&lt;&gt;"", SUMIF(Bets!$F:$F, E399, Bets!AB:AB), "")</f>
        <v/>
      </c>
      <c r="G399" s="162"/>
      <c r="H399" s="148"/>
      <c r="I399" s="161"/>
      <c r="J399" s="146" t="str">
        <f>IF(I399&lt;&gt;"", SUMIF(Bets!$F:$F, I399, Bets!AA:AA),)</f>
        <v/>
      </c>
      <c r="K399" s="162"/>
      <c r="L399" s="148"/>
      <c r="M399" s="161"/>
      <c r="N399" s="146"/>
      <c r="O399" s="162"/>
      <c r="P399" s="148"/>
      <c r="Q399" s="161"/>
      <c r="R399" s="146"/>
      <c r="S399" s="162"/>
      <c r="T399" s="148"/>
      <c r="U399" s="161"/>
      <c r="V399" s="146"/>
      <c r="W399" s="162"/>
      <c r="X399" s="148"/>
      <c r="Y399" s="161"/>
      <c r="Z399" s="146"/>
      <c r="AA399" s="162"/>
      <c r="AB399" s="148"/>
      <c r="AC399" s="161"/>
      <c r="AD399" s="146"/>
      <c r="AE399" s="162"/>
      <c r="AF399" s="148"/>
    </row>
    <row r="400">
      <c r="A400" s="161"/>
      <c r="B400" s="146" t="str">
        <f>IF(A400&lt;&gt;"", SUMIF(Bets!$F:$F, A400, Bets!Z:Z), "")</f>
        <v/>
      </c>
      <c r="C400" s="162"/>
      <c r="D400" s="148"/>
      <c r="E400" s="161"/>
      <c r="F400" s="146" t="str">
        <f>IF(E400&lt;&gt;"", SUMIF(Bets!$F:$F, E400, Bets!AB:AB), "")</f>
        <v/>
      </c>
      <c r="G400" s="162"/>
      <c r="H400" s="148"/>
      <c r="I400" s="161"/>
      <c r="J400" s="146" t="str">
        <f>IF(I400&lt;&gt;"", SUMIF(Bets!$F:$F, I400, Bets!AA:AA),)</f>
        <v/>
      </c>
      <c r="K400" s="162"/>
      <c r="L400" s="148"/>
      <c r="M400" s="161"/>
      <c r="N400" s="146"/>
      <c r="O400" s="162"/>
      <c r="P400" s="148"/>
      <c r="Q400" s="161"/>
      <c r="R400" s="146"/>
      <c r="S400" s="162"/>
      <c r="T400" s="148"/>
      <c r="U400" s="161"/>
      <c r="V400" s="146"/>
      <c r="W400" s="162"/>
      <c r="X400" s="148"/>
      <c r="Y400" s="161"/>
      <c r="Z400" s="146"/>
      <c r="AA400" s="162"/>
      <c r="AB400" s="148"/>
      <c r="AC400" s="161"/>
      <c r="AD400" s="146"/>
      <c r="AE400" s="162"/>
      <c r="AF400" s="148"/>
    </row>
    <row r="401">
      <c r="A401" s="161"/>
      <c r="B401" s="146" t="str">
        <f>IF(A401&lt;&gt;"", SUMIF(Bets!$F:$F, A401, Bets!Z:Z), "")</f>
        <v/>
      </c>
      <c r="C401" s="162"/>
      <c r="D401" s="148"/>
      <c r="E401" s="161"/>
      <c r="F401" s="146" t="str">
        <f>IF(E401&lt;&gt;"", SUMIF(Bets!$F:$F, E401, Bets!AB:AB), "")</f>
        <v/>
      </c>
      <c r="G401" s="162"/>
      <c r="H401" s="148"/>
      <c r="I401" s="161"/>
      <c r="J401" s="146" t="str">
        <f>IF(I401&lt;&gt;"", SUMIF(Bets!$F:$F, I401, Bets!AA:AA),)</f>
        <v/>
      </c>
      <c r="K401" s="162"/>
      <c r="L401" s="148"/>
      <c r="M401" s="161"/>
      <c r="N401" s="146"/>
      <c r="O401" s="162"/>
      <c r="P401" s="148"/>
      <c r="Q401" s="161"/>
      <c r="R401" s="146"/>
      <c r="S401" s="162"/>
      <c r="T401" s="148"/>
      <c r="U401" s="161"/>
      <c r="V401" s="146"/>
      <c r="W401" s="162"/>
      <c r="X401" s="148"/>
      <c r="Y401" s="161"/>
      <c r="Z401" s="146"/>
      <c r="AA401" s="162"/>
      <c r="AB401" s="148"/>
      <c r="AC401" s="161"/>
      <c r="AD401" s="146"/>
      <c r="AE401" s="162"/>
      <c r="AF401" s="148"/>
    </row>
    <row r="402">
      <c r="A402" s="161"/>
      <c r="B402" s="146" t="str">
        <f>IF(A402&lt;&gt;"", SUMIF(Bets!$F:$F, A402, Bets!Z:Z), "")</f>
        <v/>
      </c>
      <c r="C402" s="162"/>
      <c r="D402" s="148"/>
      <c r="E402" s="161"/>
      <c r="F402" s="146" t="str">
        <f>IF(E402&lt;&gt;"", SUMIF(Bets!$F:$F, E402, Bets!AB:AB), "")</f>
        <v/>
      </c>
      <c r="G402" s="162"/>
      <c r="H402" s="148"/>
      <c r="I402" s="161"/>
      <c r="J402" s="146" t="str">
        <f>IF(I402&lt;&gt;"", SUMIF(Bets!$F:$F, I402, Bets!AA:AA),)</f>
        <v/>
      </c>
      <c r="K402" s="162"/>
      <c r="L402" s="148"/>
      <c r="M402" s="161"/>
      <c r="N402" s="146"/>
      <c r="O402" s="162"/>
      <c r="P402" s="148"/>
      <c r="Q402" s="161"/>
      <c r="R402" s="146"/>
      <c r="S402" s="162"/>
      <c r="T402" s="148"/>
      <c r="U402" s="161"/>
      <c r="V402" s="146"/>
      <c r="W402" s="162"/>
      <c r="X402" s="148"/>
      <c r="Y402" s="161"/>
      <c r="Z402" s="146"/>
      <c r="AA402" s="162"/>
      <c r="AB402" s="148"/>
      <c r="AC402" s="161"/>
      <c r="AD402" s="146"/>
      <c r="AE402" s="162"/>
      <c r="AF402" s="148"/>
    </row>
    <row r="403">
      <c r="A403" s="161"/>
      <c r="B403" s="146" t="str">
        <f>IF(A403&lt;&gt;"", SUMIF(Bets!$F:$F, A403, Bets!Z:Z), "")</f>
        <v/>
      </c>
      <c r="C403" s="162"/>
      <c r="D403" s="148"/>
      <c r="E403" s="161"/>
      <c r="F403" s="146" t="str">
        <f>IF(E403&lt;&gt;"", SUMIF(Bets!$F:$F, E403, Bets!AB:AB), "")</f>
        <v/>
      </c>
      <c r="G403" s="162"/>
      <c r="H403" s="148"/>
      <c r="I403" s="161"/>
      <c r="J403" s="146" t="str">
        <f>IF(I403&lt;&gt;"", SUMIF(Bets!$F:$F, I403, Bets!AA:AA),)</f>
        <v/>
      </c>
      <c r="K403" s="162"/>
      <c r="L403" s="148"/>
      <c r="M403" s="161"/>
      <c r="N403" s="146"/>
      <c r="O403" s="162"/>
      <c r="P403" s="148"/>
      <c r="Q403" s="161"/>
      <c r="R403" s="146"/>
      <c r="S403" s="162"/>
      <c r="T403" s="148"/>
      <c r="U403" s="161"/>
      <c r="V403" s="146"/>
      <c r="W403" s="162"/>
      <c r="X403" s="148"/>
      <c r="Y403" s="161"/>
      <c r="Z403" s="146"/>
      <c r="AA403" s="162"/>
      <c r="AB403" s="148"/>
      <c r="AC403" s="161"/>
      <c r="AD403" s="146"/>
      <c r="AE403" s="162"/>
      <c r="AF403" s="148"/>
    </row>
    <row r="404">
      <c r="A404" s="161"/>
      <c r="B404" s="146" t="str">
        <f>IF(A404&lt;&gt;"", SUMIF(Bets!$F:$F, A404, Bets!Z:Z), "")</f>
        <v/>
      </c>
      <c r="C404" s="162"/>
      <c r="D404" s="148"/>
      <c r="E404" s="161"/>
      <c r="F404" s="146" t="str">
        <f>IF(E404&lt;&gt;"", SUMIF(Bets!$F:$F, E404, Bets!AB:AB), "")</f>
        <v/>
      </c>
      <c r="G404" s="162"/>
      <c r="H404" s="148"/>
      <c r="I404" s="161"/>
      <c r="J404" s="146" t="str">
        <f>IF(I404&lt;&gt;"", SUMIF(Bets!$F:$F, I404, Bets!AA:AA),)</f>
        <v/>
      </c>
      <c r="K404" s="162"/>
      <c r="L404" s="148"/>
      <c r="M404" s="161"/>
      <c r="N404" s="146"/>
      <c r="O404" s="162"/>
      <c r="P404" s="148"/>
      <c r="Q404" s="161"/>
      <c r="R404" s="146"/>
      <c r="S404" s="162"/>
      <c r="T404" s="148"/>
      <c r="U404" s="161"/>
      <c r="V404" s="146"/>
      <c r="W404" s="162"/>
      <c r="X404" s="148"/>
      <c r="Y404" s="161"/>
      <c r="Z404" s="146"/>
      <c r="AA404" s="162"/>
      <c r="AB404" s="148"/>
      <c r="AC404" s="161"/>
      <c r="AD404" s="146"/>
      <c r="AE404" s="162"/>
      <c r="AF404" s="148"/>
    </row>
    <row r="405">
      <c r="A405" s="161"/>
      <c r="B405" s="146" t="str">
        <f>IF(A405&lt;&gt;"", SUMIF(Bets!$F:$F, A405, Bets!Z:Z), "")</f>
        <v/>
      </c>
      <c r="C405" s="162"/>
      <c r="D405" s="148"/>
      <c r="E405" s="161"/>
      <c r="F405" s="146" t="str">
        <f>IF(E405&lt;&gt;"", SUMIF(Bets!$F:$F, E405, Bets!AB:AB), "")</f>
        <v/>
      </c>
      <c r="G405" s="162"/>
      <c r="H405" s="148"/>
      <c r="I405" s="161"/>
      <c r="J405" s="146" t="str">
        <f>IF(I405&lt;&gt;"", SUMIF(Bets!$F:$F, I405, Bets!AA:AA),)</f>
        <v/>
      </c>
      <c r="K405" s="162"/>
      <c r="L405" s="148"/>
      <c r="M405" s="161"/>
      <c r="N405" s="146"/>
      <c r="O405" s="162"/>
      <c r="P405" s="148"/>
      <c r="Q405" s="161"/>
      <c r="R405" s="146"/>
      <c r="S405" s="162"/>
      <c r="T405" s="148"/>
      <c r="U405" s="161"/>
      <c r="V405" s="146"/>
      <c r="W405" s="162"/>
      <c r="X405" s="148"/>
      <c r="Y405" s="161"/>
      <c r="Z405" s="146"/>
      <c r="AA405" s="162"/>
      <c r="AB405" s="148"/>
      <c r="AC405" s="161"/>
      <c r="AD405" s="146"/>
      <c r="AE405" s="162"/>
      <c r="AF405" s="148"/>
    </row>
    <row r="406">
      <c r="A406" s="161"/>
      <c r="B406" s="146" t="str">
        <f>IF(A406&lt;&gt;"", SUMIF(Bets!$F:$F, A406, Bets!Z:Z), "")</f>
        <v/>
      </c>
      <c r="C406" s="162"/>
      <c r="D406" s="148"/>
      <c r="E406" s="161"/>
      <c r="F406" s="146" t="str">
        <f>IF(E406&lt;&gt;"", SUMIF(Bets!$F:$F, E406, Bets!AB:AB), "")</f>
        <v/>
      </c>
      <c r="G406" s="162"/>
      <c r="H406" s="148"/>
      <c r="I406" s="161"/>
      <c r="J406" s="146" t="str">
        <f>IF(I406&lt;&gt;"", SUMIF(Bets!$F:$F, I406, Bets!AA:AA),)</f>
        <v/>
      </c>
      <c r="K406" s="162"/>
      <c r="L406" s="148"/>
      <c r="M406" s="161"/>
      <c r="N406" s="146"/>
      <c r="O406" s="162"/>
      <c r="P406" s="148"/>
      <c r="Q406" s="161"/>
      <c r="R406" s="146"/>
      <c r="S406" s="162"/>
      <c r="T406" s="148"/>
      <c r="U406" s="161"/>
      <c r="V406" s="146"/>
      <c r="W406" s="162"/>
      <c r="X406" s="148"/>
      <c r="Y406" s="161"/>
      <c r="Z406" s="146"/>
      <c r="AA406" s="162"/>
      <c r="AB406" s="148"/>
      <c r="AC406" s="161"/>
      <c r="AD406" s="146"/>
      <c r="AE406" s="162"/>
      <c r="AF406" s="148"/>
    </row>
    <row r="407">
      <c r="A407" s="161"/>
      <c r="B407" s="146" t="str">
        <f>IF(A407&lt;&gt;"", SUMIF(Bets!$F:$F, A407, Bets!Z:Z), "")</f>
        <v/>
      </c>
      <c r="C407" s="162"/>
      <c r="D407" s="148"/>
      <c r="E407" s="161"/>
      <c r="F407" s="146" t="str">
        <f>IF(E407&lt;&gt;"", SUMIF(Bets!$F:$F, E407, Bets!AB:AB), "")</f>
        <v/>
      </c>
      <c r="G407" s="162"/>
      <c r="H407" s="148"/>
      <c r="I407" s="161"/>
      <c r="J407" s="146" t="str">
        <f>IF(I407&lt;&gt;"", SUMIF(Bets!$F:$F, I407, Bets!AA:AA),)</f>
        <v/>
      </c>
      <c r="K407" s="162"/>
      <c r="L407" s="148"/>
      <c r="M407" s="161"/>
      <c r="N407" s="146"/>
      <c r="O407" s="162"/>
      <c r="P407" s="148"/>
      <c r="Q407" s="161"/>
      <c r="R407" s="146"/>
      <c r="S407" s="162"/>
      <c r="T407" s="148"/>
      <c r="U407" s="161"/>
      <c r="V407" s="146"/>
      <c r="W407" s="162"/>
      <c r="X407" s="148"/>
      <c r="Y407" s="161"/>
      <c r="Z407" s="146"/>
      <c r="AA407" s="162"/>
      <c r="AB407" s="148"/>
      <c r="AC407" s="161"/>
      <c r="AD407" s="146"/>
      <c r="AE407" s="162"/>
      <c r="AF407" s="148"/>
    </row>
    <row r="408">
      <c r="A408" s="161"/>
      <c r="B408" s="146" t="str">
        <f>IF(A408&lt;&gt;"", SUMIF(Bets!$F:$F, A408, Bets!Z:Z), "")</f>
        <v/>
      </c>
      <c r="C408" s="162"/>
      <c r="D408" s="148"/>
      <c r="E408" s="161"/>
      <c r="F408" s="146" t="str">
        <f>IF(E408&lt;&gt;"", SUMIF(Bets!$F:$F, E408, Bets!AB:AB), "")</f>
        <v/>
      </c>
      <c r="G408" s="162"/>
      <c r="H408" s="148"/>
      <c r="I408" s="161"/>
      <c r="J408" s="146" t="str">
        <f>IF(I408&lt;&gt;"", SUMIF(Bets!$F:$F, I408, Bets!AA:AA),)</f>
        <v/>
      </c>
      <c r="K408" s="162"/>
      <c r="L408" s="148"/>
      <c r="M408" s="161"/>
      <c r="N408" s="146"/>
      <c r="O408" s="162"/>
      <c r="P408" s="148"/>
      <c r="Q408" s="161"/>
      <c r="R408" s="146"/>
      <c r="S408" s="162"/>
      <c r="T408" s="148"/>
      <c r="U408" s="161"/>
      <c r="V408" s="146"/>
      <c r="W408" s="162"/>
      <c r="X408" s="148"/>
      <c r="Y408" s="161"/>
      <c r="Z408" s="146"/>
      <c r="AA408" s="162"/>
      <c r="AB408" s="148"/>
      <c r="AC408" s="161"/>
      <c r="AD408" s="146"/>
      <c r="AE408" s="162"/>
      <c r="AF408" s="148"/>
    </row>
    <row r="409">
      <c r="A409" s="161"/>
      <c r="B409" s="146" t="str">
        <f>IF(A409&lt;&gt;"", SUMIF(Bets!$F:$F, A409, Bets!Z:Z), "")</f>
        <v/>
      </c>
      <c r="C409" s="162"/>
      <c r="D409" s="148"/>
      <c r="E409" s="161"/>
      <c r="F409" s="146" t="str">
        <f>IF(E409&lt;&gt;"", SUMIF(Bets!$F:$F, E409, Bets!AB:AB), "")</f>
        <v/>
      </c>
      <c r="G409" s="162"/>
      <c r="H409" s="148"/>
      <c r="I409" s="161"/>
      <c r="J409" s="146" t="str">
        <f>IF(I409&lt;&gt;"", SUMIF(Bets!$F:$F, I409, Bets!AA:AA),)</f>
        <v/>
      </c>
      <c r="K409" s="162"/>
      <c r="L409" s="148"/>
      <c r="M409" s="161"/>
      <c r="N409" s="146"/>
      <c r="O409" s="162"/>
      <c r="P409" s="148"/>
      <c r="Q409" s="161"/>
      <c r="R409" s="146"/>
      <c r="S409" s="162"/>
      <c r="T409" s="148"/>
      <c r="U409" s="161"/>
      <c r="V409" s="146"/>
      <c r="W409" s="162"/>
      <c r="X409" s="148"/>
      <c r="Y409" s="161"/>
      <c r="Z409" s="146"/>
      <c r="AA409" s="162"/>
      <c r="AB409" s="148"/>
      <c r="AC409" s="161"/>
      <c r="AD409" s="146"/>
      <c r="AE409" s="162"/>
      <c r="AF409" s="148"/>
    </row>
    <row r="410">
      <c r="A410" s="161"/>
      <c r="B410" s="146" t="str">
        <f>IF(A410&lt;&gt;"", SUMIF(Bets!$F:$F, A410, Bets!Z:Z), "")</f>
        <v/>
      </c>
      <c r="C410" s="162"/>
      <c r="D410" s="148"/>
      <c r="E410" s="161"/>
      <c r="F410" s="146" t="str">
        <f>IF(E410&lt;&gt;"", SUMIF(Bets!$F:$F, E410, Bets!AB:AB), "")</f>
        <v/>
      </c>
      <c r="G410" s="162"/>
      <c r="H410" s="148"/>
      <c r="I410" s="161"/>
      <c r="J410" s="146" t="str">
        <f>IF(I410&lt;&gt;"", SUMIF(Bets!$F:$F, I410, Bets!AA:AA),)</f>
        <v/>
      </c>
      <c r="K410" s="162"/>
      <c r="L410" s="148"/>
      <c r="M410" s="161"/>
      <c r="N410" s="146"/>
      <c r="O410" s="162"/>
      <c r="P410" s="148"/>
      <c r="Q410" s="161"/>
      <c r="R410" s="146"/>
      <c r="S410" s="162"/>
      <c r="T410" s="148"/>
      <c r="U410" s="161"/>
      <c r="V410" s="146"/>
      <c r="W410" s="162"/>
      <c r="X410" s="148"/>
      <c r="Y410" s="161"/>
      <c r="Z410" s="146"/>
      <c r="AA410" s="162"/>
      <c r="AB410" s="148"/>
      <c r="AC410" s="161"/>
      <c r="AD410" s="146"/>
      <c r="AE410" s="162"/>
      <c r="AF410" s="148"/>
    </row>
    <row r="411">
      <c r="A411" s="161"/>
      <c r="B411" s="146" t="str">
        <f>IF(A411&lt;&gt;"", SUMIF(Bets!$F:$F, A411, Bets!Z:Z), "")</f>
        <v/>
      </c>
      <c r="C411" s="162"/>
      <c r="D411" s="148"/>
      <c r="E411" s="161"/>
      <c r="F411" s="146" t="str">
        <f>IF(E411&lt;&gt;"", SUMIF(Bets!$F:$F, E411, Bets!AB:AB), "")</f>
        <v/>
      </c>
      <c r="G411" s="162"/>
      <c r="H411" s="148"/>
      <c r="I411" s="161"/>
      <c r="J411" s="146" t="str">
        <f>IF(I411&lt;&gt;"", SUMIF(Bets!$F:$F, I411, Bets!AA:AA),)</f>
        <v/>
      </c>
      <c r="K411" s="162"/>
      <c r="L411" s="148"/>
      <c r="M411" s="161"/>
      <c r="N411" s="146"/>
      <c r="O411" s="162"/>
      <c r="P411" s="148"/>
      <c r="Q411" s="161"/>
      <c r="R411" s="146"/>
      <c r="S411" s="162"/>
      <c r="T411" s="148"/>
      <c r="U411" s="161"/>
      <c r="V411" s="146"/>
      <c r="W411" s="162"/>
      <c r="X411" s="148"/>
      <c r="Y411" s="161"/>
      <c r="Z411" s="146"/>
      <c r="AA411" s="162"/>
      <c r="AB411" s="148"/>
      <c r="AC411" s="161"/>
      <c r="AD411" s="146"/>
      <c r="AE411" s="162"/>
      <c r="AF411" s="148"/>
    </row>
    <row r="412">
      <c r="A412" s="161"/>
      <c r="B412" s="146" t="str">
        <f>IF(A412&lt;&gt;"", SUMIF(Bets!$F:$F, A412, Bets!Z:Z), "")</f>
        <v/>
      </c>
      <c r="C412" s="162"/>
      <c r="D412" s="148"/>
      <c r="E412" s="161"/>
      <c r="F412" s="146" t="str">
        <f>IF(E412&lt;&gt;"", SUMIF(Bets!$F:$F, E412, Bets!AB:AB), "")</f>
        <v/>
      </c>
      <c r="G412" s="162"/>
      <c r="H412" s="148"/>
      <c r="I412" s="161"/>
      <c r="J412" s="146" t="str">
        <f>IF(I412&lt;&gt;"", SUMIF(Bets!$F:$F, I412, Bets!AA:AA),)</f>
        <v/>
      </c>
      <c r="K412" s="162"/>
      <c r="L412" s="148"/>
      <c r="M412" s="161"/>
      <c r="N412" s="146"/>
      <c r="O412" s="162"/>
      <c r="P412" s="148"/>
      <c r="Q412" s="161"/>
      <c r="R412" s="146"/>
      <c r="S412" s="162"/>
      <c r="T412" s="148"/>
      <c r="U412" s="161"/>
      <c r="V412" s="146"/>
      <c r="W412" s="162"/>
      <c r="X412" s="148"/>
      <c r="Y412" s="161"/>
      <c r="Z412" s="146"/>
      <c r="AA412" s="162"/>
      <c r="AB412" s="148"/>
      <c r="AC412" s="161"/>
      <c r="AD412" s="146"/>
      <c r="AE412" s="162"/>
      <c r="AF412" s="148"/>
    </row>
    <row r="413">
      <c r="A413" s="161"/>
      <c r="B413" s="146" t="str">
        <f>IF(A413&lt;&gt;"", SUMIF(Bets!$F:$F, A413, Bets!Z:Z), "")</f>
        <v/>
      </c>
      <c r="C413" s="162"/>
      <c r="D413" s="148"/>
      <c r="E413" s="161"/>
      <c r="F413" s="146" t="str">
        <f>IF(E413&lt;&gt;"", SUMIF(Bets!$F:$F, E413, Bets!AB:AB), "")</f>
        <v/>
      </c>
      <c r="G413" s="162"/>
      <c r="H413" s="148"/>
      <c r="I413" s="161"/>
      <c r="J413" s="146" t="str">
        <f>IF(I413&lt;&gt;"", SUMIF(Bets!$F:$F, I413, Bets!AA:AA),)</f>
        <v/>
      </c>
      <c r="K413" s="162"/>
      <c r="L413" s="148"/>
      <c r="M413" s="161"/>
      <c r="N413" s="146"/>
      <c r="O413" s="162"/>
      <c r="P413" s="148"/>
      <c r="Q413" s="161"/>
      <c r="R413" s="146"/>
      <c r="S413" s="162"/>
      <c r="T413" s="148"/>
      <c r="U413" s="161"/>
      <c r="V413" s="146"/>
      <c r="W413" s="162"/>
      <c r="X413" s="148"/>
      <c r="Y413" s="161"/>
      <c r="Z413" s="146"/>
      <c r="AA413" s="162"/>
      <c r="AB413" s="148"/>
      <c r="AC413" s="161"/>
      <c r="AD413" s="146"/>
      <c r="AE413" s="162"/>
      <c r="AF413" s="148"/>
    </row>
    <row r="414">
      <c r="A414" s="161"/>
      <c r="B414" s="146" t="str">
        <f>IF(A414&lt;&gt;"", SUMIF(Bets!$F:$F, A414, Bets!Z:Z), "")</f>
        <v/>
      </c>
      <c r="C414" s="162"/>
      <c r="D414" s="148"/>
      <c r="E414" s="161"/>
      <c r="F414" s="146" t="str">
        <f>IF(E414&lt;&gt;"", SUMIF(Bets!$F:$F, E414, Bets!AB:AB), "")</f>
        <v/>
      </c>
      <c r="G414" s="162"/>
      <c r="H414" s="148"/>
      <c r="I414" s="161"/>
      <c r="J414" s="146" t="str">
        <f>IF(I414&lt;&gt;"", SUMIF(Bets!$F:$F, I414, Bets!AA:AA),)</f>
        <v/>
      </c>
      <c r="K414" s="162"/>
      <c r="L414" s="148"/>
      <c r="M414" s="161"/>
      <c r="N414" s="146"/>
      <c r="O414" s="162"/>
      <c r="P414" s="148"/>
      <c r="Q414" s="161"/>
      <c r="R414" s="146"/>
      <c r="S414" s="162"/>
      <c r="T414" s="148"/>
      <c r="U414" s="161"/>
      <c r="V414" s="146"/>
      <c r="W414" s="162"/>
      <c r="X414" s="148"/>
      <c r="Y414" s="161"/>
      <c r="Z414" s="146"/>
      <c r="AA414" s="162"/>
      <c r="AB414" s="148"/>
      <c r="AC414" s="161"/>
      <c r="AD414" s="146"/>
      <c r="AE414" s="162"/>
      <c r="AF414" s="148"/>
    </row>
    <row r="415">
      <c r="A415" s="161"/>
      <c r="B415" s="146" t="str">
        <f>IF(A415&lt;&gt;"", SUMIF(Bets!$F:$F, A415, Bets!Z:Z), "")</f>
        <v/>
      </c>
      <c r="C415" s="162"/>
      <c r="D415" s="148"/>
      <c r="E415" s="161"/>
      <c r="F415" s="146" t="str">
        <f>IF(E415&lt;&gt;"", SUMIF(Bets!$F:$F, E415, Bets!AB:AB), "")</f>
        <v/>
      </c>
      <c r="G415" s="162"/>
      <c r="H415" s="148"/>
      <c r="I415" s="161"/>
      <c r="J415" s="146" t="str">
        <f>IF(I415&lt;&gt;"", SUMIF(Bets!$F:$F, I415, Bets!AA:AA),)</f>
        <v/>
      </c>
      <c r="K415" s="162"/>
      <c r="L415" s="148"/>
      <c r="M415" s="161"/>
      <c r="N415" s="146"/>
      <c r="O415" s="162"/>
      <c r="P415" s="148"/>
      <c r="Q415" s="161"/>
      <c r="R415" s="146"/>
      <c r="S415" s="162"/>
      <c r="T415" s="148"/>
      <c r="U415" s="161"/>
      <c r="V415" s="146"/>
      <c r="W415" s="162"/>
      <c r="X415" s="148"/>
      <c r="Y415" s="161"/>
      <c r="Z415" s="146"/>
      <c r="AA415" s="162"/>
      <c r="AB415" s="148"/>
      <c r="AC415" s="161"/>
      <c r="AD415" s="146"/>
      <c r="AE415" s="162"/>
      <c r="AF415" s="148"/>
    </row>
    <row r="416">
      <c r="A416" s="161"/>
      <c r="B416" s="146" t="str">
        <f>IF(A416&lt;&gt;"", SUMIF(Bets!$F:$F, A416, Bets!Z:Z), "")</f>
        <v/>
      </c>
      <c r="C416" s="162"/>
      <c r="D416" s="148"/>
      <c r="E416" s="161"/>
      <c r="F416" s="146" t="str">
        <f>IF(E416&lt;&gt;"", SUMIF(Bets!$F:$F, E416, Bets!AB:AB), "")</f>
        <v/>
      </c>
      <c r="G416" s="162"/>
      <c r="H416" s="148"/>
      <c r="I416" s="161"/>
      <c r="J416" s="146" t="str">
        <f>IF(I416&lt;&gt;"", SUMIF(Bets!$F:$F, I416, Bets!AA:AA),)</f>
        <v/>
      </c>
      <c r="K416" s="162"/>
      <c r="L416" s="148"/>
      <c r="M416" s="161"/>
      <c r="N416" s="146"/>
      <c r="O416" s="162"/>
      <c r="P416" s="148"/>
      <c r="Q416" s="161"/>
      <c r="R416" s="146"/>
      <c r="S416" s="162"/>
      <c r="T416" s="148"/>
      <c r="U416" s="161"/>
      <c r="V416" s="146"/>
      <c r="W416" s="162"/>
      <c r="X416" s="148"/>
      <c r="Y416" s="161"/>
      <c r="Z416" s="146"/>
      <c r="AA416" s="162"/>
      <c r="AB416" s="148"/>
      <c r="AC416" s="161"/>
      <c r="AD416" s="146"/>
      <c r="AE416" s="162"/>
      <c r="AF416" s="148"/>
    </row>
    <row r="417">
      <c r="A417" s="161"/>
      <c r="B417" s="146" t="str">
        <f>IF(A417&lt;&gt;"", SUMIF(Bets!$F:$F, A417, Bets!Z:Z), "")</f>
        <v/>
      </c>
      <c r="C417" s="162"/>
      <c r="D417" s="148"/>
      <c r="E417" s="161"/>
      <c r="F417" s="146" t="str">
        <f>IF(E417&lt;&gt;"", SUMIF(Bets!$F:$F, E417, Bets!AB:AB), "")</f>
        <v/>
      </c>
      <c r="G417" s="162"/>
      <c r="H417" s="148"/>
      <c r="I417" s="161"/>
      <c r="J417" s="146" t="str">
        <f>IF(I417&lt;&gt;"", SUMIF(Bets!$F:$F, I417, Bets!AA:AA),)</f>
        <v/>
      </c>
      <c r="K417" s="162"/>
      <c r="L417" s="148"/>
      <c r="M417" s="161"/>
      <c r="N417" s="146"/>
      <c r="O417" s="162"/>
      <c r="P417" s="148"/>
      <c r="Q417" s="161"/>
      <c r="R417" s="146"/>
      <c r="S417" s="162"/>
      <c r="T417" s="148"/>
      <c r="U417" s="161"/>
      <c r="V417" s="146"/>
      <c r="W417" s="162"/>
      <c r="X417" s="148"/>
      <c r="Y417" s="161"/>
      <c r="Z417" s="146"/>
      <c r="AA417" s="162"/>
      <c r="AB417" s="148"/>
      <c r="AC417" s="161"/>
      <c r="AD417" s="146"/>
      <c r="AE417" s="162"/>
      <c r="AF417" s="148"/>
    </row>
    <row r="418">
      <c r="A418" s="161"/>
      <c r="B418" s="146" t="str">
        <f>IF(A418&lt;&gt;"", SUMIF(Bets!$F:$F, A418, Bets!Z:Z), "")</f>
        <v/>
      </c>
      <c r="C418" s="162"/>
      <c r="D418" s="148"/>
      <c r="E418" s="161"/>
      <c r="F418" s="146" t="str">
        <f>IF(E418&lt;&gt;"", SUMIF(Bets!$F:$F, E418, Bets!AB:AB), "")</f>
        <v/>
      </c>
      <c r="G418" s="162"/>
      <c r="H418" s="148"/>
      <c r="I418" s="161"/>
      <c r="J418" s="146" t="str">
        <f>IF(I418&lt;&gt;"", SUMIF(Bets!$F:$F, I418, Bets!AA:AA),)</f>
        <v/>
      </c>
      <c r="K418" s="162"/>
      <c r="L418" s="148"/>
      <c r="M418" s="161"/>
      <c r="N418" s="146"/>
      <c r="O418" s="162"/>
      <c r="P418" s="148"/>
      <c r="Q418" s="161"/>
      <c r="R418" s="146"/>
      <c r="S418" s="162"/>
      <c r="T418" s="148"/>
      <c r="U418" s="161"/>
      <c r="V418" s="146"/>
      <c r="W418" s="162"/>
      <c r="X418" s="148"/>
      <c r="Y418" s="161"/>
      <c r="Z418" s="146"/>
      <c r="AA418" s="162"/>
      <c r="AB418" s="148"/>
      <c r="AC418" s="161"/>
      <c r="AD418" s="146"/>
      <c r="AE418" s="162"/>
      <c r="AF418" s="148"/>
    </row>
    <row r="419">
      <c r="A419" s="161"/>
      <c r="B419" s="146" t="str">
        <f>IF(A419&lt;&gt;"", SUMIF(Bets!$F:$F, A419, Bets!Z:Z), "")</f>
        <v/>
      </c>
      <c r="C419" s="162"/>
      <c r="D419" s="148"/>
      <c r="E419" s="161"/>
      <c r="F419" s="146" t="str">
        <f>IF(E419&lt;&gt;"", SUMIF(Bets!$F:$F, E419, Bets!AB:AB), "")</f>
        <v/>
      </c>
      <c r="G419" s="162"/>
      <c r="H419" s="148"/>
      <c r="I419" s="161"/>
      <c r="J419" s="146" t="str">
        <f>IF(I419&lt;&gt;"", SUMIF(Bets!$F:$F, I419, Bets!AA:AA),)</f>
        <v/>
      </c>
      <c r="K419" s="162"/>
      <c r="L419" s="148"/>
      <c r="M419" s="161"/>
      <c r="N419" s="146"/>
      <c r="O419" s="162"/>
      <c r="P419" s="148"/>
      <c r="Q419" s="161"/>
      <c r="R419" s="146"/>
      <c r="S419" s="162"/>
      <c r="T419" s="148"/>
      <c r="U419" s="161"/>
      <c r="V419" s="146"/>
      <c r="W419" s="162"/>
      <c r="X419" s="148"/>
      <c r="Y419" s="161"/>
      <c r="Z419" s="146"/>
      <c r="AA419" s="162"/>
      <c r="AB419" s="148"/>
      <c r="AC419" s="161"/>
      <c r="AD419" s="146"/>
      <c r="AE419" s="162"/>
      <c r="AF419" s="148"/>
    </row>
    <row r="420">
      <c r="A420" s="161"/>
      <c r="B420" s="146" t="str">
        <f>IF(A420&lt;&gt;"", SUMIF(Bets!$F:$F, A420, Bets!Z:Z), "")</f>
        <v/>
      </c>
      <c r="C420" s="162"/>
      <c r="D420" s="148"/>
      <c r="E420" s="161"/>
      <c r="F420" s="146" t="str">
        <f>IF(E420&lt;&gt;"", SUMIF(Bets!$F:$F, E420, Bets!AB:AB), "")</f>
        <v/>
      </c>
      <c r="G420" s="162"/>
      <c r="H420" s="148"/>
      <c r="I420" s="161"/>
      <c r="J420" s="146" t="str">
        <f>IF(I420&lt;&gt;"", SUMIF(Bets!$F:$F, I420, Bets!AA:AA),)</f>
        <v/>
      </c>
      <c r="K420" s="162"/>
      <c r="L420" s="148"/>
      <c r="M420" s="161"/>
      <c r="N420" s="146"/>
      <c r="O420" s="162"/>
      <c r="P420" s="148"/>
      <c r="Q420" s="161"/>
      <c r="R420" s="146"/>
      <c r="S420" s="162"/>
      <c r="T420" s="148"/>
      <c r="U420" s="161"/>
      <c r="V420" s="146"/>
      <c r="W420" s="162"/>
      <c r="X420" s="148"/>
      <c r="Y420" s="161"/>
      <c r="Z420" s="146"/>
      <c r="AA420" s="162"/>
      <c r="AB420" s="148"/>
      <c r="AC420" s="161"/>
      <c r="AD420" s="146"/>
      <c r="AE420" s="162"/>
      <c r="AF420" s="148"/>
    </row>
    <row r="421">
      <c r="A421" s="161"/>
      <c r="B421" s="146" t="str">
        <f>IF(A421&lt;&gt;"", SUMIF(Bets!$F:$F, A421, Bets!Z:Z), "")</f>
        <v/>
      </c>
      <c r="C421" s="162"/>
      <c r="D421" s="148"/>
      <c r="E421" s="161"/>
      <c r="F421" s="146" t="str">
        <f>IF(E421&lt;&gt;"", SUMIF(Bets!$F:$F, E421, Bets!AB:AB), "")</f>
        <v/>
      </c>
      <c r="G421" s="162"/>
      <c r="H421" s="148"/>
      <c r="I421" s="161"/>
      <c r="J421" s="146" t="str">
        <f>IF(I421&lt;&gt;"", SUMIF(Bets!$F:$F, I421, Bets!AA:AA),)</f>
        <v/>
      </c>
      <c r="K421" s="162"/>
      <c r="L421" s="148"/>
      <c r="M421" s="161"/>
      <c r="N421" s="146"/>
      <c r="O421" s="162"/>
      <c r="P421" s="148"/>
      <c r="Q421" s="161"/>
      <c r="R421" s="146"/>
      <c r="S421" s="162"/>
      <c r="T421" s="148"/>
      <c r="U421" s="161"/>
      <c r="V421" s="146"/>
      <c r="W421" s="162"/>
      <c r="X421" s="148"/>
      <c r="Y421" s="161"/>
      <c r="Z421" s="146"/>
      <c r="AA421" s="162"/>
      <c r="AB421" s="148"/>
      <c r="AC421" s="161"/>
      <c r="AD421" s="146"/>
      <c r="AE421" s="162"/>
      <c r="AF421" s="148"/>
    </row>
    <row r="422">
      <c r="A422" s="161"/>
      <c r="B422" s="146" t="str">
        <f>IF(A422&lt;&gt;"", SUMIF(Bets!$F:$F, A422, Bets!Z:Z), "")</f>
        <v/>
      </c>
      <c r="C422" s="162"/>
      <c r="D422" s="148"/>
      <c r="E422" s="161"/>
      <c r="F422" s="146" t="str">
        <f>IF(E422&lt;&gt;"", SUMIF(Bets!$F:$F, E422, Bets!AB:AB), "")</f>
        <v/>
      </c>
      <c r="G422" s="162"/>
      <c r="H422" s="148"/>
      <c r="I422" s="161"/>
      <c r="J422" s="146" t="str">
        <f>IF(I422&lt;&gt;"", SUMIF(Bets!$F:$F, I422, Bets!AA:AA),)</f>
        <v/>
      </c>
      <c r="K422" s="162"/>
      <c r="L422" s="148"/>
      <c r="M422" s="161"/>
      <c r="N422" s="146"/>
      <c r="O422" s="162"/>
      <c r="P422" s="148"/>
      <c r="Q422" s="161"/>
      <c r="R422" s="146"/>
      <c r="S422" s="162"/>
      <c r="T422" s="148"/>
      <c r="U422" s="161"/>
      <c r="V422" s="146"/>
      <c r="W422" s="162"/>
      <c r="X422" s="148"/>
      <c r="Y422" s="161"/>
      <c r="Z422" s="146"/>
      <c r="AA422" s="162"/>
      <c r="AB422" s="148"/>
      <c r="AC422" s="161"/>
      <c r="AD422" s="146"/>
      <c r="AE422" s="162"/>
      <c r="AF422" s="148"/>
    </row>
    <row r="423">
      <c r="A423" s="161"/>
      <c r="B423" s="146" t="str">
        <f>IF(A423&lt;&gt;"", SUMIF(Bets!$F:$F, A423, Bets!Z:Z), "")</f>
        <v/>
      </c>
      <c r="C423" s="162"/>
      <c r="D423" s="148"/>
      <c r="E423" s="161"/>
      <c r="F423" s="146" t="str">
        <f>IF(E423&lt;&gt;"", SUMIF(Bets!$F:$F, E423, Bets!AB:AB), "")</f>
        <v/>
      </c>
      <c r="G423" s="162"/>
      <c r="H423" s="148"/>
      <c r="I423" s="161"/>
      <c r="J423" s="146" t="str">
        <f>IF(I423&lt;&gt;"", SUMIF(Bets!$F:$F, I423, Bets!AA:AA),)</f>
        <v/>
      </c>
      <c r="K423" s="162"/>
      <c r="L423" s="148"/>
      <c r="M423" s="161"/>
      <c r="N423" s="146"/>
      <c r="O423" s="162"/>
      <c r="P423" s="148"/>
      <c r="Q423" s="161"/>
      <c r="R423" s="146"/>
      <c r="S423" s="162"/>
      <c r="T423" s="148"/>
      <c r="U423" s="161"/>
      <c r="V423" s="146"/>
      <c r="W423" s="162"/>
      <c r="X423" s="148"/>
      <c r="Y423" s="161"/>
      <c r="Z423" s="146"/>
      <c r="AA423" s="162"/>
      <c r="AB423" s="148"/>
      <c r="AC423" s="161"/>
      <c r="AD423" s="146"/>
      <c r="AE423" s="162"/>
      <c r="AF423" s="148"/>
    </row>
    <row r="424">
      <c r="A424" s="161"/>
      <c r="B424" s="146" t="str">
        <f>IF(A424&lt;&gt;"", SUMIF(Bets!$F:$F, A424, Bets!Z:Z), "")</f>
        <v/>
      </c>
      <c r="C424" s="162"/>
      <c r="D424" s="148"/>
      <c r="E424" s="161"/>
      <c r="F424" s="146" t="str">
        <f>IF(E424&lt;&gt;"", SUMIF(Bets!$F:$F, E424, Bets!AB:AB), "")</f>
        <v/>
      </c>
      <c r="G424" s="162"/>
      <c r="H424" s="148"/>
      <c r="I424" s="161"/>
      <c r="J424" s="146" t="str">
        <f>IF(I424&lt;&gt;"", SUMIF(Bets!$F:$F, I424, Bets!AA:AA),)</f>
        <v/>
      </c>
      <c r="K424" s="162"/>
      <c r="L424" s="148"/>
      <c r="M424" s="161"/>
      <c r="N424" s="146"/>
      <c r="O424" s="162"/>
      <c r="P424" s="148"/>
      <c r="Q424" s="161"/>
      <c r="R424" s="146"/>
      <c r="S424" s="162"/>
      <c r="T424" s="148"/>
      <c r="U424" s="161"/>
      <c r="V424" s="146"/>
      <c r="W424" s="162"/>
      <c r="X424" s="148"/>
      <c r="Y424" s="161"/>
      <c r="Z424" s="146"/>
      <c r="AA424" s="162"/>
      <c r="AB424" s="148"/>
      <c r="AC424" s="161"/>
      <c r="AD424" s="146"/>
      <c r="AE424" s="162"/>
      <c r="AF424" s="148"/>
    </row>
    <row r="425">
      <c r="A425" s="161"/>
      <c r="B425" s="146" t="str">
        <f>IF(A425&lt;&gt;"", SUMIF(Bets!$F:$F, A425, Bets!Z:Z), "")</f>
        <v/>
      </c>
      <c r="C425" s="162"/>
      <c r="D425" s="148"/>
      <c r="E425" s="161"/>
      <c r="F425" s="146" t="str">
        <f>IF(E425&lt;&gt;"", SUMIF(Bets!$F:$F, E425, Bets!AB:AB), "")</f>
        <v/>
      </c>
      <c r="G425" s="162"/>
      <c r="H425" s="148"/>
      <c r="I425" s="161"/>
      <c r="J425" s="146" t="str">
        <f>IF(I425&lt;&gt;"", SUMIF(Bets!$F:$F, I425, Bets!AA:AA),)</f>
        <v/>
      </c>
      <c r="K425" s="162"/>
      <c r="L425" s="148"/>
      <c r="M425" s="161"/>
      <c r="N425" s="146"/>
      <c r="O425" s="162"/>
      <c r="P425" s="148"/>
      <c r="Q425" s="161"/>
      <c r="R425" s="146"/>
      <c r="S425" s="162"/>
      <c r="T425" s="148"/>
      <c r="U425" s="161"/>
      <c r="V425" s="146"/>
      <c r="W425" s="162"/>
      <c r="X425" s="148"/>
      <c r="Y425" s="161"/>
      <c r="Z425" s="146"/>
      <c r="AA425" s="162"/>
      <c r="AB425" s="148"/>
      <c r="AC425" s="161"/>
      <c r="AD425" s="146"/>
      <c r="AE425" s="162"/>
      <c r="AF425" s="148"/>
    </row>
    <row r="426">
      <c r="A426" s="161"/>
      <c r="B426" s="146" t="str">
        <f>IF(A426&lt;&gt;"", SUMIF(Bets!$F:$F, A426, Bets!Z:Z), "")</f>
        <v/>
      </c>
      <c r="C426" s="162"/>
      <c r="D426" s="148"/>
      <c r="E426" s="161"/>
      <c r="F426" s="146" t="str">
        <f>IF(E426&lt;&gt;"", SUMIF(Bets!$F:$F, E426, Bets!AB:AB), "")</f>
        <v/>
      </c>
      <c r="G426" s="162"/>
      <c r="H426" s="148"/>
      <c r="I426" s="161"/>
      <c r="J426" s="146" t="str">
        <f>IF(I426&lt;&gt;"", SUMIF(Bets!$F:$F, I426, Bets!AA:AA),)</f>
        <v/>
      </c>
      <c r="K426" s="162"/>
      <c r="L426" s="148"/>
      <c r="M426" s="161"/>
      <c r="N426" s="146"/>
      <c r="O426" s="162"/>
      <c r="P426" s="148"/>
      <c r="Q426" s="161"/>
      <c r="R426" s="146"/>
      <c r="S426" s="162"/>
      <c r="T426" s="148"/>
      <c r="U426" s="161"/>
      <c r="V426" s="146"/>
      <c r="W426" s="162"/>
      <c r="X426" s="148"/>
      <c r="Y426" s="161"/>
      <c r="Z426" s="146"/>
      <c r="AA426" s="162"/>
      <c r="AB426" s="148"/>
      <c r="AC426" s="161"/>
      <c r="AD426" s="146"/>
      <c r="AE426" s="162"/>
      <c r="AF426" s="148"/>
    </row>
    <row r="427">
      <c r="A427" s="161"/>
      <c r="B427" s="146" t="str">
        <f>IF(A427&lt;&gt;"", SUMIF(Bets!$F:$F, A427, Bets!Z:Z), "")</f>
        <v/>
      </c>
      <c r="C427" s="162"/>
      <c r="D427" s="148"/>
      <c r="E427" s="161"/>
      <c r="F427" s="146" t="str">
        <f>IF(E427&lt;&gt;"", SUMIF(Bets!$F:$F, E427, Bets!AB:AB), "")</f>
        <v/>
      </c>
      <c r="G427" s="162"/>
      <c r="H427" s="148"/>
      <c r="I427" s="161"/>
      <c r="J427" s="146" t="str">
        <f>IF(I427&lt;&gt;"", SUMIF(Bets!$F:$F, I427, Bets!AA:AA),)</f>
        <v/>
      </c>
      <c r="K427" s="162"/>
      <c r="L427" s="148"/>
      <c r="M427" s="161"/>
      <c r="N427" s="146"/>
      <c r="O427" s="162"/>
      <c r="P427" s="148"/>
      <c r="Q427" s="161"/>
      <c r="R427" s="146"/>
      <c r="S427" s="162"/>
      <c r="T427" s="148"/>
      <c r="U427" s="161"/>
      <c r="V427" s="146"/>
      <c r="W427" s="162"/>
      <c r="X427" s="148"/>
      <c r="Y427" s="161"/>
      <c r="Z427" s="146"/>
      <c r="AA427" s="162"/>
      <c r="AB427" s="148"/>
      <c r="AC427" s="161"/>
      <c r="AD427" s="146"/>
      <c r="AE427" s="162"/>
      <c r="AF427" s="148"/>
    </row>
    <row r="428">
      <c r="A428" s="161"/>
      <c r="B428" s="146" t="str">
        <f>IF(A428&lt;&gt;"", SUMIF(Bets!$F:$F, A428, Bets!Z:Z), "")</f>
        <v/>
      </c>
      <c r="C428" s="162"/>
      <c r="D428" s="148"/>
      <c r="E428" s="161"/>
      <c r="F428" s="146" t="str">
        <f>IF(E428&lt;&gt;"", SUMIF(Bets!$F:$F, E428, Bets!AB:AB), "")</f>
        <v/>
      </c>
      <c r="G428" s="162"/>
      <c r="H428" s="148"/>
      <c r="I428" s="161"/>
      <c r="J428" s="146" t="str">
        <f>IF(I428&lt;&gt;"", SUMIF(Bets!$F:$F, I428, Bets!AA:AA),)</f>
        <v/>
      </c>
      <c r="K428" s="162"/>
      <c r="L428" s="148"/>
      <c r="M428" s="161"/>
      <c r="N428" s="146"/>
      <c r="O428" s="162"/>
      <c r="P428" s="148"/>
      <c r="Q428" s="161"/>
      <c r="R428" s="146"/>
      <c r="S428" s="162"/>
      <c r="T428" s="148"/>
      <c r="U428" s="161"/>
      <c r="V428" s="146"/>
      <c r="W428" s="162"/>
      <c r="X428" s="148"/>
      <c r="Y428" s="161"/>
      <c r="Z428" s="146"/>
      <c r="AA428" s="162"/>
      <c r="AB428" s="148"/>
      <c r="AC428" s="161"/>
      <c r="AD428" s="146"/>
      <c r="AE428" s="162"/>
      <c r="AF428" s="148"/>
    </row>
    <row r="429">
      <c r="A429" s="161"/>
      <c r="B429" s="146" t="str">
        <f>IF(A429&lt;&gt;"", SUMIF(Bets!$F:$F, A429, Bets!Z:Z), "")</f>
        <v/>
      </c>
      <c r="C429" s="162"/>
      <c r="D429" s="148"/>
      <c r="E429" s="161"/>
      <c r="F429" s="146" t="str">
        <f>IF(E429&lt;&gt;"", SUMIF(Bets!$F:$F, E429, Bets!AB:AB), "")</f>
        <v/>
      </c>
      <c r="G429" s="162"/>
      <c r="H429" s="148"/>
      <c r="I429" s="161"/>
      <c r="J429" s="146" t="str">
        <f>IF(I429&lt;&gt;"", SUMIF(Bets!$F:$F, I429, Bets!AA:AA),)</f>
        <v/>
      </c>
      <c r="K429" s="162"/>
      <c r="L429" s="148"/>
      <c r="M429" s="161"/>
      <c r="N429" s="146"/>
      <c r="O429" s="162"/>
      <c r="P429" s="148"/>
      <c r="Q429" s="161"/>
      <c r="R429" s="146"/>
      <c r="S429" s="162"/>
      <c r="T429" s="148"/>
      <c r="U429" s="161"/>
      <c r="V429" s="146"/>
      <c r="W429" s="162"/>
      <c r="X429" s="148"/>
      <c r="Y429" s="161"/>
      <c r="Z429" s="146"/>
      <c r="AA429" s="162"/>
      <c r="AB429" s="148"/>
      <c r="AC429" s="161"/>
      <c r="AD429" s="146"/>
      <c r="AE429" s="162"/>
      <c r="AF429" s="148"/>
    </row>
    <row r="430">
      <c r="A430" s="161"/>
      <c r="B430" s="146" t="str">
        <f>IF(A430&lt;&gt;"", SUMIF(Bets!$F:$F, A430, Bets!Z:Z), "")</f>
        <v/>
      </c>
      <c r="C430" s="162"/>
      <c r="D430" s="148"/>
      <c r="E430" s="161"/>
      <c r="F430" s="146" t="str">
        <f>IF(E430&lt;&gt;"", SUMIF(Bets!$F:$F, E430, Bets!AB:AB), "")</f>
        <v/>
      </c>
      <c r="G430" s="162"/>
      <c r="H430" s="148"/>
      <c r="I430" s="161"/>
      <c r="J430" s="146" t="str">
        <f>IF(I430&lt;&gt;"", SUMIF(Bets!$F:$F, I430, Bets!AA:AA),)</f>
        <v/>
      </c>
      <c r="K430" s="162"/>
      <c r="L430" s="148"/>
      <c r="M430" s="161"/>
      <c r="N430" s="146"/>
      <c r="O430" s="162"/>
      <c r="P430" s="148"/>
      <c r="Q430" s="161"/>
      <c r="R430" s="146"/>
      <c r="S430" s="162"/>
      <c r="T430" s="148"/>
      <c r="U430" s="161"/>
      <c r="V430" s="146"/>
      <c r="W430" s="162"/>
      <c r="X430" s="148"/>
      <c r="Y430" s="161"/>
      <c r="Z430" s="146"/>
      <c r="AA430" s="162"/>
      <c r="AB430" s="148"/>
      <c r="AC430" s="161"/>
      <c r="AD430" s="146"/>
      <c r="AE430" s="162"/>
      <c r="AF430" s="148"/>
    </row>
    <row r="431">
      <c r="A431" s="161"/>
      <c r="B431" s="146" t="str">
        <f>IF(A431&lt;&gt;"", SUMIF(Bets!$F:$F, A431, Bets!Z:Z), "")</f>
        <v/>
      </c>
      <c r="C431" s="162"/>
      <c r="D431" s="148"/>
      <c r="E431" s="161"/>
      <c r="F431" s="146" t="str">
        <f>IF(E431&lt;&gt;"", SUMIF(Bets!$F:$F, E431, Bets!AB:AB), "")</f>
        <v/>
      </c>
      <c r="G431" s="162"/>
      <c r="H431" s="148"/>
      <c r="I431" s="161"/>
      <c r="J431" s="146" t="str">
        <f>IF(I431&lt;&gt;"", SUMIF(Bets!$F:$F, I431, Bets!AA:AA),)</f>
        <v/>
      </c>
      <c r="K431" s="162"/>
      <c r="L431" s="148"/>
      <c r="M431" s="161"/>
      <c r="N431" s="146"/>
      <c r="O431" s="162"/>
      <c r="P431" s="148"/>
      <c r="Q431" s="161"/>
      <c r="R431" s="146"/>
      <c r="S431" s="162"/>
      <c r="T431" s="148"/>
      <c r="U431" s="161"/>
      <c r="V431" s="146"/>
      <c r="W431" s="162"/>
      <c r="X431" s="148"/>
      <c r="Y431" s="161"/>
      <c r="Z431" s="146"/>
      <c r="AA431" s="162"/>
      <c r="AB431" s="148"/>
      <c r="AC431" s="161"/>
      <c r="AD431" s="146"/>
      <c r="AE431" s="162"/>
      <c r="AF431" s="148"/>
    </row>
    <row r="432">
      <c r="A432" s="161"/>
      <c r="B432" s="146" t="str">
        <f>IF(A432&lt;&gt;"", SUMIF(Bets!$F:$F, A432, Bets!Z:Z), "")</f>
        <v/>
      </c>
      <c r="C432" s="162"/>
      <c r="D432" s="148"/>
      <c r="E432" s="161"/>
      <c r="F432" s="146" t="str">
        <f>IF(E432&lt;&gt;"", SUMIF(Bets!$F:$F, E432, Bets!AB:AB), "")</f>
        <v/>
      </c>
      <c r="G432" s="162"/>
      <c r="H432" s="148"/>
      <c r="I432" s="161"/>
      <c r="J432" s="146" t="str">
        <f>IF(I432&lt;&gt;"", SUMIF(Bets!$F:$F, I432, Bets!AA:AA),)</f>
        <v/>
      </c>
      <c r="K432" s="162"/>
      <c r="L432" s="148"/>
      <c r="M432" s="161"/>
      <c r="N432" s="146"/>
      <c r="O432" s="162"/>
      <c r="P432" s="148"/>
      <c r="Q432" s="161"/>
      <c r="R432" s="146"/>
      <c r="S432" s="162"/>
      <c r="T432" s="148"/>
      <c r="U432" s="161"/>
      <c r="V432" s="146"/>
      <c r="W432" s="162"/>
      <c r="X432" s="148"/>
      <c r="Y432" s="161"/>
      <c r="Z432" s="146"/>
      <c r="AA432" s="162"/>
      <c r="AB432" s="148"/>
      <c r="AC432" s="161"/>
      <c r="AD432" s="146"/>
      <c r="AE432" s="162"/>
      <c r="AF432" s="148"/>
    </row>
    <row r="433">
      <c r="A433" s="161"/>
      <c r="B433" s="146" t="str">
        <f>IF(A433&lt;&gt;"", SUMIF(Bets!$F:$F, A433, Bets!Z:Z), "")</f>
        <v/>
      </c>
      <c r="C433" s="162"/>
      <c r="D433" s="148"/>
      <c r="E433" s="161"/>
      <c r="F433" s="146" t="str">
        <f>IF(E433&lt;&gt;"", SUMIF(Bets!$F:$F, E433, Bets!AB:AB), "")</f>
        <v/>
      </c>
      <c r="G433" s="162"/>
      <c r="H433" s="148"/>
      <c r="I433" s="161"/>
      <c r="J433" s="146" t="str">
        <f>IF(I433&lt;&gt;"", SUMIF(Bets!$F:$F, I433, Bets!AA:AA),)</f>
        <v/>
      </c>
      <c r="K433" s="162"/>
      <c r="L433" s="148"/>
      <c r="M433" s="161"/>
      <c r="N433" s="146"/>
      <c r="O433" s="162"/>
      <c r="P433" s="148"/>
      <c r="Q433" s="161"/>
      <c r="R433" s="146"/>
      <c r="S433" s="162"/>
      <c r="T433" s="148"/>
      <c r="U433" s="161"/>
      <c r="V433" s="146"/>
      <c r="W433" s="162"/>
      <c r="X433" s="148"/>
      <c r="Y433" s="161"/>
      <c r="Z433" s="146"/>
      <c r="AA433" s="162"/>
      <c r="AB433" s="148"/>
      <c r="AC433" s="161"/>
      <c r="AD433" s="146"/>
      <c r="AE433" s="162"/>
      <c r="AF433" s="148"/>
    </row>
    <row r="434">
      <c r="A434" s="161"/>
      <c r="B434" s="146" t="str">
        <f>IF(A434&lt;&gt;"", SUMIF(Bets!$F:$F, A434, Bets!Z:Z), "")</f>
        <v/>
      </c>
      <c r="C434" s="162"/>
      <c r="D434" s="148"/>
      <c r="E434" s="161"/>
      <c r="F434" s="146" t="str">
        <f>IF(E434&lt;&gt;"", SUMIF(Bets!$F:$F, E434, Bets!AB:AB), "")</f>
        <v/>
      </c>
      <c r="G434" s="162"/>
      <c r="H434" s="148"/>
      <c r="I434" s="161"/>
      <c r="J434" s="146" t="str">
        <f>IF(I434&lt;&gt;"", SUMIF(Bets!$F:$F, I434, Bets!AA:AA),)</f>
        <v/>
      </c>
      <c r="K434" s="162"/>
      <c r="L434" s="148"/>
      <c r="M434" s="161"/>
      <c r="N434" s="146"/>
      <c r="O434" s="162"/>
      <c r="P434" s="148"/>
      <c r="Q434" s="161"/>
      <c r="R434" s="146"/>
      <c r="S434" s="162"/>
      <c r="T434" s="148"/>
      <c r="U434" s="161"/>
      <c r="V434" s="146"/>
      <c r="W434" s="162"/>
      <c r="X434" s="148"/>
      <c r="Y434" s="161"/>
      <c r="Z434" s="146"/>
      <c r="AA434" s="162"/>
      <c r="AB434" s="148"/>
      <c r="AC434" s="161"/>
      <c r="AD434" s="146"/>
      <c r="AE434" s="162"/>
      <c r="AF434" s="148"/>
    </row>
    <row r="435">
      <c r="A435" s="161"/>
      <c r="B435" s="146" t="str">
        <f>IF(A435&lt;&gt;"", SUMIF(Bets!$F:$F, A435, Bets!Z:Z), "")</f>
        <v/>
      </c>
      <c r="C435" s="162"/>
      <c r="D435" s="148"/>
      <c r="E435" s="161"/>
      <c r="F435" s="146" t="str">
        <f>IF(E435&lt;&gt;"", SUMIF(Bets!$F:$F, E435, Bets!AB:AB), "")</f>
        <v/>
      </c>
      <c r="G435" s="162"/>
      <c r="H435" s="148"/>
      <c r="I435" s="161"/>
      <c r="J435" s="146" t="str">
        <f>IF(I435&lt;&gt;"", SUMIF(Bets!$F:$F, I435, Bets!AA:AA),)</f>
        <v/>
      </c>
      <c r="K435" s="162"/>
      <c r="L435" s="148"/>
      <c r="M435" s="161"/>
      <c r="N435" s="146"/>
      <c r="O435" s="162"/>
      <c r="P435" s="148"/>
      <c r="Q435" s="161"/>
      <c r="R435" s="146"/>
      <c r="S435" s="162"/>
      <c r="T435" s="148"/>
      <c r="U435" s="161"/>
      <c r="V435" s="146"/>
      <c r="W435" s="162"/>
      <c r="X435" s="148"/>
      <c r="Y435" s="161"/>
      <c r="Z435" s="146"/>
      <c r="AA435" s="162"/>
      <c r="AB435" s="148"/>
      <c r="AC435" s="161"/>
      <c r="AD435" s="146"/>
      <c r="AE435" s="162"/>
      <c r="AF435" s="148"/>
    </row>
    <row r="436">
      <c r="A436" s="161"/>
      <c r="B436" s="146" t="str">
        <f>IF(A436&lt;&gt;"", SUMIF(Bets!$F:$F, A436, Bets!Z:Z), "")</f>
        <v/>
      </c>
      <c r="C436" s="162"/>
      <c r="D436" s="148"/>
      <c r="E436" s="161"/>
      <c r="F436" s="146" t="str">
        <f>IF(E436&lt;&gt;"", SUMIF(Bets!$F:$F, E436, Bets!AB:AB), "")</f>
        <v/>
      </c>
      <c r="G436" s="162"/>
      <c r="H436" s="148"/>
      <c r="I436" s="161"/>
      <c r="J436" s="146" t="str">
        <f>IF(I436&lt;&gt;"", SUMIF(Bets!$F:$F, I436, Bets!AA:AA),)</f>
        <v/>
      </c>
      <c r="K436" s="162"/>
      <c r="L436" s="148"/>
      <c r="M436" s="161"/>
      <c r="N436" s="146"/>
      <c r="O436" s="162"/>
      <c r="P436" s="148"/>
      <c r="Q436" s="161"/>
      <c r="R436" s="146"/>
      <c r="S436" s="162"/>
      <c r="T436" s="148"/>
      <c r="U436" s="161"/>
      <c r="V436" s="146"/>
      <c r="W436" s="162"/>
      <c r="X436" s="148"/>
      <c r="Y436" s="161"/>
      <c r="Z436" s="146"/>
      <c r="AA436" s="162"/>
      <c r="AB436" s="148"/>
      <c r="AC436" s="161"/>
      <c r="AD436" s="146"/>
      <c r="AE436" s="162"/>
      <c r="AF436" s="148"/>
    </row>
    <row r="437">
      <c r="A437" s="161"/>
      <c r="B437" s="146" t="str">
        <f>IF(A437&lt;&gt;"", SUMIF(Bets!$F:$F, A437, Bets!Z:Z), "")</f>
        <v/>
      </c>
      <c r="C437" s="162"/>
      <c r="D437" s="148"/>
      <c r="E437" s="161"/>
      <c r="F437" s="146" t="str">
        <f>IF(E437&lt;&gt;"", SUMIF(Bets!$F:$F, E437, Bets!AB:AB), "")</f>
        <v/>
      </c>
      <c r="G437" s="162"/>
      <c r="H437" s="148"/>
      <c r="I437" s="161"/>
      <c r="J437" s="146" t="str">
        <f>IF(I437&lt;&gt;"", SUMIF(Bets!$F:$F, I437, Bets!AA:AA),)</f>
        <v/>
      </c>
      <c r="K437" s="162"/>
      <c r="L437" s="148"/>
      <c r="M437" s="161"/>
      <c r="N437" s="146"/>
      <c r="O437" s="162"/>
      <c r="P437" s="148"/>
      <c r="Q437" s="161"/>
      <c r="R437" s="146"/>
      <c r="S437" s="162"/>
      <c r="T437" s="148"/>
      <c r="U437" s="161"/>
      <c r="V437" s="146"/>
      <c r="W437" s="162"/>
      <c r="X437" s="148"/>
      <c r="Y437" s="161"/>
      <c r="Z437" s="146"/>
      <c r="AA437" s="162"/>
      <c r="AB437" s="148"/>
      <c r="AC437" s="161"/>
      <c r="AD437" s="146"/>
      <c r="AE437" s="162"/>
      <c r="AF437" s="148"/>
    </row>
    <row r="438">
      <c r="A438" s="161"/>
      <c r="B438" s="146" t="str">
        <f>IF(A438&lt;&gt;"", SUMIF(Bets!$F:$F, A438, Bets!Z:Z), "")</f>
        <v/>
      </c>
      <c r="C438" s="162"/>
      <c r="D438" s="148"/>
      <c r="E438" s="161"/>
      <c r="F438" s="146" t="str">
        <f>IF(E438&lt;&gt;"", SUMIF(Bets!$F:$F, E438, Bets!AB:AB), "")</f>
        <v/>
      </c>
      <c r="G438" s="162"/>
      <c r="H438" s="148"/>
      <c r="I438" s="161"/>
      <c r="J438" s="146" t="str">
        <f>IF(I438&lt;&gt;"", SUMIF(Bets!$F:$F, I438, Bets!AA:AA),)</f>
        <v/>
      </c>
      <c r="K438" s="162"/>
      <c r="L438" s="148"/>
      <c r="M438" s="161"/>
      <c r="N438" s="146"/>
      <c r="O438" s="162"/>
      <c r="P438" s="148"/>
      <c r="Q438" s="161"/>
      <c r="R438" s="146"/>
      <c r="S438" s="162"/>
      <c r="T438" s="148"/>
      <c r="U438" s="161"/>
      <c r="V438" s="146"/>
      <c r="W438" s="162"/>
      <c r="X438" s="148"/>
      <c r="Y438" s="161"/>
      <c r="Z438" s="146"/>
      <c r="AA438" s="162"/>
      <c r="AB438" s="148"/>
      <c r="AC438" s="161"/>
      <c r="AD438" s="146"/>
      <c r="AE438" s="162"/>
      <c r="AF438" s="148"/>
    </row>
    <row r="439">
      <c r="A439" s="161"/>
      <c r="B439" s="146" t="str">
        <f>IF(A439&lt;&gt;"", SUMIF(Bets!$F:$F, A439, Bets!Z:Z), "")</f>
        <v/>
      </c>
      <c r="C439" s="162"/>
      <c r="D439" s="148"/>
      <c r="E439" s="161"/>
      <c r="F439" s="146" t="str">
        <f>IF(E439&lt;&gt;"", SUMIF(Bets!$F:$F, E439, Bets!AB:AB), "")</f>
        <v/>
      </c>
      <c r="G439" s="162"/>
      <c r="H439" s="148"/>
      <c r="I439" s="161"/>
      <c r="J439" s="146" t="str">
        <f>IF(I439&lt;&gt;"", SUMIF(Bets!$F:$F, I439, Bets!AA:AA),)</f>
        <v/>
      </c>
      <c r="K439" s="162"/>
      <c r="L439" s="148"/>
      <c r="M439" s="161"/>
      <c r="N439" s="146"/>
      <c r="O439" s="162"/>
      <c r="P439" s="148"/>
      <c r="Q439" s="161"/>
      <c r="R439" s="146"/>
      <c r="S439" s="162"/>
      <c r="T439" s="148"/>
      <c r="U439" s="161"/>
      <c r="V439" s="146"/>
      <c r="W439" s="162"/>
      <c r="X439" s="148"/>
      <c r="Y439" s="161"/>
      <c r="Z439" s="146"/>
      <c r="AA439" s="162"/>
      <c r="AB439" s="148"/>
      <c r="AC439" s="161"/>
      <c r="AD439" s="146"/>
      <c r="AE439" s="162"/>
      <c r="AF439" s="148"/>
    </row>
    <row r="440">
      <c r="A440" s="161"/>
      <c r="B440" s="146" t="str">
        <f>IF(A440&lt;&gt;"", SUMIF(Bets!$F:$F, A440, Bets!Z:Z), "")</f>
        <v/>
      </c>
      <c r="C440" s="162"/>
      <c r="D440" s="148"/>
      <c r="E440" s="161"/>
      <c r="F440" s="146" t="str">
        <f>IF(E440&lt;&gt;"", SUMIF(Bets!$F:$F, E440, Bets!AB:AB), "")</f>
        <v/>
      </c>
      <c r="G440" s="162"/>
      <c r="H440" s="148"/>
      <c r="I440" s="161"/>
      <c r="J440" s="146" t="str">
        <f>IF(I440&lt;&gt;"", SUMIF(Bets!$F:$F, I440, Bets!AA:AA),)</f>
        <v/>
      </c>
      <c r="K440" s="162"/>
      <c r="L440" s="148"/>
      <c r="M440" s="161"/>
      <c r="N440" s="146"/>
      <c r="O440" s="162"/>
      <c r="P440" s="148"/>
      <c r="Q440" s="161"/>
      <c r="R440" s="146"/>
      <c r="S440" s="162"/>
      <c r="T440" s="148"/>
      <c r="U440" s="161"/>
      <c r="V440" s="146"/>
      <c r="W440" s="162"/>
      <c r="X440" s="148"/>
      <c r="Y440" s="161"/>
      <c r="Z440" s="146"/>
      <c r="AA440" s="162"/>
      <c r="AB440" s="148"/>
      <c r="AC440" s="161"/>
      <c r="AD440" s="146"/>
      <c r="AE440" s="162"/>
      <c r="AF440" s="148"/>
    </row>
    <row r="441">
      <c r="A441" s="161"/>
      <c r="B441" s="146" t="str">
        <f>IF(A441&lt;&gt;"", SUMIF(Bets!$F:$F, A441, Bets!Z:Z), "")</f>
        <v/>
      </c>
      <c r="C441" s="162"/>
      <c r="D441" s="148"/>
      <c r="E441" s="161"/>
      <c r="F441" s="146" t="str">
        <f>IF(E441&lt;&gt;"", SUMIF(Bets!$F:$F, E441, Bets!AB:AB), "")</f>
        <v/>
      </c>
      <c r="G441" s="162"/>
      <c r="H441" s="148"/>
      <c r="I441" s="161"/>
      <c r="J441" s="146" t="str">
        <f>IF(I441&lt;&gt;"", SUMIF(Bets!$F:$F, I441, Bets!AA:AA),)</f>
        <v/>
      </c>
      <c r="K441" s="162"/>
      <c r="L441" s="148"/>
      <c r="M441" s="161"/>
      <c r="N441" s="146"/>
      <c r="O441" s="162"/>
      <c r="P441" s="148"/>
      <c r="Q441" s="161"/>
      <c r="R441" s="146"/>
      <c r="S441" s="162"/>
      <c r="T441" s="148"/>
      <c r="U441" s="161"/>
      <c r="V441" s="146"/>
      <c r="W441" s="162"/>
      <c r="X441" s="148"/>
      <c r="Y441" s="161"/>
      <c r="Z441" s="146"/>
      <c r="AA441" s="162"/>
      <c r="AB441" s="148"/>
      <c r="AC441" s="161"/>
      <c r="AD441" s="146"/>
      <c r="AE441" s="162"/>
      <c r="AF441" s="148"/>
    </row>
    <row r="442">
      <c r="A442" s="161"/>
      <c r="B442" s="146" t="str">
        <f>IF(A442&lt;&gt;"", SUMIF(Bets!$F:$F, A442, Bets!Z:Z), "")</f>
        <v/>
      </c>
      <c r="C442" s="162"/>
      <c r="D442" s="148"/>
      <c r="E442" s="161"/>
      <c r="F442" s="146" t="str">
        <f>IF(E442&lt;&gt;"", SUMIF(Bets!$F:$F, E442, Bets!AB:AB), "")</f>
        <v/>
      </c>
      <c r="G442" s="162"/>
      <c r="H442" s="148"/>
      <c r="I442" s="161"/>
      <c r="J442" s="146" t="str">
        <f>IF(I442&lt;&gt;"", SUMIF(Bets!$F:$F, I442, Bets!AA:AA),)</f>
        <v/>
      </c>
      <c r="K442" s="162"/>
      <c r="L442" s="148"/>
      <c r="M442" s="161"/>
      <c r="N442" s="146"/>
      <c r="O442" s="162"/>
      <c r="P442" s="148"/>
      <c r="Q442" s="161"/>
      <c r="R442" s="146"/>
      <c r="S442" s="162"/>
      <c r="T442" s="148"/>
      <c r="U442" s="161"/>
      <c r="V442" s="146"/>
      <c r="W442" s="162"/>
      <c r="X442" s="148"/>
      <c r="Y442" s="161"/>
      <c r="Z442" s="146"/>
      <c r="AA442" s="162"/>
      <c r="AB442" s="148"/>
      <c r="AC442" s="161"/>
      <c r="AD442" s="146"/>
      <c r="AE442" s="162"/>
      <c r="AF442" s="148"/>
    </row>
    <row r="443">
      <c r="A443" s="161"/>
      <c r="B443" s="146" t="str">
        <f>IF(A443&lt;&gt;"", SUMIF(Bets!$F:$F, A443, Bets!Z:Z), "")</f>
        <v/>
      </c>
      <c r="C443" s="162"/>
      <c r="D443" s="148"/>
      <c r="E443" s="161"/>
      <c r="F443" s="146" t="str">
        <f>IF(E443&lt;&gt;"", SUMIF(Bets!$F:$F, E443, Bets!AB:AB), "")</f>
        <v/>
      </c>
      <c r="G443" s="162"/>
      <c r="H443" s="148"/>
      <c r="I443" s="161"/>
      <c r="J443" s="146" t="str">
        <f>IF(I443&lt;&gt;"", SUMIF(Bets!$F:$F, I443, Bets!AA:AA),)</f>
        <v/>
      </c>
      <c r="K443" s="162"/>
      <c r="L443" s="148"/>
      <c r="M443" s="161"/>
      <c r="N443" s="146"/>
      <c r="O443" s="162"/>
      <c r="P443" s="148"/>
      <c r="Q443" s="161"/>
      <c r="R443" s="146"/>
      <c r="S443" s="162"/>
      <c r="T443" s="148"/>
      <c r="U443" s="161"/>
      <c r="V443" s="146"/>
      <c r="W443" s="162"/>
      <c r="X443" s="148"/>
      <c r="Y443" s="161"/>
      <c r="Z443" s="146"/>
      <c r="AA443" s="162"/>
      <c r="AB443" s="148"/>
      <c r="AC443" s="161"/>
      <c r="AD443" s="146"/>
      <c r="AE443" s="162"/>
      <c r="AF443" s="148"/>
    </row>
    <row r="444">
      <c r="A444" s="161"/>
      <c r="B444" s="146" t="str">
        <f>IF(A444&lt;&gt;"", SUMIF(Bets!$F:$F, A444, Bets!Z:Z), "")</f>
        <v/>
      </c>
      <c r="C444" s="162"/>
      <c r="D444" s="148"/>
      <c r="E444" s="161"/>
      <c r="F444" s="146" t="str">
        <f>IF(E444&lt;&gt;"", SUMIF(Bets!$F:$F, E444, Bets!AB:AB), "")</f>
        <v/>
      </c>
      <c r="G444" s="162"/>
      <c r="H444" s="148"/>
      <c r="I444" s="161"/>
      <c r="J444" s="146" t="str">
        <f>IF(I444&lt;&gt;"", SUMIF(Bets!$F:$F, I444, Bets!AA:AA),)</f>
        <v/>
      </c>
      <c r="K444" s="162"/>
      <c r="L444" s="148"/>
      <c r="M444" s="161"/>
      <c r="N444" s="146"/>
      <c r="O444" s="162"/>
      <c r="P444" s="148"/>
      <c r="Q444" s="161"/>
      <c r="R444" s="146"/>
      <c r="S444" s="162"/>
      <c r="T444" s="148"/>
      <c r="U444" s="161"/>
      <c r="V444" s="146"/>
      <c r="W444" s="162"/>
      <c r="X444" s="148"/>
      <c r="Y444" s="161"/>
      <c r="Z444" s="146"/>
      <c r="AA444" s="162"/>
      <c r="AB444" s="148"/>
      <c r="AC444" s="161"/>
      <c r="AD444" s="146"/>
      <c r="AE444" s="162"/>
      <c r="AF444" s="148"/>
    </row>
    <row r="445">
      <c r="A445" s="161"/>
      <c r="B445" s="146" t="str">
        <f>IF(A445&lt;&gt;"", SUMIF(Bets!$F:$F, A445, Bets!Z:Z), "")</f>
        <v/>
      </c>
      <c r="C445" s="162"/>
      <c r="D445" s="148"/>
      <c r="E445" s="161"/>
      <c r="F445" s="146" t="str">
        <f>IF(E445&lt;&gt;"", SUMIF(Bets!$F:$F, E445, Bets!AB:AB), "")</f>
        <v/>
      </c>
      <c r="G445" s="162"/>
      <c r="H445" s="148"/>
      <c r="I445" s="161"/>
      <c r="J445" s="146" t="str">
        <f>IF(I445&lt;&gt;"", SUMIF(Bets!$F:$F, I445, Bets!AA:AA),)</f>
        <v/>
      </c>
      <c r="K445" s="162"/>
      <c r="L445" s="148"/>
      <c r="M445" s="161"/>
      <c r="N445" s="146"/>
      <c r="O445" s="162"/>
      <c r="P445" s="148"/>
      <c r="Q445" s="161"/>
      <c r="R445" s="146"/>
      <c r="S445" s="162"/>
      <c r="T445" s="148"/>
      <c r="U445" s="161"/>
      <c r="V445" s="146"/>
      <c r="W445" s="162"/>
      <c r="X445" s="148"/>
      <c r="Y445" s="161"/>
      <c r="Z445" s="146"/>
      <c r="AA445" s="162"/>
      <c r="AB445" s="148"/>
      <c r="AC445" s="161"/>
      <c r="AD445" s="146"/>
      <c r="AE445" s="162"/>
      <c r="AF445" s="148"/>
    </row>
    <row r="446">
      <c r="A446" s="161"/>
      <c r="B446" s="146" t="str">
        <f>IF(A446&lt;&gt;"", SUMIF(Bets!$F:$F, A446, Bets!Z:Z), "")</f>
        <v/>
      </c>
      <c r="C446" s="162"/>
      <c r="D446" s="148"/>
      <c r="E446" s="161"/>
      <c r="F446" s="146" t="str">
        <f>IF(E446&lt;&gt;"", SUMIF(Bets!$F:$F, E446, Bets!AB:AB), "")</f>
        <v/>
      </c>
      <c r="G446" s="162"/>
      <c r="H446" s="148"/>
      <c r="I446" s="161"/>
      <c r="J446" s="146" t="str">
        <f>IF(I446&lt;&gt;"", SUMIF(Bets!$F:$F, I446, Bets!AA:AA),)</f>
        <v/>
      </c>
      <c r="K446" s="162"/>
      <c r="L446" s="148"/>
      <c r="M446" s="161"/>
      <c r="N446" s="146"/>
      <c r="O446" s="162"/>
      <c r="P446" s="148"/>
      <c r="Q446" s="161"/>
      <c r="R446" s="146"/>
      <c r="S446" s="162"/>
      <c r="T446" s="148"/>
      <c r="U446" s="161"/>
      <c r="V446" s="146"/>
      <c r="W446" s="162"/>
      <c r="X446" s="148"/>
      <c r="Y446" s="161"/>
      <c r="Z446" s="146"/>
      <c r="AA446" s="162"/>
      <c r="AB446" s="148"/>
      <c r="AC446" s="161"/>
      <c r="AD446" s="146"/>
      <c r="AE446" s="162"/>
      <c r="AF446" s="148"/>
    </row>
    <row r="447">
      <c r="A447" s="161"/>
      <c r="B447" s="146" t="str">
        <f>IF(A447&lt;&gt;"", SUMIF(Bets!$F:$F, A447, Bets!Z:Z), "")</f>
        <v/>
      </c>
      <c r="C447" s="162"/>
      <c r="D447" s="148"/>
      <c r="E447" s="161"/>
      <c r="F447" s="146" t="str">
        <f>IF(E447&lt;&gt;"", SUMIF(Bets!$F:$F, E447, Bets!AB:AB), "")</f>
        <v/>
      </c>
      <c r="G447" s="162"/>
      <c r="H447" s="148"/>
      <c r="I447" s="161"/>
      <c r="J447" s="146" t="str">
        <f>IF(I447&lt;&gt;"", SUMIF(Bets!$F:$F, I447, Bets!AA:AA),)</f>
        <v/>
      </c>
      <c r="K447" s="162"/>
      <c r="L447" s="148"/>
      <c r="M447" s="161"/>
      <c r="N447" s="146"/>
      <c r="O447" s="162"/>
      <c r="P447" s="148"/>
      <c r="Q447" s="161"/>
      <c r="R447" s="146"/>
      <c r="S447" s="162"/>
      <c r="T447" s="148"/>
      <c r="U447" s="161"/>
      <c r="V447" s="146"/>
      <c r="W447" s="162"/>
      <c r="X447" s="148"/>
      <c r="Y447" s="161"/>
      <c r="Z447" s="146"/>
      <c r="AA447" s="162"/>
      <c r="AB447" s="148"/>
      <c r="AC447" s="161"/>
      <c r="AD447" s="146"/>
      <c r="AE447" s="162"/>
      <c r="AF447" s="148"/>
    </row>
    <row r="448">
      <c r="A448" s="161"/>
      <c r="B448" s="146" t="str">
        <f>IF(A448&lt;&gt;"", SUMIF(Bets!$F:$F, A448, Bets!Z:Z), "")</f>
        <v/>
      </c>
      <c r="C448" s="162"/>
      <c r="D448" s="148"/>
      <c r="E448" s="161"/>
      <c r="F448" s="146" t="str">
        <f>IF(E448&lt;&gt;"", SUMIF(Bets!$F:$F, E448, Bets!AB:AB), "")</f>
        <v/>
      </c>
      <c r="G448" s="162"/>
      <c r="H448" s="148"/>
      <c r="I448" s="161"/>
      <c r="J448" s="146" t="str">
        <f>IF(I448&lt;&gt;"", SUMIF(Bets!$F:$F, I448, Bets!AA:AA),)</f>
        <v/>
      </c>
      <c r="K448" s="162"/>
      <c r="L448" s="148"/>
      <c r="M448" s="161"/>
      <c r="N448" s="146"/>
      <c r="O448" s="162"/>
      <c r="P448" s="148"/>
      <c r="Q448" s="161"/>
      <c r="R448" s="146"/>
      <c r="S448" s="162"/>
      <c r="T448" s="148"/>
      <c r="U448" s="161"/>
      <c r="V448" s="146"/>
      <c r="W448" s="162"/>
      <c r="X448" s="148"/>
      <c r="Y448" s="161"/>
      <c r="Z448" s="146"/>
      <c r="AA448" s="162"/>
      <c r="AB448" s="148"/>
      <c r="AC448" s="161"/>
      <c r="AD448" s="146"/>
      <c r="AE448" s="162"/>
      <c r="AF448" s="148"/>
    </row>
    <row r="449">
      <c r="A449" s="161"/>
      <c r="B449" s="146" t="str">
        <f>IF(A449&lt;&gt;"", SUMIF(Bets!$F:$F, A449, Bets!Z:Z), "")</f>
        <v/>
      </c>
      <c r="C449" s="162"/>
      <c r="D449" s="148"/>
      <c r="E449" s="161"/>
      <c r="F449" s="146" t="str">
        <f>IF(E449&lt;&gt;"", SUMIF(Bets!$F:$F, E449, Bets!AB:AB), "")</f>
        <v/>
      </c>
      <c r="G449" s="162"/>
      <c r="H449" s="148"/>
      <c r="I449" s="161"/>
      <c r="J449" s="146" t="str">
        <f>IF(I449&lt;&gt;"", SUMIF(Bets!$F:$F, I449, Bets!AA:AA),)</f>
        <v/>
      </c>
      <c r="K449" s="162"/>
      <c r="L449" s="148"/>
      <c r="M449" s="161"/>
      <c r="N449" s="146"/>
      <c r="O449" s="162"/>
      <c r="P449" s="148"/>
      <c r="Q449" s="161"/>
      <c r="R449" s="146"/>
      <c r="S449" s="162"/>
      <c r="T449" s="148"/>
      <c r="U449" s="161"/>
      <c r="V449" s="146"/>
      <c r="W449" s="162"/>
      <c r="X449" s="148"/>
      <c r="Y449" s="161"/>
      <c r="Z449" s="146"/>
      <c r="AA449" s="162"/>
      <c r="AB449" s="148"/>
      <c r="AC449" s="161"/>
      <c r="AD449" s="146"/>
      <c r="AE449" s="162"/>
      <c r="AF449" s="148"/>
    </row>
    <row r="450">
      <c r="A450" s="161"/>
      <c r="B450" s="146" t="str">
        <f>IF(A450&lt;&gt;"", SUMIF(Bets!$F:$F, A450, Bets!Z:Z), "")</f>
        <v/>
      </c>
      <c r="C450" s="162"/>
      <c r="D450" s="148"/>
      <c r="E450" s="161"/>
      <c r="F450" s="146" t="str">
        <f>IF(E450&lt;&gt;"", SUMIF(Bets!$F:$F, E450, Bets!AB:AB), "")</f>
        <v/>
      </c>
      <c r="G450" s="162"/>
      <c r="H450" s="148"/>
      <c r="I450" s="161"/>
      <c r="J450" s="146" t="str">
        <f>IF(I450&lt;&gt;"", SUMIF(Bets!$F:$F, I450, Bets!AA:AA),)</f>
        <v/>
      </c>
      <c r="K450" s="162"/>
      <c r="L450" s="148"/>
      <c r="M450" s="161"/>
      <c r="N450" s="146"/>
      <c r="O450" s="162"/>
      <c r="P450" s="148"/>
      <c r="Q450" s="161"/>
      <c r="R450" s="146"/>
      <c r="S450" s="162"/>
      <c r="T450" s="148"/>
      <c r="U450" s="161"/>
      <c r="V450" s="146"/>
      <c r="W450" s="162"/>
      <c r="X450" s="148"/>
      <c r="Y450" s="161"/>
      <c r="Z450" s="146"/>
      <c r="AA450" s="162"/>
      <c r="AB450" s="148"/>
      <c r="AC450" s="161"/>
      <c r="AD450" s="146"/>
      <c r="AE450" s="162"/>
      <c r="AF450" s="148"/>
    </row>
    <row r="451">
      <c r="A451" s="161"/>
      <c r="B451" s="146" t="str">
        <f>IF(A451&lt;&gt;"", SUMIF(Bets!$F:$F, A451, Bets!Z:Z), "")</f>
        <v/>
      </c>
      <c r="C451" s="162"/>
      <c r="D451" s="148"/>
      <c r="E451" s="161"/>
      <c r="F451" s="146" t="str">
        <f>IF(E451&lt;&gt;"", SUMIF(Bets!$F:$F, E451, Bets!AB:AB), "")</f>
        <v/>
      </c>
      <c r="G451" s="162"/>
      <c r="H451" s="148"/>
      <c r="I451" s="161"/>
      <c r="J451" s="146" t="str">
        <f>IF(I451&lt;&gt;"", SUMIF(Bets!$F:$F, I451, Bets!AA:AA),)</f>
        <v/>
      </c>
      <c r="K451" s="162"/>
      <c r="L451" s="148"/>
      <c r="M451" s="161"/>
      <c r="N451" s="146"/>
      <c r="O451" s="162"/>
      <c r="P451" s="148"/>
      <c r="Q451" s="161"/>
      <c r="R451" s="146"/>
      <c r="S451" s="162"/>
      <c r="T451" s="148"/>
      <c r="U451" s="161"/>
      <c r="V451" s="146"/>
      <c r="W451" s="162"/>
      <c r="X451" s="148"/>
      <c r="Y451" s="161"/>
      <c r="Z451" s="146"/>
      <c r="AA451" s="162"/>
      <c r="AB451" s="148"/>
      <c r="AC451" s="161"/>
      <c r="AD451" s="146"/>
      <c r="AE451" s="162"/>
      <c r="AF451" s="148"/>
    </row>
    <row r="452">
      <c r="A452" s="161"/>
      <c r="B452" s="146" t="str">
        <f>IF(A452&lt;&gt;"", SUMIF(Bets!$F:$F, A452, Bets!Z:Z), "")</f>
        <v/>
      </c>
      <c r="C452" s="162"/>
      <c r="D452" s="148"/>
      <c r="E452" s="161"/>
      <c r="F452" s="146" t="str">
        <f>IF(E452&lt;&gt;"", SUMIF(Bets!$F:$F, E452, Bets!AB:AB), "")</f>
        <v/>
      </c>
      <c r="G452" s="162"/>
      <c r="H452" s="148"/>
      <c r="I452" s="161"/>
      <c r="J452" s="146" t="str">
        <f>IF(I452&lt;&gt;"", SUMIF(Bets!$F:$F, I452, Bets!AA:AA),)</f>
        <v/>
      </c>
      <c r="K452" s="162"/>
      <c r="L452" s="148"/>
      <c r="M452" s="161"/>
      <c r="N452" s="146"/>
      <c r="O452" s="162"/>
      <c r="P452" s="148"/>
      <c r="Q452" s="161"/>
      <c r="R452" s="146"/>
      <c r="S452" s="162"/>
      <c r="T452" s="148"/>
      <c r="U452" s="161"/>
      <c r="V452" s="146"/>
      <c r="W452" s="162"/>
      <c r="X452" s="148"/>
      <c r="Y452" s="161"/>
      <c r="Z452" s="146"/>
      <c r="AA452" s="162"/>
      <c r="AB452" s="148"/>
      <c r="AC452" s="161"/>
      <c r="AD452" s="146"/>
      <c r="AE452" s="162"/>
      <c r="AF452" s="148"/>
    </row>
    <row r="453">
      <c r="A453" s="161"/>
      <c r="B453" s="146" t="str">
        <f>IF(A453&lt;&gt;"", SUMIF(Bets!$F:$F, A453, Bets!Z:Z), "")</f>
        <v/>
      </c>
      <c r="C453" s="162"/>
      <c r="D453" s="148"/>
      <c r="E453" s="161"/>
      <c r="F453" s="146" t="str">
        <f>IF(E453&lt;&gt;"", SUMIF(Bets!$F:$F, E453, Bets!AB:AB), "")</f>
        <v/>
      </c>
      <c r="G453" s="162"/>
      <c r="H453" s="148"/>
      <c r="I453" s="161"/>
      <c r="J453" s="146" t="str">
        <f>IF(I453&lt;&gt;"", SUMIF(Bets!$F:$F, I453, Bets!AA:AA),)</f>
        <v/>
      </c>
      <c r="K453" s="162"/>
      <c r="L453" s="148"/>
      <c r="M453" s="161"/>
      <c r="N453" s="146"/>
      <c r="O453" s="162"/>
      <c r="P453" s="148"/>
      <c r="Q453" s="161"/>
      <c r="R453" s="146"/>
      <c r="S453" s="162"/>
      <c r="T453" s="148"/>
      <c r="U453" s="161"/>
      <c r="V453" s="146"/>
      <c r="W453" s="162"/>
      <c r="X453" s="148"/>
      <c r="Y453" s="161"/>
      <c r="Z453" s="146"/>
      <c r="AA453" s="162"/>
      <c r="AB453" s="148"/>
      <c r="AC453" s="161"/>
      <c r="AD453" s="146"/>
      <c r="AE453" s="162"/>
      <c r="AF453" s="148"/>
    </row>
    <row r="454">
      <c r="A454" s="161"/>
      <c r="B454" s="146" t="str">
        <f>IF(A454&lt;&gt;"", SUMIF(Bets!$F:$F, A454, Bets!Z:Z), "")</f>
        <v/>
      </c>
      <c r="C454" s="162"/>
      <c r="D454" s="148"/>
      <c r="E454" s="161"/>
      <c r="F454" s="146" t="str">
        <f>IF(E454&lt;&gt;"", SUMIF(Bets!$F:$F, E454, Bets!AB:AB), "")</f>
        <v/>
      </c>
      <c r="G454" s="162"/>
      <c r="H454" s="148"/>
      <c r="I454" s="161"/>
      <c r="J454" s="146" t="str">
        <f>IF(I454&lt;&gt;"", SUMIF(Bets!$F:$F, I454, Bets!AA:AA),)</f>
        <v/>
      </c>
      <c r="K454" s="162"/>
      <c r="L454" s="148"/>
      <c r="M454" s="161"/>
      <c r="N454" s="146"/>
      <c r="O454" s="162"/>
      <c r="P454" s="148"/>
      <c r="Q454" s="161"/>
      <c r="R454" s="146"/>
      <c r="S454" s="162"/>
      <c r="T454" s="148"/>
      <c r="U454" s="161"/>
      <c r="V454" s="146"/>
      <c r="W454" s="162"/>
      <c r="X454" s="148"/>
      <c r="Y454" s="161"/>
      <c r="Z454" s="146"/>
      <c r="AA454" s="162"/>
      <c r="AB454" s="148"/>
      <c r="AC454" s="161"/>
      <c r="AD454" s="146"/>
      <c r="AE454" s="162"/>
      <c r="AF454" s="148"/>
    </row>
    <row r="455">
      <c r="A455" s="161"/>
      <c r="B455" s="146" t="str">
        <f>IF(A455&lt;&gt;"", SUMIF(Bets!$F:$F, A455, Bets!Z:Z), "")</f>
        <v/>
      </c>
      <c r="C455" s="162"/>
      <c r="D455" s="148"/>
      <c r="E455" s="161"/>
      <c r="F455" s="146" t="str">
        <f>IF(E455&lt;&gt;"", SUMIF(Bets!$F:$F, E455, Bets!AB:AB), "")</f>
        <v/>
      </c>
      <c r="G455" s="162"/>
      <c r="H455" s="148"/>
      <c r="I455" s="161"/>
      <c r="J455" s="146" t="str">
        <f>IF(I455&lt;&gt;"", SUMIF(Bets!$F:$F, I455, Bets!AA:AA),)</f>
        <v/>
      </c>
      <c r="K455" s="162"/>
      <c r="L455" s="148"/>
      <c r="M455" s="161"/>
      <c r="N455" s="146"/>
      <c r="O455" s="162"/>
      <c r="P455" s="148"/>
      <c r="Q455" s="161"/>
      <c r="R455" s="146"/>
      <c r="S455" s="162"/>
      <c r="T455" s="148"/>
      <c r="U455" s="161"/>
      <c r="V455" s="146"/>
      <c r="W455" s="162"/>
      <c r="X455" s="148"/>
      <c r="Y455" s="161"/>
      <c r="Z455" s="146"/>
      <c r="AA455" s="162"/>
      <c r="AB455" s="148"/>
      <c r="AC455" s="161"/>
      <c r="AD455" s="146"/>
      <c r="AE455" s="162"/>
      <c r="AF455" s="148"/>
    </row>
    <row r="456">
      <c r="A456" s="161"/>
      <c r="B456" s="146" t="str">
        <f>IF(A456&lt;&gt;"", SUMIF(Bets!$F:$F, A456, Bets!Z:Z), "")</f>
        <v/>
      </c>
      <c r="C456" s="162"/>
      <c r="D456" s="148"/>
      <c r="E456" s="161"/>
      <c r="F456" s="146" t="str">
        <f>IF(E456&lt;&gt;"", SUMIF(Bets!$F:$F, E456, Bets!AB:AB), "")</f>
        <v/>
      </c>
      <c r="G456" s="162"/>
      <c r="H456" s="148"/>
      <c r="I456" s="161"/>
      <c r="J456" s="146" t="str">
        <f>IF(I456&lt;&gt;"", SUMIF(Bets!$F:$F, I456, Bets!AA:AA),)</f>
        <v/>
      </c>
      <c r="K456" s="162"/>
      <c r="L456" s="148"/>
      <c r="M456" s="161"/>
      <c r="N456" s="146"/>
      <c r="O456" s="162"/>
      <c r="P456" s="148"/>
      <c r="Q456" s="161"/>
      <c r="R456" s="146"/>
      <c r="S456" s="162"/>
      <c r="T456" s="148"/>
      <c r="U456" s="161"/>
      <c r="V456" s="146"/>
      <c r="W456" s="162"/>
      <c r="X456" s="148"/>
      <c r="Y456" s="161"/>
      <c r="Z456" s="146"/>
      <c r="AA456" s="162"/>
      <c r="AB456" s="148"/>
      <c r="AC456" s="161"/>
      <c r="AD456" s="146"/>
      <c r="AE456" s="162"/>
      <c r="AF456" s="148"/>
    </row>
    <row r="457">
      <c r="A457" s="161"/>
      <c r="B457" s="146" t="str">
        <f>IF(A457&lt;&gt;"", SUMIF(Bets!$F:$F, A457, Bets!Z:Z), "")</f>
        <v/>
      </c>
      <c r="C457" s="162"/>
      <c r="D457" s="148"/>
      <c r="E457" s="161"/>
      <c r="F457" s="146" t="str">
        <f>IF(E457&lt;&gt;"", SUMIF(Bets!$F:$F, E457, Bets!AB:AB), "")</f>
        <v/>
      </c>
      <c r="G457" s="162"/>
      <c r="H457" s="148"/>
      <c r="I457" s="161"/>
      <c r="J457" s="146" t="str">
        <f>IF(I457&lt;&gt;"", SUMIF(Bets!$F:$F, I457, Bets!AA:AA),)</f>
        <v/>
      </c>
      <c r="K457" s="162"/>
      <c r="L457" s="148"/>
      <c r="M457" s="161"/>
      <c r="N457" s="146"/>
      <c r="O457" s="162"/>
      <c r="P457" s="148"/>
      <c r="Q457" s="161"/>
      <c r="R457" s="146"/>
      <c r="S457" s="162"/>
      <c r="T457" s="148"/>
      <c r="U457" s="161"/>
      <c r="V457" s="146"/>
      <c r="W457" s="162"/>
      <c r="X457" s="148"/>
      <c r="Y457" s="161"/>
      <c r="Z457" s="146"/>
      <c r="AA457" s="162"/>
      <c r="AB457" s="148"/>
      <c r="AC457" s="161"/>
      <c r="AD457" s="146"/>
      <c r="AE457" s="162"/>
      <c r="AF457" s="148"/>
    </row>
    <row r="458">
      <c r="A458" s="161"/>
      <c r="B458" s="146" t="str">
        <f>IF(A458&lt;&gt;"", SUMIF(Bets!$F:$F, A458, Bets!Z:Z), "")</f>
        <v/>
      </c>
      <c r="C458" s="162"/>
      <c r="D458" s="148"/>
      <c r="E458" s="161"/>
      <c r="F458" s="146" t="str">
        <f>IF(E458&lt;&gt;"", SUMIF(Bets!$F:$F, E458, Bets!AB:AB), "")</f>
        <v/>
      </c>
      <c r="G458" s="162"/>
      <c r="H458" s="148"/>
      <c r="I458" s="161"/>
      <c r="J458" s="146" t="str">
        <f>IF(I458&lt;&gt;"", SUMIF(Bets!$F:$F, I458, Bets!AA:AA),)</f>
        <v/>
      </c>
      <c r="K458" s="162"/>
      <c r="L458" s="148"/>
      <c r="M458" s="161"/>
      <c r="N458" s="146"/>
      <c r="O458" s="162"/>
      <c r="P458" s="148"/>
      <c r="Q458" s="161"/>
      <c r="R458" s="146"/>
      <c r="S458" s="162"/>
      <c r="T458" s="148"/>
      <c r="U458" s="161"/>
      <c r="V458" s="146"/>
      <c r="W458" s="162"/>
      <c r="X458" s="148"/>
      <c r="Y458" s="161"/>
      <c r="Z458" s="146"/>
      <c r="AA458" s="162"/>
      <c r="AB458" s="148"/>
      <c r="AC458" s="161"/>
      <c r="AD458" s="146"/>
      <c r="AE458" s="162"/>
      <c r="AF458" s="148"/>
    </row>
    <row r="459">
      <c r="A459" s="161"/>
      <c r="B459" s="146" t="str">
        <f>IF(A459&lt;&gt;"", SUMIF(Bets!$F:$F, A459, Bets!Z:Z), "")</f>
        <v/>
      </c>
      <c r="C459" s="162"/>
      <c r="D459" s="148"/>
      <c r="E459" s="161"/>
      <c r="F459" s="146" t="str">
        <f>IF(E459&lt;&gt;"", SUMIF(Bets!$F:$F, E459, Bets!AB:AB), "")</f>
        <v/>
      </c>
      <c r="G459" s="162"/>
      <c r="H459" s="148"/>
      <c r="I459" s="161"/>
      <c r="J459" s="146" t="str">
        <f>IF(I459&lt;&gt;"", SUMIF(Bets!$F:$F, I459, Bets!AA:AA),)</f>
        <v/>
      </c>
      <c r="K459" s="162"/>
      <c r="L459" s="148"/>
      <c r="M459" s="161"/>
      <c r="N459" s="146"/>
      <c r="O459" s="162"/>
      <c r="P459" s="148"/>
      <c r="Q459" s="161"/>
      <c r="R459" s="146"/>
      <c r="S459" s="162"/>
      <c r="T459" s="148"/>
      <c r="U459" s="161"/>
      <c r="V459" s="146"/>
      <c r="W459" s="162"/>
      <c r="X459" s="148"/>
      <c r="Y459" s="161"/>
      <c r="Z459" s="146"/>
      <c r="AA459" s="162"/>
      <c r="AB459" s="148"/>
      <c r="AC459" s="161"/>
      <c r="AD459" s="146"/>
      <c r="AE459" s="162"/>
      <c r="AF459" s="148"/>
    </row>
    <row r="460">
      <c r="A460" s="161"/>
      <c r="B460" s="146" t="str">
        <f>IF(A460&lt;&gt;"", SUMIF(Bets!$F:$F, A460, Bets!Z:Z), "")</f>
        <v/>
      </c>
      <c r="C460" s="162"/>
      <c r="D460" s="148"/>
      <c r="E460" s="161"/>
      <c r="F460" s="146" t="str">
        <f>IF(E460&lt;&gt;"", SUMIF(Bets!$F:$F, E460, Bets!AB:AB), "")</f>
        <v/>
      </c>
      <c r="G460" s="162"/>
      <c r="H460" s="148"/>
      <c r="I460" s="161"/>
      <c r="J460" s="146" t="str">
        <f>IF(I460&lt;&gt;"", SUMIF(Bets!$F:$F, I460, Bets!AA:AA),)</f>
        <v/>
      </c>
      <c r="K460" s="162"/>
      <c r="L460" s="148"/>
      <c r="M460" s="161"/>
      <c r="N460" s="146"/>
      <c r="O460" s="162"/>
      <c r="P460" s="148"/>
      <c r="Q460" s="161"/>
      <c r="R460" s="146"/>
      <c r="S460" s="162"/>
      <c r="T460" s="148"/>
      <c r="U460" s="161"/>
      <c r="V460" s="146"/>
      <c r="W460" s="162"/>
      <c r="X460" s="148"/>
      <c r="Y460" s="161"/>
      <c r="Z460" s="146"/>
      <c r="AA460" s="162"/>
      <c r="AB460" s="148"/>
      <c r="AC460" s="161"/>
      <c r="AD460" s="146"/>
      <c r="AE460" s="162"/>
      <c r="AF460" s="148"/>
    </row>
    <row r="461">
      <c r="A461" s="161"/>
      <c r="B461" s="146" t="str">
        <f>IF(A461&lt;&gt;"", SUMIF(Bets!$F:$F, A461, Bets!Z:Z), "")</f>
        <v/>
      </c>
      <c r="C461" s="162"/>
      <c r="D461" s="148"/>
      <c r="E461" s="161"/>
      <c r="F461" s="146" t="str">
        <f>IF(E461&lt;&gt;"", SUMIF(Bets!$F:$F, E461, Bets!AB:AB), "")</f>
        <v/>
      </c>
      <c r="G461" s="162"/>
      <c r="H461" s="148"/>
      <c r="I461" s="161"/>
      <c r="J461" s="146" t="str">
        <f>IF(I461&lt;&gt;"", SUMIF(Bets!$F:$F, I461, Bets!AA:AA),)</f>
        <v/>
      </c>
      <c r="K461" s="162"/>
      <c r="L461" s="148"/>
      <c r="M461" s="161"/>
      <c r="N461" s="146"/>
      <c r="O461" s="162"/>
      <c r="P461" s="148"/>
      <c r="Q461" s="161"/>
      <c r="R461" s="146"/>
      <c r="S461" s="162"/>
      <c r="T461" s="148"/>
      <c r="U461" s="161"/>
      <c r="V461" s="146"/>
      <c r="W461" s="162"/>
      <c r="X461" s="148"/>
      <c r="Y461" s="161"/>
      <c r="Z461" s="146"/>
      <c r="AA461" s="162"/>
      <c r="AB461" s="148"/>
      <c r="AC461" s="161"/>
      <c r="AD461" s="146"/>
      <c r="AE461" s="162"/>
      <c r="AF461" s="148"/>
    </row>
    <row r="462">
      <c r="A462" s="161"/>
      <c r="B462" s="146" t="str">
        <f>IF(A462&lt;&gt;"", SUMIF(Bets!$F:$F, A462, Bets!Z:Z), "")</f>
        <v/>
      </c>
      <c r="C462" s="162"/>
      <c r="D462" s="148"/>
      <c r="E462" s="161"/>
      <c r="F462" s="146" t="str">
        <f>IF(E462&lt;&gt;"", SUMIF(Bets!$F:$F, E462, Bets!AB:AB), "")</f>
        <v/>
      </c>
      <c r="G462" s="162"/>
      <c r="H462" s="148"/>
      <c r="I462" s="161"/>
      <c r="J462" s="146" t="str">
        <f>IF(I462&lt;&gt;"", SUMIF(Bets!$F:$F, I462, Bets!AA:AA),)</f>
        <v/>
      </c>
      <c r="K462" s="162"/>
      <c r="L462" s="148"/>
      <c r="M462" s="161"/>
      <c r="N462" s="146"/>
      <c r="O462" s="162"/>
      <c r="P462" s="148"/>
      <c r="Q462" s="161"/>
      <c r="R462" s="146"/>
      <c r="S462" s="162"/>
      <c r="T462" s="148"/>
      <c r="U462" s="161"/>
      <c r="V462" s="146"/>
      <c r="W462" s="162"/>
      <c r="X462" s="148"/>
      <c r="Y462" s="161"/>
      <c r="Z462" s="146"/>
      <c r="AA462" s="162"/>
      <c r="AB462" s="148"/>
      <c r="AC462" s="161"/>
      <c r="AD462" s="146"/>
      <c r="AE462" s="162"/>
      <c r="AF462" s="148"/>
    </row>
    <row r="463">
      <c r="A463" s="161"/>
      <c r="B463" s="146" t="str">
        <f>IF(A463&lt;&gt;"", SUMIF(Bets!$F:$F, A463, Bets!Z:Z), "")</f>
        <v/>
      </c>
      <c r="C463" s="162"/>
      <c r="D463" s="148"/>
      <c r="E463" s="161"/>
      <c r="F463" s="146" t="str">
        <f>IF(E463&lt;&gt;"", SUMIF(Bets!$F:$F, E463, Bets!AB:AB), "")</f>
        <v/>
      </c>
      <c r="G463" s="162"/>
      <c r="H463" s="148"/>
      <c r="I463" s="161"/>
      <c r="J463" s="146" t="str">
        <f>IF(I463&lt;&gt;"", SUMIF(Bets!$F:$F, I463, Bets!AA:AA),)</f>
        <v/>
      </c>
      <c r="K463" s="162"/>
      <c r="L463" s="148"/>
      <c r="M463" s="161"/>
      <c r="N463" s="146"/>
      <c r="O463" s="162"/>
      <c r="P463" s="148"/>
      <c r="Q463" s="161"/>
      <c r="R463" s="146"/>
      <c r="S463" s="162"/>
      <c r="T463" s="148"/>
      <c r="U463" s="161"/>
      <c r="V463" s="146"/>
      <c r="W463" s="162"/>
      <c r="X463" s="148"/>
      <c r="Y463" s="161"/>
      <c r="Z463" s="146"/>
      <c r="AA463" s="162"/>
      <c r="AB463" s="148"/>
      <c r="AC463" s="161"/>
      <c r="AD463" s="146"/>
      <c r="AE463" s="162"/>
      <c r="AF463" s="148"/>
    </row>
    <row r="464">
      <c r="A464" s="161"/>
      <c r="B464" s="146" t="str">
        <f>IF(A464&lt;&gt;"", SUMIF(Bets!$F:$F, A464, Bets!Z:Z), "")</f>
        <v/>
      </c>
      <c r="C464" s="162"/>
      <c r="D464" s="148"/>
      <c r="E464" s="161"/>
      <c r="F464" s="146" t="str">
        <f>IF(E464&lt;&gt;"", SUMIF(Bets!$F:$F, E464, Bets!AB:AB), "")</f>
        <v/>
      </c>
      <c r="G464" s="162"/>
      <c r="H464" s="148"/>
      <c r="I464" s="161"/>
      <c r="J464" s="146" t="str">
        <f>IF(I464&lt;&gt;"", SUMIF(Bets!$F:$F, I464, Bets!AA:AA),)</f>
        <v/>
      </c>
      <c r="K464" s="162"/>
      <c r="L464" s="148"/>
      <c r="M464" s="161"/>
      <c r="N464" s="146"/>
      <c r="O464" s="162"/>
      <c r="P464" s="148"/>
      <c r="Q464" s="161"/>
      <c r="R464" s="146"/>
      <c r="S464" s="162"/>
      <c r="T464" s="148"/>
      <c r="U464" s="161"/>
      <c r="V464" s="146"/>
      <c r="W464" s="162"/>
      <c r="X464" s="148"/>
      <c r="Y464" s="161"/>
      <c r="Z464" s="146"/>
      <c r="AA464" s="162"/>
      <c r="AB464" s="148"/>
      <c r="AC464" s="161"/>
      <c r="AD464" s="146"/>
      <c r="AE464" s="162"/>
      <c r="AF464" s="148"/>
    </row>
    <row r="465">
      <c r="A465" s="161"/>
      <c r="B465" s="146" t="str">
        <f>IF(A465&lt;&gt;"", SUMIF(Bets!$F:$F, A465, Bets!Z:Z), "")</f>
        <v/>
      </c>
      <c r="C465" s="162"/>
      <c r="D465" s="148"/>
      <c r="E465" s="161"/>
      <c r="F465" s="146" t="str">
        <f>IF(E465&lt;&gt;"", SUMIF(Bets!$F:$F, E465, Bets!AB:AB), "")</f>
        <v/>
      </c>
      <c r="G465" s="162"/>
      <c r="H465" s="148"/>
      <c r="I465" s="161"/>
      <c r="J465" s="146" t="str">
        <f>IF(I465&lt;&gt;"", SUMIF(Bets!$F:$F, I465, Bets!AA:AA),)</f>
        <v/>
      </c>
      <c r="K465" s="162"/>
      <c r="L465" s="148"/>
      <c r="M465" s="161"/>
      <c r="N465" s="146"/>
      <c r="O465" s="162"/>
      <c r="P465" s="148"/>
      <c r="Q465" s="161"/>
      <c r="R465" s="146"/>
      <c r="S465" s="162"/>
      <c r="T465" s="148"/>
      <c r="U465" s="161"/>
      <c r="V465" s="146"/>
      <c r="W465" s="162"/>
      <c r="X465" s="148"/>
      <c r="Y465" s="161"/>
      <c r="Z465" s="146"/>
      <c r="AA465" s="162"/>
      <c r="AB465" s="148"/>
      <c r="AC465" s="161"/>
      <c r="AD465" s="146"/>
      <c r="AE465" s="162"/>
      <c r="AF465" s="148"/>
    </row>
    <row r="466">
      <c r="A466" s="161"/>
      <c r="B466" s="146" t="str">
        <f>IF(A466&lt;&gt;"", SUMIF(Bets!$F:$F, A466, Bets!Z:Z), "")</f>
        <v/>
      </c>
      <c r="C466" s="162"/>
      <c r="D466" s="148"/>
      <c r="E466" s="161"/>
      <c r="F466" s="146" t="str">
        <f>IF(E466&lt;&gt;"", SUMIF(Bets!$F:$F, E466, Bets!AB:AB), "")</f>
        <v/>
      </c>
      <c r="G466" s="162"/>
      <c r="H466" s="148"/>
      <c r="I466" s="161"/>
      <c r="J466" s="146" t="str">
        <f>IF(I466&lt;&gt;"", SUMIF(Bets!$F:$F, I466, Bets!AA:AA),)</f>
        <v/>
      </c>
      <c r="K466" s="162"/>
      <c r="L466" s="148"/>
      <c r="M466" s="161"/>
      <c r="N466" s="146"/>
      <c r="O466" s="162"/>
      <c r="P466" s="148"/>
      <c r="Q466" s="161"/>
      <c r="R466" s="146"/>
      <c r="S466" s="162"/>
      <c r="T466" s="148"/>
      <c r="U466" s="161"/>
      <c r="V466" s="146"/>
      <c r="W466" s="162"/>
      <c r="X466" s="148"/>
      <c r="Y466" s="161"/>
      <c r="Z466" s="146"/>
      <c r="AA466" s="162"/>
      <c r="AB466" s="148"/>
      <c r="AC466" s="161"/>
      <c r="AD466" s="146"/>
      <c r="AE466" s="162"/>
      <c r="AF466" s="148"/>
    </row>
    <row r="467">
      <c r="A467" s="161"/>
      <c r="B467" s="146" t="str">
        <f>IF(A467&lt;&gt;"", SUMIF(Bets!$F:$F, A467, Bets!Z:Z), "")</f>
        <v/>
      </c>
      <c r="C467" s="162"/>
      <c r="D467" s="148"/>
      <c r="E467" s="161"/>
      <c r="F467" s="146" t="str">
        <f>IF(E467&lt;&gt;"", SUMIF(Bets!$F:$F, E467, Bets!AB:AB), "")</f>
        <v/>
      </c>
      <c r="G467" s="162"/>
      <c r="H467" s="148"/>
      <c r="I467" s="161"/>
      <c r="J467" s="146" t="str">
        <f>IF(I467&lt;&gt;"", SUMIF(Bets!$F:$F, I467, Bets!AA:AA),)</f>
        <v/>
      </c>
      <c r="K467" s="162"/>
      <c r="L467" s="148"/>
      <c r="M467" s="161"/>
      <c r="N467" s="146"/>
      <c r="O467" s="162"/>
      <c r="P467" s="148"/>
      <c r="Q467" s="161"/>
      <c r="R467" s="146"/>
      <c r="S467" s="162"/>
      <c r="T467" s="148"/>
      <c r="U467" s="161"/>
      <c r="V467" s="146"/>
      <c r="W467" s="162"/>
      <c r="X467" s="148"/>
      <c r="Y467" s="161"/>
      <c r="Z467" s="146"/>
      <c r="AA467" s="162"/>
      <c r="AB467" s="148"/>
      <c r="AC467" s="161"/>
      <c r="AD467" s="146"/>
      <c r="AE467" s="162"/>
      <c r="AF467" s="148"/>
    </row>
    <row r="468">
      <c r="A468" s="161"/>
      <c r="B468" s="146" t="str">
        <f>IF(A468&lt;&gt;"", SUMIF(Bets!$F:$F, A468, Bets!Z:Z), "")</f>
        <v/>
      </c>
      <c r="C468" s="162"/>
      <c r="D468" s="148"/>
      <c r="E468" s="161"/>
      <c r="F468" s="146" t="str">
        <f>IF(E468&lt;&gt;"", SUMIF(Bets!$F:$F, E468, Bets!AB:AB), "")</f>
        <v/>
      </c>
      <c r="G468" s="162"/>
      <c r="H468" s="148"/>
      <c r="I468" s="161"/>
      <c r="J468" s="146" t="str">
        <f>IF(I468&lt;&gt;"", SUMIF(Bets!$F:$F, I468, Bets!AA:AA),)</f>
        <v/>
      </c>
      <c r="K468" s="162"/>
      <c r="L468" s="148"/>
      <c r="M468" s="161"/>
      <c r="N468" s="146"/>
      <c r="O468" s="162"/>
      <c r="P468" s="148"/>
      <c r="Q468" s="161"/>
      <c r="R468" s="146"/>
      <c r="S468" s="162"/>
      <c r="T468" s="148"/>
      <c r="U468" s="161"/>
      <c r="V468" s="146"/>
      <c r="W468" s="162"/>
      <c r="X468" s="148"/>
      <c r="Y468" s="161"/>
      <c r="Z468" s="146"/>
      <c r="AA468" s="162"/>
      <c r="AB468" s="148"/>
      <c r="AC468" s="161"/>
      <c r="AD468" s="146"/>
      <c r="AE468" s="162"/>
      <c r="AF468" s="148"/>
    </row>
    <row r="469">
      <c r="A469" s="161"/>
      <c r="B469" s="146" t="str">
        <f>IF(A469&lt;&gt;"", SUMIF(Bets!$F:$F, A469, Bets!Z:Z), "")</f>
        <v/>
      </c>
      <c r="C469" s="162"/>
      <c r="D469" s="148"/>
      <c r="E469" s="161"/>
      <c r="F469" s="146" t="str">
        <f>IF(E469&lt;&gt;"", SUMIF(Bets!$F:$F, E469, Bets!AB:AB), "")</f>
        <v/>
      </c>
      <c r="G469" s="162"/>
      <c r="H469" s="148"/>
      <c r="I469" s="161"/>
      <c r="J469" s="146" t="str">
        <f>IF(I469&lt;&gt;"", SUMIF(Bets!$F:$F, I469, Bets!AA:AA),)</f>
        <v/>
      </c>
      <c r="K469" s="162"/>
      <c r="L469" s="148"/>
      <c r="M469" s="161"/>
      <c r="N469" s="146"/>
      <c r="O469" s="162"/>
      <c r="P469" s="148"/>
      <c r="Q469" s="161"/>
      <c r="R469" s="146"/>
      <c r="S469" s="162"/>
      <c r="T469" s="148"/>
      <c r="U469" s="161"/>
      <c r="V469" s="146"/>
      <c r="W469" s="162"/>
      <c r="X469" s="148"/>
      <c r="Y469" s="161"/>
      <c r="Z469" s="146"/>
      <c r="AA469" s="162"/>
      <c r="AB469" s="148"/>
      <c r="AC469" s="161"/>
      <c r="AD469" s="146"/>
      <c r="AE469" s="162"/>
      <c r="AF469" s="148"/>
    </row>
    <row r="470">
      <c r="A470" s="161"/>
      <c r="B470" s="146" t="str">
        <f>IF(A470&lt;&gt;"", SUMIF(Bets!$F:$F, A470, Bets!Z:Z), "")</f>
        <v/>
      </c>
      <c r="C470" s="162"/>
      <c r="D470" s="148"/>
      <c r="E470" s="161"/>
      <c r="F470" s="146" t="str">
        <f>IF(E470&lt;&gt;"", SUMIF(Bets!$F:$F, E470, Bets!AB:AB), "")</f>
        <v/>
      </c>
      <c r="G470" s="162"/>
      <c r="H470" s="148"/>
      <c r="I470" s="161"/>
      <c r="J470" s="146" t="str">
        <f>IF(I470&lt;&gt;"", SUMIF(Bets!$F:$F, I470, Bets!AA:AA),)</f>
        <v/>
      </c>
      <c r="K470" s="162"/>
      <c r="L470" s="148"/>
      <c r="M470" s="161"/>
      <c r="N470" s="146"/>
      <c r="O470" s="162"/>
      <c r="P470" s="148"/>
      <c r="Q470" s="161"/>
      <c r="R470" s="146"/>
      <c r="S470" s="162"/>
      <c r="T470" s="148"/>
      <c r="U470" s="161"/>
      <c r="V470" s="146"/>
      <c r="W470" s="162"/>
      <c r="X470" s="148"/>
      <c r="Y470" s="161"/>
      <c r="Z470" s="146"/>
      <c r="AA470" s="162"/>
      <c r="AB470" s="148"/>
      <c r="AC470" s="161"/>
      <c r="AD470" s="146"/>
      <c r="AE470" s="162"/>
      <c r="AF470" s="148"/>
    </row>
    <row r="471">
      <c r="A471" s="161"/>
      <c r="B471" s="146" t="str">
        <f>IF(A471&lt;&gt;"", SUMIF(Bets!$F:$F, A471, Bets!Z:Z), "")</f>
        <v/>
      </c>
      <c r="C471" s="162"/>
      <c r="D471" s="148"/>
      <c r="E471" s="161"/>
      <c r="F471" s="146" t="str">
        <f>IF(E471&lt;&gt;"", SUMIF(Bets!$F:$F, E471, Bets!AB:AB), "")</f>
        <v/>
      </c>
      <c r="G471" s="162"/>
      <c r="H471" s="148"/>
      <c r="I471" s="161"/>
      <c r="J471" s="146" t="str">
        <f>IF(I471&lt;&gt;"", SUMIF(Bets!$F:$F, I471, Bets!AA:AA),)</f>
        <v/>
      </c>
      <c r="K471" s="162"/>
      <c r="L471" s="148"/>
      <c r="M471" s="161"/>
      <c r="N471" s="146"/>
      <c r="O471" s="162"/>
      <c r="P471" s="148"/>
      <c r="Q471" s="161"/>
      <c r="R471" s="146"/>
      <c r="S471" s="162"/>
      <c r="T471" s="148"/>
      <c r="U471" s="161"/>
      <c r="V471" s="146"/>
      <c r="W471" s="162"/>
      <c r="X471" s="148"/>
      <c r="Y471" s="161"/>
      <c r="Z471" s="146"/>
      <c r="AA471" s="162"/>
      <c r="AB471" s="148"/>
      <c r="AC471" s="161"/>
      <c r="AD471" s="146"/>
      <c r="AE471" s="162"/>
      <c r="AF471" s="148"/>
    </row>
    <row r="472">
      <c r="A472" s="161"/>
      <c r="B472" s="146" t="str">
        <f>IF(A472&lt;&gt;"", SUMIF(Bets!$F:$F, A472, Bets!Z:Z), "")</f>
        <v/>
      </c>
      <c r="C472" s="162"/>
      <c r="D472" s="148"/>
      <c r="E472" s="161"/>
      <c r="F472" s="146" t="str">
        <f>IF(E472&lt;&gt;"", SUMIF(Bets!$F:$F, E472, Bets!AB:AB), "")</f>
        <v/>
      </c>
      <c r="G472" s="162"/>
      <c r="H472" s="148"/>
      <c r="I472" s="161"/>
      <c r="J472" s="146" t="str">
        <f>IF(I472&lt;&gt;"", SUMIF(Bets!$F:$F, I472, Bets!AA:AA), "")</f>
        <v/>
      </c>
      <c r="K472" s="162"/>
      <c r="L472" s="148"/>
      <c r="M472" s="161"/>
      <c r="N472" s="146"/>
      <c r="O472" s="162"/>
      <c r="P472" s="148"/>
      <c r="Q472" s="161"/>
      <c r="R472" s="146"/>
      <c r="S472" s="162"/>
      <c r="T472" s="148"/>
      <c r="U472" s="161"/>
      <c r="V472" s="146"/>
      <c r="W472" s="162"/>
      <c r="X472" s="148"/>
      <c r="Y472" s="161"/>
      <c r="Z472" s="146"/>
      <c r="AA472" s="162"/>
      <c r="AB472" s="148"/>
      <c r="AC472" s="161"/>
      <c r="AD472" s="146"/>
      <c r="AE472" s="162"/>
      <c r="AF472" s="148"/>
    </row>
    <row r="473">
      <c r="A473" s="161"/>
      <c r="B473" s="146" t="str">
        <f>IF(A473&lt;&gt;"", SUMIF(Bets!$F:$F, A473, Bets!Z:Z), "")</f>
        <v/>
      </c>
      <c r="C473" s="162"/>
      <c r="D473" s="148"/>
      <c r="E473" s="161"/>
      <c r="F473" s="146" t="str">
        <f>IF(E473&lt;&gt;"", SUMIF(Bets!$F:$F, E473, Bets!AB:AB), "")</f>
        <v/>
      </c>
      <c r="G473" s="162"/>
      <c r="H473" s="148"/>
      <c r="I473" s="161"/>
      <c r="J473" s="146" t="str">
        <f>IF(I473&lt;&gt;"", SUMIF(Bets!$F:$F, I473, Bets!AA:AA), "")</f>
        <v/>
      </c>
      <c r="K473" s="162"/>
      <c r="L473" s="148"/>
      <c r="M473" s="161"/>
      <c r="N473" s="146"/>
      <c r="O473" s="162"/>
      <c r="P473" s="148"/>
      <c r="Q473" s="161"/>
      <c r="R473" s="146"/>
      <c r="S473" s="162"/>
      <c r="T473" s="148"/>
      <c r="U473" s="161"/>
      <c r="V473" s="146"/>
      <c r="W473" s="162"/>
      <c r="X473" s="148"/>
      <c r="Y473" s="161"/>
      <c r="Z473" s="146"/>
      <c r="AA473" s="162"/>
      <c r="AB473" s="148"/>
      <c r="AC473" s="161"/>
      <c r="AD473" s="146"/>
      <c r="AE473" s="162"/>
      <c r="AF473" s="148"/>
    </row>
    <row r="474">
      <c r="A474" s="161"/>
      <c r="B474" s="146" t="str">
        <f>IF(A474&lt;&gt;"", SUMIF(Bets!$F:$F, A474, Bets!Z:Z), "")</f>
        <v/>
      </c>
      <c r="C474" s="162"/>
      <c r="D474" s="148"/>
      <c r="E474" s="161"/>
      <c r="F474" s="146" t="str">
        <f>IF(E474&lt;&gt;"", SUMIF(Bets!$F:$F, E474, Bets!AB:AB), "")</f>
        <v/>
      </c>
      <c r="G474" s="162"/>
      <c r="H474" s="148"/>
      <c r="I474" s="161"/>
      <c r="J474" s="146" t="str">
        <f>IF(I474&lt;&gt;"", SUMIF(Bets!$F:$F, I474, Bets!AA:AA), "")</f>
        <v/>
      </c>
      <c r="K474" s="162"/>
      <c r="L474" s="148"/>
      <c r="M474" s="161"/>
      <c r="N474" s="146"/>
      <c r="O474" s="162"/>
      <c r="P474" s="148"/>
      <c r="Q474" s="161"/>
      <c r="R474" s="146"/>
      <c r="S474" s="162"/>
      <c r="T474" s="148"/>
      <c r="U474" s="161"/>
      <c r="V474" s="146"/>
      <c r="W474" s="162"/>
      <c r="X474" s="148"/>
      <c r="Y474" s="161"/>
      <c r="Z474" s="146"/>
      <c r="AA474" s="162"/>
      <c r="AB474" s="148"/>
      <c r="AC474" s="161"/>
      <c r="AD474" s="146"/>
      <c r="AE474" s="162"/>
      <c r="AF474" s="148"/>
    </row>
    <row r="475">
      <c r="A475" s="161"/>
      <c r="B475" s="146" t="str">
        <f>IF(A475&lt;&gt;"", SUMIF(Bets!$F:$F, A475, Bets!Z:Z), "")</f>
        <v/>
      </c>
      <c r="C475" s="162"/>
      <c r="D475" s="148"/>
      <c r="E475" s="161"/>
      <c r="F475" s="146" t="str">
        <f>IF(E475&lt;&gt;"", SUMIF(Bets!$F:$F, E475, Bets!AB:AB), "")</f>
        <v/>
      </c>
      <c r="G475" s="162"/>
      <c r="H475" s="148"/>
      <c r="I475" s="161"/>
      <c r="J475" s="146" t="str">
        <f>IF(I475&lt;&gt;"", SUMIF(Bets!$F:$F, I475, Bets!AA:AA), "")</f>
        <v/>
      </c>
      <c r="K475" s="162"/>
      <c r="L475" s="148"/>
      <c r="M475" s="161"/>
      <c r="N475" s="146"/>
      <c r="O475" s="162"/>
      <c r="P475" s="148"/>
      <c r="Q475" s="161"/>
      <c r="R475" s="146"/>
      <c r="S475" s="162"/>
      <c r="T475" s="148"/>
      <c r="U475" s="161"/>
      <c r="V475" s="146"/>
      <c r="W475" s="162"/>
      <c r="X475" s="148"/>
      <c r="Y475" s="161"/>
      <c r="Z475" s="146"/>
      <c r="AA475" s="162"/>
      <c r="AB475" s="148"/>
      <c r="AC475" s="161"/>
      <c r="AD475" s="146"/>
      <c r="AE475" s="162"/>
      <c r="AF475" s="148"/>
    </row>
    <row r="476">
      <c r="A476" s="161"/>
      <c r="B476" s="146" t="str">
        <f>IF(A476&lt;&gt;"", SUMIF(Bets!$F:$F, A476, Bets!Z:Z), "")</f>
        <v/>
      </c>
      <c r="C476" s="162"/>
      <c r="D476" s="148"/>
      <c r="E476" s="161"/>
      <c r="F476" s="146" t="str">
        <f>IF(E476&lt;&gt;"", SUMIF(Bets!$F:$F, E476, Bets!AB:AB), "")</f>
        <v/>
      </c>
      <c r="G476" s="162"/>
      <c r="H476" s="148"/>
      <c r="I476" s="161"/>
      <c r="J476" s="146" t="str">
        <f>IF(I476&lt;&gt;"", SUMIF(Bets!$F:$F, I476, Bets!AA:AA), "")</f>
        <v/>
      </c>
      <c r="K476" s="162"/>
      <c r="L476" s="148"/>
      <c r="M476" s="161"/>
      <c r="N476" s="146"/>
      <c r="O476" s="162"/>
      <c r="P476" s="148"/>
      <c r="Q476" s="161"/>
      <c r="R476" s="146"/>
      <c r="S476" s="162"/>
      <c r="T476" s="148"/>
      <c r="U476" s="161"/>
      <c r="V476" s="146"/>
      <c r="W476" s="162"/>
      <c r="X476" s="148"/>
      <c r="Y476" s="161"/>
      <c r="Z476" s="146"/>
      <c r="AA476" s="162"/>
      <c r="AB476" s="148"/>
      <c r="AC476" s="161"/>
      <c r="AD476" s="146"/>
      <c r="AE476" s="162"/>
      <c r="AF476" s="148"/>
    </row>
    <row r="477">
      <c r="A477" s="161"/>
      <c r="B477" s="146" t="str">
        <f>IF(A477&lt;&gt;"", SUMIF(Bets!$F:$F, A477, Bets!Z:Z), "")</f>
        <v/>
      </c>
      <c r="C477" s="162"/>
      <c r="D477" s="148"/>
      <c r="E477" s="161"/>
      <c r="F477" s="146" t="str">
        <f>IF(E477&lt;&gt;"", SUMIF(Bets!$F:$F, E477, Bets!AB:AB), "")</f>
        <v/>
      </c>
      <c r="G477" s="162"/>
      <c r="H477" s="148"/>
      <c r="I477" s="161"/>
      <c r="J477" s="146" t="str">
        <f>IF(I477&lt;&gt;"", SUMIF(Bets!$F:$F, I477, Bets!AA:AA), "")</f>
        <v/>
      </c>
      <c r="K477" s="162"/>
      <c r="L477" s="148"/>
      <c r="M477" s="161"/>
      <c r="N477" s="146"/>
      <c r="O477" s="162"/>
      <c r="P477" s="148"/>
      <c r="Q477" s="161"/>
      <c r="R477" s="146"/>
      <c r="S477" s="162"/>
      <c r="T477" s="148"/>
      <c r="U477" s="161"/>
      <c r="V477" s="146"/>
      <c r="W477" s="162"/>
      <c r="X477" s="148"/>
      <c r="Y477" s="161"/>
      <c r="Z477" s="146"/>
      <c r="AA477" s="162"/>
      <c r="AB477" s="148"/>
      <c r="AC477" s="161"/>
      <c r="AD477" s="146"/>
      <c r="AE477" s="162"/>
      <c r="AF477" s="148"/>
    </row>
    <row r="478">
      <c r="A478" s="161"/>
      <c r="B478" s="146" t="str">
        <f>IF(A478&lt;&gt;"", SUMIF(Bets!$F:$F, A478, Bets!Z:Z), "")</f>
        <v/>
      </c>
      <c r="C478" s="162"/>
      <c r="D478" s="148"/>
      <c r="E478" s="161"/>
      <c r="F478" s="146" t="str">
        <f>IF(E478&lt;&gt;"", SUMIF(Bets!$F:$F, E478, Bets!AB:AB), "")</f>
        <v/>
      </c>
      <c r="G478" s="162"/>
      <c r="H478" s="148"/>
      <c r="I478" s="161"/>
      <c r="J478" s="146" t="str">
        <f>IF(I478&lt;&gt;"", SUMIF(Bets!$F:$F, I478, Bets!AA:AA), "")</f>
        <v/>
      </c>
      <c r="K478" s="162"/>
      <c r="L478" s="148"/>
      <c r="M478" s="161"/>
      <c r="N478" s="146"/>
      <c r="O478" s="162"/>
      <c r="P478" s="148"/>
      <c r="Q478" s="161"/>
      <c r="R478" s="146"/>
      <c r="S478" s="162"/>
      <c r="T478" s="148"/>
      <c r="U478" s="161"/>
      <c r="V478" s="146"/>
      <c r="W478" s="162"/>
      <c r="X478" s="148"/>
      <c r="Y478" s="161"/>
      <c r="Z478" s="146"/>
      <c r="AA478" s="162"/>
      <c r="AB478" s="148"/>
      <c r="AC478" s="161"/>
      <c r="AD478" s="146"/>
      <c r="AE478" s="162"/>
      <c r="AF478" s="148"/>
    </row>
    <row r="479">
      <c r="A479" s="161"/>
      <c r="B479" s="146" t="str">
        <f>IF(A479&lt;&gt;"", SUMIF(Bets!$F:$F, A479, Bets!Z:Z), "")</f>
        <v/>
      </c>
      <c r="C479" s="162"/>
      <c r="D479" s="148"/>
      <c r="E479" s="161"/>
      <c r="F479" s="146" t="str">
        <f>IF(E479&lt;&gt;"", SUMIF(Bets!$F:$F, E479, Bets!AB:AB), "")</f>
        <v/>
      </c>
      <c r="G479" s="162"/>
      <c r="H479" s="148"/>
      <c r="I479" s="161"/>
      <c r="J479" s="146" t="str">
        <f>IF(I479&lt;&gt;"", SUMIF(Bets!$F:$F, I479, Bets!AA:AA), "")</f>
        <v/>
      </c>
      <c r="K479" s="162"/>
      <c r="L479" s="148"/>
      <c r="M479" s="161"/>
      <c r="N479" s="146"/>
      <c r="O479" s="162"/>
      <c r="P479" s="148"/>
      <c r="Q479" s="161"/>
      <c r="R479" s="146"/>
      <c r="S479" s="162"/>
      <c r="T479" s="148"/>
      <c r="U479" s="161"/>
      <c r="V479" s="146"/>
      <c r="W479" s="162"/>
      <c r="X479" s="148"/>
      <c r="Y479" s="161"/>
      <c r="Z479" s="146"/>
      <c r="AA479" s="162"/>
      <c r="AB479" s="148"/>
      <c r="AC479" s="161"/>
      <c r="AD479" s="146"/>
      <c r="AE479" s="162"/>
      <c r="AF479" s="148"/>
    </row>
    <row r="480">
      <c r="A480" s="161"/>
      <c r="B480" s="146" t="str">
        <f>IF(A480&lt;&gt;"", SUMIF(Bets!$F:$F, A480, Bets!Z:Z), "")</f>
        <v/>
      </c>
      <c r="C480" s="162"/>
      <c r="D480" s="148"/>
      <c r="E480" s="161"/>
      <c r="F480" s="146" t="str">
        <f>IF(E480&lt;&gt;"", SUMIF(Bets!$F:$F, E480, Bets!AB:AB), "")</f>
        <v/>
      </c>
      <c r="G480" s="162"/>
      <c r="H480" s="148"/>
      <c r="I480" s="161"/>
      <c r="J480" s="146" t="str">
        <f>IF(I480&lt;&gt;"", SUMIF(Bets!$F:$F, I480, Bets!AA:AA), "")</f>
        <v/>
      </c>
      <c r="K480" s="162"/>
      <c r="L480" s="148"/>
      <c r="M480" s="161"/>
      <c r="N480" s="146"/>
      <c r="O480" s="162"/>
      <c r="P480" s="148"/>
      <c r="Q480" s="161"/>
      <c r="R480" s="146"/>
      <c r="S480" s="162"/>
      <c r="T480" s="148"/>
      <c r="U480" s="161"/>
      <c r="V480" s="146"/>
      <c r="W480" s="162"/>
      <c r="X480" s="148"/>
      <c r="Y480" s="161"/>
      <c r="Z480" s="146"/>
      <c r="AA480" s="162"/>
      <c r="AB480" s="148"/>
      <c r="AC480" s="161"/>
      <c r="AD480" s="146"/>
      <c r="AE480" s="162"/>
      <c r="AF480" s="148"/>
    </row>
    <row r="481">
      <c r="A481" s="161"/>
      <c r="B481" s="146" t="str">
        <f>IF(A481&lt;&gt;"", SUMIF(Bets!$F:$F, A481, Bets!Z:Z), "")</f>
        <v/>
      </c>
      <c r="C481" s="162"/>
      <c r="D481" s="148"/>
      <c r="E481" s="161"/>
      <c r="F481" s="146" t="str">
        <f>IF(E481&lt;&gt;"", SUMIF(Bets!$F:$F, E481, Bets!AB:AB), "")</f>
        <v/>
      </c>
      <c r="G481" s="162"/>
      <c r="H481" s="148"/>
      <c r="I481" s="161"/>
      <c r="J481" s="146" t="str">
        <f>IF(I481&lt;&gt;"", SUMIF(Bets!$F:$F, I481, Bets!AA:AA), "")</f>
        <v/>
      </c>
      <c r="K481" s="162"/>
      <c r="L481" s="148"/>
      <c r="M481" s="161"/>
      <c r="N481" s="146"/>
      <c r="O481" s="162"/>
      <c r="P481" s="148"/>
      <c r="Q481" s="161"/>
      <c r="R481" s="146"/>
      <c r="S481" s="162"/>
      <c r="T481" s="148"/>
      <c r="U481" s="161"/>
      <c r="V481" s="146"/>
      <c r="W481" s="162"/>
      <c r="X481" s="148"/>
      <c r="Y481" s="161"/>
      <c r="Z481" s="146"/>
      <c r="AA481" s="162"/>
      <c r="AB481" s="148"/>
      <c r="AC481" s="161"/>
      <c r="AD481" s="146"/>
      <c r="AE481" s="162"/>
      <c r="AF481" s="148"/>
    </row>
    <row r="482">
      <c r="A482" s="161"/>
      <c r="B482" s="146" t="str">
        <f>IF(A482&lt;&gt;"", SUMIF(Bets!$F:$F, A482, Bets!Z:Z), "")</f>
        <v/>
      </c>
      <c r="C482" s="162"/>
      <c r="D482" s="148"/>
      <c r="E482" s="161"/>
      <c r="F482" s="146" t="str">
        <f>IF(E482&lt;&gt;"", SUMIF(Bets!$F:$F, E482, Bets!AB:AB), "")</f>
        <v/>
      </c>
      <c r="G482" s="162"/>
      <c r="H482" s="148"/>
      <c r="I482" s="161"/>
      <c r="J482" s="146" t="str">
        <f>IF(I482&lt;&gt;"", SUMIF(Bets!$F:$F, I482, Bets!AA:AA), "")</f>
        <v/>
      </c>
      <c r="K482" s="162"/>
      <c r="L482" s="148"/>
      <c r="M482" s="161"/>
      <c r="N482" s="146"/>
      <c r="O482" s="162"/>
      <c r="P482" s="148"/>
      <c r="Q482" s="161"/>
      <c r="R482" s="146"/>
      <c r="S482" s="162"/>
      <c r="T482" s="148"/>
      <c r="U482" s="161"/>
      <c r="V482" s="146"/>
      <c r="W482" s="162"/>
      <c r="X482" s="148"/>
      <c r="Y482" s="161"/>
      <c r="Z482" s="146"/>
      <c r="AA482" s="162"/>
      <c r="AB482" s="148"/>
      <c r="AC482" s="161"/>
      <c r="AD482" s="146"/>
      <c r="AE482" s="162"/>
      <c r="AF482" s="148"/>
    </row>
    <row r="483">
      <c r="A483" s="161"/>
      <c r="B483" s="146" t="str">
        <f>IF(A483&lt;&gt;"", SUMIF(Bets!$F:$F, A483, Bets!Z:Z), "")</f>
        <v/>
      </c>
      <c r="C483" s="162"/>
      <c r="D483" s="148"/>
      <c r="E483" s="161"/>
      <c r="F483" s="146" t="str">
        <f>IF(E483&lt;&gt;"", SUMIF(Bets!$F:$F, E483, Bets!AB:AB), "")</f>
        <v/>
      </c>
      <c r="G483" s="162"/>
      <c r="H483" s="148"/>
      <c r="I483" s="161"/>
      <c r="J483" s="146" t="str">
        <f>IF(I483&lt;&gt;"", SUMIF(Bets!$F:$F, I483, Bets!AA:AA), "")</f>
        <v/>
      </c>
      <c r="K483" s="162"/>
      <c r="L483" s="148"/>
      <c r="M483" s="161"/>
      <c r="N483" s="146"/>
      <c r="O483" s="162"/>
      <c r="P483" s="148"/>
      <c r="Q483" s="161"/>
      <c r="R483" s="146"/>
      <c r="S483" s="162"/>
      <c r="T483" s="148"/>
      <c r="U483" s="161"/>
      <c r="V483" s="146"/>
      <c r="W483" s="162"/>
      <c r="X483" s="148"/>
      <c r="Y483" s="161"/>
      <c r="Z483" s="146"/>
      <c r="AA483" s="162"/>
      <c r="AB483" s="148"/>
      <c r="AC483" s="161"/>
      <c r="AD483" s="146"/>
      <c r="AE483" s="162"/>
      <c r="AF483" s="148"/>
    </row>
    <row r="484">
      <c r="A484" s="161"/>
      <c r="B484" s="146" t="str">
        <f>IF(A484&lt;&gt;"", SUMIF(Bets!$F:$F, A484, Bets!Z:Z), "")</f>
        <v/>
      </c>
      <c r="C484" s="162"/>
      <c r="D484" s="148"/>
      <c r="E484" s="161"/>
      <c r="F484" s="146" t="str">
        <f>IF(E484&lt;&gt;"", SUMIF(Bets!$F:$F, E484, Bets!AB:AB), "")</f>
        <v/>
      </c>
      <c r="G484" s="162"/>
      <c r="H484" s="148"/>
      <c r="I484" s="161"/>
      <c r="J484" s="146" t="str">
        <f>IF(I484&lt;&gt;"", SUMIF(Bets!$F:$F, I484, Bets!AA:AA), "")</f>
        <v/>
      </c>
      <c r="K484" s="162"/>
      <c r="L484" s="148"/>
      <c r="M484" s="161"/>
      <c r="N484" s="146"/>
      <c r="O484" s="162"/>
      <c r="P484" s="148"/>
      <c r="Q484" s="161"/>
      <c r="R484" s="146"/>
      <c r="S484" s="162"/>
      <c r="T484" s="148"/>
      <c r="U484" s="161"/>
      <c r="V484" s="146"/>
      <c r="W484" s="162"/>
      <c r="X484" s="148"/>
      <c r="Y484" s="161"/>
      <c r="Z484" s="146"/>
      <c r="AA484" s="162"/>
      <c r="AB484" s="148"/>
      <c r="AC484" s="161"/>
      <c r="AD484" s="146"/>
      <c r="AE484" s="162"/>
      <c r="AF484" s="148"/>
    </row>
    <row r="485">
      <c r="A485" s="161"/>
      <c r="B485" s="146" t="str">
        <f>IF(A485&lt;&gt;"", SUMIF(Bets!$F:$F, A485, Bets!Z:Z), "")</f>
        <v/>
      </c>
      <c r="C485" s="162"/>
      <c r="D485" s="148"/>
      <c r="E485" s="161"/>
      <c r="F485" s="146" t="str">
        <f>IF(E485&lt;&gt;"", SUMIF(Bets!$F:$F, E485, Bets!AB:AB), "")</f>
        <v/>
      </c>
      <c r="G485" s="162"/>
      <c r="H485" s="148"/>
      <c r="I485" s="161"/>
      <c r="J485" s="146" t="str">
        <f>IF(I485&lt;&gt;"", SUMIF(Bets!$F:$F, I485, Bets!AA:AA), "")</f>
        <v/>
      </c>
      <c r="K485" s="162"/>
      <c r="L485" s="148"/>
      <c r="M485" s="161"/>
      <c r="N485" s="146"/>
      <c r="O485" s="162"/>
      <c r="P485" s="148"/>
      <c r="Q485" s="161"/>
      <c r="R485" s="146"/>
      <c r="S485" s="162"/>
      <c r="T485" s="148"/>
      <c r="U485" s="161"/>
      <c r="V485" s="146"/>
      <c r="W485" s="162"/>
      <c r="X485" s="148"/>
      <c r="Y485" s="161"/>
      <c r="Z485" s="146"/>
      <c r="AA485" s="162"/>
      <c r="AB485" s="148"/>
      <c r="AC485" s="161"/>
      <c r="AD485" s="146"/>
      <c r="AE485" s="162"/>
      <c r="AF485" s="148"/>
    </row>
    <row r="486">
      <c r="A486" s="161"/>
      <c r="B486" s="146" t="str">
        <f>IF(A486&lt;&gt;"", SUMIF(Bets!$F:$F, A486, Bets!Z:Z), "")</f>
        <v/>
      </c>
      <c r="C486" s="162"/>
      <c r="D486" s="148"/>
      <c r="E486" s="161"/>
      <c r="F486" s="146" t="str">
        <f>IF(E486&lt;&gt;"", SUMIF(Bets!$F:$F, E486, Bets!AB:AB), "")</f>
        <v/>
      </c>
      <c r="G486" s="162"/>
      <c r="H486" s="148"/>
      <c r="I486" s="161"/>
      <c r="J486" s="146" t="str">
        <f>IF(I486&lt;&gt;"", SUMIF(Bets!$F:$F, I486, Bets!AA:AA), "")</f>
        <v/>
      </c>
      <c r="K486" s="162"/>
      <c r="L486" s="148"/>
      <c r="M486" s="161"/>
      <c r="N486" s="146"/>
      <c r="O486" s="162"/>
      <c r="P486" s="148"/>
      <c r="Q486" s="161"/>
      <c r="R486" s="146"/>
      <c r="S486" s="162"/>
      <c r="T486" s="148"/>
      <c r="U486" s="161"/>
      <c r="V486" s="146"/>
      <c r="W486" s="162"/>
      <c r="X486" s="148"/>
      <c r="Y486" s="161"/>
      <c r="Z486" s="146"/>
      <c r="AA486" s="162"/>
      <c r="AB486" s="148"/>
      <c r="AC486" s="161"/>
      <c r="AD486" s="146"/>
      <c r="AE486" s="162"/>
      <c r="AF486" s="148"/>
    </row>
    <row r="487">
      <c r="A487" s="161"/>
      <c r="B487" s="146" t="str">
        <f>IF(A487&lt;&gt;"", SUMIF(Bets!$F:$F, A487, Bets!Z:Z), "")</f>
        <v/>
      </c>
      <c r="C487" s="162"/>
      <c r="D487" s="148"/>
      <c r="E487" s="161"/>
      <c r="F487" s="146" t="str">
        <f>IF(E487&lt;&gt;"", SUMIF(Bets!$F:$F, E487, Bets!AB:AB), "")</f>
        <v/>
      </c>
      <c r="G487" s="162"/>
      <c r="H487" s="148"/>
      <c r="I487" s="161"/>
      <c r="J487" s="146" t="str">
        <f>IF(I487&lt;&gt;"", SUMIF(Bets!$F:$F, I487, Bets!AA:AA), "")</f>
        <v/>
      </c>
      <c r="K487" s="162"/>
      <c r="L487" s="148"/>
      <c r="M487" s="161"/>
      <c r="N487" s="146"/>
      <c r="O487" s="162"/>
      <c r="P487" s="148"/>
      <c r="Q487" s="161"/>
      <c r="R487" s="146"/>
      <c r="S487" s="162"/>
      <c r="T487" s="148"/>
      <c r="U487" s="161"/>
      <c r="V487" s="146"/>
      <c r="W487" s="162"/>
      <c r="X487" s="148"/>
      <c r="Y487" s="161"/>
      <c r="Z487" s="146"/>
      <c r="AA487" s="162"/>
      <c r="AB487" s="148"/>
      <c r="AC487" s="161"/>
      <c r="AD487" s="146"/>
      <c r="AE487" s="162"/>
      <c r="AF487" s="148"/>
    </row>
    <row r="488">
      <c r="A488" s="161"/>
      <c r="B488" s="146" t="str">
        <f>IF(A488&lt;&gt;"", SUMIF(Bets!$F:$F, A488, Bets!Z:Z), "")</f>
        <v/>
      </c>
      <c r="C488" s="162"/>
      <c r="D488" s="148"/>
      <c r="E488" s="161"/>
      <c r="F488" s="146" t="str">
        <f>IF(E488&lt;&gt;"", SUMIF(Bets!$F:$F, E488, Bets!AB:AB), "")</f>
        <v/>
      </c>
      <c r="G488" s="162"/>
      <c r="H488" s="148"/>
      <c r="I488" s="161"/>
      <c r="J488" s="146" t="str">
        <f>IF(I488&lt;&gt;"", SUMIF(Bets!$F:$F, I488, Bets!AA:AA), "")</f>
        <v/>
      </c>
      <c r="K488" s="162"/>
      <c r="L488" s="148"/>
      <c r="M488" s="161"/>
      <c r="N488" s="146"/>
      <c r="O488" s="162"/>
      <c r="P488" s="148"/>
      <c r="Q488" s="161"/>
      <c r="R488" s="146"/>
      <c r="S488" s="162"/>
      <c r="T488" s="148"/>
      <c r="U488" s="161"/>
      <c r="V488" s="146"/>
      <c r="W488" s="162"/>
      <c r="X488" s="148"/>
      <c r="Y488" s="161"/>
      <c r="Z488" s="146"/>
      <c r="AA488" s="162"/>
      <c r="AB488" s="148"/>
      <c r="AC488" s="161"/>
      <c r="AD488" s="146"/>
      <c r="AE488" s="162"/>
      <c r="AF488" s="148"/>
    </row>
    <row r="489">
      <c r="A489" s="161"/>
      <c r="B489" s="146" t="str">
        <f>IF(A489&lt;&gt;"", SUMIF(Bets!$F:$F, A489, Bets!Z:Z), "")</f>
        <v/>
      </c>
      <c r="C489" s="162"/>
      <c r="D489" s="148"/>
      <c r="E489" s="161"/>
      <c r="F489" s="146" t="str">
        <f>IF(E489&lt;&gt;"", SUMIF(Bets!$F:$F, E489, Bets!AB:AB), "")</f>
        <v/>
      </c>
      <c r="G489" s="162"/>
      <c r="H489" s="148"/>
      <c r="I489" s="161"/>
      <c r="J489" s="146" t="str">
        <f>IF(I489&lt;&gt;"", SUMIF(Bets!$F:$F, I489, Bets!AA:AA), "")</f>
        <v/>
      </c>
      <c r="K489" s="162"/>
      <c r="L489" s="148"/>
      <c r="M489" s="161"/>
      <c r="N489" s="146"/>
      <c r="O489" s="162"/>
      <c r="P489" s="148"/>
      <c r="Q489" s="161"/>
      <c r="R489" s="146"/>
      <c r="S489" s="162"/>
      <c r="T489" s="148"/>
      <c r="U489" s="161"/>
      <c r="V489" s="146"/>
      <c r="W489" s="162"/>
      <c r="X489" s="148"/>
      <c r="Y489" s="161"/>
      <c r="Z489" s="146"/>
      <c r="AA489" s="162"/>
      <c r="AB489" s="148"/>
      <c r="AC489" s="161"/>
      <c r="AD489" s="146"/>
      <c r="AE489" s="162"/>
      <c r="AF489" s="148"/>
    </row>
    <row r="490">
      <c r="A490" s="161"/>
      <c r="B490" s="146" t="str">
        <f>IF(A490&lt;&gt;"", SUMIF(Bets!$F:$F, A490, Bets!Z:Z), "")</f>
        <v/>
      </c>
      <c r="C490" s="162"/>
      <c r="D490" s="148"/>
      <c r="E490" s="161"/>
      <c r="F490" s="146" t="str">
        <f>IF(E490&lt;&gt;"", SUMIF(Bets!$F:$F, E490, Bets!AB:AB), "")</f>
        <v/>
      </c>
      <c r="G490" s="162"/>
      <c r="H490" s="148"/>
      <c r="I490" s="161"/>
      <c r="J490" s="146" t="str">
        <f>IF(I490&lt;&gt;"", SUMIF(Bets!$F:$F, I490, Bets!AA:AA), "")</f>
        <v/>
      </c>
      <c r="K490" s="162"/>
      <c r="L490" s="148"/>
      <c r="M490" s="161"/>
      <c r="N490" s="146"/>
      <c r="O490" s="162"/>
      <c r="P490" s="148"/>
      <c r="Q490" s="161"/>
      <c r="R490" s="146"/>
      <c r="S490" s="162"/>
      <c r="T490" s="148"/>
      <c r="U490" s="161"/>
      <c r="V490" s="146"/>
      <c r="W490" s="162"/>
      <c r="X490" s="148"/>
      <c r="Y490" s="161"/>
      <c r="Z490" s="146"/>
      <c r="AA490" s="162"/>
      <c r="AB490" s="148"/>
      <c r="AC490" s="161"/>
      <c r="AD490" s="146"/>
      <c r="AE490" s="162"/>
      <c r="AF490" s="148"/>
    </row>
    <row r="491">
      <c r="A491" s="161"/>
      <c r="B491" s="146" t="str">
        <f>IF(A491&lt;&gt;"", SUMIF(Bets!$F:$F, A491, Bets!Z:Z), "")</f>
        <v/>
      </c>
      <c r="C491" s="162"/>
      <c r="D491" s="148"/>
      <c r="E491" s="161"/>
      <c r="F491" s="146" t="str">
        <f>IF(E491&lt;&gt;"", SUMIF(Bets!$F:$F, E491, Bets!AB:AB), "")</f>
        <v/>
      </c>
      <c r="G491" s="162"/>
      <c r="H491" s="148"/>
      <c r="I491" s="161"/>
      <c r="J491" s="146" t="str">
        <f>IF(I491&lt;&gt;"", SUMIF(Bets!$F:$F, I491, Bets!AA:AA), "")</f>
        <v/>
      </c>
      <c r="K491" s="162"/>
      <c r="L491" s="148"/>
      <c r="M491" s="161"/>
      <c r="N491" s="146"/>
      <c r="O491" s="162"/>
      <c r="P491" s="148"/>
      <c r="Q491" s="161"/>
      <c r="R491" s="146"/>
      <c r="S491" s="162"/>
      <c r="T491" s="148"/>
      <c r="U491" s="161"/>
      <c r="V491" s="146"/>
      <c r="W491" s="162"/>
      <c r="X491" s="148"/>
      <c r="Y491" s="161"/>
      <c r="Z491" s="146"/>
      <c r="AA491" s="162"/>
      <c r="AB491" s="148"/>
      <c r="AC491" s="161"/>
      <c r="AD491" s="146"/>
      <c r="AE491" s="162"/>
      <c r="AF491" s="148"/>
    </row>
    <row r="492">
      <c r="A492" s="161"/>
      <c r="B492" s="146" t="str">
        <f>IF(A492&lt;&gt;"", SUMIF(Bets!$F:$F, A492, Bets!Z:Z), "")</f>
        <v/>
      </c>
      <c r="C492" s="162"/>
      <c r="D492" s="148"/>
      <c r="E492" s="161"/>
      <c r="F492" s="146" t="str">
        <f>IF(E492&lt;&gt;"", SUMIF(Bets!$F:$F, E492, Bets!AB:AB), "")</f>
        <v/>
      </c>
      <c r="G492" s="162"/>
      <c r="H492" s="148"/>
      <c r="I492" s="161"/>
      <c r="J492" s="146" t="str">
        <f>IF(I492&lt;&gt;"", SUMIF(Bets!$F:$F, I492, Bets!AA:AA), "")</f>
        <v/>
      </c>
      <c r="K492" s="162"/>
      <c r="L492" s="148"/>
      <c r="M492" s="161"/>
      <c r="N492" s="146"/>
      <c r="O492" s="162"/>
      <c r="P492" s="148"/>
      <c r="Q492" s="161"/>
      <c r="R492" s="146"/>
      <c r="S492" s="162"/>
      <c r="T492" s="148"/>
      <c r="U492" s="161"/>
      <c r="V492" s="146"/>
      <c r="W492" s="162"/>
      <c r="X492" s="148"/>
      <c r="Y492" s="161"/>
      <c r="Z492" s="146"/>
      <c r="AA492" s="162"/>
      <c r="AB492" s="148"/>
      <c r="AC492" s="161"/>
      <c r="AD492" s="146"/>
      <c r="AE492" s="162"/>
      <c r="AF492" s="148"/>
    </row>
    <row r="493">
      <c r="A493" s="161"/>
      <c r="B493" s="146" t="str">
        <f>IF(A493&lt;&gt;"", SUMIF(Bets!$F:$F, A493, Bets!Z:Z), "")</f>
        <v/>
      </c>
      <c r="C493" s="162"/>
      <c r="D493" s="148"/>
      <c r="E493" s="161"/>
      <c r="F493" s="146" t="str">
        <f>IF(E493&lt;&gt;"", SUMIF(Bets!$F:$F, E493, Bets!AB:AB), "")</f>
        <v/>
      </c>
      <c r="G493" s="162"/>
      <c r="H493" s="148"/>
      <c r="I493" s="161"/>
      <c r="J493" s="146" t="str">
        <f>IF(I493&lt;&gt;"", SUMIF(Bets!$F:$F, I493, Bets!AA:AA), "")</f>
        <v/>
      </c>
      <c r="K493" s="162"/>
      <c r="L493" s="148"/>
      <c r="M493" s="161"/>
      <c r="N493" s="146"/>
      <c r="O493" s="162"/>
      <c r="P493" s="148"/>
      <c r="Q493" s="161"/>
      <c r="R493" s="146"/>
      <c r="S493" s="162"/>
      <c r="T493" s="148"/>
      <c r="U493" s="161"/>
      <c r="V493" s="146"/>
      <c r="W493" s="162"/>
      <c r="X493" s="148"/>
      <c r="Y493" s="161"/>
      <c r="Z493" s="146"/>
      <c r="AA493" s="162"/>
      <c r="AB493" s="148"/>
      <c r="AC493" s="161"/>
      <c r="AD493" s="146"/>
      <c r="AE493" s="162"/>
      <c r="AF493" s="148"/>
    </row>
    <row r="494">
      <c r="A494" s="161"/>
      <c r="B494" s="146" t="str">
        <f>IF(A494&lt;&gt;"", SUMIF(Bets!$F:$F, A494, Bets!Z:Z), "")</f>
        <v/>
      </c>
      <c r="C494" s="162"/>
      <c r="D494" s="148"/>
      <c r="E494" s="161"/>
      <c r="F494" s="146" t="str">
        <f>IF(E494&lt;&gt;"", SUMIF(Bets!$F:$F, E494, Bets!AB:AB), "")</f>
        <v/>
      </c>
      <c r="G494" s="162"/>
      <c r="H494" s="148"/>
      <c r="I494" s="161"/>
      <c r="J494" s="146" t="str">
        <f>IF(I494&lt;&gt;"", SUMIF(Bets!$F:$F, I494, Bets!AA:AA), "")</f>
        <v/>
      </c>
      <c r="K494" s="162"/>
      <c r="L494" s="148"/>
      <c r="M494" s="161"/>
      <c r="N494" s="146"/>
      <c r="O494" s="162"/>
      <c r="P494" s="148"/>
      <c r="Q494" s="161"/>
      <c r="R494" s="146"/>
      <c r="S494" s="162"/>
      <c r="T494" s="148"/>
      <c r="U494" s="161"/>
      <c r="V494" s="146"/>
      <c r="W494" s="162"/>
      <c r="X494" s="148"/>
      <c r="Y494" s="161"/>
      <c r="Z494" s="146"/>
      <c r="AA494" s="162"/>
      <c r="AB494" s="148"/>
      <c r="AC494" s="161"/>
      <c r="AD494" s="146"/>
      <c r="AE494" s="162"/>
      <c r="AF494" s="148"/>
    </row>
    <row r="495">
      <c r="A495" s="161"/>
      <c r="B495" s="146" t="str">
        <f>IF(A495&lt;&gt;"", SUMIF(Bets!$F:$F, A495, Bets!Z:Z), "")</f>
        <v/>
      </c>
      <c r="C495" s="162"/>
      <c r="D495" s="148"/>
      <c r="E495" s="161"/>
      <c r="F495" s="146" t="str">
        <f>IF(E495&lt;&gt;"", SUMIF(Bets!$F:$F, E495, Bets!AB:AB), "")</f>
        <v/>
      </c>
      <c r="G495" s="162"/>
      <c r="H495" s="148"/>
      <c r="I495" s="161"/>
      <c r="J495" s="146" t="str">
        <f>IF(I495&lt;&gt;"", SUMIF(Bets!$F:$F, I495, Bets!AA:AA), "")</f>
        <v/>
      </c>
      <c r="K495" s="162"/>
      <c r="L495" s="148"/>
      <c r="M495" s="161"/>
      <c r="N495" s="146"/>
      <c r="O495" s="162"/>
      <c r="P495" s="148"/>
      <c r="Q495" s="161"/>
      <c r="R495" s="146"/>
      <c r="S495" s="162"/>
      <c r="T495" s="148"/>
      <c r="U495" s="161"/>
      <c r="V495" s="146"/>
      <c r="W495" s="162"/>
      <c r="X495" s="148"/>
      <c r="Y495" s="161"/>
      <c r="Z495" s="146"/>
      <c r="AA495" s="162"/>
      <c r="AB495" s="148"/>
      <c r="AC495" s="161"/>
      <c r="AD495" s="146"/>
      <c r="AE495" s="162"/>
      <c r="AF495" s="148"/>
    </row>
    <row r="496">
      <c r="A496" s="161"/>
      <c r="B496" s="146" t="str">
        <f>IF(A496&lt;&gt;"", SUMIF(Bets!$F:$F, A496, Bets!Z:Z), "")</f>
        <v/>
      </c>
      <c r="C496" s="162"/>
      <c r="D496" s="148"/>
      <c r="E496" s="161"/>
      <c r="F496" s="146" t="str">
        <f>IF(E496&lt;&gt;"", SUMIF(Bets!$F:$F, E496, Bets!AB:AB), "")</f>
        <v/>
      </c>
      <c r="G496" s="162"/>
      <c r="H496" s="148"/>
      <c r="I496" s="161"/>
      <c r="J496" s="146" t="str">
        <f>IF(I496&lt;&gt;"", SUMIF(Bets!$F:$F, I496, Bets!AA:AA), "")</f>
        <v/>
      </c>
      <c r="K496" s="162"/>
      <c r="L496" s="148"/>
      <c r="M496" s="161"/>
      <c r="N496" s="146"/>
      <c r="O496" s="162"/>
      <c r="P496" s="148"/>
      <c r="Q496" s="161"/>
      <c r="R496" s="146"/>
      <c r="S496" s="162"/>
      <c r="T496" s="148"/>
      <c r="U496" s="161"/>
      <c r="V496" s="146"/>
      <c r="W496" s="162"/>
      <c r="X496" s="148"/>
      <c r="Y496" s="161"/>
      <c r="Z496" s="146"/>
      <c r="AA496" s="162"/>
      <c r="AB496" s="148"/>
      <c r="AC496" s="161"/>
      <c r="AD496" s="146"/>
      <c r="AE496" s="162"/>
      <c r="AF496" s="148"/>
    </row>
    <row r="497">
      <c r="A497" s="161"/>
      <c r="B497" s="146" t="str">
        <f>IF(A497&lt;&gt;"", SUMIF(Bets!$F:$F, A497, Bets!Z:Z), "")</f>
        <v/>
      </c>
      <c r="C497" s="162"/>
      <c r="D497" s="148"/>
      <c r="E497" s="161"/>
      <c r="F497" s="146" t="str">
        <f>IF(E497&lt;&gt;"", SUMIF(Bets!$F:$F, E497, Bets!AB:AB), "")</f>
        <v/>
      </c>
      <c r="G497" s="162"/>
      <c r="H497" s="148"/>
      <c r="I497" s="161"/>
      <c r="J497" s="146" t="str">
        <f>IF(I497&lt;&gt;"", SUMIF(Bets!$F:$F, I497, Bets!AA:AA), "")</f>
        <v/>
      </c>
      <c r="K497" s="162"/>
      <c r="L497" s="148"/>
      <c r="M497" s="161"/>
      <c r="N497" s="146"/>
      <c r="O497" s="162"/>
      <c r="P497" s="148"/>
      <c r="Q497" s="161"/>
      <c r="R497" s="146"/>
      <c r="S497" s="162"/>
      <c r="T497" s="148"/>
      <c r="U497" s="161"/>
      <c r="V497" s="146"/>
      <c r="W497" s="162"/>
      <c r="X497" s="148"/>
      <c r="Y497" s="161"/>
      <c r="Z497" s="146"/>
      <c r="AA497" s="162"/>
      <c r="AB497" s="148"/>
      <c r="AC497" s="161"/>
      <c r="AD497" s="146"/>
      <c r="AE497" s="162"/>
      <c r="AF497" s="148"/>
    </row>
    <row r="498">
      <c r="A498" s="161"/>
      <c r="B498" s="146" t="str">
        <f>IF(A498&lt;&gt;"", SUMIF(Bets!$F:$F, A498, Bets!Z:Z), "")</f>
        <v/>
      </c>
      <c r="C498" s="162"/>
      <c r="D498" s="148"/>
      <c r="E498" s="161"/>
      <c r="F498" s="146" t="str">
        <f>IF(E498&lt;&gt;"", SUMIF(Bets!$F:$F, E498, Bets!AB:AB), "")</f>
        <v/>
      </c>
      <c r="G498" s="162"/>
      <c r="H498" s="148"/>
      <c r="I498" s="161"/>
      <c r="J498" s="146" t="str">
        <f>IF(I498&lt;&gt;"", SUMIF(Bets!$F:$F, I498, Bets!AA:AA), "")</f>
        <v/>
      </c>
      <c r="K498" s="162"/>
      <c r="L498" s="148"/>
      <c r="M498" s="161"/>
      <c r="N498" s="146"/>
      <c r="O498" s="162"/>
      <c r="P498" s="148"/>
      <c r="Q498" s="161"/>
      <c r="R498" s="146"/>
      <c r="S498" s="162"/>
      <c r="T498" s="148"/>
      <c r="U498" s="161"/>
      <c r="V498" s="146"/>
      <c r="W498" s="162"/>
      <c r="X498" s="148"/>
      <c r="Y498" s="161"/>
      <c r="Z498" s="146"/>
      <c r="AA498" s="162"/>
      <c r="AB498" s="148"/>
      <c r="AC498" s="161"/>
      <c r="AD498" s="146"/>
      <c r="AE498" s="162"/>
      <c r="AF498" s="148"/>
    </row>
    <row r="499">
      <c r="A499" s="161"/>
      <c r="B499" s="146" t="str">
        <f>IF(A499&lt;&gt;"", SUMIF(Bets!$F:$F, A499, Bets!Z:Z), "")</f>
        <v/>
      </c>
      <c r="C499" s="162"/>
      <c r="D499" s="148"/>
      <c r="E499" s="161"/>
      <c r="F499" s="146" t="str">
        <f>IF(E499&lt;&gt;"", SUMIF(Bets!$F:$F, E499, Bets!AB:AB), "")</f>
        <v/>
      </c>
      <c r="G499" s="162"/>
      <c r="H499" s="148"/>
      <c r="I499" s="161"/>
      <c r="J499" s="146" t="str">
        <f>IF(I499&lt;&gt;"", SUMIF(Bets!$F:$F, I499, Bets!AA:AA), "")</f>
        <v/>
      </c>
      <c r="K499" s="162"/>
      <c r="L499" s="148"/>
      <c r="M499" s="161"/>
      <c r="N499" s="146"/>
      <c r="O499" s="162"/>
      <c r="P499" s="148"/>
      <c r="Q499" s="161"/>
      <c r="R499" s="146"/>
      <c r="S499" s="162"/>
      <c r="T499" s="148"/>
      <c r="U499" s="161"/>
      <c r="V499" s="146"/>
      <c r="W499" s="162"/>
      <c r="X499" s="148"/>
      <c r="Y499" s="161"/>
      <c r="Z499" s="146"/>
      <c r="AA499" s="162"/>
      <c r="AB499" s="148"/>
      <c r="AC499" s="161"/>
      <c r="AD499" s="146"/>
      <c r="AE499" s="162"/>
      <c r="AF499" s="148"/>
    </row>
    <row r="500">
      <c r="A500" s="161"/>
      <c r="B500" s="146" t="str">
        <f>IF(A500&lt;&gt;"", SUMIF(Bets!$F:$F, A500, Bets!Z:Z), "")</f>
        <v/>
      </c>
      <c r="C500" s="162"/>
      <c r="D500" s="148"/>
      <c r="E500" s="161"/>
      <c r="F500" s="146" t="str">
        <f>IF(E500&lt;&gt;"", SUMIF(Bets!$F:$F, E500, Bets!AB:AB), "")</f>
        <v/>
      </c>
      <c r="G500" s="162"/>
      <c r="H500" s="148"/>
      <c r="I500" s="161"/>
      <c r="J500" s="146" t="str">
        <f>IF(I500&lt;&gt;"", SUMIF(Bets!$F:$F, I500, Bets!AA:AA), "")</f>
        <v/>
      </c>
      <c r="K500" s="162"/>
      <c r="L500" s="148"/>
      <c r="M500" s="161"/>
      <c r="N500" s="146"/>
      <c r="O500" s="162"/>
      <c r="P500" s="148"/>
      <c r="Q500" s="161"/>
      <c r="R500" s="146"/>
      <c r="S500" s="162"/>
      <c r="T500" s="148"/>
      <c r="U500" s="161"/>
      <c r="V500" s="146"/>
      <c r="W500" s="162"/>
      <c r="X500" s="148"/>
      <c r="Y500" s="161"/>
      <c r="Z500" s="146"/>
      <c r="AA500" s="162"/>
      <c r="AB500" s="148"/>
      <c r="AC500" s="161"/>
      <c r="AD500" s="146"/>
      <c r="AE500" s="162"/>
      <c r="AF500" s="148"/>
    </row>
    <row r="501">
      <c r="A501" s="161"/>
      <c r="B501" s="146" t="str">
        <f>IF(A501&lt;&gt;"", SUMIF(Bets!$F:$F, A501, Bets!Z:Z), "")</f>
        <v/>
      </c>
      <c r="C501" s="162"/>
      <c r="D501" s="148"/>
      <c r="E501" s="161"/>
      <c r="F501" s="146" t="str">
        <f>IF(E501&lt;&gt;"", SUMIF(Bets!$F:$F, E501, Bets!AB:AB), "")</f>
        <v/>
      </c>
      <c r="G501" s="162"/>
      <c r="H501" s="148"/>
      <c r="I501" s="161"/>
      <c r="J501" s="146" t="str">
        <f>IF(I501&lt;&gt;"", SUMIF(Bets!$F:$F, I501, Bets!AA:AA), "")</f>
        <v/>
      </c>
      <c r="K501" s="162"/>
      <c r="L501" s="148"/>
      <c r="M501" s="161"/>
      <c r="N501" s="146"/>
      <c r="O501" s="162"/>
      <c r="P501" s="148"/>
      <c r="Q501" s="161"/>
      <c r="R501" s="146"/>
      <c r="S501" s="162"/>
      <c r="T501" s="148"/>
      <c r="U501" s="161"/>
      <c r="V501" s="146"/>
      <c r="W501" s="162"/>
      <c r="X501" s="148"/>
      <c r="Y501" s="161"/>
      <c r="Z501" s="146"/>
      <c r="AA501" s="162"/>
      <c r="AB501" s="148"/>
      <c r="AC501" s="161"/>
      <c r="AD501" s="146"/>
      <c r="AE501" s="162"/>
      <c r="AF501" s="148"/>
    </row>
    <row r="502">
      <c r="A502" s="161"/>
      <c r="B502" s="146" t="str">
        <f>IF(A502&lt;&gt;"", SUMIF(Bets!$F:$F, A502, Bets!Z:Z), "")</f>
        <v/>
      </c>
      <c r="C502" s="162"/>
      <c r="D502" s="148"/>
      <c r="E502" s="161"/>
      <c r="F502" s="146" t="str">
        <f>IF(E502&lt;&gt;"", SUMIF(Bets!$F:$F, E502, Bets!AB:AB), "")</f>
        <v/>
      </c>
      <c r="G502" s="162"/>
      <c r="H502" s="148"/>
      <c r="I502" s="161"/>
      <c r="J502" s="146" t="str">
        <f>IF(I502&lt;&gt;"", SUMIF(Bets!$F:$F, I502, Bets!AA:AA), "")</f>
        <v/>
      </c>
      <c r="K502" s="162"/>
      <c r="L502" s="148"/>
      <c r="M502" s="161"/>
      <c r="N502" s="146"/>
      <c r="O502" s="162"/>
      <c r="P502" s="148"/>
      <c r="Q502" s="161"/>
      <c r="R502" s="146"/>
      <c r="S502" s="162"/>
      <c r="T502" s="148"/>
      <c r="U502" s="161"/>
      <c r="V502" s="146"/>
      <c r="W502" s="162"/>
      <c r="X502" s="148"/>
      <c r="Y502" s="161"/>
      <c r="Z502" s="146"/>
      <c r="AA502" s="162"/>
      <c r="AB502" s="148"/>
      <c r="AC502" s="161"/>
      <c r="AD502" s="146"/>
      <c r="AE502" s="162"/>
      <c r="AF502" s="148"/>
    </row>
    <row r="503">
      <c r="A503" s="161"/>
      <c r="B503" s="146" t="str">
        <f>IF(A503&lt;&gt;"", SUMIF(Bets!$F:$F, A503, Bets!Z:Z), "")</f>
        <v/>
      </c>
      <c r="C503" s="162"/>
      <c r="D503" s="148"/>
      <c r="E503" s="161"/>
      <c r="F503" s="146" t="str">
        <f>IF(E503&lt;&gt;"", SUMIF(Bets!$F:$F, E503, Bets!AB:AB), "")</f>
        <v/>
      </c>
      <c r="G503" s="162"/>
      <c r="H503" s="148"/>
      <c r="I503" s="161"/>
      <c r="J503" s="146" t="str">
        <f>IF(I503&lt;&gt;"", SUMIF(Bets!$F:$F, I503, Bets!AA:AA), "")</f>
        <v/>
      </c>
      <c r="K503" s="162"/>
      <c r="L503" s="148"/>
      <c r="M503" s="161"/>
      <c r="N503" s="146"/>
      <c r="O503" s="162"/>
      <c r="P503" s="148"/>
      <c r="Q503" s="161"/>
      <c r="R503" s="146"/>
      <c r="S503" s="162"/>
      <c r="T503" s="148"/>
      <c r="U503" s="161"/>
      <c r="V503" s="146"/>
      <c r="W503" s="162"/>
      <c r="X503" s="148"/>
      <c r="Y503" s="161"/>
      <c r="Z503" s="146"/>
      <c r="AA503" s="162"/>
      <c r="AB503" s="148"/>
      <c r="AC503" s="161"/>
      <c r="AD503" s="146"/>
      <c r="AE503" s="162"/>
      <c r="AF503" s="148"/>
    </row>
    <row r="504">
      <c r="A504" s="161"/>
      <c r="B504" s="146" t="str">
        <f>IF(A504&lt;&gt;"", SUMIF(Bets!$F:$F, A504, Bets!Z:Z), "")</f>
        <v/>
      </c>
      <c r="C504" s="162"/>
      <c r="D504" s="148"/>
      <c r="E504" s="161"/>
      <c r="F504" s="146" t="str">
        <f>IF(E504&lt;&gt;"", SUMIF(Bets!$F:$F, E504, Bets!AB:AB), "")</f>
        <v/>
      </c>
      <c r="G504" s="162"/>
      <c r="H504" s="148"/>
      <c r="I504" s="161"/>
      <c r="J504" s="146" t="str">
        <f>IF(I504&lt;&gt;"", SUMIF(Bets!$F:$F, I504, Bets!AA:AA), "")</f>
        <v/>
      </c>
      <c r="K504" s="162"/>
      <c r="L504" s="148"/>
      <c r="M504" s="161"/>
      <c r="N504" s="146"/>
      <c r="O504" s="162"/>
      <c r="P504" s="148"/>
      <c r="Q504" s="161"/>
      <c r="R504" s="146"/>
      <c r="S504" s="162"/>
      <c r="T504" s="148"/>
      <c r="U504" s="161"/>
      <c r="V504" s="146"/>
      <c r="W504" s="162"/>
      <c r="X504" s="148"/>
      <c r="Y504" s="161"/>
      <c r="Z504" s="146"/>
      <c r="AA504" s="162"/>
      <c r="AB504" s="148"/>
      <c r="AC504" s="161"/>
      <c r="AD504" s="146"/>
      <c r="AE504" s="162"/>
      <c r="AF504" s="148"/>
    </row>
    <row r="505">
      <c r="A505" s="161"/>
      <c r="B505" s="146" t="str">
        <f>IF(A505&lt;&gt;"", SUMIF(Bets!$F:$F, A505, Bets!Z:Z), "")</f>
        <v/>
      </c>
      <c r="C505" s="162"/>
      <c r="D505" s="148"/>
      <c r="E505" s="161"/>
      <c r="F505" s="146" t="str">
        <f>IF(E505&lt;&gt;"", SUMIF(Bets!$F:$F, E505, Bets!AB:AB), "")</f>
        <v/>
      </c>
      <c r="G505" s="162"/>
      <c r="H505" s="148"/>
      <c r="I505" s="161"/>
      <c r="J505" s="146" t="str">
        <f>IF(I505&lt;&gt;"", SUMIF(Bets!$F:$F, I505, Bets!AA:AA), "")</f>
        <v/>
      </c>
      <c r="K505" s="162"/>
      <c r="L505" s="148"/>
      <c r="M505" s="161"/>
      <c r="N505" s="146"/>
      <c r="O505" s="162"/>
      <c r="P505" s="148"/>
      <c r="Q505" s="161"/>
      <c r="R505" s="146"/>
      <c r="S505" s="162"/>
      <c r="T505" s="148"/>
      <c r="U505" s="161"/>
      <c r="V505" s="146"/>
      <c r="W505" s="162"/>
      <c r="X505" s="148"/>
      <c r="Y505" s="161"/>
      <c r="Z505" s="146"/>
      <c r="AA505" s="162"/>
      <c r="AB505" s="148"/>
      <c r="AC505" s="161"/>
      <c r="AD505" s="146"/>
      <c r="AE505" s="162"/>
      <c r="AF505" s="148"/>
    </row>
    <row r="506">
      <c r="A506" s="161"/>
      <c r="B506" s="146" t="str">
        <f>IF(A506&lt;&gt;"", SUMIF(Bets!$F:$F, A506, Bets!Z:Z), "")</f>
        <v/>
      </c>
      <c r="C506" s="162"/>
      <c r="D506" s="148"/>
      <c r="E506" s="161"/>
      <c r="F506" s="146" t="str">
        <f>IF(E506&lt;&gt;"", SUMIF(Bets!$F:$F, E506, Bets!AB:AB), "")</f>
        <v/>
      </c>
      <c r="G506" s="162"/>
      <c r="H506" s="148"/>
      <c r="I506" s="161"/>
      <c r="J506" s="146" t="str">
        <f>IF(I506&lt;&gt;"", SUMIF(Bets!$F:$F, I506, Bets!AA:AA), "")</f>
        <v/>
      </c>
      <c r="K506" s="162"/>
      <c r="L506" s="148"/>
      <c r="M506" s="161"/>
      <c r="N506" s="146"/>
      <c r="O506" s="162"/>
      <c r="P506" s="148"/>
      <c r="Q506" s="161"/>
      <c r="R506" s="146"/>
      <c r="S506" s="162"/>
      <c r="T506" s="148"/>
      <c r="U506" s="161"/>
      <c r="V506" s="146"/>
      <c r="W506" s="162"/>
      <c r="X506" s="148"/>
      <c r="Y506" s="161"/>
      <c r="Z506" s="146"/>
      <c r="AA506" s="162"/>
      <c r="AB506" s="148"/>
      <c r="AC506" s="161"/>
      <c r="AD506" s="146"/>
      <c r="AE506" s="162"/>
      <c r="AF506" s="148"/>
    </row>
    <row r="507">
      <c r="A507" s="161"/>
      <c r="B507" s="146" t="str">
        <f>IF(A507&lt;&gt;"", SUMIF(Bets!$F:$F, A507, Bets!Z:Z), "")</f>
        <v/>
      </c>
      <c r="C507" s="162"/>
      <c r="D507" s="148"/>
      <c r="E507" s="161"/>
      <c r="F507" s="146" t="str">
        <f>IF(E507&lt;&gt;"", SUMIF(Bets!$F:$F, E507, Bets!AB:AB), "")</f>
        <v/>
      </c>
      <c r="G507" s="162"/>
      <c r="H507" s="148"/>
      <c r="I507" s="161"/>
      <c r="J507" s="146" t="str">
        <f>IF(I507&lt;&gt;"", SUMIF(Bets!$F:$F, I507, Bets!AA:AA), "")</f>
        <v/>
      </c>
      <c r="K507" s="162"/>
      <c r="L507" s="148"/>
      <c r="M507" s="161"/>
      <c r="N507" s="146"/>
      <c r="O507" s="162"/>
      <c r="P507" s="148"/>
      <c r="Q507" s="161"/>
      <c r="R507" s="146"/>
      <c r="S507" s="162"/>
      <c r="T507" s="148"/>
      <c r="U507" s="161"/>
      <c r="V507" s="146"/>
      <c r="W507" s="162"/>
      <c r="X507" s="148"/>
      <c r="Y507" s="161"/>
      <c r="Z507" s="146"/>
      <c r="AA507" s="162"/>
      <c r="AB507" s="148"/>
      <c r="AC507" s="161"/>
      <c r="AD507" s="146"/>
      <c r="AE507" s="162"/>
      <c r="AF507" s="148"/>
    </row>
    <row r="508">
      <c r="A508" s="161"/>
      <c r="B508" s="146" t="str">
        <f>IF(A508&lt;&gt;"", SUMIF(Bets!$F:$F, A508, Bets!Z:Z), "")</f>
        <v/>
      </c>
      <c r="C508" s="162"/>
      <c r="D508" s="148"/>
      <c r="E508" s="161"/>
      <c r="F508" s="146" t="str">
        <f>IF(E508&lt;&gt;"", SUMIF(Bets!$F:$F, E508, Bets!AB:AB), "")</f>
        <v/>
      </c>
      <c r="G508" s="162"/>
      <c r="H508" s="148"/>
      <c r="I508" s="161"/>
      <c r="J508" s="146" t="str">
        <f>IF(I508&lt;&gt;"", SUMIF(Bets!$F:$F, I508, Bets!AA:AA), "")</f>
        <v/>
      </c>
      <c r="K508" s="162"/>
      <c r="L508" s="148"/>
      <c r="M508" s="161"/>
      <c r="N508" s="146"/>
      <c r="O508" s="162"/>
      <c r="P508" s="148"/>
      <c r="Q508" s="161"/>
      <c r="R508" s="146"/>
      <c r="S508" s="162"/>
      <c r="T508" s="148"/>
      <c r="U508" s="161"/>
      <c r="V508" s="146"/>
      <c r="W508" s="162"/>
      <c r="X508" s="148"/>
      <c r="Y508" s="161"/>
      <c r="Z508" s="146"/>
      <c r="AA508" s="162"/>
      <c r="AB508" s="148"/>
      <c r="AC508" s="161"/>
      <c r="AD508" s="146"/>
      <c r="AE508" s="162"/>
      <c r="AF508" s="148"/>
    </row>
    <row r="509">
      <c r="A509" s="161"/>
      <c r="B509" s="146" t="str">
        <f>IF(A509&lt;&gt;"", SUMIF(Bets!$F:$F, A509, Bets!Z:Z), "")</f>
        <v/>
      </c>
      <c r="C509" s="162"/>
      <c r="D509" s="148"/>
      <c r="E509" s="161"/>
      <c r="F509" s="146" t="str">
        <f>IF(E509&lt;&gt;"", SUMIF(Bets!$F:$F, E509, Bets!AB:AB), "")</f>
        <v/>
      </c>
      <c r="G509" s="162"/>
      <c r="H509" s="148"/>
      <c r="I509" s="161"/>
      <c r="J509" s="146" t="str">
        <f>IF(I509&lt;&gt;"", SUMIF(Bets!$F:$F, I509, Bets!AA:AA), "")</f>
        <v/>
      </c>
      <c r="K509" s="162"/>
      <c r="L509" s="148"/>
      <c r="M509" s="161"/>
      <c r="N509" s="146"/>
      <c r="O509" s="162"/>
      <c r="P509" s="148"/>
      <c r="Q509" s="161"/>
      <c r="R509" s="146"/>
      <c r="S509" s="162"/>
      <c r="T509" s="148"/>
      <c r="U509" s="161"/>
      <c r="V509" s="146"/>
      <c r="W509" s="162"/>
      <c r="X509" s="148"/>
      <c r="Y509" s="161"/>
      <c r="Z509" s="146"/>
      <c r="AA509" s="162"/>
      <c r="AB509" s="148"/>
      <c r="AC509" s="161"/>
      <c r="AD509" s="146"/>
      <c r="AE509" s="162"/>
      <c r="AF509" s="148"/>
    </row>
    <row r="510">
      <c r="A510" s="161"/>
      <c r="B510" s="146" t="str">
        <f>IF(A510&lt;&gt;"", SUMIF(Bets!$F:$F, A510, Bets!Z:Z), "")</f>
        <v/>
      </c>
      <c r="C510" s="162"/>
      <c r="D510" s="148"/>
      <c r="E510" s="161"/>
      <c r="F510" s="146" t="str">
        <f>IF(E510&lt;&gt;"", SUMIF(Bets!$F:$F, E510, Bets!AB:AB), "")</f>
        <v/>
      </c>
      <c r="G510" s="162"/>
      <c r="H510" s="148"/>
      <c r="I510" s="161"/>
      <c r="J510" s="146" t="str">
        <f>IF(I510&lt;&gt;"", SUMIF(Bets!$F:$F, I510, Bets!AA:AA), "")</f>
        <v/>
      </c>
      <c r="K510" s="162"/>
      <c r="L510" s="148"/>
      <c r="M510" s="161"/>
      <c r="N510" s="146"/>
      <c r="O510" s="162"/>
      <c r="P510" s="148"/>
      <c r="Q510" s="161"/>
      <c r="R510" s="146"/>
      <c r="S510" s="162"/>
      <c r="T510" s="148"/>
      <c r="U510" s="161"/>
      <c r="V510" s="146"/>
      <c r="W510" s="162"/>
      <c r="X510" s="148"/>
      <c r="Y510" s="161"/>
      <c r="Z510" s="146"/>
      <c r="AA510" s="162"/>
      <c r="AB510" s="148"/>
      <c r="AC510" s="161"/>
      <c r="AD510" s="146"/>
      <c r="AE510" s="162"/>
      <c r="AF510" s="148"/>
    </row>
    <row r="511">
      <c r="A511" s="161"/>
      <c r="B511" s="146" t="str">
        <f>IF(A511&lt;&gt;"", SUMIF(Bets!$F:$F, A511, Bets!Z:Z), "")</f>
        <v/>
      </c>
      <c r="C511" s="162"/>
      <c r="D511" s="148"/>
      <c r="E511" s="161"/>
      <c r="F511" s="146" t="str">
        <f>IF(E511&lt;&gt;"", SUMIF(Bets!$F:$F, E511, Bets!AB:AB), "")</f>
        <v/>
      </c>
      <c r="G511" s="162"/>
      <c r="H511" s="148"/>
      <c r="I511" s="161"/>
      <c r="J511" s="146" t="str">
        <f>IF(I511&lt;&gt;"", SUMIF(Bets!$F:$F, I511, Bets!AA:AA), "")</f>
        <v/>
      </c>
      <c r="K511" s="162"/>
      <c r="L511" s="148"/>
      <c r="M511" s="161"/>
      <c r="N511" s="146"/>
      <c r="O511" s="162"/>
      <c r="P511" s="148"/>
      <c r="Q511" s="161"/>
      <c r="R511" s="146"/>
      <c r="S511" s="162"/>
      <c r="T511" s="148"/>
      <c r="U511" s="161"/>
      <c r="V511" s="146"/>
      <c r="W511" s="162"/>
      <c r="X511" s="148"/>
      <c r="Y511" s="161"/>
      <c r="Z511" s="146"/>
      <c r="AA511" s="162"/>
      <c r="AB511" s="148"/>
      <c r="AC511" s="161"/>
      <c r="AD511" s="146"/>
      <c r="AE511" s="162"/>
      <c r="AF511" s="148"/>
    </row>
    <row r="512">
      <c r="A512" s="161"/>
      <c r="B512" s="146" t="str">
        <f>IF(A512&lt;&gt;"", SUMIF(Bets!$F:$F, A512, Bets!Z:Z), "")</f>
        <v/>
      </c>
      <c r="C512" s="162"/>
      <c r="D512" s="148"/>
      <c r="E512" s="161"/>
      <c r="F512" s="146" t="str">
        <f>IF(E512&lt;&gt;"", SUMIF(Bets!$F:$F, E512, Bets!AB:AB), "")</f>
        <v/>
      </c>
      <c r="G512" s="162"/>
      <c r="H512" s="148"/>
      <c r="I512" s="161"/>
      <c r="J512" s="146" t="str">
        <f>IF(I512&lt;&gt;"", SUMIF(Bets!$F:$F, I512, Bets!AA:AA), "")</f>
        <v/>
      </c>
      <c r="K512" s="162"/>
      <c r="L512" s="148"/>
      <c r="M512" s="161"/>
      <c r="N512" s="146"/>
      <c r="O512" s="162"/>
      <c r="P512" s="148"/>
      <c r="Q512" s="161"/>
      <c r="R512" s="146"/>
      <c r="S512" s="162"/>
      <c r="T512" s="148"/>
      <c r="U512" s="161"/>
      <c r="V512" s="146"/>
      <c r="W512" s="162"/>
      <c r="X512" s="148"/>
      <c r="Y512" s="161"/>
      <c r="Z512" s="146"/>
      <c r="AA512" s="162"/>
      <c r="AB512" s="148"/>
      <c r="AC512" s="161"/>
      <c r="AD512" s="146"/>
      <c r="AE512" s="162"/>
      <c r="AF512" s="148"/>
    </row>
    <row r="513">
      <c r="A513" s="161"/>
      <c r="B513" s="146" t="str">
        <f>IF(A513&lt;&gt;"", SUMIF(Bets!$F:$F, A513, Bets!Z:Z), "")</f>
        <v/>
      </c>
      <c r="C513" s="162"/>
      <c r="D513" s="148"/>
      <c r="E513" s="161"/>
      <c r="F513" s="146" t="str">
        <f>IF(E513&lt;&gt;"", SUMIF(Bets!$F:$F, E513, Bets!AB:AB), "")</f>
        <v/>
      </c>
      <c r="G513" s="162"/>
      <c r="H513" s="148"/>
      <c r="I513" s="161"/>
      <c r="J513" s="146" t="str">
        <f>IF(I513&lt;&gt;"", SUMIF(Bets!$F:$F, I513, Bets!AA:AA), "")</f>
        <v/>
      </c>
      <c r="K513" s="162"/>
      <c r="L513" s="148"/>
      <c r="M513" s="161"/>
      <c r="N513" s="146"/>
      <c r="O513" s="162"/>
      <c r="P513" s="148"/>
      <c r="Q513" s="161"/>
      <c r="R513" s="146"/>
      <c r="S513" s="162"/>
      <c r="T513" s="148"/>
      <c r="U513" s="161"/>
      <c r="V513" s="146"/>
      <c r="W513" s="162"/>
      <c r="X513" s="148"/>
      <c r="Y513" s="161"/>
      <c r="Z513" s="146"/>
      <c r="AA513" s="162"/>
      <c r="AB513" s="148"/>
      <c r="AC513" s="161"/>
      <c r="AD513" s="146"/>
      <c r="AE513" s="162"/>
      <c r="AF513" s="148"/>
    </row>
    <row r="514">
      <c r="A514" s="161"/>
      <c r="B514" s="146" t="str">
        <f>IF(A514&lt;&gt;"", SUMIF(Bets!$F:$F, A514, Bets!Z:Z), "")</f>
        <v/>
      </c>
      <c r="C514" s="162"/>
      <c r="D514" s="148"/>
      <c r="E514" s="161"/>
      <c r="F514" s="146" t="str">
        <f>IF(E514&lt;&gt;"", SUMIF(Bets!$F:$F, E514, Bets!AB:AB), "")</f>
        <v/>
      </c>
      <c r="G514" s="162"/>
      <c r="H514" s="148"/>
      <c r="I514" s="161"/>
      <c r="J514" s="146" t="str">
        <f>IF(I514&lt;&gt;"", SUMIF(Bets!$F:$F, I514, Bets!AA:AA), "")</f>
        <v/>
      </c>
      <c r="K514" s="162"/>
      <c r="L514" s="148"/>
      <c r="M514" s="161"/>
      <c r="N514" s="146"/>
      <c r="O514" s="162"/>
      <c r="P514" s="148"/>
      <c r="Q514" s="161"/>
      <c r="R514" s="146"/>
      <c r="S514" s="162"/>
      <c r="T514" s="148"/>
      <c r="U514" s="161"/>
      <c r="V514" s="146"/>
      <c r="W514" s="162"/>
      <c r="X514" s="148"/>
      <c r="Y514" s="161"/>
      <c r="Z514" s="146"/>
      <c r="AA514" s="162"/>
      <c r="AB514" s="148"/>
      <c r="AC514" s="161"/>
      <c r="AD514" s="146"/>
      <c r="AE514" s="162"/>
      <c r="AF514" s="148"/>
    </row>
    <row r="515">
      <c r="A515" s="161"/>
      <c r="B515" s="146" t="str">
        <f>IF(A515&lt;&gt;"", SUMIF(Bets!$F:$F, A515, Bets!Z:Z), "")</f>
        <v/>
      </c>
      <c r="C515" s="162"/>
      <c r="D515" s="148"/>
      <c r="E515" s="161"/>
      <c r="F515" s="146" t="str">
        <f>IF(E515&lt;&gt;"", SUMIF(Bets!$F:$F, E515, Bets!AB:AB), "")</f>
        <v/>
      </c>
      <c r="G515" s="162"/>
      <c r="H515" s="148"/>
      <c r="I515" s="161"/>
      <c r="J515" s="146" t="str">
        <f>IF(I515&lt;&gt;"", SUMIF(Bets!$F:$F, I515, Bets!AA:AA), "")</f>
        <v/>
      </c>
      <c r="K515" s="162"/>
      <c r="L515" s="148"/>
      <c r="M515" s="161"/>
      <c r="N515" s="146"/>
      <c r="O515" s="162"/>
      <c r="P515" s="148"/>
      <c r="Q515" s="161"/>
      <c r="R515" s="146"/>
      <c r="S515" s="162"/>
      <c r="T515" s="148"/>
      <c r="U515" s="161"/>
      <c r="V515" s="146"/>
      <c r="W515" s="162"/>
      <c r="X515" s="148"/>
      <c r="Y515" s="161"/>
      <c r="Z515" s="146"/>
      <c r="AA515" s="162"/>
      <c r="AB515" s="148"/>
      <c r="AC515" s="161"/>
      <c r="AD515" s="146"/>
      <c r="AE515" s="162"/>
      <c r="AF515" s="148"/>
    </row>
    <row r="516">
      <c r="A516" s="161"/>
      <c r="B516" s="146" t="str">
        <f>IF(A516&lt;&gt;"", SUMIF(Bets!$F:$F, A516, Bets!Z:Z), "")</f>
        <v/>
      </c>
      <c r="C516" s="162"/>
      <c r="D516" s="148"/>
      <c r="E516" s="161"/>
      <c r="F516" s="146" t="str">
        <f>IF(E516&lt;&gt;"", SUMIF(Bets!$F:$F, E516, Bets!AB:AB), "")</f>
        <v/>
      </c>
      <c r="G516" s="162"/>
      <c r="H516" s="148"/>
      <c r="I516" s="161"/>
      <c r="J516" s="146" t="str">
        <f>IF(I516&lt;&gt;"", SUMIF(Bets!$F:$F, I516, Bets!AA:AA), "")</f>
        <v/>
      </c>
      <c r="K516" s="162"/>
      <c r="L516" s="148"/>
      <c r="M516" s="161"/>
      <c r="N516" s="146"/>
      <c r="O516" s="162"/>
      <c r="P516" s="148"/>
      <c r="Q516" s="161"/>
      <c r="R516" s="146"/>
      <c r="S516" s="162"/>
      <c r="T516" s="148"/>
      <c r="U516" s="161"/>
      <c r="V516" s="146"/>
      <c r="W516" s="162"/>
      <c r="X516" s="148"/>
      <c r="Y516" s="161"/>
      <c r="Z516" s="146"/>
      <c r="AA516" s="162"/>
      <c r="AB516" s="148"/>
      <c r="AC516" s="161"/>
      <c r="AD516" s="146"/>
      <c r="AE516" s="162"/>
      <c r="AF516" s="148"/>
    </row>
    <row r="517">
      <c r="A517" s="161"/>
      <c r="B517" s="146" t="str">
        <f>IF(A517&lt;&gt;"", SUMIF(Bets!$F:$F, A517, Bets!Z:Z), "")</f>
        <v/>
      </c>
      <c r="C517" s="162"/>
      <c r="D517" s="148"/>
      <c r="E517" s="161"/>
      <c r="F517" s="146" t="str">
        <f>IF(E517&lt;&gt;"", SUMIF(Bets!$F:$F, E517, Bets!AB:AB), "")</f>
        <v/>
      </c>
      <c r="G517" s="162"/>
      <c r="H517" s="148"/>
      <c r="I517" s="161"/>
      <c r="J517" s="146" t="str">
        <f>IF(I517&lt;&gt;"", SUMIF(Bets!$F:$F, I517, Bets!AA:AA), "")</f>
        <v/>
      </c>
      <c r="K517" s="162"/>
      <c r="L517" s="148"/>
      <c r="M517" s="161"/>
      <c r="N517" s="146"/>
      <c r="O517" s="162"/>
      <c r="P517" s="148"/>
      <c r="Q517" s="161"/>
      <c r="R517" s="146"/>
      <c r="S517" s="162"/>
      <c r="T517" s="148"/>
      <c r="U517" s="161"/>
      <c r="V517" s="146"/>
      <c r="W517" s="162"/>
      <c r="X517" s="148"/>
      <c r="Y517" s="161"/>
      <c r="Z517" s="146"/>
      <c r="AA517" s="162"/>
      <c r="AB517" s="148"/>
      <c r="AC517" s="161"/>
      <c r="AD517" s="146"/>
      <c r="AE517" s="162"/>
      <c r="AF517" s="148"/>
    </row>
    <row r="518">
      <c r="A518" s="161"/>
      <c r="B518" s="146" t="str">
        <f>IF(A518&lt;&gt;"", SUMIF(Bets!$F:$F, A518, Bets!Z:Z), "")</f>
        <v/>
      </c>
      <c r="C518" s="162"/>
      <c r="D518" s="148"/>
      <c r="E518" s="161"/>
      <c r="F518" s="146" t="str">
        <f>IF(E518&lt;&gt;"", SUMIF(Bets!$F:$F, E518, Bets!AB:AB), "")</f>
        <v/>
      </c>
      <c r="G518" s="162"/>
      <c r="H518" s="148"/>
      <c r="I518" s="161"/>
      <c r="J518" s="146" t="str">
        <f>IF(I518&lt;&gt;"", SUMIF(Bets!$F:$F, I518, Bets!AA:AA), "")</f>
        <v/>
      </c>
      <c r="K518" s="162"/>
      <c r="L518" s="148"/>
      <c r="M518" s="161"/>
      <c r="N518" s="146"/>
      <c r="O518" s="162"/>
      <c r="P518" s="148"/>
      <c r="Q518" s="161"/>
      <c r="R518" s="146"/>
      <c r="S518" s="162"/>
      <c r="T518" s="148"/>
      <c r="U518" s="161"/>
      <c r="V518" s="146"/>
      <c r="W518" s="162"/>
      <c r="X518" s="148"/>
      <c r="Y518" s="161"/>
      <c r="Z518" s="146"/>
      <c r="AA518" s="162"/>
      <c r="AB518" s="148"/>
      <c r="AC518" s="161"/>
      <c r="AD518" s="146"/>
      <c r="AE518" s="162"/>
      <c r="AF518" s="148"/>
    </row>
    <row r="519">
      <c r="A519" s="161"/>
      <c r="B519" s="146" t="str">
        <f>IF(A519&lt;&gt;"", SUMIF(Bets!$F:$F, A519, Bets!Z:Z), "")</f>
        <v/>
      </c>
      <c r="C519" s="162"/>
      <c r="D519" s="148"/>
      <c r="E519" s="161"/>
      <c r="F519" s="146" t="str">
        <f>IF(E519&lt;&gt;"", SUMIF(Bets!$F:$F, E519, Bets!AB:AB), "")</f>
        <v/>
      </c>
      <c r="G519" s="162"/>
      <c r="H519" s="148"/>
      <c r="I519" s="161"/>
      <c r="J519" s="146" t="str">
        <f>IF(I519&lt;&gt;"", SUMIF(Bets!$F:$F, I519, Bets!AA:AA), "")</f>
        <v/>
      </c>
      <c r="K519" s="162"/>
      <c r="L519" s="148"/>
      <c r="M519" s="161"/>
      <c r="N519" s="146"/>
      <c r="O519" s="162"/>
      <c r="P519" s="148"/>
      <c r="Q519" s="161"/>
      <c r="R519" s="146"/>
      <c r="S519" s="162"/>
      <c r="T519" s="148"/>
      <c r="U519" s="161"/>
      <c r="V519" s="146"/>
      <c r="W519" s="162"/>
      <c r="X519" s="148"/>
      <c r="Y519" s="161"/>
      <c r="Z519" s="146"/>
      <c r="AA519" s="162"/>
      <c r="AB519" s="148"/>
      <c r="AC519" s="161"/>
      <c r="AD519" s="146"/>
      <c r="AE519" s="162"/>
      <c r="AF519" s="148"/>
    </row>
    <row r="520">
      <c r="A520" s="161"/>
      <c r="B520" s="146" t="str">
        <f>IF(A520&lt;&gt;"", SUMIF(Bets!$F:$F, A520, Bets!Z:Z), "")</f>
        <v/>
      </c>
      <c r="C520" s="162"/>
      <c r="D520" s="148"/>
      <c r="E520" s="161"/>
      <c r="F520" s="146" t="str">
        <f>IF(E520&lt;&gt;"", SUMIF(Bets!$F:$F, E520, Bets!AB:AB), "")</f>
        <v/>
      </c>
      <c r="G520" s="162"/>
      <c r="H520" s="148"/>
      <c r="I520" s="161"/>
      <c r="J520" s="146" t="str">
        <f>IF(I520&lt;&gt;"", SUMIF(Bets!$F:$F, I520, Bets!AA:AA), "")</f>
        <v/>
      </c>
      <c r="K520" s="162"/>
      <c r="L520" s="148"/>
      <c r="M520" s="161"/>
      <c r="N520" s="146"/>
      <c r="O520" s="162"/>
      <c r="P520" s="148"/>
      <c r="Q520" s="161"/>
      <c r="R520" s="146"/>
      <c r="S520" s="162"/>
      <c r="T520" s="148"/>
      <c r="U520" s="161"/>
      <c r="V520" s="146"/>
      <c r="W520" s="162"/>
      <c r="X520" s="148"/>
      <c r="Y520" s="161"/>
      <c r="Z520" s="146"/>
      <c r="AA520" s="162"/>
      <c r="AB520" s="148"/>
      <c r="AC520" s="161"/>
      <c r="AD520" s="146"/>
      <c r="AE520" s="162"/>
      <c r="AF520" s="148"/>
    </row>
    <row r="521">
      <c r="A521" s="161"/>
      <c r="B521" s="146" t="str">
        <f>IF(A521&lt;&gt;"", SUMIF(Bets!$F:$F, A521, Bets!Z:Z), "")</f>
        <v/>
      </c>
      <c r="C521" s="162"/>
      <c r="D521" s="148"/>
      <c r="E521" s="161"/>
      <c r="F521" s="146" t="str">
        <f>IF(E521&lt;&gt;"", SUMIF(Bets!$F:$F, E521, Bets!AB:AB), "")</f>
        <v/>
      </c>
      <c r="G521" s="162"/>
      <c r="H521" s="148"/>
      <c r="I521" s="161"/>
      <c r="J521" s="146" t="str">
        <f>IF(I521&lt;&gt;"", SUMIF(Bets!$F:$F, I521, Bets!AA:AA), "")</f>
        <v/>
      </c>
      <c r="K521" s="162"/>
      <c r="L521" s="148"/>
      <c r="M521" s="161"/>
      <c r="N521" s="146"/>
      <c r="O521" s="162"/>
      <c r="P521" s="148"/>
      <c r="Q521" s="161"/>
      <c r="R521" s="146"/>
      <c r="S521" s="162"/>
      <c r="T521" s="148"/>
      <c r="U521" s="161"/>
      <c r="V521" s="146"/>
      <c r="W521" s="162"/>
      <c r="X521" s="148"/>
      <c r="Y521" s="161"/>
      <c r="Z521" s="146"/>
      <c r="AA521" s="162"/>
      <c r="AB521" s="148"/>
      <c r="AC521" s="161"/>
      <c r="AD521" s="146"/>
      <c r="AE521" s="162"/>
      <c r="AF521" s="148"/>
    </row>
    <row r="522">
      <c r="A522" s="161"/>
      <c r="B522" s="146" t="str">
        <f>IF(A522&lt;&gt;"", SUMIF(Bets!$F:$F, A522, Bets!Z:Z), "")</f>
        <v/>
      </c>
      <c r="C522" s="162"/>
      <c r="D522" s="148"/>
      <c r="E522" s="161"/>
      <c r="F522" s="146" t="str">
        <f>IF(E522&lt;&gt;"", SUMIF(Bets!$F:$F, E522, Bets!AB:AB), "")</f>
        <v/>
      </c>
      <c r="G522" s="162"/>
      <c r="H522" s="148"/>
      <c r="I522" s="161"/>
      <c r="J522" s="146" t="str">
        <f>IF(I522&lt;&gt;"", SUMIF(Bets!$F:$F, I522, Bets!AA:AA), "")</f>
        <v/>
      </c>
      <c r="K522" s="162"/>
      <c r="L522" s="148"/>
      <c r="M522" s="161"/>
      <c r="N522" s="146"/>
      <c r="O522" s="162"/>
      <c r="P522" s="148"/>
      <c r="Q522" s="161"/>
      <c r="R522" s="146"/>
      <c r="S522" s="162"/>
      <c r="T522" s="148"/>
      <c r="U522" s="161"/>
      <c r="V522" s="146"/>
      <c r="W522" s="162"/>
      <c r="X522" s="148"/>
      <c r="Y522" s="161"/>
      <c r="Z522" s="146"/>
      <c r="AA522" s="162"/>
      <c r="AB522" s="148"/>
      <c r="AC522" s="161"/>
      <c r="AD522" s="146"/>
      <c r="AE522" s="162"/>
      <c r="AF522" s="148"/>
    </row>
    <row r="523">
      <c r="A523" s="161"/>
      <c r="B523" s="146" t="str">
        <f>IF(A523&lt;&gt;"", SUMIF(Bets!$F:$F, A523, Bets!Z:Z), "")</f>
        <v/>
      </c>
      <c r="C523" s="162"/>
      <c r="D523" s="148"/>
      <c r="E523" s="161"/>
      <c r="F523" s="146" t="str">
        <f>IF(E523&lt;&gt;"", SUMIF(Bets!$F:$F, E523, Bets!AB:AB), "")</f>
        <v/>
      </c>
      <c r="G523" s="162"/>
      <c r="H523" s="148"/>
      <c r="I523" s="161"/>
      <c r="J523" s="146" t="str">
        <f>IF(I523&lt;&gt;"", SUMIF(Bets!$F:$F, I523, Bets!AA:AA), "")</f>
        <v/>
      </c>
      <c r="K523" s="162"/>
      <c r="L523" s="148"/>
      <c r="M523" s="161"/>
      <c r="N523" s="146"/>
      <c r="O523" s="162"/>
      <c r="P523" s="148"/>
      <c r="Q523" s="161"/>
      <c r="R523" s="146"/>
      <c r="S523" s="162"/>
      <c r="T523" s="148"/>
      <c r="U523" s="161"/>
      <c r="V523" s="146"/>
      <c r="W523" s="162"/>
      <c r="X523" s="148"/>
      <c r="Y523" s="161"/>
      <c r="Z523" s="146"/>
      <c r="AA523" s="162"/>
      <c r="AB523" s="148"/>
      <c r="AC523" s="161"/>
      <c r="AD523" s="146"/>
      <c r="AE523" s="162"/>
      <c r="AF523" s="148"/>
    </row>
    <row r="524">
      <c r="A524" s="161"/>
      <c r="B524" s="146" t="str">
        <f>IF(A524&lt;&gt;"", SUMIF(Bets!$F:$F, A524, Bets!Z:Z), "")</f>
        <v/>
      </c>
      <c r="C524" s="162"/>
      <c r="D524" s="148"/>
      <c r="E524" s="161"/>
      <c r="F524" s="146" t="str">
        <f>IF(E524&lt;&gt;"", SUMIF(Bets!$F:$F, E524, Bets!AB:AB), "")</f>
        <v/>
      </c>
      <c r="G524" s="162"/>
      <c r="H524" s="148"/>
      <c r="I524" s="161"/>
      <c r="J524" s="146" t="str">
        <f>IF(I524&lt;&gt;"", SUMIF(Bets!$F:$F, I524, Bets!AA:AA), "")</f>
        <v/>
      </c>
      <c r="K524" s="162"/>
      <c r="L524" s="148"/>
      <c r="M524" s="161"/>
      <c r="N524" s="146"/>
      <c r="O524" s="162"/>
      <c r="P524" s="148"/>
      <c r="Q524" s="161"/>
      <c r="R524" s="146"/>
      <c r="S524" s="162"/>
      <c r="T524" s="148"/>
      <c r="U524" s="161"/>
      <c r="V524" s="146"/>
      <c r="W524" s="162"/>
      <c r="X524" s="148"/>
      <c r="Y524" s="161"/>
      <c r="Z524" s="146"/>
      <c r="AA524" s="162"/>
      <c r="AB524" s="148"/>
      <c r="AC524" s="161"/>
      <c r="AD524" s="146"/>
      <c r="AE524" s="162"/>
      <c r="AF524" s="148"/>
    </row>
    <row r="525">
      <c r="A525" s="161"/>
      <c r="B525" s="146" t="str">
        <f>IF(A525&lt;&gt;"", SUMIF(Bets!$F:$F, A525, Bets!Z:Z), "")</f>
        <v/>
      </c>
      <c r="C525" s="162"/>
      <c r="D525" s="148"/>
      <c r="E525" s="161"/>
      <c r="F525" s="146" t="str">
        <f>IF(E525&lt;&gt;"", SUMIF(Bets!$F:$F, E525, Bets!AB:AB), "")</f>
        <v/>
      </c>
      <c r="G525" s="162"/>
      <c r="H525" s="148"/>
      <c r="I525" s="161"/>
      <c r="J525" s="146" t="str">
        <f>IF(I525&lt;&gt;"", SUMIF(Bets!$F:$F, I525, Bets!AA:AA), "")</f>
        <v/>
      </c>
      <c r="K525" s="162"/>
      <c r="L525" s="148"/>
      <c r="M525" s="161"/>
      <c r="N525" s="146"/>
      <c r="O525" s="162"/>
      <c r="P525" s="148"/>
      <c r="Q525" s="161"/>
      <c r="R525" s="146"/>
      <c r="S525" s="162"/>
      <c r="T525" s="148"/>
      <c r="U525" s="161"/>
      <c r="V525" s="146"/>
      <c r="W525" s="162"/>
      <c r="X525" s="148"/>
      <c r="Y525" s="161"/>
      <c r="Z525" s="146"/>
      <c r="AA525" s="162"/>
      <c r="AB525" s="148"/>
      <c r="AC525" s="161"/>
      <c r="AD525" s="146"/>
      <c r="AE525" s="162"/>
      <c r="AF525" s="148"/>
    </row>
    <row r="526">
      <c r="A526" s="161"/>
      <c r="B526" s="146" t="str">
        <f>IF(A526&lt;&gt;"", SUMIF(Bets!$F:$F, A526, Bets!Z:Z), "")</f>
        <v/>
      </c>
      <c r="C526" s="162"/>
      <c r="D526" s="148"/>
      <c r="E526" s="161"/>
      <c r="F526" s="146" t="str">
        <f>IF(E526&lt;&gt;"", SUMIF(Bets!$F:$F, E526, Bets!AB:AB), "")</f>
        <v/>
      </c>
      <c r="G526" s="162"/>
      <c r="H526" s="148"/>
      <c r="I526" s="161"/>
      <c r="J526" s="146" t="str">
        <f>IF(I526&lt;&gt;"", SUMIF(Bets!$F:$F, I526, Bets!AA:AA), "")</f>
        <v/>
      </c>
      <c r="K526" s="162"/>
      <c r="L526" s="148"/>
      <c r="M526" s="161"/>
      <c r="N526" s="146"/>
      <c r="O526" s="162"/>
      <c r="P526" s="148"/>
      <c r="Q526" s="161"/>
      <c r="R526" s="146"/>
      <c r="S526" s="162"/>
      <c r="T526" s="148"/>
      <c r="U526" s="161"/>
      <c r="V526" s="146"/>
      <c r="W526" s="162"/>
      <c r="X526" s="148"/>
      <c r="Y526" s="161"/>
      <c r="Z526" s="146"/>
      <c r="AA526" s="162"/>
      <c r="AB526" s="148"/>
      <c r="AC526" s="161"/>
      <c r="AD526" s="146"/>
      <c r="AE526" s="162"/>
      <c r="AF526" s="148"/>
    </row>
    <row r="527">
      <c r="A527" s="161"/>
      <c r="B527" s="146" t="str">
        <f>IF(A527&lt;&gt;"", SUMIF(Bets!$F:$F, A527, Bets!Z:Z), "")</f>
        <v/>
      </c>
      <c r="C527" s="162"/>
      <c r="D527" s="148"/>
      <c r="E527" s="161"/>
      <c r="F527" s="146" t="str">
        <f>IF(E527&lt;&gt;"", SUMIF(Bets!$F:$F, E527, Bets!AB:AB), "")</f>
        <v/>
      </c>
      <c r="G527" s="162"/>
      <c r="H527" s="148"/>
      <c r="I527" s="161"/>
      <c r="J527" s="146" t="str">
        <f>IF(I527&lt;&gt;"", SUMIF(Bets!$F:$F, I527, Bets!AA:AA), "")</f>
        <v/>
      </c>
      <c r="K527" s="162"/>
      <c r="L527" s="148"/>
      <c r="M527" s="161"/>
      <c r="N527" s="146"/>
      <c r="O527" s="162"/>
      <c r="P527" s="148"/>
      <c r="Q527" s="161"/>
      <c r="R527" s="146"/>
      <c r="S527" s="162"/>
      <c r="T527" s="148"/>
      <c r="U527" s="161"/>
      <c r="V527" s="146"/>
      <c r="W527" s="162"/>
      <c r="X527" s="148"/>
      <c r="Y527" s="161"/>
      <c r="Z527" s="146"/>
      <c r="AA527" s="162"/>
      <c r="AB527" s="148"/>
      <c r="AC527" s="161"/>
      <c r="AD527" s="146"/>
      <c r="AE527" s="162"/>
      <c r="AF527" s="148"/>
    </row>
    <row r="528">
      <c r="A528" s="161"/>
      <c r="B528" s="146" t="str">
        <f>IF(A528&lt;&gt;"", SUMIF(Bets!$F:$F, A528, Bets!Z:Z), "")</f>
        <v/>
      </c>
      <c r="C528" s="162"/>
      <c r="D528" s="148"/>
      <c r="E528" s="161"/>
      <c r="F528" s="146" t="str">
        <f>IF(E528&lt;&gt;"", SUMIF(Bets!$F:$F, E528, Bets!AB:AB), "")</f>
        <v/>
      </c>
      <c r="G528" s="162"/>
      <c r="H528" s="148"/>
      <c r="I528" s="161"/>
      <c r="J528" s="146" t="str">
        <f>IF(I528&lt;&gt;"", SUMIF(Bets!$F:$F, I528, Bets!AA:AA), "")</f>
        <v/>
      </c>
      <c r="K528" s="162"/>
      <c r="L528" s="148"/>
      <c r="M528" s="161"/>
      <c r="N528" s="146"/>
      <c r="O528" s="162"/>
      <c r="P528" s="148"/>
      <c r="Q528" s="161"/>
      <c r="R528" s="146"/>
      <c r="S528" s="162"/>
      <c r="T528" s="148"/>
      <c r="U528" s="161"/>
      <c r="V528" s="146"/>
      <c r="W528" s="162"/>
      <c r="X528" s="148"/>
      <c r="Y528" s="161"/>
      <c r="Z528" s="146"/>
      <c r="AA528" s="162"/>
      <c r="AB528" s="148"/>
      <c r="AC528" s="161"/>
      <c r="AD528" s="146"/>
      <c r="AE528" s="162"/>
      <c r="AF528" s="148"/>
    </row>
    <row r="529">
      <c r="A529" s="161"/>
      <c r="B529" s="146" t="str">
        <f>IF(A529&lt;&gt;"", SUMIF(Bets!$F:$F, A529, Bets!Z:Z), "")</f>
        <v/>
      </c>
      <c r="C529" s="162"/>
      <c r="D529" s="148"/>
      <c r="E529" s="161"/>
      <c r="F529" s="146" t="str">
        <f>IF(E529&lt;&gt;"", SUMIF(Bets!$F:$F, E529, Bets!AB:AB), "")</f>
        <v/>
      </c>
      <c r="G529" s="162"/>
      <c r="H529" s="148"/>
      <c r="I529" s="161"/>
      <c r="J529" s="146" t="str">
        <f>IF(I529&lt;&gt;"", SUMIF(Bets!$F:$F, I529, Bets!AA:AA), "")</f>
        <v/>
      </c>
      <c r="K529" s="162"/>
      <c r="L529" s="148"/>
      <c r="M529" s="161"/>
      <c r="N529" s="146"/>
      <c r="O529" s="162"/>
      <c r="P529" s="148"/>
      <c r="Q529" s="161"/>
      <c r="R529" s="146"/>
      <c r="S529" s="162"/>
      <c r="T529" s="148"/>
      <c r="U529" s="161"/>
      <c r="V529" s="146"/>
      <c r="W529" s="162"/>
      <c r="X529" s="148"/>
      <c r="Y529" s="161"/>
      <c r="Z529" s="146"/>
      <c r="AA529" s="162"/>
      <c r="AB529" s="148"/>
      <c r="AC529" s="161"/>
      <c r="AD529" s="146"/>
      <c r="AE529" s="162"/>
      <c r="AF529" s="148"/>
    </row>
    <row r="530">
      <c r="A530" s="161"/>
      <c r="B530" s="146" t="str">
        <f>IF(A530&lt;&gt;"", SUMIF(Bets!$F:$F, A530, Bets!Z:Z), "")</f>
        <v/>
      </c>
      <c r="C530" s="162"/>
      <c r="D530" s="148"/>
      <c r="E530" s="161"/>
      <c r="F530" s="146" t="str">
        <f>IF(E530&lt;&gt;"", SUMIF(Bets!$F:$F, E530, Bets!AB:AB), "")</f>
        <v/>
      </c>
      <c r="G530" s="162"/>
      <c r="H530" s="148"/>
      <c r="I530" s="161"/>
      <c r="J530" s="146" t="str">
        <f>IF(I530&lt;&gt;"", SUMIF(Bets!$F:$F, I530, Bets!AA:AA), "")</f>
        <v/>
      </c>
      <c r="K530" s="162"/>
      <c r="L530" s="148"/>
      <c r="M530" s="161"/>
      <c r="N530" s="146"/>
      <c r="O530" s="162"/>
      <c r="P530" s="148"/>
      <c r="Q530" s="161"/>
      <c r="R530" s="146"/>
      <c r="S530" s="162"/>
      <c r="T530" s="148"/>
      <c r="U530" s="161"/>
      <c r="V530" s="146"/>
      <c r="W530" s="162"/>
      <c r="X530" s="148"/>
      <c r="Y530" s="161"/>
      <c r="Z530" s="146"/>
      <c r="AA530" s="162"/>
      <c r="AB530" s="148"/>
      <c r="AC530" s="161"/>
      <c r="AD530" s="146"/>
      <c r="AE530" s="162"/>
      <c r="AF530" s="148"/>
    </row>
    <row r="531">
      <c r="A531" s="161"/>
      <c r="B531" s="146" t="str">
        <f>IF(A531&lt;&gt;"", SUMIF(Bets!$F:$F, A531, Bets!Z:Z), "")</f>
        <v/>
      </c>
      <c r="C531" s="162"/>
      <c r="D531" s="148"/>
      <c r="E531" s="161"/>
      <c r="F531" s="146" t="str">
        <f>IF(E531&lt;&gt;"", SUMIF(Bets!$F:$F, E531, Bets!AB:AB), "")</f>
        <v/>
      </c>
      <c r="G531" s="162"/>
      <c r="H531" s="148"/>
      <c r="I531" s="161"/>
      <c r="J531" s="146" t="str">
        <f>IF(I531&lt;&gt;"", SUMIF(Bets!$F:$F, I531, Bets!AA:AA), "")</f>
        <v/>
      </c>
      <c r="K531" s="162"/>
      <c r="L531" s="148"/>
      <c r="M531" s="161"/>
      <c r="N531" s="146"/>
      <c r="O531" s="162"/>
      <c r="P531" s="148"/>
      <c r="Q531" s="161"/>
      <c r="R531" s="146"/>
      <c r="S531" s="162"/>
      <c r="T531" s="148"/>
      <c r="U531" s="161"/>
      <c r="V531" s="146"/>
      <c r="W531" s="162"/>
      <c r="X531" s="148"/>
      <c r="Y531" s="161"/>
      <c r="Z531" s="146"/>
      <c r="AA531" s="162"/>
      <c r="AB531" s="148"/>
      <c r="AC531" s="161"/>
      <c r="AD531" s="146"/>
      <c r="AE531" s="162"/>
      <c r="AF531" s="148"/>
    </row>
    <row r="532">
      <c r="A532" s="161"/>
      <c r="B532" s="146" t="str">
        <f>IF(A532&lt;&gt;"", SUMIF(Bets!$F:$F, A532, Bets!Z:Z), "")</f>
        <v/>
      </c>
      <c r="C532" s="162"/>
      <c r="D532" s="148"/>
      <c r="E532" s="161"/>
      <c r="F532" s="146" t="str">
        <f>IF(E532&lt;&gt;"", SUMIF(Bets!$F:$F, E532, Bets!AB:AB), "")</f>
        <v/>
      </c>
      <c r="G532" s="162"/>
      <c r="H532" s="148"/>
      <c r="I532" s="161"/>
      <c r="J532" s="146" t="str">
        <f>IF(I532&lt;&gt;"", SUMIF(Bets!$F:$F, I532, Bets!AA:AA), "")</f>
        <v/>
      </c>
      <c r="K532" s="162"/>
      <c r="L532" s="148"/>
      <c r="M532" s="161"/>
      <c r="N532" s="146"/>
      <c r="O532" s="162"/>
      <c r="P532" s="148"/>
      <c r="Q532" s="161"/>
      <c r="R532" s="146"/>
      <c r="S532" s="162"/>
      <c r="T532" s="148"/>
      <c r="U532" s="161"/>
      <c r="V532" s="146"/>
      <c r="W532" s="162"/>
      <c r="X532" s="148"/>
      <c r="Y532" s="161"/>
      <c r="Z532" s="146"/>
      <c r="AA532" s="162"/>
      <c r="AB532" s="148"/>
      <c r="AC532" s="161"/>
      <c r="AD532" s="146"/>
      <c r="AE532" s="162"/>
      <c r="AF532" s="148"/>
    </row>
    <row r="533">
      <c r="A533" s="161"/>
      <c r="B533" s="146" t="str">
        <f>IF(A533&lt;&gt;"", SUMIF(Bets!$F:$F, A533, Bets!Z:Z), "")</f>
        <v/>
      </c>
      <c r="C533" s="162"/>
      <c r="D533" s="148"/>
      <c r="E533" s="161"/>
      <c r="F533" s="146" t="str">
        <f>IF(E533&lt;&gt;"", SUMIF(Bets!$F:$F, E533, Bets!AB:AB), "")</f>
        <v/>
      </c>
      <c r="G533" s="162"/>
      <c r="H533" s="148"/>
      <c r="I533" s="161"/>
      <c r="J533" s="146" t="str">
        <f>IF(I533&lt;&gt;"", SUMIF(Bets!$F:$F, I533, Bets!AA:AA), "")</f>
        <v/>
      </c>
      <c r="K533" s="162"/>
      <c r="L533" s="148"/>
      <c r="M533" s="161"/>
      <c r="N533" s="146"/>
      <c r="O533" s="162"/>
      <c r="P533" s="148"/>
      <c r="Q533" s="161"/>
      <c r="R533" s="146"/>
      <c r="S533" s="162"/>
      <c r="T533" s="148"/>
      <c r="U533" s="161"/>
      <c r="V533" s="146"/>
      <c r="W533" s="162"/>
      <c r="X533" s="148"/>
      <c r="Y533" s="161"/>
      <c r="Z533" s="146"/>
      <c r="AA533" s="162"/>
      <c r="AB533" s="148"/>
      <c r="AC533" s="161"/>
      <c r="AD533" s="146"/>
      <c r="AE533" s="162"/>
      <c r="AF533" s="148"/>
    </row>
    <row r="534">
      <c r="A534" s="161"/>
      <c r="B534" s="146" t="str">
        <f>IF(A534&lt;&gt;"", SUMIF(Bets!$F:$F, A534, Bets!Z:Z), "")</f>
        <v/>
      </c>
      <c r="C534" s="162"/>
      <c r="D534" s="148"/>
      <c r="E534" s="161"/>
      <c r="F534" s="146" t="str">
        <f>IF(E534&lt;&gt;"", SUMIF(Bets!$F:$F, E534, Bets!AB:AB), "")</f>
        <v/>
      </c>
      <c r="G534" s="162"/>
      <c r="H534" s="148"/>
      <c r="I534" s="161"/>
      <c r="J534" s="146" t="str">
        <f>IF(I534&lt;&gt;"", SUMIF(Bets!$F:$F, I534, Bets!AA:AA), "")</f>
        <v/>
      </c>
      <c r="K534" s="162"/>
      <c r="L534" s="148"/>
      <c r="M534" s="161"/>
      <c r="N534" s="146"/>
      <c r="O534" s="162"/>
      <c r="P534" s="148"/>
      <c r="Q534" s="161"/>
      <c r="R534" s="146"/>
      <c r="S534" s="162"/>
      <c r="T534" s="148"/>
      <c r="U534" s="161"/>
      <c r="V534" s="146"/>
      <c r="W534" s="162"/>
      <c r="X534" s="148"/>
      <c r="Y534" s="161"/>
      <c r="Z534" s="146"/>
      <c r="AA534" s="162"/>
      <c r="AB534" s="148"/>
      <c r="AC534" s="161"/>
      <c r="AD534" s="146"/>
      <c r="AE534" s="162"/>
      <c r="AF534" s="148"/>
    </row>
    <row r="535">
      <c r="A535" s="161"/>
      <c r="B535" s="146" t="str">
        <f>IF(A535&lt;&gt;"", SUMIF(Bets!$F:$F, A535, Bets!Z:Z), "")</f>
        <v/>
      </c>
      <c r="C535" s="162"/>
      <c r="D535" s="148"/>
      <c r="E535" s="161"/>
      <c r="F535" s="146" t="str">
        <f>IF(E535&lt;&gt;"", SUMIF(Bets!$F:$F, E535, Bets!AB:AB), "")</f>
        <v/>
      </c>
      <c r="G535" s="162"/>
      <c r="H535" s="148"/>
      <c r="I535" s="161"/>
      <c r="J535" s="146" t="str">
        <f>IF(I535&lt;&gt;"", SUMIF(Bets!$F:$F, I535, Bets!AA:AA), "")</f>
        <v/>
      </c>
      <c r="K535" s="162"/>
      <c r="L535" s="148"/>
      <c r="M535" s="161"/>
      <c r="N535" s="146"/>
      <c r="O535" s="162"/>
      <c r="P535" s="148"/>
      <c r="Q535" s="161"/>
      <c r="R535" s="146"/>
      <c r="S535" s="162"/>
      <c r="T535" s="148"/>
      <c r="U535" s="161"/>
      <c r="V535" s="146"/>
      <c r="W535" s="162"/>
      <c r="X535" s="148"/>
      <c r="Y535" s="161"/>
      <c r="Z535" s="146"/>
      <c r="AA535" s="162"/>
      <c r="AB535" s="148"/>
      <c r="AC535" s="161"/>
      <c r="AD535" s="146"/>
      <c r="AE535" s="162"/>
      <c r="AF535" s="148"/>
    </row>
    <row r="536">
      <c r="A536" s="161"/>
      <c r="B536" s="146" t="str">
        <f>IF(A536&lt;&gt;"", SUMIF(Bets!$F:$F, A536, Bets!Z:Z), "")</f>
        <v/>
      </c>
      <c r="C536" s="162"/>
      <c r="D536" s="148"/>
      <c r="E536" s="161"/>
      <c r="F536" s="146" t="str">
        <f>IF(E536&lt;&gt;"", SUMIF(Bets!$F:$F, E536, Bets!AB:AB), "")</f>
        <v/>
      </c>
      <c r="G536" s="162"/>
      <c r="H536" s="148"/>
      <c r="I536" s="161"/>
      <c r="J536" s="146" t="str">
        <f>IF(I536&lt;&gt;"", SUMIF(Bets!$F:$F, I536, Bets!AA:AA), "")</f>
        <v/>
      </c>
      <c r="K536" s="162"/>
      <c r="L536" s="148"/>
      <c r="M536" s="161"/>
      <c r="N536" s="146"/>
      <c r="O536" s="162"/>
      <c r="P536" s="148"/>
      <c r="Q536" s="161"/>
      <c r="R536" s="146"/>
      <c r="S536" s="162"/>
      <c r="T536" s="148"/>
      <c r="U536" s="161"/>
      <c r="V536" s="146"/>
      <c r="W536" s="162"/>
      <c r="X536" s="148"/>
      <c r="Y536" s="161"/>
      <c r="Z536" s="146"/>
      <c r="AA536" s="162"/>
      <c r="AB536" s="148"/>
      <c r="AC536" s="161"/>
      <c r="AD536" s="146"/>
      <c r="AE536" s="162"/>
      <c r="AF536" s="148"/>
    </row>
    <row r="537">
      <c r="A537" s="161"/>
      <c r="B537" s="146" t="str">
        <f>IF(A537&lt;&gt;"", SUMIF(Bets!$F:$F, A537, Bets!Z:Z), "")</f>
        <v/>
      </c>
      <c r="C537" s="162"/>
      <c r="D537" s="148"/>
      <c r="E537" s="161"/>
      <c r="F537" s="146" t="str">
        <f>IF(E537&lt;&gt;"", SUMIF(Bets!$F:$F, E537, Bets!AB:AB), "")</f>
        <v/>
      </c>
      <c r="G537" s="162"/>
      <c r="H537" s="148"/>
      <c r="I537" s="161"/>
      <c r="J537" s="146" t="str">
        <f>IF(I537&lt;&gt;"", SUMIF(Bets!$F:$F, I537, Bets!AA:AA), "")</f>
        <v/>
      </c>
      <c r="K537" s="162"/>
      <c r="L537" s="148"/>
      <c r="M537" s="161"/>
      <c r="N537" s="146"/>
      <c r="O537" s="162"/>
      <c r="P537" s="148"/>
      <c r="Q537" s="161"/>
      <c r="R537" s="146"/>
      <c r="S537" s="162"/>
      <c r="T537" s="148"/>
      <c r="U537" s="161"/>
      <c r="V537" s="146"/>
      <c r="W537" s="162"/>
      <c r="X537" s="148"/>
      <c r="Y537" s="161"/>
      <c r="Z537" s="146"/>
      <c r="AA537" s="162"/>
      <c r="AB537" s="148"/>
      <c r="AC537" s="161"/>
      <c r="AD537" s="146"/>
      <c r="AE537" s="162"/>
      <c r="AF537" s="148"/>
    </row>
    <row r="538">
      <c r="A538" s="161"/>
      <c r="B538" s="146" t="str">
        <f>IF(A538&lt;&gt;"", SUMIF(Bets!$F:$F, A538, Bets!Z:Z), "")</f>
        <v/>
      </c>
      <c r="C538" s="162"/>
      <c r="D538" s="148"/>
      <c r="E538" s="161"/>
      <c r="F538" s="146" t="str">
        <f>IF(E538&lt;&gt;"", SUMIF(Bets!$F:$F, E538, Bets!AB:AB), "")</f>
        <v/>
      </c>
      <c r="G538" s="162"/>
      <c r="H538" s="148"/>
      <c r="I538" s="161"/>
      <c r="J538" s="146" t="str">
        <f>IF(I538&lt;&gt;"", SUMIF(Bets!$F:$F, I538, Bets!AA:AA), "")</f>
        <v/>
      </c>
      <c r="K538" s="162"/>
      <c r="L538" s="148"/>
      <c r="M538" s="161"/>
      <c r="N538" s="146"/>
      <c r="O538" s="162"/>
      <c r="P538" s="148"/>
      <c r="Q538" s="161"/>
      <c r="R538" s="146"/>
      <c r="S538" s="162"/>
      <c r="T538" s="148"/>
      <c r="U538" s="161"/>
      <c r="V538" s="146"/>
      <c r="W538" s="162"/>
      <c r="X538" s="148"/>
      <c r="Y538" s="161"/>
      <c r="Z538" s="146"/>
      <c r="AA538" s="162"/>
      <c r="AB538" s="148"/>
      <c r="AC538" s="161"/>
      <c r="AD538" s="146"/>
      <c r="AE538" s="162"/>
      <c r="AF538" s="148"/>
    </row>
    <row r="539">
      <c r="A539" s="161"/>
      <c r="B539" s="146" t="str">
        <f>IF(A539&lt;&gt;"", SUMIF(Bets!$F:$F, A539, Bets!Z:Z), "")</f>
        <v/>
      </c>
      <c r="C539" s="162"/>
      <c r="D539" s="148"/>
      <c r="E539" s="161"/>
      <c r="F539" s="146" t="str">
        <f>IF(E539&lt;&gt;"", SUMIF(Bets!$F:$F, E539, Bets!AB:AB), "")</f>
        <v/>
      </c>
      <c r="G539" s="162"/>
      <c r="H539" s="148"/>
      <c r="I539" s="161"/>
      <c r="J539" s="146" t="str">
        <f>IF(I539&lt;&gt;"", SUMIF(Bets!$F:$F, I539, Bets!AA:AA), "")</f>
        <v/>
      </c>
      <c r="K539" s="162"/>
      <c r="L539" s="148"/>
      <c r="M539" s="161"/>
      <c r="N539" s="146"/>
      <c r="O539" s="162"/>
      <c r="P539" s="148"/>
      <c r="Q539" s="161"/>
      <c r="R539" s="146"/>
      <c r="S539" s="162"/>
      <c r="T539" s="148"/>
      <c r="U539" s="161"/>
      <c r="V539" s="146"/>
      <c r="W539" s="162"/>
      <c r="X539" s="148"/>
      <c r="Y539" s="161"/>
      <c r="Z539" s="146"/>
      <c r="AA539" s="162"/>
      <c r="AB539" s="148"/>
      <c r="AC539" s="161"/>
      <c r="AD539" s="146"/>
      <c r="AE539" s="162"/>
      <c r="AF539" s="148"/>
    </row>
    <row r="540">
      <c r="A540" s="161"/>
      <c r="B540" s="146" t="str">
        <f>IF(A540&lt;&gt;"", SUMIF(Bets!$F:$F, A540, Bets!Z:Z), "")</f>
        <v/>
      </c>
      <c r="C540" s="162"/>
      <c r="D540" s="148"/>
      <c r="E540" s="161"/>
      <c r="F540" s="146" t="str">
        <f>IF(E540&lt;&gt;"", SUMIF(Bets!$F:$F, E540, Bets!AB:AB), "")</f>
        <v/>
      </c>
      <c r="G540" s="162"/>
      <c r="H540" s="148"/>
      <c r="I540" s="161"/>
      <c r="J540" s="146" t="str">
        <f>IF(I540&lt;&gt;"", SUMIF(Bets!$F:$F, I540, Bets!AA:AA), "")</f>
        <v/>
      </c>
      <c r="K540" s="162"/>
      <c r="L540" s="148"/>
      <c r="M540" s="161"/>
      <c r="N540" s="146"/>
      <c r="O540" s="162"/>
      <c r="P540" s="148"/>
      <c r="Q540" s="161"/>
      <c r="R540" s="146"/>
      <c r="S540" s="162"/>
      <c r="T540" s="148"/>
      <c r="U540" s="161"/>
      <c r="V540" s="146"/>
      <c r="W540" s="162"/>
      <c r="X540" s="148"/>
      <c r="Y540" s="161"/>
      <c r="Z540" s="146"/>
      <c r="AA540" s="162"/>
      <c r="AB540" s="148"/>
      <c r="AC540" s="161"/>
      <c r="AD540" s="146"/>
      <c r="AE540" s="162"/>
      <c r="AF540" s="148"/>
    </row>
    <row r="541">
      <c r="A541" s="161"/>
      <c r="B541" s="146" t="str">
        <f>IF(A541&lt;&gt;"", SUMIF(Bets!$F:$F, A541, Bets!Z:Z), "")</f>
        <v/>
      </c>
      <c r="C541" s="162"/>
      <c r="D541" s="148"/>
      <c r="E541" s="161"/>
      <c r="F541" s="146" t="str">
        <f>IF(E541&lt;&gt;"", SUMIF(Bets!$F:$F, E541, Bets!AB:AB), "")</f>
        <v/>
      </c>
      <c r="G541" s="162"/>
      <c r="H541" s="148"/>
      <c r="I541" s="161"/>
      <c r="J541" s="146" t="str">
        <f>IF(I541&lt;&gt;"", SUMIF(Bets!$F:$F, I541, Bets!AA:AA), "")</f>
        <v/>
      </c>
      <c r="K541" s="162"/>
      <c r="L541" s="148"/>
      <c r="M541" s="161"/>
      <c r="N541" s="146"/>
      <c r="O541" s="162"/>
      <c r="P541" s="148"/>
      <c r="Q541" s="161"/>
      <c r="R541" s="146"/>
      <c r="S541" s="162"/>
      <c r="T541" s="148"/>
      <c r="U541" s="161"/>
      <c r="V541" s="146"/>
      <c r="W541" s="162"/>
      <c r="X541" s="148"/>
      <c r="Y541" s="161"/>
      <c r="Z541" s="146"/>
      <c r="AA541" s="162"/>
      <c r="AB541" s="148"/>
      <c r="AC541" s="161"/>
      <c r="AD541" s="146"/>
      <c r="AE541" s="162"/>
      <c r="AF541" s="148"/>
    </row>
    <row r="542">
      <c r="A542" s="161"/>
      <c r="B542" s="146" t="str">
        <f>IF(A542&lt;&gt;"", SUMIF(Bets!$F:$F, A542, Bets!Z:Z), "")</f>
        <v/>
      </c>
      <c r="C542" s="162"/>
      <c r="D542" s="148"/>
      <c r="E542" s="161"/>
      <c r="F542" s="146" t="str">
        <f>IF(E542&lt;&gt;"", SUMIF(Bets!$F:$F, E542, Bets!AB:AB), "")</f>
        <v/>
      </c>
      <c r="G542" s="162"/>
      <c r="H542" s="148"/>
      <c r="I542" s="161"/>
      <c r="J542" s="146" t="str">
        <f>IF(I542&lt;&gt;"", SUMIF(Bets!$F:$F, I542, Bets!AA:AA), "")</f>
        <v/>
      </c>
      <c r="K542" s="162"/>
      <c r="L542" s="148"/>
      <c r="M542" s="161"/>
      <c r="N542" s="146"/>
      <c r="O542" s="162"/>
      <c r="P542" s="148"/>
      <c r="Q542" s="161"/>
      <c r="R542" s="146"/>
      <c r="S542" s="162"/>
      <c r="T542" s="148"/>
      <c r="U542" s="161"/>
      <c r="V542" s="146"/>
      <c r="W542" s="162"/>
      <c r="X542" s="148"/>
      <c r="Y542" s="161"/>
      <c r="Z542" s="146"/>
      <c r="AA542" s="162"/>
      <c r="AB542" s="148"/>
      <c r="AC542" s="161"/>
      <c r="AD542" s="146"/>
      <c r="AE542" s="162"/>
      <c r="AF542" s="148"/>
    </row>
    <row r="543">
      <c r="A543" s="161"/>
      <c r="B543" s="146" t="str">
        <f>IF(A543&lt;&gt;"", SUMIF(Bets!$F:$F, A543, Bets!Z:Z), "")</f>
        <v/>
      </c>
      <c r="C543" s="162"/>
      <c r="D543" s="148"/>
      <c r="E543" s="161"/>
      <c r="F543" s="146" t="str">
        <f>IF(E543&lt;&gt;"", SUMIF(Bets!$F:$F, E543, Bets!AB:AB), "")</f>
        <v/>
      </c>
      <c r="G543" s="162"/>
      <c r="H543" s="148"/>
      <c r="I543" s="161"/>
      <c r="J543" s="146" t="str">
        <f>IF(I543&lt;&gt;"", SUMIF(Bets!$F:$F, I543, Bets!AA:AA), "")</f>
        <v/>
      </c>
      <c r="K543" s="162"/>
      <c r="L543" s="148"/>
      <c r="M543" s="161"/>
      <c r="N543" s="146"/>
      <c r="O543" s="162"/>
      <c r="P543" s="148"/>
      <c r="Q543" s="161"/>
      <c r="R543" s="146"/>
      <c r="S543" s="162"/>
      <c r="T543" s="148"/>
      <c r="U543" s="161"/>
      <c r="V543" s="146"/>
      <c r="W543" s="162"/>
      <c r="X543" s="148"/>
      <c r="Y543" s="161"/>
      <c r="Z543" s="146"/>
      <c r="AA543" s="162"/>
      <c r="AB543" s="148"/>
      <c r="AC543" s="161"/>
      <c r="AD543" s="146"/>
      <c r="AE543" s="162"/>
      <c r="AF543" s="148"/>
    </row>
    <row r="544">
      <c r="A544" s="161"/>
      <c r="B544" s="146" t="str">
        <f>IF(A544&lt;&gt;"", SUMIF(Bets!$F:$F, A544, Bets!Z:Z), "")</f>
        <v/>
      </c>
      <c r="C544" s="162"/>
      <c r="D544" s="148"/>
      <c r="E544" s="161"/>
      <c r="F544" s="146" t="str">
        <f>IF(E544&lt;&gt;"", SUMIF(Bets!$F:$F, E544, Bets!AB:AB), "")</f>
        <v/>
      </c>
      <c r="G544" s="162"/>
      <c r="H544" s="148"/>
      <c r="I544" s="161"/>
      <c r="J544" s="146" t="str">
        <f>IF(I544&lt;&gt;"", SUMIF(Bets!$F:$F, I544, Bets!AA:AA), "")</f>
        <v/>
      </c>
      <c r="K544" s="162"/>
      <c r="L544" s="148"/>
      <c r="M544" s="161"/>
      <c r="N544" s="146"/>
      <c r="O544" s="162"/>
      <c r="P544" s="148"/>
      <c r="Q544" s="161"/>
      <c r="R544" s="146"/>
      <c r="S544" s="162"/>
      <c r="T544" s="148"/>
      <c r="U544" s="161"/>
      <c r="V544" s="146"/>
      <c r="W544" s="162"/>
      <c r="X544" s="148"/>
      <c r="Y544" s="161"/>
      <c r="Z544" s="146"/>
      <c r="AA544" s="162"/>
      <c r="AB544" s="148"/>
      <c r="AC544" s="161"/>
      <c r="AD544" s="146"/>
      <c r="AE544" s="162"/>
      <c r="AF544" s="148"/>
    </row>
    <row r="545">
      <c r="A545" s="161"/>
      <c r="B545" s="146" t="str">
        <f>IF(A545&lt;&gt;"", SUMIF(Bets!$F:$F, A545, Bets!Z:Z), "")</f>
        <v/>
      </c>
      <c r="C545" s="162"/>
      <c r="D545" s="148"/>
      <c r="E545" s="161"/>
      <c r="F545" s="146" t="str">
        <f>IF(E545&lt;&gt;"", SUMIF(Bets!$F:$F, E545, Bets!AB:AB), "")</f>
        <v/>
      </c>
      <c r="G545" s="162"/>
      <c r="H545" s="148"/>
      <c r="I545" s="161"/>
      <c r="J545" s="146" t="str">
        <f>IF(I545&lt;&gt;"", SUMIF(Bets!$F:$F, I545, Bets!AA:AA), "")</f>
        <v/>
      </c>
      <c r="K545" s="162"/>
      <c r="L545" s="148"/>
      <c r="M545" s="161"/>
      <c r="N545" s="146"/>
      <c r="O545" s="162"/>
      <c r="P545" s="148"/>
      <c r="Q545" s="161"/>
      <c r="R545" s="146"/>
      <c r="S545" s="162"/>
      <c r="T545" s="148"/>
      <c r="U545" s="161"/>
      <c r="V545" s="146"/>
      <c r="W545" s="162"/>
      <c r="X545" s="148"/>
      <c r="Y545" s="161"/>
      <c r="Z545" s="146"/>
      <c r="AA545" s="162"/>
      <c r="AB545" s="148"/>
      <c r="AC545" s="161"/>
      <c r="AD545" s="146"/>
      <c r="AE545" s="162"/>
      <c r="AF545" s="148"/>
    </row>
    <row r="546">
      <c r="A546" s="161"/>
      <c r="B546" s="146" t="str">
        <f>IF(A546&lt;&gt;"", SUMIF(Bets!$F:$F, A546, Bets!Z:Z), "")</f>
        <v/>
      </c>
      <c r="C546" s="162"/>
      <c r="D546" s="148"/>
      <c r="E546" s="161"/>
      <c r="F546" s="146" t="str">
        <f>IF(E546&lt;&gt;"", SUMIF(Bets!$F:$F, E546, Bets!AB:AB), "")</f>
        <v/>
      </c>
      <c r="G546" s="162"/>
      <c r="H546" s="148"/>
      <c r="I546" s="161"/>
      <c r="J546" s="146" t="str">
        <f>IF(I546&lt;&gt;"", SUMIF(Bets!$F:$F, I546, Bets!AA:AA), "")</f>
        <v/>
      </c>
      <c r="K546" s="162"/>
      <c r="L546" s="148"/>
      <c r="M546" s="161"/>
      <c r="N546" s="146"/>
      <c r="O546" s="162"/>
      <c r="P546" s="148"/>
      <c r="Q546" s="161"/>
      <c r="R546" s="146"/>
      <c r="S546" s="162"/>
      <c r="T546" s="148"/>
      <c r="U546" s="161"/>
      <c r="V546" s="146"/>
      <c r="W546" s="162"/>
      <c r="X546" s="148"/>
      <c r="Y546" s="161"/>
      <c r="Z546" s="146"/>
      <c r="AA546" s="162"/>
      <c r="AB546" s="148"/>
      <c r="AC546" s="161"/>
      <c r="AD546" s="146"/>
      <c r="AE546" s="162"/>
      <c r="AF546" s="148"/>
    </row>
    <row r="547">
      <c r="A547" s="161"/>
      <c r="B547" s="146" t="str">
        <f>IF(A547&lt;&gt;"", SUMIF(Bets!$F:$F, A547, Bets!Z:Z), "")</f>
        <v/>
      </c>
      <c r="C547" s="162"/>
      <c r="D547" s="148"/>
      <c r="E547" s="161"/>
      <c r="F547" s="146" t="str">
        <f>IF(E547&lt;&gt;"", SUMIF(Bets!$F:$F, E547, Bets!AB:AB), "")</f>
        <v/>
      </c>
      <c r="G547" s="162"/>
      <c r="H547" s="148"/>
      <c r="I547" s="161"/>
      <c r="J547" s="146" t="str">
        <f>IF(I547&lt;&gt;"", SUMIF(Bets!$F:$F, I547, Bets!AA:AA), "")</f>
        <v/>
      </c>
      <c r="K547" s="162"/>
      <c r="L547" s="148"/>
      <c r="M547" s="161"/>
      <c r="N547" s="146"/>
      <c r="O547" s="162"/>
      <c r="P547" s="148"/>
      <c r="Q547" s="161"/>
      <c r="R547" s="146"/>
      <c r="S547" s="162"/>
      <c r="T547" s="148"/>
      <c r="U547" s="161"/>
      <c r="V547" s="146"/>
      <c r="W547" s="162"/>
      <c r="X547" s="148"/>
      <c r="Y547" s="161"/>
      <c r="Z547" s="146"/>
      <c r="AA547" s="162"/>
      <c r="AB547" s="148"/>
      <c r="AC547" s="161"/>
      <c r="AD547" s="146"/>
      <c r="AE547" s="162"/>
      <c r="AF547" s="148"/>
    </row>
    <row r="548">
      <c r="A548" s="161"/>
      <c r="B548" s="146" t="str">
        <f>IF(A548&lt;&gt;"", SUMIF(Bets!$F:$F, A548, Bets!Z:Z), "")</f>
        <v/>
      </c>
      <c r="C548" s="162"/>
      <c r="D548" s="148"/>
      <c r="E548" s="161"/>
      <c r="F548" s="146" t="str">
        <f>IF(E548&lt;&gt;"", SUMIF(Bets!$F:$F, E548, Bets!AB:AB), "")</f>
        <v/>
      </c>
      <c r="G548" s="162"/>
      <c r="H548" s="148"/>
      <c r="I548" s="161"/>
      <c r="J548" s="146" t="str">
        <f>IF(I548&lt;&gt;"", SUMIF(Bets!$F:$F, I548, Bets!AA:AA), "")</f>
        <v/>
      </c>
      <c r="K548" s="162"/>
      <c r="L548" s="148"/>
      <c r="M548" s="161"/>
      <c r="N548" s="146"/>
      <c r="O548" s="162"/>
      <c r="P548" s="148"/>
      <c r="Q548" s="161"/>
      <c r="R548" s="146"/>
      <c r="S548" s="162"/>
      <c r="T548" s="148"/>
      <c r="U548" s="161"/>
      <c r="V548" s="146"/>
      <c r="W548" s="162"/>
      <c r="X548" s="148"/>
      <c r="Y548" s="161"/>
      <c r="Z548" s="146"/>
      <c r="AA548" s="162"/>
      <c r="AB548" s="148"/>
      <c r="AC548" s="161"/>
      <c r="AD548" s="146"/>
      <c r="AE548" s="162"/>
      <c r="AF548" s="148"/>
    </row>
    <row r="549">
      <c r="A549" s="161"/>
      <c r="B549" s="146" t="str">
        <f>IF(A549&lt;&gt;"", SUMIF(Bets!$F:$F, A549, Bets!Z:Z), "")</f>
        <v/>
      </c>
      <c r="C549" s="162"/>
      <c r="D549" s="148"/>
      <c r="E549" s="161"/>
      <c r="F549" s="146" t="str">
        <f>IF(E549&lt;&gt;"", SUMIF(Bets!$F:$F, E549, Bets!AB:AB), "")</f>
        <v/>
      </c>
      <c r="G549" s="162"/>
      <c r="H549" s="148"/>
      <c r="I549" s="161"/>
      <c r="J549" s="146" t="str">
        <f>IF(I549&lt;&gt;"", SUMIF(Bets!$F:$F, I549, Bets!AA:AA), "")</f>
        <v/>
      </c>
      <c r="K549" s="162"/>
      <c r="L549" s="148"/>
      <c r="M549" s="161"/>
      <c r="N549" s="146"/>
      <c r="O549" s="162"/>
      <c r="P549" s="148"/>
      <c r="Q549" s="161"/>
      <c r="R549" s="146"/>
      <c r="S549" s="162"/>
      <c r="T549" s="148"/>
      <c r="U549" s="161"/>
      <c r="V549" s="146"/>
      <c r="W549" s="162"/>
      <c r="X549" s="148"/>
      <c r="Y549" s="161"/>
      <c r="Z549" s="146"/>
      <c r="AA549" s="162"/>
      <c r="AB549" s="148"/>
      <c r="AC549" s="161"/>
      <c r="AD549" s="146"/>
      <c r="AE549" s="162"/>
      <c r="AF549" s="148"/>
    </row>
    <row r="550">
      <c r="A550" s="161"/>
      <c r="B550" s="146" t="str">
        <f>IF(A550&lt;&gt;"", SUMIF(Bets!$F:$F, A550, Bets!Z:Z), "")</f>
        <v/>
      </c>
      <c r="C550" s="162"/>
      <c r="D550" s="148"/>
      <c r="E550" s="161"/>
      <c r="F550" s="146" t="str">
        <f>IF(E550&lt;&gt;"", SUMIF(Bets!$F:$F, E550, Bets!AB:AB), "")</f>
        <v/>
      </c>
      <c r="G550" s="162"/>
      <c r="H550" s="148"/>
      <c r="I550" s="161"/>
      <c r="J550" s="146" t="str">
        <f>IF(I550&lt;&gt;"", SUMIF(Bets!$F:$F, I550, Bets!AA:AA), "")</f>
        <v/>
      </c>
      <c r="K550" s="162"/>
      <c r="L550" s="148"/>
      <c r="M550" s="161"/>
      <c r="N550" s="146"/>
      <c r="O550" s="162"/>
      <c r="P550" s="148"/>
      <c r="Q550" s="161"/>
      <c r="R550" s="146"/>
      <c r="S550" s="162"/>
      <c r="T550" s="148"/>
      <c r="U550" s="161"/>
      <c r="V550" s="146"/>
      <c r="W550" s="162"/>
      <c r="X550" s="148"/>
      <c r="Y550" s="161"/>
      <c r="Z550" s="146"/>
      <c r="AA550" s="162"/>
      <c r="AB550" s="148"/>
      <c r="AC550" s="161"/>
      <c r="AD550" s="146"/>
      <c r="AE550" s="162"/>
      <c r="AF550" s="148"/>
    </row>
    <row r="551">
      <c r="A551" s="161"/>
      <c r="B551" s="146" t="str">
        <f>IF(A551&lt;&gt;"", SUMIF(Bets!$F:$F, A551, Bets!Z:Z), "")</f>
        <v/>
      </c>
      <c r="C551" s="162"/>
      <c r="D551" s="148"/>
      <c r="E551" s="161"/>
      <c r="F551" s="146" t="str">
        <f>IF(E551&lt;&gt;"", SUMIF(Bets!$F:$F, E551, Bets!AB:AB), "")</f>
        <v/>
      </c>
      <c r="G551" s="162"/>
      <c r="H551" s="148"/>
      <c r="I551" s="161"/>
      <c r="J551" s="146" t="str">
        <f>IF(I551&lt;&gt;"", SUMIF(Bets!$F:$F, I551, Bets!AA:AA), "")</f>
        <v/>
      </c>
      <c r="K551" s="162"/>
      <c r="L551" s="148"/>
      <c r="M551" s="161"/>
      <c r="N551" s="146"/>
      <c r="O551" s="162"/>
      <c r="P551" s="148"/>
      <c r="Q551" s="161"/>
      <c r="R551" s="146"/>
      <c r="S551" s="162"/>
      <c r="T551" s="148"/>
      <c r="U551" s="161"/>
      <c r="V551" s="146"/>
      <c r="W551" s="162"/>
      <c r="X551" s="148"/>
      <c r="Y551" s="161"/>
      <c r="Z551" s="146"/>
      <c r="AA551" s="162"/>
      <c r="AB551" s="148"/>
      <c r="AC551" s="161"/>
      <c r="AD551" s="146"/>
      <c r="AE551" s="162"/>
      <c r="AF551" s="148"/>
    </row>
    <row r="552">
      <c r="A552" s="161"/>
      <c r="B552" s="146" t="str">
        <f>IF(A552&lt;&gt;"", SUMIF(Bets!$F:$F, A552, Bets!Z:Z), "")</f>
        <v/>
      </c>
      <c r="C552" s="162"/>
      <c r="D552" s="148"/>
      <c r="E552" s="161"/>
      <c r="F552" s="146" t="str">
        <f>IF(E552&lt;&gt;"", SUMIF(Bets!$F:$F, E552, Bets!AB:AB), "")</f>
        <v/>
      </c>
      <c r="G552" s="162"/>
      <c r="H552" s="148"/>
      <c r="I552" s="161"/>
      <c r="J552" s="146" t="str">
        <f>IF(I552&lt;&gt;"", SUMIF(Bets!$F:$F, I552, Bets!AA:AA), "")</f>
        <v/>
      </c>
      <c r="K552" s="162"/>
      <c r="L552" s="148"/>
      <c r="M552" s="161"/>
      <c r="N552" s="146"/>
      <c r="O552" s="162"/>
      <c r="P552" s="148"/>
      <c r="Q552" s="161"/>
      <c r="R552" s="146"/>
      <c r="S552" s="162"/>
      <c r="T552" s="148"/>
      <c r="U552" s="161"/>
      <c r="V552" s="146"/>
      <c r="W552" s="162"/>
      <c r="X552" s="148"/>
      <c r="Y552" s="161"/>
      <c r="Z552" s="146"/>
      <c r="AA552" s="162"/>
      <c r="AB552" s="148"/>
      <c r="AC552" s="161"/>
      <c r="AD552" s="146"/>
      <c r="AE552" s="162"/>
      <c r="AF552" s="148"/>
    </row>
    <row r="553">
      <c r="A553" s="161"/>
      <c r="B553" s="146" t="str">
        <f>IF(A553&lt;&gt;"", SUMIF(Bets!$F:$F, A553, Bets!Z:Z), "")</f>
        <v/>
      </c>
      <c r="C553" s="162"/>
      <c r="D553" s="148"/>
      <c r="E553" s="161"/>
      <c r="F553" s="146" t="str">
        <f>IF(E553&lt;&gt;"", SUMIF(Bets!$F:$F, E553, Bets!AB:AB), "")</f>
        <v/>
      </c>
      <c r="G553" s="162"/>
      <c r="H553" s="148"/>
      <c r="I553" s="161"/>
      <c r="J553" s="146" t="str">
        <f>IF(I553&lt;&gt;"", SUMIF(Bets!$F:$F, I553, Bets!AA:AA), "")</f>
        <v/>
      </c>
      <c r="K553" s="162"/>
      <c r="L553" s="148"/>
      <c r="M553" s="161"/>
      <c r="N553" s="146"/>
      <c r="O553" s="162"/>
      <c r="P553" s="148"/>
      <c r="Q553" s="161"/>
      <c r="R553" s="146"/>
      <c r="S553" s="162"/>
      <c r="T553" s="148"/>
      <c r="U553" s="161"/>
      <c r="V553" s="146"/>
      <c r="W553" s="162"/>
      <c r="X553" s="148"/>
      <c r="Y553" s="161"/>
      <c r="Z553" s="146"/>
      <c r="AA553" s="162"/>
      <c r="AB553" s="148"/>
      <c r="AC553" s="161"/>
      <c r="AD553" s="146"/>
      <c r="AE553" s="162"/>
      <c r="AF553" s="148"/>
    </row>
    <row r="554">
      <c r="A554" s="161"/>
      <c r="B554" s="146" t="str">
        <f>IF(A554&lt;&gt;"", SUMIF(Bets!$F:$F, A554, Bets!Z:Z), "")</f>
        <v/>
      </c>
      <c r="C554" s="162"/>
      <c r="D554" s="148"/>
      <c r="E554" s="161"/>
      <c r="F554" s="146" t="str">
        <f>IF(E554&lt;&gt;"", SUMIF(Bets!$F:$F, E554, Bets!AB:AB), "")</f>
        <v/>
      </c>
      <c r="G554" s="162"/>
      <c r="H554" s="148"/>
      <c r="I554" s="161"/>
      <c r="J554" s="146" t="str">
        <f>IF(I554&lt;&gt;"", SUMIF(Bets!$F:$F, I554, Bets!AA:AA), "")</f>
        <v/>
      </c>
      <c r="K554" s="162"/>
      <c r="L554" s="148"/>
      <c r="M554" s="161"/>
      <c r="N554" s="146"/>
      <c r="O554" s="162"/>
      <c r="P554" s="148"/>
      <c r="Q554" s="161"/>
      <c r="R554" s="146"/>
      <c r="S554" s="162"/>
      <c r="T554" s="148"/>
      <c r="U554" s="161"/>
      <c r="V554" s="146"/>
      <c r="W554" s="162"/>
      <c r="X554" s="148"/>
      <c r="Y554" s="161"/>
      <c r="Z554" s="146"/>
      <c r="AA554" s="162"/>
      <c r="AB554" s="148"/>
      <c r="AC554" s="161"/>
      <c r="AD554" s="146"/>
      <c r="AE554" s="162"/>
      <c r="AF554" s="148"/>
    </row>
    <row r="555">
      <c r="A555" s="161"/>
      <c r="B555" s="146" t="str">
        <f>IF(A555&lt;&gt;"", SUMIF(Bets!$F:$F, A555, Bets!Z:Z), "")</f>
        <v/>
      </c>
      <c r="C555" s="162"/>
      <c r="D555" s="148"/>
      <c r="E555" s="161"/>
      <c r="F555" s="146" t="str">
        <f>IF(E555&lt;&gt;"", SUMIF(Bets!$F:$F, E555, Bets!AB:AB), "")</f>
        <v/>
      </c>
      <c r="G555" s="162"/>
      <c r="H555" s="148"/>
      <c r="I555" s="161"/>
      <c r="J555" s="146" t="str">
        <f>IF(I555&lt;&gt;"", SUMIF(Bets!$F:$F, I555, Bets!AA:AA), "")</f>
        <v/>
      </c>
      <c r="K555" s="162"/>
      <c r="L555" s="148"/>
      <c r="M555" s="161"/>
      <c r="N555" s="146"/>
      <c r="O555" s="162"/>
      <c r="P555" s="148"/>
      <c r="Q555" s="161"/>
      <c r="R555" s="146"/>
      <c r="S555" s="162"/>
      <c r="T555" s="148"/>
      <c r="U555" s="161"/>
      <c r="V555" s="146"/>
      <c r="W555" s="162"/>
      <c r="X555" s="148"/>
      <c r="Y555" s="161"/>
      <c r="Z555" s="146"/>
      <c r="AA555" s="162"/>
      <c r="AB555" s="148"/>
      <c r="AC555" s="161"/>
      <c r="AD555" s="146"/>
      <c r="AE555" s="162"/>
      <c r="AF555" s="148"/>
    </row>
    <row r="556">
      <c r="A556" s="161"/>
      <c r="B556" s="146" t="str">
        <f>IF(A556&lt;&gt;"", SUMIF(Bets!$F:$F, A556, Bets!Z:Z), "")</f>
        <v/>
      </c>
      <c r="C556" s="162"/>
      <c r="D556" s="148"/>
      <c r="E556" s="161"/>
      <c r="F556" s="146" t="str">
        <f>IF(E556&lt;&gt;"", SUMIF(Bets!$F:$F, E556, Bets!AB:AB), "")</f>
        <v/>
      </c>
      <c r="G556" s="162"/>
      <c r="H556" s="148"/>
      <c r="I556" s="161"/>
      <c r="J556" s="146" t="str">
        <f>IF(I556&lt;&gt;"", SUMIF(Bets!$F:$F, I556, Bets!AA:AA), "")</f>
        <v/>
      </c>
      <c r="K556" s="162"/>
      <c r="L556" s="148"/>
      <c r="M556" s="161"/>
      <c r="N556" s="146"/>
      <c r="O556" s="162"/>
      <c r="P556" s="148"/>
      <c r="Q556" s="161"/>
      <c r="R556" s="146"/>
      <c r="S556" s="162"/>
      <c r="T556" s="148"/>
      <c r="U556" s="161"/>
      <c r="V556" s="146"/>
      <c r="W556" s="162"/>
      <c r="X556" s="148"/>
      <c r="Y556" s="161"/>
      <c r="Z556" s="146"/>
      <c r="AA556" s="162"/>
      <c r="AB556" s="148"/>
      <c r="AC556" s="161"/>
      <c r="AD556" s="146"/>
      <c r="AE556" s="162"/>
      <c r="AF556" s="148"/>
    </row>
    <row r="557">
      <c r="A557" s="161"/>
      <c r="B557" s="146" t="str">
        <f>IF(A557&lt;&gt;"", SUMIF(Bets!$F:$F, A557, Bets!Z:Z), "")</f>
        <v/>
      </c>
      <c r="C557" s="162"/>
      <c r="D557" s="148"/>
      <c r="E557" s="161"/>
      <c r="F557" s="146" t="str">
        <f>IF(E557&lt;&gt;"", SUMIF(Bets!$F:$F, E557, Bets!AB:AB), "")</f>
        <v/>
      </c>
      <c r="G557" s="162"/>
      <c r="H557" s="148"/>
      <c r="I557" s="161"/>
      <c r="J557" s="146" t="str">
        <f>IF(I557&lt;&gt;"", SUMIF(Bets!$F:$F, I557, Bets!AA:AA), "")</f>
        <v/>
      </c>
      <c r="K557" s="162"/>
      <c r="L557" s="148"/>
      <c r="M557" s="161"/>
      <c r="N557" s="146"/>
      <c r="O557" s="162"/>
      <c r="P557" s="148"/>
      <c r="Q557" s="161"/>
      <c r="R557" s="146"/>
      <c r="S557" s="162"/>
      <c r="T557" s="148"/>
      <c r="U557" s="161"/>
      <c r="V557" s="146"/>
      <c r="W557" s="162"/>
      <c r="X557" s="148"/>
      <c r="Y557" s="161"/>
      <c r="Z557" s="146"/>
      <c r="AA557" s="162"/>
      <c r="AB557" s="148"/>
      <c r="AC557" s="161"/>
      <c r="AD557" s="146"/>
      <c r="AE557" s="162"/>
      <c r="AF557" s="148"/>
    </row>
    <row r="558">
      <c r="A558" s="161"/>
      <c r="B558" s="146" t="str">
        <f>IF(A558&lt;&gt;"", SUMIF(Bets!$F:$F, A558, Bets!Z:Z), "")</f>
        <v/>
      </c>
      <c r="C558" s="162"/>
      <c r="D558" s="148"/>
      <c r="E558" s="161"/>
      <c r="F558" s="146" t="str">
        <f>IF(E558&lt;&gt;"", SUMIF(Bets!$F:$F, E558, Bets!AB:AB), "")</f>
        <v/>
      </c>
      <c r="G558" s="162"/>
      <c r="H558" s="148"/>
      <c r="I558" s="161"/>
      <c r="J558" s="146" t="str">
        <f>IF(I558&lt;&gt;"", SUMIF(Bets!$F:$F, I558, Bets!AA:AA), "")</f>
        <v/>
      </c>
      <c r="K558" s="162"/>
      <c r="L558" s="148"/>
      <c r="M558" s="161"/>
      <c r="N558" s="146"/>
      <c r="O558" s="162"/>
      <c r="P558" s="148"/>
      <c r="Q558" s="161"/>
      <c r="R558" s="146"/>
      <c r="S558" s="162"/>
      <c r="T558" s="148"/>
      <c r="U558" s="161"/>
      <c r="V558" s="146"/>
      <c r="W558" s="162"/>
      <c r="X558" s="148"/>
      <c r="Y558" s="161"/>
      <c r="Z558" s="146"/>
      <c r="AA558" s="162"/>
      <c r="AB558" s="148"/>
      <c r="AC558" s="161"/>
      <c r="AD558" s="146"/>
      <c r="AE558" s="162"/>
      <c r="AF558" s="148"/>
    </row>
    <row r="559">
      <c r="A559" s="161"/>
      <c r="B559" s="146" t="str">
        <f>IF(A559&lt;&gt;"", SUMIF(Bets!$F:$F, A559, Bets!Z:Z), "")</f>
        <v/>
      </c>
      <c r="C559" s="162"/>
      <c r="D559" s="148"/>
      <c r="E559" s="161"/>
      <c r="F559" s="146" t="str">
        <f>IF(E559&lt;&gt;"", SUMIF(Bets!$F:$F, E559, Bets!AB:AB), "")</f>
        <v/>
      </c>
      <c r="G559" s="162"/>
      <c r="H559" s="148"/>
      <c r="I559" s="161"/>
      <c r="J559" s="146" t="str">
        <f>IF(I559&lt;&gt;"", SUMIF(Bets!$F:$F, I559, Bets!AA:AA), "")</f>
        <v/>
      </c>
      <c r="K559" s="162"/>
      <c r="L559" s="148"/>
      <c r="M559" s="161"/>
      <c r="N559" s="146"/>
      <c r="O559" s="162"/>
      <c r="P559" s="148"/>
      <c r="Q559" s="161"/>
      <c r="R559" s="146"/>
      <c r="S559" s="162"/>
      <c r="T559" s="148"/>
      <c r="U559" s="161"/>
      <c r="V559" s="146"/>
      <c r="W559" s="162"/>
      <c r="X559" s="148"/>
      <c r="Y559" s="161"/>
      <c r="Z559" s="146"/>
      <c r="AA559" s="162"/>
      <c r="AB559" s="148"/>
      <c r="AC559" s="161"/>
      <c r="AD559" s="146"/>
      <c r="AE559" s="162"/>
      <c r="AF559" s="148"/>
    </row>
    <row r="560">
      <c r="A560" s="161"/>
      <c r="B560" s="146" t="str">
        <f>IF(A560&lt;&gt;"", SUMIF(Bets!$F:$F, A560, Bets!Z:Z), "")</f>
        <v/>
      </c>
      <c r="C560" s="162"/>
      <c r="D560" s="148"/>
      <c r="E560" s="161"/>
      <c r="F560" s="146" t="str">
        <f>IF(E560&lt;&gt;"", SUMIF(Bets!$F:$F, E560, Bets!AB:AB), "")</f>
        <v/>
      </c>
      <c r="G560" s="162"/>
      <c r="H560" s="148"/>
      <c r="I560" s="161"/>
      <c r="J560" s="146" t="str">
        <f>IF(I560&lt;&gt;"", SUMIF(Bets!$F:$F, I560, Bets!AA:AA), "")</f>
        <v/>
      </c>
      <c r="K560" s="162"/>
      <c r="L560" s="148"/>
      <c r="M560" s="161"/>
      <c r="N560" s="146"/>
      <c r="O560" s="162"/>
      <c r="P560" s="148"/>
      <c r="Q560" s="161"/>
      <c r="R560" s="146"/>
      <c r="S560" s="162"/>
      <c r="T560" s="148"/>
      <c r="U560" s="161"/>
      <c r="V560" s="146"/>
      <c r="W560" s="162"/>
      <c r="X560" s="148"/>
      <c r="Y560" s="161"/>
      <c r="Z560" s="146"/>
      <c r="AA560" s="162"/>
      <c r="AB560" s="148"/>
      <c r="AC560" s="161"/>
      <c r="AD560" s="146"/>
      <c r="AE560" s="162"/>
      <c r="AF560" s="148"/>
    </row>
    <row r="561">
      <c r="A561" s="161"/>
      <c r="B561" s="146" t="str">
        <f>IF(A561&lt;&gt;"", SUMIF(Bets!$F:$F, A561, Bets!Z:Z), "")</f>
        <v/>
      </c>
      <c r="C561" s="162"/>
      <c r="D561" s="148"/>
      <c r="E561" s="161"/>
      <c r="F561" s="146" t="str">
        <f>IF(E561&lt;&gt;"", SUMIF(Bets!$F:$F, E561, Bets!AB:AB), "")</f>
        <v/>
      </c>
      <c r="G561" s="162"/>
      <c r="H561" s="148"/>
      <c r="I561" s="161"/>
      <c r="J561" s="146" t="str">
        <f>IF(I561&lt;&gt;"", SUMIF(Bets!$F:$F, I561, Bets!AA:AA), "")</f>
        <v/>
      </c>
      <c r="K561" s="162"/>
      <c r="L561" s="148"/>
      <c r="M561" s="161"/>
      <c r="N561" s="146"/>
      <c r="O561" s="162"/>
      <c r="P561" s="148"/>
      <c r="Q561" s="161"/>
      <c r="R561" s="146"/>
      <c r="S561" s="162"/>
      <c r="T561" s="148"/>
      <c r="U561" s="161"/>
      <c r="V561" s="146"/>
      <c r="W561" s="162"/>
      <c r="X561" s="148"/>
      <c r="Y561" s="161"/>
      <c r="Z561" s="146"/>
      <c r="AA561" s="162"/>
      <c r="AB561" s="148"/>
      <c r="AC561" s="161"/>
      <c r="AD561" s="146"/>
      <c r="AE561" s="162"/>
      <c r="AF561" s="148"/>
    </row>
    <row r="562">
      <c r="A562" s="161"/>
      <c r="B562" s="146" t="str">
        <f>IF(A562&lt;&gt;"", SUMIF(Bets!$F:$F, A562, Bets!Z:Z), "")</f>
        <v/>
      </c>
      <c r="C562" s="162"/>
      <c r="D562" s="148"/>
      <c r="E562" s="161"/>
      <c r="F562" s="146" t="str">
        <f>IF(E562&lt;&gt;"", SUMIF(Bets!$F:$F, E562, Bets!AB:AB), "")</f>
        <v/>
      </c>
      <c r="G562" s="162"/>
      <c r="H562" s="148"/>
      <c r="I562" s="161"/>
      <c r="J562" s="146" t="str">
        <f>IF(I562&lt;&gt;"", SUMIF(Bets!$F:$F, I562, Bets!AA:AA), "")</f>
        <v/>
      </c>
      <c r="K562" s="162"/>
      <c r="L562" s="148"/>
      <c r="M562" s="161"/>
      <c r="N562" s="146"/>
      <c r="O562" s="162"/>
      <c r="P562" s="148"/>
      <c r="Q562" s="161"/>
      <c r="R562" s="146"/>
      <c r="S562" s="162"/>
      <c r="T562" s="148"/>
      <c r="U562" s="161"/>
      <c r="V562" s="146"/>
      <c r="W562" s="162"/>
      <c r="X562" s="148"/>
      <c r="Y562" s="161"/>
      <c r="Z562" s="146"/>
      <c r="AA562" s="162"/>
      <c r="AB562" s="148"/>
      <c r="AC562" s="161"/>
      <c r="AD562" s="146"/>
      <c r="AE562" s="162"/>
      <c r="AF562" s="148"/>
    </row>
    <row r="563">
      <c r="A563" s="161"/>
      <c r="B563" s="146" t="str">
        <f>IF(A563&lt;&gt;"", SUMIF(Bets!$F:$F, A563, Bets!Z:Z), "")</f>
        <v/>
      </c>
      <c r="C563" s="162"/>
      <c r="D563" s="148"/>
      <c r="E563" s="161"/>
      <c r="F563" s="146" t="str">
        <f>IF(E563&lt;&gt;"", SUMIF(Bets!$F:$F, E563, Bets!AB:AB), "")</f>
        <v/>
      </c>
      <c r="G563" s="162"/>
      <c r="H563" s="148"/>
      <c r="I563" s="161"/>
      <c r="J563" s="146" t="str">
        <f>IF(I563&lt;&gt;"", SUMIF(Bets!$F:$F, I563, Bets!AA:AA), "")</f>
        <v/>
      </c>
      <c r="K563" s="162"/>
      <c r="L563" s="148"/>
      <c r="M563" s="161"/>
      <c r="N563" s="146"/>
      <c r="O563" s="162"/>
      <c r="P563" s="148"/>
      <c r="Q563" s="161"/>
      <c r="R563" s="146"/>
      <c r="S563" s="162"/>
      <c r="T563" s="148"/>
      <c r="U563" s="161"/>
      <c r="V563" s="146"/>
      <c r="W563" s="162"/>
      <c r="X563" s="148"/>
      <c r="Y563" s="161"/>
      <c r="Z563" s="146"/>
      <c r="AA563" s="162"/>
      <c r="AB563" s="148"/>
      <c r="AC563" s="161"/>
      <c r="AD563" s="146"/>
      <c r="AE563" s="162"/>
      <c r="AF563" s="148"/>
    </row>
    <row r="564">
      <c r="A564" s="161"/>
      <c r="B564" s="146" t="str">
        <f>IF(A564&lt;&gt;"", SUMIF(Bets!$F:$F, A564, Bets!Z:Z), "")</f>
        <v/>
      </c>
      <c r="C564" s="162"/>
      <c r="D564" s="148"/>
      <c r="E564" s="161"/>
      <c r="F564" s="146" t="str">
        <f>IF(E564&lt;&gt;"", SUMIF(Bets!$F:$F, E564, Bets!AB:AB), "")</f>
        <v/>
      </c>
      <c r="G564" s="162"/>
      <c r="H564" s="148"/>
      <c r="I564" s="161"/>
      <c r="J564" s="146" t="str">
        <f>IF(I564&lt;&gt;"", SUMIF(Bets!$F:$F, I564, Bets!AA:AA), "")</f>
        <v/>
      </c>
      <c r="K564" s="162"/>
      <c r="L564" s="148"/>
      <c r="M564" s="161"/>
      <c r="N564" s="146"/>
      <c r="O564" s="162"/>
      <c r="P564" s="148"/>
      <c r="Q564" s="161"/>
      <c r="R564" s="146"/>
      <c r="S564" s="162"/>
      <c r="T564" s="148"/>
      <c r="U564" s="161"/>
      <c r="V564" s="146"/>
      <c r="W564" s="162"/>
      <c r="X564" s="148"/>
      <c r="Y564" s="161"/>
      <c r="Z564" s="146"/>
      <c r="AA564" s="162"/>
      <c r="AB564" s="148"/>
      <c r="AC564" s="161"/>
      <c r="AD564" s="146"/>
      <c r="AE564" s="162"/>
      <c r="AF564" s="148"/>
    </row>
    <row r="565">
      <c r="A565" s="161"/>
      <c r="B565" s="146" t="str">
        <f>IF(A565&lt;&gt;"", SUMIF(Bets!$F:$F, A565, Bets!Z:Z), "")</f>
        <v/>
      </c>
      <c r="C565" s="162"/>
      <c r="D565" s="148"/>
      <c r="E565" s="161"/>
      <c r="F565" s="146" t="str">
        <f>IF(E565&lt;&gt;"", SUMIF(Bets!$F:$F, E565, Bets!AB:AB), "")</f>
        <v/>
      </c>
      <c r="G565" s="162"/>
      <c r="H565" s="148"/>
      <c r="I565" s="161"/>
      <c r="J565" s="146" t="str">
        <f>IF(I565&lt;&gt;"", SUMIF(Bets!$F:$F, I565, Bets!AA:AA), "")</f>
        <v/>
      </c>
      <c r="K565" s="162"/>
      <c r="L565" s="148"/>
      <c r="M565" s="161"/>
      <c r="N565" s="146"/>
      <c r="O565" s="162"/>
      <c r="P565" s="148"/>
      <c r="Q565" s="161"/>
      <c r="R565" s="146"/>
      <c r="S565" s="162"/>
      <c r="T565" s="148"/>
      <c r="U565" s="161"/>
      <c r="V565" s="146"/>
      <c r="W565" s="162"/>
      <c r="X565" s="148"/>
      <c r="Y565" s="161"/>
      <c r="Z565" s="146"/>
      <c r="AA565" s="162"/>
      <c r="AB565" s="148"/>
      <c r="AC565" s="161"/>
      <c r="AD565" s="146"/>
      <c r="AE565" s="162"/>
      <c r="AF565" s="148"/>
    </row>
    <row r="566">
      <c r="A566" s="161"/>
      <c r="B566" s="146" t="str">
        <f>IF(A566&lt;&gt;"", SUMIF(Bets!$F:$F, A566, Bets!Z:Z), "")</f>
        <v/>
      </c>
      <c r="C566" s="162"/>
      <c r="D566" s="148"/>
      <c r="E566" s="161"/>
      <c r="F566" s="146" t="str">
        <f>IF(E566&lt;&gt;"", SUMIF(Bets!$F:$F, E566, Bets!AB:AB), "")</f>
        <v/>
      </c>
      <c r="G566" s="162"/>
      <c r="H566" s="148"/>
      <c r="I566" s="161"/>
      <c r="J566" s="146" t="str">
        <f>IF(I566&lt;&gt;"", SUMIF(Bets!$F:$F, I566, Bets!AA:AA), "")</f>
        <v/>
      </c>
      <c r="K566" s="162"/>
      <c r="L566" s="148"/>
      <c r="M566" s="161"/>
      <c r="N566" s="146"/>
      <c r="O566" s="162"/>
      <c r="P566" s="148"/>
      <c r="Q566" s="161"/>
      <c r="R566" s="146"/>
      <c r="S566" s="162"/>
      <c r="T566" s="148"/>
      <c r="U566" s="161"/>
      <c r="V566" s="146"/>
      <c r="W566" s="162"/>
      <c r="X566" s="148"/>
      <c r="Y566" s="161"/>
      <c r="Z566" s="146"/>
      <c r="AA566" s="162"/>
      <c r="AB566" s="148"/>
      <c r="AC566" s="161"/>
      <c r="AD566" s="146"/>
      <c r="AE566" s="162"/>
      <c r="AF566" s="148"/>
    </row>
    <row r="567">
      <c r="A567" s="161"/>
      <c r="B567" s="146" t="str">
        <f>IF(A567&lt;&gt;"", SUMIF(Bets!$F:$F, A567, Bets!Z:Z), "")</f>
        <v/>
      </c>
      <c r="C567" s="162"/>
      <c r="D567" s="148"/>
      <c r="E567" s="161"/>
      <c r="F567" s="146" t="str">
        <f>IF(E567&lt;&gt;"", SUMIF(Bets!$F:$F, E567, Bets!AB:AB), "")</f>
        <v/>
      </c>
      <c r="G567" s="162"/>
      <c r="H567" s="148"/>
      <c r="I567" s="161"/>
      <c r="J567" s="146" t="str">
        <f>IF(I567&lt;&gt;"", SUMIF(Bets!$F:$F, I567, Bets!AA:AA), "")</f>
        <v/>
      </c>
      <c r="K567" s="162"/>
      <c r="L567" s="148"/>
      <c r="M567" s="161"/>
      <c r="N567" s="146"/>
      <c r="O567" s="162"/>
      <c r="P567" s="148"/>
      <c r="Q567" s="161"/>
      <c r="R567" s="146"/>
      <c r="S567" s="162"/>
      <c r="T567" s="148"/>
      <c r="U567" s="161"/>
      <c r="V567" s="146"/>
      <c r="W567" s="162"/>
      <c r="X567" s="148"/>
      <c r="Y567" s="161"/>
      <c r="Z567" s="146"/>
      <c r="AA567" s="162"/>
      <c r="AB567" s="148"/>
      <c r="AC567" s="161"/>
      <c r="AD567" s="146"/>
      <c r="AE567" s="162"/>
      <c r="AF567" s="148"/>
    </row>
    <row r="568">
      <c r="A568" s="161"/>
      <c r="B568" s="146" t="str">
        <f>IF(A568&lt;&gt;"", SUMIF(Bets!$F:$F, A568, Bets!Z:Z), "")</f>
        <v/>
      </c>
      <c r="C568" s="162"/>
      <c r="D568" s="148"/>
      <c r="E568" s="161"/>
      <c r="F568" s="146" t="str">
        <f>IF(E568&lt;&gt;"", SUMIF(Bets!$F:$F, E568, Bets!AB:AB), "")</f>
        <v/>
      </c>
      <c r="G568" s="162"/>
      <c r="H568" s="148"/>
      <c r="I568" s="161"/>
      <c r="J568" s="146" t="str">
        <f>IF(I568&lt;&gt;"", SUMIF(Bets!$F:$F, I568, Bets!AA:AA), "")</f>
        <v/>
      </c>
      <c r="K568" s="162"/>
      <c r="L568" s="148"/>
      <c r="M568" s="161"/>
      <c r="N568" s="146"/>
      <c r="O568" s="162"/>
      <c r="P568" s="148"/>
      <c r="Q568" s="161"/>
      <c r="R568" s="146"/>
      <c r="S568" s="162"/>
      <c r="T568" s="148"/>
      <c r="U568" s="161"/>
      <c r="V568" s="146"/>
      <c r="W568" s="162"/>
      <c r="X568" s="148"/>
      <c r="Y568" s="161"/>
      <c r="Z568" s="146"/>
      <c r="AA568" s="162"/>
      <c r="AB568" s="148"/>
      <c r="AC568" s="161"/>
      <c r="AD568" s="146"/>
      <c r="AE568" s="162"/>
      <c r="AF568" s="148"/>
    </row>
    <row r="569">
      <c r="A569" s="161"/>
      <c r="B569" s="146" t="str">
        <f>IF(A569&lt;&gt;"", SUMIF(Bets!$F:$F, A569, Bets!Z:Z), "")</f>
        <v/>
      </c>
      <c r="C569" s="162"/>
      <c r="D569" s="148"/>
      <c r="E569" s="161"/>
      <c r="F569" s="146" t="str">
        <f>IF(E569&lt;&gt;"", SUMIF(Bets!$F:$F, E569, Bets!AB:AB), "")</f>
        <v/>
      </c>
      <c r="G569" s="162"/>
      <c r="H569" s="148"/>
      <c r="I569" s="161"/>
      <c r="J569" s="146" t="str">
        <f>IF(I569&lt;&gt;"", SUMIF(Bets!$F:$F, I569, Bets!AA:AA), "")</f>
        <v/>
      </c>
      <c r="K569" s="162"/>
      <c r="L569" s="148"/>
      <c r="M569" s="161"/>
      <c r="N569" s="146"/>
      <c r="O569" s="162"/>
      <c r="P569" s="148"/>
      <c r="Q569" s="161"/>
      <c r="R569" s="146"/>
      <c r="S569" s="162"/>
      <c r="T569" s="148"/>
      <c r="U569" s="161"/>
      <c r="V569" s="146"/>
      <c r="W569" s="162"/>
      <c r="X569" s="148"/>
      <c r="Y569" s="161"/>
      <c r="Z569" s="146"/>
      <c r="AA569" s="162"/>
      <c r="AB569" s="148"/>
      <c r="AC569" s="161"/>
      <c r="AD569" s="146"/>
      <c r="AE569" s="162"/>
      <c r="AF569" s="148"/>
    </row>
    <row r="570">
      <c r="A570" s="161"/>
      <c r="B570" s="146" t="str">
        <f>IF(A570&lt;&gt;"", SUMIF(Bets!$F:$F, A570, Bets!Z:Z), "")</f>
        <v/>
      </c>
      <c r="C570" s="162"/>
      <c r="D570" s="148"/>
      <c r="E570" s="161"/>
      <c r="F570" s="146" t="str">
        <f>IF(E570&lt;&gt;"", SUMIF(Bets!$F:$F, E570, Bets!AB:AB), "")</f>
        <v/>
      </c>
      <c r="G570" s="162"/>
      <c r="H570" s="148"/>
      <c r="I570" s="161"/>
      <c r="J570" s="146" t="str">
        <f>IF(I570&lt;&gt;"", SUMIF(Bets!$F:$F, I570, Bets!AA:AA), "")</f>
        <v/>
      </c>
      <c r="K570" s="162"/>
      <c r="L570" s="148"/>
      <c r="M570" s="161"/>
      <c r="N570" s="146"/>
      <c r="O570" s="162"/>
      <c r="P570" s="148"/>
      <c r="Q570" s="161"/>
      <c r="R570" s="146"/>
      <c r="S570" s="162"/>
      <c r="T570" s="148"/>
      <c r="U570" s="161"/>
      <c r="V570" s="146"/>
      <c r="W570" s="162"/>
      <c r="X570" s="148"/>
      <c r="Y570" s="161"/>
      <c r="Z570" s="146"/>
      <c r="AA570" s="162"/>
      <c r="AB570" s="148"/>
      <c r="AC570" s="161"/>
      <c r="AD570" s="146"/>
      <c r="AE570" s="162"/>
      <c r="AF570" s="148"/>
    </row>
    <row r="571">
      <c r="A571" s="161"/>
      <c r="B571" s="146" t="str">
        <f>IF(A571&lt;&gt;"", SUMIF(Bets!$F:$F, A571, Bets!Z:Z), "")</f>
        <v/>
      </c>
      <c r="C571" s="162"/>
      <c r="D571" s="148"/>
      <c r="E571" s="161"/>
      <c r="F571" s="146" t="str">
        <f>IF(E571&lt;&gt;"", SUMIF(Bets!$F:$F, E571, Bets!AB:AB), "")</f>
        <v/>
      </c>
      <c r="G571" s="162"/>
      <c r="H571" s="148"/>
      <c r="I571" s="161"/>
      <c r="J571" s="146" t="str">
        <f>IF(I571&lt;&gt;"", SUMIF(Bets!$F:$F, I571, Bets!AA:AA), "")</f>
        <v/>
      </c>
      <c r="K571" s="162"/>
      <c r="L571" s="148"/>
      <c r="M571" s="161"/>
      <c r="N571" s="146"/>
      <c r="O571" s="162"/>
      <c r="P571" s="148"/>
      <c r="Q571" s="161"/>
      <c r="R571" s="146"/>
      <c r="S571" s="162"/>
      <c r="T571" s="148"/>
      <c r="U571" s="161"/>
      <c r="V571" s="146"/>
      <c r="W571" s="162"/>
      <c r="X571" s="148"/>
      <c r="Y571" s="161"/>
      <c r="Z571" s="146"/>
      <c r="AA571" s="162"/>
      <c r="AB571" s="148"/>
      <c r="AC571" s="161"/>
      <c r="AD571" s="146"/>
      <c r="AE571" s="162"/>
      <c r="AF571" s="148"/>
    </row>
    <row r="572">
      <c r="A572" s="161"/>
      <c r="B572" s="146" t="str">
        <f>IF(A572&lt;&gt;"", SUMIF(Bets!$F:$F, A572, Bets!Z:Z), "")</f>
        <v/>
      </c>
      <c r="C572" s="162"/>
      <c r="D572" s="148"/>
      <c r="E572" s="161"/>
      <c r="F572" s="146" t="str">
        <f>IF(E572&lt;&gt;"", SUMIF(Bets!$F:$F, E572, Bets!AB:AB), "")</f>
        <v/>
      </c>
      <c r="G572" s="162"/>
      <c r="H572" s="148"/>
      <c r="I572" s="161"/>
      <c r="J572" s="146" t="str">
        <f>IF(I572&lt;&gt;"", SUMIF(Bets!$F:$F, I572, Bets!AA:AA), "")</f>
        <v/>
      </c>
      <c r="K572" s="162"/>
      <c r="L572" s="148"/>
      <c r="M572" s="161"/>
      <c r="N572" s="146"/>
      <c r="O572" s="162"/>
      <c r="P572" s="148"/>
      <c r="Q572" s="161"/>
      <c r="R572" s="146"/>
      <c r="S572" s="162"/>
      <c r="T572" s="148"/>
      <c r="U572" s="161"/>
      <c r="V572" s="146"/>
      <c r="W572" s="162"/>
      <c r="X572" s="148"/>
      <c r="Y572" s="161"/>
      <c r="Z572" s="146"/>
      <c r="AA572" s="162"/>
      <c r="AB572" s="148"/>
      <c r="AC572" s="161"/>
      <c r="AD572" s="146"/>
      <c r="AE572" s="162"/>
      <c r="AF572" s="148"/>
    </row>
    <row r="573">
      <c r="A573" s="161"/>
      <c r="B573" s="146" t="str">
        <f>IF(A573&lt;&gt;"", SUMIF(Bets!$F:$F, A573, Bets!Z:Z), "")</f>
        <v/>
      </c>
      <c r="C573" s="162"/>
      <c r="D573" s="148"/>
      <c r="E573" s="161"/>
      <c r="F573" s="146" t="str">
        <f>IF(E573&lt;&gt;"", SUMIF(Bets!$F:$F, E573, Bets!AB:AB), "")</f>
        <v/>
      </c>
      <c r="G573" s="162"/>
      <c r="H573" s="148"/>
      <c r="I573" s="161"/>
      <c r="J573" s="146" t="str">
        <f>IF(I573&lt;&gt;"", SUMIF(Bets!$F:$F, I573, Bets!AA:AA), "")</f>
        <v/>
      </c>
      <c r="K573" s="162"/>
      <c r="L573" s="148"/>
      <c r="M573" s="161"/>
      <c r="N573" s="146"/>
      <c r="O573" s="162"/>
      <c r="P573" s="148"/>
      <c r="Q573" s="161"/>
      <c r="R573" s="146"/>
      <c r="S573" s="162"/>
      <c r="T573" s="148"/>
      <c r="U573" s="161"/>
      <c r="V573" s="146"/>
      <c r="W573" s="162"/>
      <c r="X573" s="148"/>
      <c r="Y573" s="161"/>
      <c r="Z573" s="146"/>
      <c r="AA573" s="162"/>
      <c r="AB573" s="148"/>
      <c r="AC573" s="161"/>
      <c r="AD573" s="146"/>
      <c r="AE573" s="162"/>
      <c r="AF573" s="148"/>
    </row>
    <row r="574">
      <c r="A574" s="161"/>
      <c r="B574" s="146" t="str">
        <f>IF(A574&lt;&gt;"", SUMIF(Bets!$F:$F, A574, Bets!Z:Z), "")</f>
        <v/>
      </c>
      <c r="C574" s="162"/>
      <c r="D574" s="148"/>
      <c r="E574" s="161"/>
      <c r="F574" s="146" t="str">
        <f>IF(E574&lt;&gt;"", SUMIF(Bets!$F:$F, E574, Bets!AB:AB), "")</f>
        <v/>
      </c>
      <c r="G574" s="162"/>
      <c r="H574" s="148"/>
      <c r="I574" s="161"/>
      <c r="J574" s="146" t="str">
        <f>IF(I574&lt;&gt;"", SUMIF(Bets!$F:$F, I574, Bets!AA:AA), "")</f>
        <v/>
      </c>
      <c r="K574" s="162"/>
      <c r="L574" s="148"/>
      <c r="M574" s="161"/>
      <c r="N574" s="146"/>
      <c r="O574" s="162"/>
      <c r="P574" s="148"/>
      <c r="Q574" s="161"/>
      <c r="R574" s="146"/>
      <c r="S574" s="162"/>
      <c r="T574" s="148"/>
      <c r="U574" s="161"/>
      <c r="V574" s="146"/>
      <c r="W574" s="162"/>
      <c r="X574" s="148"/>
      <c r="Y574" s="161"/>
      <c r="Z574" s="146"/>
      <c r="AA574" s="162"/>
      <c r="AB574" s="148"/>
      <c r="AC574" s="161"/>
      <c r="AD574" s="146"/>
      <c r="AE574" s="162"/>
      <c r="AF574" s="148"/>
    </row>
    <row r="575">
      <c r="A575" s="161"/>
      <c r="B575" s="146" t="str">
        <f>IF(A575&lt;&gt;"", SUMIF(Bets!$F:$F, A575, Bets!Z:Z), "")</f>
        <v/>
      </c>
      <c r="C575" s="162"/>
      <c r="D575" s="148"/>
      <c r="E575" s="161"/>
      <c r="F575" s="146" t="str">
        <f>IF(E575&lt;&gt;"", SUMIF(Bets!$F:$F, E575, Bets!AB:AB), "")</f>
        <v/>
      </c>
      <c r="G575" s="162"/>
      <c r="H575" s="148"/>
      <c r="I575" s="161"/>
      <c r="J575" s="146" t="str">
        <f>IF(I575&lt;&gt;"", SUMIF(Bets!$F:$F, I575, Bets!AA:AA), "")</f>
        <v/>
      </c>
      <c r="K575" s="162"/>
      <c r="L575" s="148"/>
      <c r="M575" s="161"/>
      <c r="N575" s="146"/>
      <c r="O575" s="162"/>
      <c r="P575" s="148"/>
      <c r="Q575" s="161"/>
      <c r="R575" s="146"/>
      <c r="S575" s="162"/>
      <c r="T575" s="148"/>
      <c r="U575" s="161"/>
      <c r="V575" s="146"/>
      <c r="W575" s="162"/>
      <c r="X575" s="148"/>
      <c r="Y575" s="161"/>
      <c r="Z575" s="146"/>
      <c r="AA575" s="162"/>
      <c r="AB575" s="148"/>
      <c r="AC575" s="161"/>
      <c r="AD575" s="146"/>
      <c r="AE575" s="162"/>
      <c r="AF575" s="148"/>
    </row>
    <row r="576">
      <c r="A576" s="161"/>
      <c r="B576" s="146" t="str">
        <f>IF(A576&lt;&gt;"", SUMIF(Bets!$F:$F, A576, Bets!Z:Z), "")</f>
        <v/>
      </c>
      <c r="C576" s="162"/>
      <c r="D576" s="148"/>
      <c r="E576" s="161"/>
      <c r="F576" s="146" t="str">
        <f>IF(E576&lt;&gt;"", SUMIF(Bets!$F:$F, E576, Bets!AB:AB), "")</f>
        <v/>
      </c>
      <c r="G576" s="162"/>
      <c r="H576" s="148"/>
      <c r="I576" s="161"/>
      <c r="J576" s="146" t="str">
        <f>IF(I576&lt;&gt;"", SUMIF(Bets!$F:$F, I576, Bets!AA:AA), "")</f>
        <v/>
      </c>
      <c r="K576" s="162"/>
      <c r="L576" s="148"/>
      <c r="M576" s="161"/>
      <c r="N576" s="146"/>
      <c r="O576" s="162"/>
      <c r="P576" s="148"/>
      <c r="Q576" s="161"/>
      <c r="R576" s="146"/>
      <c r="S576" s="162"/>
      <c r="T576" s="148"/>
      <c r="U576" s="161"/>
      <c r="V576" s="146"/>
      <c r="W576" s="162"/>
      <c r="X576" s="148"/>
      <c r="Y576" s="161"/>
      <c r="Z576" s="146"/>
      <c r="AA576" s="162"/>
      <c r="AB576" s="148"/>
      <c r="AC576" s="161"/>
      <c r="AD576" s="146"/>
      <c r="AE576" s="162"/>
      <c r="AF576" s="148"/>
    </row>
    <row r="577">
      <c r="A577" s="161"/>
      <c r="B577" s="146" t="str">
        <f>IF(A577&lt;&gt;"", SUMIF(Bets!$F:$F, A577, Bets!Z:Z), "")</f>
        <v/>
      </c>
      <c r="C577" s="162"/>
      <c r="D577" s="148"/>
      <c r="E577" s="161"/>
      <c r="F577" s="146" t="str">
        <f>IF(E577&lt;&gt;"", SUMIF(Bets!$F:$F, E577, Bets!AB:AB), "")</f>
        <v/>
      </c>
      <c r="G577" s="162"/>
      <c r="H577" s="148"/>
      <c r="I577" s="161"/>
      <c r="J577" s="146" t="str">
        <f>IF(I577&lt;&gt;"", SUMIF(Bets!$F:$F, I577, Bets!AA:AA), "")</f>
        <v/>
      </c>
      <c r="K577" s="162"/>
      <c r="L577" s="148"/>
      <c r="M577" s="161"/>
      <c r="N577" s="146"/>
      <c r="O577" s="162"/>
      <c r="P577" s="148"/>
      <c r="Q577" s="161"/>
      <c r="R577" s="146"/>
      <c r="S577" s="162"/>
      <c r="T577" s="148"/>
      <c r="U577" s="161"/>
      <c r="V577" s="146"/>
      <c r="W577" s="162"/>
      <c r="X577" s="148"/>
      <c r="Y577" s="161"/>
      <c r="Z577" s="146"/>
      <c r="AA577" s="162"/>
      <c r="AB577" s="148"/>
      <c r="AC577" s="161"/>
      <c r="AD577" s="146"/>
      <c r="AE577" s="162"/>
      <c r="AF577" s="148"/>
    </row>
    <row r="578">
      <c r="A578" s="161"/>
      <c r="B578" s="146" t="str">
        <f>IF(A578&lt;&gt;"", SUMIF(Bets!$F:$F, A578, Bets!Z:Z), "")</f>
        <v/>
      </c>
      <c r="C578" s="162"/>
      <c r="D578" s="148"/>
      <c r="E578" s="161"/>
      <c r="F578" s="146" t="str">
        <f>IF(E578&lt;&gt;"", SUMIF(Bets!$F:$F, E578, Bets!AB:AB), "")</f>
        <v/>
      </c>
      <c r="G578" s="162"/>
      <c r="H578" s="148"/>
      <c r="I578" s="161"/>
      <c r="J578" s="146" t="str">
        <f>IF(I578&lt;&gt;"", SUMIF(Bets!$F:$F, I578, Bets!AA:AA), "")</f>
        <v/>
      </c>
      <c r="K578" s="162"/>
      <c r="L578" s="148"/>
      <c r="M578" s="161"/>
      <c r="N578" s="146"/>
      <c r="O578" s="162"/>
      <c r="P578" s="148"/>
      <c r="Q578" s="161"/>
      <c r="R578" s="146"/>
      <c r="S578" s="162"/>
      <c r="T578" s="148"/>
      <c r="U578" s="161"/>
      <c r="V578" s="146"/>
      <c r="W578" s="162"/>
      <c r="X578" s="148"/>
      <c r="Y578" s="161"/>
      <c r="Z578" s="146"/>
      <c r="AA578" s="162"/>
      <c r="AB578" s="148"/>
      <c r="AC578" s="161"/>
      <c r="AD578" s="146"/>
      <c r="AE578" s="162"/>
      <c r="AF578" s="148"/>
    </row>
    <row r="579">
      <c r="A579" s="161"/>
      <c r="B579" s="146" t="str">
        <f>IF(A579&lt;&gt;"", SUMIF(Bets!$F:$F, A579, Bets!Z:Z), "")</f>
        <v/>
      </c>
      <c r="C579" s="162"/>
      <c r="D579" s="148"/>
      <c r="E579" s="161"/>
      <c r="F579" s="146" t="str">
        <f>IF(E579&lt;&gt;"", SUMIF(Bets!$F:$F, E579, Bets!AB:AB), "")</f>
        <v/>
      </c>
      <c r="G579" s="162"/>
      <c r="H579" s="148"/>
      <c r="I579" s="161"/>
      <c r="J579" s="146" t="str">
        <f>IF(I579&lt;&gt;"", SUMIF(Bets!$F:$F, I579, Bets!AA:AA), "")</f>
        <v/>
      </c>
      <c r="K579" s="162"/>
      <c r="L579" s="148"/>
      <c r="M579" s="161"/>
      <c r="N579" s="146"/>
      <c r="O579" s="162"/>
      <c r="P579" s="148"/>
      <c r="Q579" s="161"/>
      <c r="R579" s="146"/>
      <c r="S579" s="162"/>
      <c r="T579" s="148"/>
      <c r="U579" s="161"/>
      <c r="V579" s="146"/>
      <c r="W579" s="162"/>
      <c r="X579" s="148"/>
      <c r="Y579" s="161"/>
      <c r="Z579" s="146"/>
      <c r="AA579" s="162"/>
      <c r="AB579" s="148"/>
      <c r="AC579" s="161"/>
      <c r="AD579" s="146"/>
      <c r="AE579" s="162"/>
      <c r="AF579" s="148"/>
    </row>
    <row r="580">
      <c r="A580" s="161"/>
      <c r="B580" s="146" t="str">
        <f>IF(A580&lt;&gt;"", SUMIF(Bets!$F:$F, A580, Bets!Z:Z), "")</f>
        <v/>
      </c>
      <c r="C580" s="162"/>
      <c r="D580" s="148"/>
      <c r="E580" s="161"/>
      <c r="F580" s="146" t="str">
        <f>IF(E580&lt;&gt;"", SUMIF(Bets!$F:$F, E580, Bets!AB:AB), "")</f>
        <v/>
      </c>
      <c r="G580" s="162"/>
      <c r="H580" s="148"/>
      <c r="I580" s="161"/>
      <c r="J580" s="146" t="str">
        <f>IF(I580&lt;&gt;"", SUMIF(Bets!$F:$F, I580, Bets!AA:AA), "")</f>
        <v/>
      </c>
      <c r="K580" s="162"/>
      <c r="L580" s="148"/>
      <c r="M580" s="161"/>
      <c r="N580" s="146"/>
      <c r="O580" s="162"/>
      <c r="P580" s="148"/>
      <c r="Q580" s="161"/>
      <c r="R580" s="146"/>
      <c r="S580" s="162"/>
      <c r="T580" s="148"/>
      <c r="U580" s="161"/>
      <c r="V580" s="146"/>
      <c r="W580" s="162"/>
      <c r="X580" s="148"/>
      <c r="Y580" s="161"/>
      <c r="Z580" s="146"/>
      <c r="AA580" s="162"/>
      <c r="AB580" s="148"/>
      <c r="AC580" s="161"/>
      <c r="AD580" s="146"/>
      <c r="AE580" s="162"/>
      <c r="AF580" s="148"/>
    </row>
    <row r="581">
      <c r="A581" s="161"/>
      <c r="B581" s="146" t="str">
        <f>IF(A581&lt;&gt;"", SUMIF(Bets!$F:$F, A581, Bets!Z:Z), "")</f>
        <v/>
      </c>
      <c r="C581" s="162"/>
      <c r="D581" s="148"/>
      <c r="E581" s="161"/>
      <c r="F581" s="146" t="str">
        <f>IF(E581&lt;&gt;"", SUMIF(Bets!$F:$F, E581, Bets!AB:AB), "")</f>
        <v/>
      </c>
      <c r="G581" s="162"/>
      <c r="H581" s="148"/>
      <c r="I581" s="161"/>
      <c r="J581" s="146" t="str">
        <f>IF(I581&lt;&gt;"", SUMIF(Bets!$F:$F, I581, Bets!AA:AA), "")</f>
        <v/>
      </c>
      <c r="K581" s="162"/>
      <c r="L581" s="148"/>
      <c r="M581" s="161"/>
      <c r="N581" s="146"/>
      <c r="O581" s="162"/>
      <c r="P581" s="148"/>
      <c r="Q581" s="161"/>
      <c r="R581" s="146"/>
      <c r="S581" s="162"/>
      <c r="T581" s="148"/>
      <c r="U581" s="161"/>
      <c r="V581" s="146"/>
      <c r="W581" s="162"/>
      <c r="X581" s="148"/>
      <c r="Y581" s="161"/>
      <c r="Z581" s="146"/>
      <c r="AA581" s="162"/>
      <c r="AB581" s="148"/>
      <c r="AC581" s="161"/>
      <c r="AD581" s="146"/>
      <c r="AE581" s="162"/>
      <c r="AF581" s="148"/>
    </row>
    <row r="582">
      <c r="A582" s="161"/>
      <c r="B582" s="146" t="str">
        <f>IF(A582&lt;&gt;"", SUMIF(Bets!$F:$F, A582, Bets!Z:Z), "")</f>
        <v/>
      </c>
      <c r="C582" s="162"/>
      <c r="D582" s="148"/>
      <c r="E582" s="161"/>
      <c r="F582" s="146" t="str">
        <f>IF(E582&lt;&gt;"", SUMIF(Bets!$F:$F, E582, Bets!AB:AB), "")</f>
        <v/>
      </c>
      <c r="G582" s="162"/>
      <c r="H582" s="148"/>
      <c r="I582" s="161"/>
      <c r="J582" s="146" t="str">
        <f>IF(I582&lt;&gt;"", SUMIF(Bets!$F:$F, I582, Bets!AA:AA), "")</f>
        <v/>
      </c>
      <c r="K582" s="162"/>
      <c r="L582" s="148"/>
      <c r="M582" s="161"/>
      <c r="N582" s="146"/>
      <c r="O582" s="162"/>
      <c r="P582" s="148"/>
      <c r="Q582" s="161"/>
      <c r="R582" s="146"/>
      <c r="S582" s="162"/>
      <c r="T582" s="148"/>
      <c r="U582" s="161"/>
      <c r="V582" s="146"/>
      <c r="W582" s="162"/>
      <c r="X582" s="148"/>
      <c r="Y582" s="161"/>
      <c r="Z582" s="146"/>
      <c r="AA582" s="162"/>
      <c r="AB582" s="148"/>
      <c r="AC582" s="161"/>
      <c r="AD582" s="146"/>
      <c r="AE582" s="162"/>
      <c r="AF582" s="148"/>
    </row>
    <row r="583">
      <c r="A583" s="161"/>
      <c r="B583" s="146" t="str">
        <f>IF(A583&lt;&gt;"", SUMIF(Bets!$F:$F, A583, Bets!Z:Z), "")</f>
        <v/>
      </c>
      <c r="C583" s="162"/>
      <c r="D583" s="148"/>
      <c r="E583" s="161"/>
      <c r="F583" s="146" t="str">
        <f>IF(E583&lt;&gt;"", SUMIF(Bets!$F:$F, E583, Bets!AB:AB), "")</f>
        <v/>
      </c>
      <c r="G583" s="162"/>
      <c r="H583" s="148"/>
      <c r="I583" s="161"/>
      <c r="J583" s="146" t="str">
        <f>IF(I583&lt;&gt;"", SUMIF(Bets!$F:$F, I583, Bets!AA:AA), "")</f>
        <v/>
      </c>
      <c r="K583" s="162"/>
      <c r="L583" s="148"/>
      <c r="M583" s="161"/>
      <c r="N583" s="146"/>
      <c r="O583" s="162"/>
      <c r="P583" s="148"/>
      <c r="Q583" s="161"/>
      <c r="R583" s="146"/>
      <c r="S583" s="162"/>
      <c r="T583" s="148"/>
      <c r="U583" s="161"/>
      <c r="V583" s="146"/>
      <c r="W583" s="162"/>
      <c r="X583" s="148"/>
      <c r="Y583" s="161"/>
      <c r="Z583" s="146"/>
      <c r="AA583" s="162"/>
      <c r="AB583" s="148"/>
      <c r="AC583" s="161"/>
      <c r="AD583" s="146"/>
      <c r="AE583" s="162"/>
      <c r="AF583" s="148"/>
    </row>
    <row r="584">
      <c r="A584" s="161"/>
      <c r="B584" s="146" t="str">
        <f>IF(A584&lt;&gt;"", SUMIF(Bets!$F:$F, A584, Bets!Z:Z), "")</f>
        <v/>
      </c>
      <c r="C584" s="162"/>
      <c r="D584" s="148"/>
      <c r="E584" s="161"/>
      <c r="F584" s="146" t="str">
        <f>IF(E584&lt;&gt;"", SUMIF(Bets!$F:$F, E584, Bets!AB:AB), "")</f>
        <v/>
      </c>
      <c r="G584" s="162"/>
      <c r="H584" s="148"/>
      <c r="I584" s="161"/>
      <c r="J584" s="146" t="str">
        <f>IF(I584&lt;&gt;"", SUMIF(Bets!$F:$F, I584, Bets!AA:AA), "")</f>
        <v/>
      </c>
      <c r="K584" s="162"/>
      <c r="L584" s="148"/>
      <c r="M584" s="161"/>
      <c r="N584" s="146"/>
      <c r="O584" s="162"/>
      <c r="P584" s="148"/>
      <c r="Q584" s="161"/>
      <c r="R584" s="146"/>
      <c r="S584" s="162"/>
      <c r="T584" s="148"/>
      <c r="U584" s="161"/>
      <c r="V584" s="146"/>
      <c r="W584" s="162"/>
      <c r="X584" s="148"/>
      <c r="Y584" s="161"/>
      <c r="Z584" s="146"/>
      <c r="AA584" s="162"/>
      <c r="AB584" s="148"/>
      <c r="AC584" s="161"/>
      <c r="AD584" s="146"/>
      <c r="AE584" s="162"/>
      <c r="AF584" s="148"/>
    </row>
    <row r="585">
      <c r="A585" s="161"/>
      <c r="B585" s="146" t="str">
        <f>IF(A585&lt;&gt;"", SUMIF(Bets!$F:$F, A585, Bets!Z:Z), "")</f>
        <v/>
      </c>
      <c r="C585" s="162"/>
      <c r="D585" s="148"/>
      <c r="E585" s="161"/>
      <c r="F585" s="146" t="str">
        <f>IF(E585&lt;&gt;"", SUMIF(Bets!$F:$F, E585, Bets!AB:AB), "")</f>
        <v/>
      </c>
      <c r="G585" s="162"/>
      <c r="H585" s="148"/>
      <c r="I585" s="161"/>
      <c r="J585" s="146" t="str">
        <f>IF(I585&lt;&gt;"", SUMIF(Bets!$F:$F, I585, Bets!AA:AA), "")</f>
        <v/>
      </c>
      <c r="K585" s="162"/>
      <c r="L585" s="148"/>
      <c r="M585" s="161"/>
      <c r="N585" s="146"/>
      <c r="O585" s="162"/>
      <c r="P585" s="148"/>
      <c r="Q585" s="161"/>
      <c r="R585" s="146"/>
      <c r="S585" s="162"/>
      <c r="T585" s="148"/>
      <c r="U585" s="161"/>
      <c r="V585" s="146"/>
      <c r="W585" s="162"/>
      <c r="X585" s="148"/>
      <c r="Y585" s="161"/>
      <c r="Z585" s="146"/>
      <c r="AA585" s="162"/>
      <c r="AB585" s="148"/>
      <c r="AC585" s="161"/>
      <c r="AD585" s="146"/>
      <c r="AE585" s="162"/>
      <c r="AF585" s="148"/>
    </row>
    <row r="586">
      <c r="A586" s="161"/>
      <c r="B586" s="146" t="str">
        <f>IF(A586&lt;&gt;"", SUMIF(Bets!$F:$F, A586, Bets!Z:Z), "")</f>
        <v/>
      </c>
      <c r="C586" s="162"/>
      <c r="D586" s="148"/>
      <c r="E586" s="161"/>
      <c r="F586" s="146" t="str">
        <f>IF(E586&lt;&gt;"", SUMIF(Bets!$F:$F, E586, Bets!AB:AB), "")</f>
        <v/>
      </c>
      <c r="G586" s="162"/>
      <c r="H586" s="148"/>
      <c r="I586" s="161"/>
      <c r="J586" s="146" t="str">
        <f>IF(I586&lt;&gt;"", SUMIF(Bets!$F:$F, I586, Bets!AA:AA), "")</f>
        <v/>
      </c>
      <c r="K586" s="162"/>
      <c r="L586" s="148"/>
      <c r="M586" s="161"/>
      <c r="N586" s="146"/>
      <c r="O586" s="162"/>
      <c r="P586" s="148"/>
      <c r="Q586" s="161"/>
      <c r="R586" s="146"/>
      <c r="S586" s="162"/>
      <c r="T586" s="148"/>
      <c r="U586" s="161"/>
      <c r="V586" s="146"/>
      <c r="W586" s="162"/>
      <c r="X586" s="148"/>
      <c r="Y586" s="161"/>
      <c r="Z586" s="146"/>
      <c r="AA586" s="162"/>
      <c r="AB586" s="148"/>
      <c r="AC586" s="161"/>
      <c r="AD586" s="146"/>
      <c r="AE586" s="162"/>
      <c r="AF586" s="148"/>
    </row>
    <row r="587">
      <c r="A587" s="161"/>
      <c r="B587" s="146" t="str">
        <f>IF(A587&lt;&gt;"", SUMIF(Bets!$F:$F, A587, Bets!Z:Z), "")</f>
        <v/>
      </c>
      <c r="C587" s="162"/>
      <c r="D587" s="148"/>
      <c r="E587" s="161"/>
      <c r="F587" s="146" t="str">
        <f>IF(E587&lt;&gt;"", SUMIF(Bets!$F:$F, E587, Bets!AB:AB), "")</f>
        <v/>
      </c>
      <c r="G587" s="162"/>
      <c r="H587" s="148"/>
      <c r="I587" s="161"/>
      <c r="J587" s="146" t="str">
        <f>IF(I587&lt;&gt;"", SUMIF(Bets!$F:$F, I587, Bets!AA:AA), "")</f>
        <v/>
      </c>
      <c r="K587" s="162"/>
      <c r="L587" s="148"/>
      <c r="M587" s="161"/>
      <c r="N587" s="146"/>
      <c r="O587" s="162"/>
      <c r="P587" s="148"/>
      <c r="Q587" s="161"/>
      <c r="R587" s="146"/>
      <c r="S587" s="162"/>
      <c r="T587" s="148"/>
      <c r="U587" s="161"/>
      <c r="V587" s="146"/>
      <c r="W587" s="162"/>
      <c r="X587" s="148"/>
      <c r="Y587" s="161"/>
      <c r="Z587" s="146"/>
      <c r="AA587" s="162"/>
      <c r="AB587" s="148"/>
      <c r="AC587" s="161"/>
      <c r="AD587" s="146"/>
      <c r="AE587" s="162"/>
      <c r="AF587" s="148"/>
    </row>
    <row r="588">
      <c r="A588" s="161"/>
      <c r="B588" s="146" t="str">
        <f>IF(A588&lt;&gt;"", SUMIF(Bets!$F:$F, A588, Bets!Z:Z), "")</f>
        <v/>
      </c>
      <c r="C588" s="162"/>
      <c r="D588" s="148"/>
      <c r="E588" s="161"/>
      <c r="F588" s="146" t="str">
        <f>IF(E588&lt;&gt;"", SUMIF(Bets!$F:$F, E588, Bets!AB:AB), "")</f>
        <v/>
      </c>
      <c r="G588" s="162"/>
      <c r="H588" s="148"/>
      <c r="I588" s="161"/>
      <c r="J588" s="146" t="str">
        <f>IF(I588&lt;&gt;"", SUMIF(Bets!$F:$F, I588, Bets!AA:AA), "")</f>
        <v/>
      </c>
      <c r="K588" s="162"/>
      <c r="L588" s="148"/>
      <c r="M588" s="161"/>
      <c r="N588" s="146"/>
      <c r="O588" s="162"/>
      <c r="P588" s="148"/>
      <c r="Q588" s="161"/>
      <c r="R588" s="146"/>
      <c r="S588" s="162"/>
      <c r="T588" s="148"/>
      <c r="U588" s="161"/>
      <c r="V588" s="146"/>
      <c r="W588" s="162"/>
      <c r="X588" s="148"/>
      <c r="Y588" s="161"/>
      <c r="Z588" s="146"/>
      <c r="AA588" s="162"/>
      <c r="AB588" s="148"/>
      <c r="AC588" s="161"/>
      <c r="AD588" s="146"/>
      <c r="AE588" s="162"/>
      <c r="AF588" s="148"/>
    </row>
    <row r="589">
      <c r="A589" s="161"/>
      <c r="B589" s="146" t="str">
        <f>IF(A589&lt;&gt;"", SUMIF(Bets!$F:$F, A589, Bets!Z:Z), "")</f>
        <v/>
      </c>
      <c r="C589" s="162"/>
      <c r="D589" s="148"/>
      <c r="E589" s="161"/>
      <c r="F589" s="146" t="str">
        <f>IF(E589&lt;&gt;"", SUMIF(Bets!$F:$F, E589, Bets!AB:AB), "")</f>
        <v/>
      </c>
      <c r="G589" s="162"/>
      <c r="H589" s="148"/>
      <c r="I589" s="161"/>
      <c r="J589" s="146" t="str">
        <f>IF(I589&lt;&gt;"", SUMIF(Bets!$F:$F, I589, Bets!AA:AA), "")</f>
        <v/>
      </c>
      <c r="K589" s="162"/>
      <c r="L589" s="148"/>
      <c r="M589" s="161"/>
      <c r="N589" s="146"/>
      <c r="O589" s="162"/>
      <c r="P589" s="148"/>
      <c r="Q589" s="161"/>
      <c r="R589" s="146"/>
      <c r="S589" s="162"/>
      <c r="T589" s="148"/>
      <c r="U589" s="161"/>
      <c r="V589" s="146"/>
      <c r="W589" s="162"/>
      <c r="X589" s="148"/>
      <c r="Y589" s="161"/>
      <c r="Z589" s="146"/>
      <c r="AA589" s="162"/>
      <c r="AB589" s="148"/>
      <c r="AC589" s="161"/>
      <c r="AD589" s="146"/>
      <c r="AE589" s="162"/>
      <c r="AF589" s="148"/>
    </row>
    <row r="590">
      <c r="A590" s="161"/>
      <c r="B590" s="146" t="str">
        <f>IF(A590&lt;&gt;"", SUMIF(Bets!$F:$F, A590, Bets!Z:Z), "")</f>
        <v/>
      </c>
      <c r="C590" s="162"/>
      <c r="D590" s="148"/>
      <c r="E590" s="161"/>
      <c r="F590" s="146" t="str">
        <f>IF(E590&lt;&gt;"", SUMIF(Bets!$F:$F, E590, Bets!AB:AB), "")</f>
        <v/>
      </c>
      <c r="G590" s="162"/>
      <c r="H590" s="148"/>
      <c r="I590" s="161"/>
      <c r="J590" s="146" t="str">
        <f>IF(I590&lt;&gt;"", SUMIF(Bets!$F:$F, I590, Bets!AA:AA), "")</f>
        <v/>
      </c>
      <c r="K590" s="162"/>
      <c r="L590" s="148"/>
      <c r="M590" s="161"/>
      <c r="N590" s="146"/>
      <c r="O590" s="162"/>
      <c r="P590" s="148"/>
      <c r="Q590" s="161"/>
      <c r="R590" s="146"/>
      <c r="S590" s="162"/>
      <c r="T590" s="148"/>
      <c r="U590" s="161"/>
      <c r="V590" s="146"/>
      <c r="W590" s="162"/>
      <c r="X590" s="148"/>
      <c r="Y590" s="161"/>
      <c r="Z590" s="146"/>
      <c r="AA590" s="162"/>
      <c r="AB590" s="148"/>
      <c r="AC590" s="161"/>
      <c r="AD590" s="146"/>
      <c r="AE590" s="162"/>
      <c r="AF590" s="148"/>
    </row>
    <row r="591">
      <c r="A591" s="161"/>
      <c r="B591" s="146" t="str">
        <f>IF(A591&lt;&gt;"", SUMIF(Bets!$F:$F, A591, Bets!Z:Z), "")</f>
        <v/>
      </c>
      <c r="C591" s="162"/>
      <c r="D591" s="148"/>
      <c r="E591" s="161"/>
      <c r="F591" s="146" t="str">
        <f>IF(E591&lt;&gt;"", SUMIF(Bets!$F:$F, E591, Bets!AB:AB), "")</f>
        <v/>
      </c>
      <c r="G591" s="162"/>
      <c r="H591" s="148"/>
      <c r="I591" s="161"/>
      <c r="J591" s="146" t="str">
        <f>IF(I591&lt;&gt;"", SUMIF(Bets!$F:$F, I591, Bets!AA:AA), "")</f>
        <v/>
      </c>
      <c r="K591" s="162"/>
      <c r="L591" s="148"/>
      <c r="M591" s="161"/>
      <c r="N591" s="146"/>
      <c r="O591" s="162"/>
      <c r="P591" s="148"/>
      <c r="Q591" s="161"/>
      <c r="R591" s="146"/>
      <c r="S591" s="162"/>
      <c r="T591" s="148"/>
      <c r="U591" s="161"/>
      <c r="V591" s="146"/>
      <c r="W591" s="162"/>
      <c r="X591" s="148"/>
      <c r="Y591" s="161"/>
      <c r="Z591" s="146"/>
      <c r="AA591" s="162"/>
      <c r="AB591" s="148"/>
      <c r="AC591" s="161"/>
      <c r="AD591" s="146"/>
      <c r="AE591" s="162"/>
      <c r="AF591" s="148"/>
    </row>
    <row r="592">
      <c r="A592" s="161"/>
      <c r="B592" s="146" t="str">
        <f>IF(A592&lt;&gt;"", SUMIF(Bets!$F:$F, A592, Bets!Z:Z), "")</f>
        <v/>
      </c>
      <c r="C592" s="162"/>
      <c r="D592" s="148"/>
      <c r="E592" s="161"/>
      <c r="F592" s="146" t="str">
        <f>IF(E592&lt;&gt;"", SUMIF(Bets!$F:$F, E592, Bets!AB:AB), "")</f>
        <v/>
      </c>
      <c r="G592" s="162"/>
      <c r="H592" s="148"/>
      <c r="I592" s="161"/>
      <c r="J592" s="146" t="str">
        <f>IF(I592&lt;&gt;"", SUMIF(Bets!$F:$F, I592, Bets!AA:AA), "")</f>
        <v/>
      </c>
      <c r="K592" s="162"/>
      <c r="L592" s="148"/>
      <c r="M592" s="161"/>
      <c r="N592" s="146"/>
      <c r="O592" s="162"/>
      <c r="P592" s="148"/>
      <c r="Q592" s="161"/>
      <c r="R592" s="146"/>
      <c r="S592" s="162"/>
      <c r="T592" s="148"/>
      <c r="U592" s="161"/>
      <c r="V592" s="146"/>
      <c r="W592" s="162"/>
      <c r="X592" s="148"/>
      <c r="Y592" s="161"/>
      <c r="Z592" s="146"/>
      <c r="AA592" s="162"/>
      <c r="AB592" s="148"/>
      <c r="AC592" s="161"/>
      <c r="AD592" s="146"/>
      <c r="AE592" s="162"/>
      <c r="AF592" s="148"/>
    </row>
    <row r="593">
      <c r="A593" s="161"/>
      <c r="B593" s="146" t="str">
        <f>IF(A593&lt;&gt;"", SUMIF(Bets!$F:$F, A593, Bets!Z:Z), "")</f>
        <v/>
      </c>
      <c r="C593" s="162"/>
      <c r="D593" s="148"/>
      <c r="E593" s="161"/>
      <c r="F593" s="146" t="str">
        <f>IF(E593&lt;&gt;"", SUMIF(Bets!$F:$F, E593, Bets!AB:AB), "")</f>
        <v/>
      </c>
      <c r="G593" s="162"/>
      <c r="H593" s="148"/>
      <c r="I593" s="161"/>
      <c r="J593" s="146" t="str">
        <f>IF(I593&lt;&gt;"", SUMIF(Bets!$F:$F, I593, Bets!AA:AA), "")</f>
        <v/>
      </c>
      <c r="K593" s="162"/>
      <c r="L593" s="148"/>
      <c r="M593" s="161"/>
      <c r="N593" s="146"/>
      <c r="O593" s="162"/>
      <c r="P593" s="148"/>
      <c r="Q593" s="161"/>
      <c r="R593" s="146"/>
      <c r="S593" s="162"/>
      <c r="T593" s="148"/>
      <c r="U593" s="161"/>
      <c r="V593" s="146"/>
      <c r="W593" s="162"/>
      <c r="X593" s="148"/>
      <c r="Y593" s="161"/>
      <c r="Z593" s="146"/>
      <c r="AA593" s="162"/>
      <c r="AB593" s="148"/>
      <c r="AC593" s="161"/>
      <c r="AD593" s="146"/>
      <c r="AE593" s="162"/>
      <c r="AF593" s="148"/>
    </row>
    <row r="594">
      <c r="A594" s="161"/>
      <c r="B594" s="146" t="str">
        <f>IF(A594&lt;&gt;"", SUMIF(Bets!$F:$F, A594, Bets!Z:Z), "")</f>
        <v/>
      </c>
      <c r="C594" s="162"/>
      <c r="D594" s="148"/>
      <c r="E594" s="161"/>
      <c r="F594" s="146" t="str">
        <f>IF(E594&lt;&gt;"", SUMIF(Bets!$F:$F, E594, Bets!AB:AB), "")</f>
        <v/>
      </c>
      <c r="G594" s="162"/>
      <c r="H594" s="148"/>
      <c r="I594" s="161"/>
      <c r="J594" s="146" t="str">
        <f>IF(I594&lt;&gt;"", SUMIF(Bets!$F:$F, I594, Bets!AA:AA), "")</f>
        <v/>
      </c>
      <c r="K594" s="162"/>
      <c r="L594" s="148"/>
      <c r="M594" s="161"/>
      <c r="N594" s="146"/>
      <c r="O594" s="162"/>
      <c r="P594" s="148"/>
      <c r="Q594" s="161"/>
      <c r="R594" s="146"/>
      <c r="S594" s="162"/>
      <c r="T594" s="148"/>
      <c r="U594" s="161"/>
      <c r="V594" s="146"/>
      <c r="W594" s="162"/>
      <c r="X594" s="148"/>
      <c r="Y594" s="161"/>
      <c r="Z594" s="146"/>
      <c r="AA594" s="162"/>
      <c r="AB594" s="148"/>
      <c r="AC594" s="161"/>
      <c r="AD594" s="146"/>
      <c r="AE594" s="162"/>
      <c r="AF594" s="148"/>
    </row>
    <row r="595">
      <c r="A595" s="161"/>
      <c r="B595" s="146" t="str">
        <f>IF(A595&lt;&gt;"", SUMIF(Bets!$F:$F, A595, Bets!Z:Z), "")</f>
        <v/>
      </c>
      <c r="C595" s="162"/>
      <c r="D595" s="148"/>
      <c r="E595" s="161"/>
      <c r="F595" s="146" t="str">
        <f>IF(E595&lt;&gt;"", SUMIF(Bets!$F:$F, E595, Bets!AB:AB), "")</f>
        <v/>
      </c>
      <c r="G595" s="162"/>
      <c r="H595" s="148"/>
      <c r="I595" s="161"/>
      <c r="J595" s="146" t="str">
        <f>IF(I595&lt;&gt;"", SUMIF(Bets!$F:$F, I595, Bets!AA:AA), "")</f>
        <v/>
      </c>
      <c r="K595" s="162"/>
      <c r="L595" s="148"/>
      <c r="M595" s="161"/>
      <c r="N595" s="146"/>
      <c r="O595" s="162"/>
      <c r="P595" s="148"/>
      <c r="Q595" s="161"/>
      <c r="R595" s="146"/>
      <c r="S595" s="162"/>
      <c r="T595" s="148"/>
      <c r="U595" s="161"/>
      <c r="V595" s="146"/>
      <c r="W595" s="162"/>
      <c r="X595" s="148"/>
      <c r="Y595" s="161"/>
      <c r="Z595" s="146"/>
      <c r="AA595" s="162"/>
      <c r="AB595" s="148"/>
      <c r="AC595" s="161"/>
      <c r="AD595" s="146"/>
      <c r="AE595" s="162"/>
      <c r="AF595" s="148"/>
    </row>
    <row r="596">
      <c r="A596" s="161"/>
      <c r="B596" s="146" t="str">
        <f>IF(A596&lt;&gt;"", SUMIF(Bets!$F:$F, A596, Bets!Z:Z), "")</f>
        <v/>
      </c>
      <c r="C596" s="162"/>
      <c r="D596" s="148"/>
      <c r="E596" s="161"/>
      <c r="F596" s="146" t="str">
        <f>IF(E596&lt;&gt;"", SUMIF(Bets!$F:$F, E596, Bets!AB:AB), "")</f>
        <v/>
      </c>
      <c r="G596" s="162"/>
      <c r="H596" s="148"/>
      <c r="I596" s="161"/>
      <c r="J596" s="146" t="str">
        <f>IF(I596&lt;&gt;"", SUMIF(Bets!$F:$F, I596, Bets!AA:AA), "")</f>
        <v/>
      </c>
      <c r="K596" s="162"/>
      <c r="L596" s="148"/>
      <c r="M596" s="161"/>
      <c r="N596" s="146"/>
      <c r="O596" s="162"/>
      <c r="P596" s="148"/>
      <c r="Q596" s="161"/>
      <c r="R596" s="146"/>
      <c r="S596" s="162"/>
      <c r="T596" s="148"/>
      <c r="U596" s="161"/>
      <c r="V596" s="146"/>
      <c r="W596" s="162"/>
      <c r="X596" s="148"/>
      <c r="Y596" s="161"/>
      <c r="Z596" s="146"/>
      <c r="AA596" s="162"/>
      <c r="AB596" s="148"/>
      <c r="AC596" s="161"/>
      <c r="AD596" s="146"/>
      <c r="AE596" s="162"/>
      <c r="AF596" s="148"/>
    </row>
    <row r="597">
      <c r="A597" s="161"/>
      <c r="B597" s="146" t="str">
        <f>IF(A597&lt;&gt;"", SUMIF(Bets!$F:$F, A597, Bets!Z:Z), "")</f>
        <v/>
      </c>
      <c r="C597" s="162"/>
      <c r="D597" s="148"/>
      <c r="E597" s="161"/>
      <c r="F597" s="146" t="str">
        <f>IF(E597&lt;&gt;"", SUMIF(Bets!$F:$F, E597, Bets!AB:AB), "")</f>
        <v/>
      </c>
      <c r="G597" s="162"/>
      <c r="H597" s="148"/>
      <c r="I597" s="161"/>
      <c r="J597" s="146" t="str">
        <f>IF(I597&lt;&gt;"", SUMIF(Bets!$F:$F, I597, Bets!AA:AA), "")</f>
        <v/>
      </c>
      <c r="K597" s="162"/>
      <c r="L597" s="148"/>
      <c r="M597" s="161"/>
      <c r="N597" s="146"/>
      <c r="O597" s="162"/>
      <c r="P597" s="148"/>
      <c r="Q597" s="161"/>
      <c r="R597" s="146"/>
      <c r="S597" s="162"/>
      <c r="T597" s="148"/>
      <c r="U597" s="161"/>
      <c r="V597" s="146"/>
      <c r="W597" s="162"/>
      <c r="X597" s="148"/>
      <c r="Y597" s="161"/>
      <c r="Z597" s="146"/>
      <c r="AA597" s="162"/>
      <c r="AB597" s="148"/>
      <c r="AC597" s="161"/>
      <c r="AD597" s="146"/>
      <c r="AE597" s="162"/>
      <c r="AF597" s="148"/>
    </row>
    <row r="598">
      <c r="A598" s="161"/>
      <c r="B598" s="146" t="str">
        <f>IF(A598&lt;&gt;"", SUMIF(Bets!$F:$F, A598, Bets!Z:Z), "")</f>
        <v/>
      </c>
      <c r="C598" s="162"/>
      <c r="D598" s="148"/>
      <c r="E598" s="161"/>
      <c r="F598" s="146" t="str">
        <f>IF(E598&lt;&gt;"", SUMIF(Bets!$F:$F, E598, Bets!AB:AB), "")</f>
        <v/>
      </c>
      <c r="G598" s="162"/>
      <c r="H598" s="148"/>
      <c r="I598" s="161"/>
      <c r="J598" s="146" t="str">
        <f>IF(I598&lt;&gt;"", SUMIF(Bets!$F:$F, I598, Bets!AA:AA), "")</f>
        <v/>
      </c>
      <c r="K598" s="162"/>
      <c r="L598" s="148"/>
      <c r="M598" s="161"/>
      <c r="N598" s="146"/>
      <c r="O598" s="162"/>
      <c r="P598" s="148"/>
      <c r="Q598" s="161"/>
      <c r="R598" s="146"/>
      <c r="S598" s="162"/>
      <c r="T598" s="148"/>
      <c r="U598" s="161"/>
      <c r="V598" s="146"/>
      <c r="W598" s="162"/>
      <c r="X598" s="148"/>
      <c r="Y598" s="161"/>
      <c r="Z598" s="146"/>
      <c r="AA598" s="162"/>
      <c r="AB598" s="148"/>
      <c r="AC598" s="161"/>
      <c r="AD598" s="146"/>
      <c r="AE598" s="162"/>
      <c r="AF598" s="148"/>
    </row>
    <row r="599">
      <c r="A599" s="161"/>
      <c r="B599" s="146" t="str">
        <f>IF(A599&lt;&gt;"", SUMIF(Bets!$F:$F, A599, Bets!Z:Z), "")</f>
        <v/>
      </c>
      <c r="C599" s="162"/>
      <c r="D599" s="148"/>
      <c r="E599" s="161"/>
      <c r="F599" s="146" t="str">
        <f>IF(E599&lt;&gt;"", SUMIF(Bets!$F:$F, E599, Bets!AB:AB), "")</f>
        <v/>
      </c>
      <c r="G599" s="162"/>
      <c r="H599" s="148"/>
      <c r="I599" s="161"/>
      <c r="J599" s="146" t="str">
        <f>IF(I599&lt;&gt;"", SUMIF(Bets!$F:$F, I599, Bets!AA:AA), "")</f>
        <v/>
      </c>
      <c r="K599" s="162"/>
      <c r="L599" s="148"/>
      <c r="M599" s="161"/>
      <c r="N599" s="146"/>
      <c r="O599" s="162"/>
      <c r="P599" s="148"/>
      <c r="Q599" s="161"/>
      <c r="R599" s="146"/>
      <c r="S599" s="162"/>
      <c r="T599" s="148"/>
      <c r="U599" s="161"/>
      <c r="V599" s="146"/>
      <c r="W599" s="162"/>
      <c r="X599" s="148"/>
      <c r="Y599" s="161"/>
      <c r="Z599" s="146"/>
      <c r="AA599" s="162"/>
      <c r="AB599" s="148"/>
      <c r="AC599" s="161"/>
      <c r="AD599" s="146"/>
      <c r="AE599" s="162"/>
      <c r="AF599" s="148"/>
    </row>
    <row r="600">
      <c r="A600" s="161"/>
      <c r="B600" s="146" t="str">
        <f>IF(A600&lt;&gt;"", SUMIF(Bets!$F:$F, A600, Bets!Z:Z), "")</f>
        <v/>
      </c>
      <c r="C600" s="162"/>
      <c r="D600" s="148"/>
      <c r="E600" s="161"/>
      <c r="F600" s="146" t="str">
        <f>IF(E600&lt;&gt;"", SUMIF(Bets!$F:$F, E600, Bets!AB:AB), "")</f>
        <v/>
      </c>
      <c r="G600" s="162"/>
      <c r="H600" s="148"/>
      <c r="I600" s="161"/>
      <c r="J600" s="146" t="str">
        <f>IF(I600&lt;&gt;"", SUMIF(Bets!$F:$F, I600, Bets!AA:AA), "")</f>
        <v/>
      </c>
      <c r="K600" s="162"/>
      <c r="L600" s="148"/>
      <c r="M600" s="161"/>
      <c r="N600" s="146"/>
      <c r="O600" s="162"/>
      <c r="P600" s="148"/>
      <c r="Q600" s="161"/>
      <c r="R600" s="146"/>
      <c r="S600" s="162"/>
      <c r="T600" s="148"/>
      <c r="U600" s="161"/>
      <c r="V600" s="146"/>
      <c r="W600" s="162"/>
      <c r="X600" s="148"/>
      <c r="Y600" s="161"/>
      <c r="Z600" s="146"/>
      <c r="AA600" s="162"/>
      <c r="AB600" s="148"/>
      <c r="AC600" s="161"/>
      <c r="AD600" s="146"/>
      <c r="AE600" s="162"/>
      <c r="AF600" s="148"/>
    </row>
    <row r="601">
      <c r="A601" s="161"/>
      <c r="B601" s="146" t="str">
        <f>IF(A601&lt;&gt;"", SUMIF(Bets!$F:$F, A601, Bets!Z:Z), "")</f>
        <v/>
      </c>
      <c r="C601" s="162"/>
      <c r="D601" s="148"/>
      <c r="E601" s="161"/>
      <c r="F601" s="146" t="str">
        <f>IF(E601&lt;&gt;"", SUMIF(Bets!$F:$F, E601, Bets!AB:AB), "")</f>
        <v/>
      </c>
      <c r="G601" s="162"/>
      <c r="H601" s="148"/>
      <c r="I601" s="161"/>
      <c r="J601" s="146" t="str">
        <f>IF(I601&lt;&gt;"", SUMIF(Bets!$F:$F, I601, Bets!AA:AA), "")</f>
        <v/>
      </c>
      <c r="K601" s="162"/>
      <c r="L601" s="148"/>
      <c r="M601" s="161"/>
      <c r="N601" s="146"/>
      <c r="O601" s="162"/>
      <c r="P601" s="148"/>
      <c r="Q601" s="161"/>
      <c r="R601" s="146"/>
      <c r="S601" s="162"/>
      <c r="T601" s="148"/>
      <c r="U601" s="161"/>
      <c r="V601" s="146"/>
      <c r="W601" s="162"/>
      <c r="X601" s="148"/>
      <c r="Y601" s="161"/>
      <c r="Z601" s="146"/>
      <c r="AA601" s="162"/>
      <c r="AB601" s="148"/>
      <c r="AC601" s="161"/>
      <c r="AD601" s="146"/>
      <c r="AE601" s="162"/>
      <c r="AF601" s="148"/>
    </row>
    <row r="602">
      <c r="A602" s="161"/>
      <c r="B602" s="146" t="str">
        <f>IF(A602&lt;&gt;"", SUMIF(Bets!$F:$F, A602, Bets!Z:Z), "")</f>
        <v/>
      </c>
      <c r="C602" s="162"/>
      <c r="D602" s="148"/>
      <c r="E602" s="161"/>
      <c r="F602" s="146" t="str">
        <f>IF(E602&lt;&gt;"", SUMIF(Bets!$F:$F, E602, Bets!AB:AB), "")</f>
        <v/>
      </c>
      <c r="G602" s="162"/>
      <c r="H602" s="148"/>
      <c r="I602" s="161"/>
      <c r="J602" s="146" t="str">
        <f>IF(I602&lt;&gt;"", SUMIF(Bets!$F:$F, I602, Bets!AA:AA), "")</f>
        <v/>
      </c>
      <c r="K602" s="162"/>
      <c r="L602" s="148"/>
      <c r="M602" s="161"/>
      <c r="N602" s="146"/>
      <c r="O602" s="162"/>
      <c r="P602" s="148"/>
      <c r="Q602" s="161"/>
      <c r="R602" s="146"/>
      <c r="S602" s="162"/>
      <c r="T602" s="148"/>
      <c r="U602" s="161"/>
      <c r="V602" s="146"/>
      <c r="W602" s="162"/>
      <c r="X602" s="148"/>
      <c r="Y602" s="161"/>
      <c r="Z602" s="146"/>
      <c r="AA602" s="162"/>
      <c r="AB602" s="148"/>
      <c r="AC602" s="161"/>
      <c r="AD602" s="146"/>
      <c r="AE602" s="162"/>
      <c r="AF602" s="148"/>
    </row>
    <row r="603">
      <c r="A603" s="161"/>
      <c r="B603" s="146" t="str">
        <f>IF(A603&lt;&gt;"", SUMIF(Bets!$F:$F, A603, Bets!Z:Z), "")</f>
        <v/>
      </c>
      <c r="C603" s="162"/>
      <c r="D603" s="148"/>
      <c r="E603" s="161"/>
      <c r="F603" s="146" t="str">
        <f>IF(E603&lt;&gt;"", SUMIF(Bets!$F:$F, E603, Bets!AB:AB), "")</f>
        <v/>
      </c>
      <c r="G603" s="162"/>
      <c r="H603" s="148"/>
      <c r="I603" s="161"/>
      <c r="J603" s="146" t="str">
        <f>IF(I603&lt;&gt;"", SUMIF(Bets!$F:$F, I603, Bets!AA:AA), "")</f>
        <v/>
      </c>
      <c r="K603" s="162"/>
      <c r="L603" s="148"/>
      <c r="M603" s="161"/>
      <c r="N603" s="146"/>
      <c r="O603" s="162"/>
      <c r="P603" s="148"/>
      <c r="Q603" s="161"/>
      <c r="R603" s="146"/>
      <c r="S603" s="162"/>
      <c r="T603" s="148"/>
      <c r="U603" s="161"/>
      <c r="V603" s="146"/>
      <c r="W603" s="162"/>
      <c r="X603" s="148"/>
      <c r="Y603" s="161"/>
      <c r="Z603" s="146"/>
      <c r="AA603" s="162"/>
      <c r="AB603" s="148"/>
      <c r="AC603" s="161"/>
      <c r="AD603" s="146"/>
      <c r="AE603" s="162"/>
      <c r="AF603" s="148"/>
    </row>
    <row r="604">
      <c r="A604" s="161"/>
      <c r="B604" s="146" t="str">
        <f>IF(A604&lt;&gt;"", SUMIF(Bets!$F:$F, A604, Bets!Z:Z), "")</f>
        <v/>
      </c>
      <c r="C604" s="162"/>
      <c r="D604" s="148"/>
      <c r="E604" s="161"/>
      <c r="F604" s="146" t="str">
        <f>IF(E604&lt;&gt;"", SUMIF(Bets!$F:$F, E604, Bets!AB:AB), "")</f>
        <v/>
      </c>
      <c r="G604" s="162"/>
      <c r="H604" s="148"/>
      <c r="I604" s="161"/>
      <c r="J604" s="146" t="str">
        <f>IF(I604&lt;&gt;"", SUMIF(Bets!$F:$F, I604, Bets!AA:AA), "")</f>
        <v/>
      </c>
      <c r="K604" s="162"/>
      <c r="L604" s="148"/>
      <c r="M604" s="161"/>
      <c r="N604" s="146"/>
      <c r="O604" s="162"/>
      <c r="P604" s="148"/>
      <c r="Q604" s="161"/>
      <c r="R604" s="146"/>
      <c r="S604" s="162"/>
      <c r="T604" s="148"/>
      <c r="U604" s="161"/>
      <c r="V604" s="146"/>
      <c r="W604" s="162"/>
      <c r="X604" s="148"/>
      <c r="Y604" s="161"/>
      <c r="Z604" s="146"/>
      <c r="AA604" s="162"/>
      <c r="AB604" s="148"/>
      <c r="AC604" s="161"/>
      <c r="AD604" s="146"/>
      <c r="AE604" s="162"/>
      <c r="AF604" s="148"/>
    </row>
    <row r="605">
      <c r="A605" s="161"/>
      <c r="B605" s="146" t="str">
        <f>IF(A605&lt;&gt;"", SUMIF(Bets!$F:$F, A605, Bets!Z:Z), "")</f>
        <v/>
      </c>
      <c r="C605" s="162"/>
      <c r="D605" s="148"/>
      <c r="E605" s="161"/>
      <c r="F605" s="146" t="str">
        <f>IF(E605&lt;&gt;"", SUMIF(Bets!$F:$F, E605, Bets!AB:AB), "")</f>
        <v/>
      </c>
      <c r="G605" s="162"/>
      <c r="H605" s="148"/>
      <c r="I605" s="161"/>
      <c r="J605" s="146" t="str">
        <f>IF(I605&lt;&gt;"", SUMIF(Bets!$F:$F, I605, Bets!AA:AA), "")</f>
        <v/>
      </c>
      <c r="K605" s="162"/>
      <c r="L605" s="148"/>
      <c r="M605" s="161"/>
      <c r="N605" s="146"/>
      <c r="O605" s="162"/>
      <c r="P605" s="148"/>
      <c r="Q605" s="161"/>
      <c r="R605" s="146"/>
      <c r="S605" s="162"/>
      <c r="T605" s="148"/>
      <c r="U605" s="161"/>
      <c r="V605" s="146"/>
      <c r="W605" s="162"/>
      <c r="X605" s="148"/>
      <c r="Y605" s="161"/>
      <c r="Z605" s="146"/>
      <c r="AA605" s="162"/>
      <c r="AB605" s="148"/>
      <c r="AC605" s="161"/>
      <c r="AD605" s="146"/>
      <c r="AE605" s="162"/>
      <c r="AF605" s="148"/>
    </row>
    <row r="606">
      <c r="A606" s="161"/>
      <c r="B606" s="146" t="str">
        <f>IF(A606&lt;&gt;"", SUMIF(Bets!$F:$F, A606, Bets!Z:Z), "")</f>
        <v/>
      </c>
      <c r="C606" s="162"/>
      <c r="D606" s="148"/>
      <c r="E606" s="161"/>
      <c r="F606" s="146" t="str">
        <f>IF(E606&lt;&gt;"", SUMIF(Bets!$F:$F, E606, Bets!AB:AB), "")</f>
        <v/>
      </c>
      <c r="G606" s="162"/>
      <c r="H606" s="148"/>
      <c r="I606" s="161"/>
      <c r="J606" s="146" t="str">
        <f>IF(I606&lt;&gt;"", SUMIF(Bets!$F:$F, I606, Bets!AA:AA), "")</f>
        <v/>
      </c>
      <c r="K606" s="162"/>
      <c r="L606" s="148"/>
      <c r="M606" s="161"/>
      <c r="N606" s="146"/>
      <c r="O606" s="162"/>
      <c r="P606" s="148"/>
      <c r="Q606" s="161"/>
      <c r="R606" s="146"/>
      <c r="S606" s="162"/>
      <c r="T606" s="148"/>
      <c r="U606" s="161"/>
      <c r="V606" s="146"/>
      <c r="W606" s="162"/>
      <c r="X606" s="148"/>
      <c r="Y606" s="161"/>
      <c r="Z606" s="146"/>
      <c r="AA606" s="162"/>
      <c r="AB606" s="148"/>
      <c r="AC606" s="161"/>
      <c r="AD606" s="146"/>
      <c r="AE606" s="162"/>
      <c r="AF606" s="148"/>
    </row>
    <row r="607">
      <c r="A607" s="161"/>
      <c r="B607" s="146" t="str">
        <f>IF(A607&lt;&gt;"", SUMIF(Bets!$F:$F, A607, Bets!Z:Z), "")</f>
        <v/>
      </c>
      <c r="C607" s="162"/>
      <c r="D607" s="148"/>
      <c r="E607" s="161"/>
      <c r="F607" s="146" t="str">
        <f>IF(E607&lt;&gt;"", SUMIF(Bets!$F:$F, E607, Bets!AB:AB), "")</f>
        <v/>
      </c>
      <c r="G607" s="162"/>
      <c r="H607" s="148"/>
      <c r="I607" s="161"/>
      <c r="J607" s="146" t="str">
        <f>IF(I607&lt;&gt;"", SUMIF(Bets!$F:$F, I607, Bets!AA:AA), "")</f>
        <v/>
      </c>
      <c r="K607" s="162"/>
      <c r="L607" s="148"/>
      <c r="M607" s="161"/>
      <c r="N607" s="146"/>
      <c r="O607" s="162"/>
      <c r="P607" s="148"/>
      <c r="Q607" s="161"/>
      <c r="R607" s="146"/>
      <c r="S607" s="162"/>
      <c r="T607" s="148"/>
      <c r="U607" s="161"/>
      <c r="V607" s="146"/>
      <c r="W607" s="162"/>
      <c r="X607" s="148"/>
      <c r="Y607" s="161"/>
      <c r="Z607" s="146"/>
      <c r="AA607" s="162"/>
      <c r="AB607" s="148"/>
      <c r="AC607" s="161"/>
      <c r="AD607" s="146"/>
      <c r="AE607" s="162"/>
      <c r="AF607" s="148"/>
    </row>
    <row r="608">
      <c r="A608" s="161"/>
      <c r="B608" s="146" t="str">
        <f>IF(A608&lt;&gt;"", SUMIF(Bets!$F:$F, A608, Bets!Z:Z), "")</f>
        <v/>
      </c>
      <c r="C608" s="162"/>
      <c r="D608" s="148"/>
      <c r="E608" s="161"/>
      <c r="F608" s="146" t="str">
        <f>IF(E608&lt;&gt;"", SUMIF(Bets!$F:$F, E608, Bets!AB:AB), "")</f>
        <v/>
      </c>
      <c r="G608" s="162"/>
      <c r="H608" s="148"/>
      <c r="I608" s="161"/>
      <c r="J608" s="146" t="str">
        <f>IF(I608&lt;&gt;"", SUMIF(Bets!$F:$F, I608, Bets!AA:AA), "")</f>
        <v/>
      </c>
      <c r="K608" s="162"/>
      <c r="L608" s="148"/>
      <c r="M608" s="161"/>
      <c r="N608" s="146"/>
      <c r="O608" s="162"/>
      <c r="P608" s="148"/>
      <c r="Q608" s="161"/>
      <c r="R608" s="146"/>
      <c r="S608" s="162"/>
      <c r="T608" s="148"/>
      <c r="U608" s="161"/>
      <c r="V608" s="146"/>
      <c r="W608" s="162"/>
      <c r="X608" s="148"/>
      <c r="Y608" s="161"/>
      <c r="Z608" s="146"/>
      <c r="AA608" s="162"/>
      <c r="AB608" s="148"/>
      <c r="AC608" s="161"/>
      <c r="AD608" s="146"/>
      <c r="AE608" s="162"/>
      <c r="AF608" s="148"/>
    </row>
    <row r="609">
      <c r="A609" s="161"/>
      <c r="B609" s="146" t="str">
        <f>IF(A609&lt;&gt;"", SUMIF(Bets!$F:$F, A609, Bets!Z:Z), "")</f>
        <v/>
      </c>
      <c r="C609" s="162"/>
      <c r="D609" s="148"/>
      <c r="E609" s="161"/>
      <c r="F609" s="146" t="str">
        <f>IF(E609&lt;&gt;"", SUMIF(Bets!$F:$F, E609, Bets!AB:AB), "")</f>
        <v/>
      </c>
      <c r="G609" s="162"/>
      <c r="H609" s="148"/>
      <c r="I609" s="161"/>
      <c r="J609" s="146" t="str">
        <f>IF(I609&lt;&gt;"", SUMIF(Bets!$F:$F, I609, Bets!AA:AA), "")</f>
        <v/>
      </c>
      <c r="K609" s="162"/>
      <c r="L609" s="148"/>
      <c r="M609" s="161"/>
      <c r="N609" s="146"/>
      <c r="O609" s="162"/>
      <c r="P609" s="148"/>
      <c r="Q609" s="161"/>
      <c r="R609" s="146"/>
      <c r="S609" s="162"/>
      <c r="T609" s="148"/>
      <c r="U609" s="161"/>
      <c r="V609" s="146"/>
      <c r="W609" s="162"/>
      <c r="X609" s="148"/>
      <c r="Y609" s="161"/>
      <c r="Z609" s="146"/>
      <c r="AA609" s="162"/>
      <c r="AB609" s="148"/>
      <c r="AC609" s="161"/>
      <c r="AD609" s="146"/>
      <c r="AE609" s="162"/>
      <c r="AF609" s="148"/>
    </row>
    <row r="610">
      <c r="A610" s="161"/>
      <c r="B610" s="146" t="str">
        <f>IF(A610&lt;&gt;"", SUMIF(Bets!$F:$F, A610, Bets!Z:Z), "")</f>
        <v/>
      </c>
      <c r="C610" s="162"/>
      <c r="D610" s="148"/>
      <c r="E610" s="161"/>
      <c r="F610" s="146" t="str">
        <f>IF(E610&lt;&gt;"", SUMIF(Bets!$F:$F, E610, Bets!AB:AB), "")</f>
        <v/>
      </c>
      <c r="G610" s="162"/>
      <c r="H610" s="148"/>
      <c r="I610" s="161"/>
      <c r="J610" s="146" t="str">
        <f>IF(I610&lt;&gt;"", SUMIF(Bets!$F:$F, I610, Bets!AA:AA), "")</f>
        <v/>
      </c>
      <c r="K610" s="162"/>
      <c r="L610" s="148"/>
      <c r="M610" s="161"/>
      <c r="N610" s="146"/>
      <c r="O610" s="162"/>
      <c r="P610" s="148"/>
      <c r="Q610" s="161"/>
      <c r="R610" s="146"/>
      <c r="S610" s="162"/>
      <c r="T610" s="148"/>
      <c r="U610" s="161"/>
      <c r="V610" s="146"/>
      <c r="W610" s="162"/>
      <c r="X610" s="148"/>
      <c r="Y610" s="161"/>
      <c r="Z610" s="146"/>
      <c r="AA610" s="162"/>
      <c r="AB610" s="148"/>
      <c r="AC610" s="161"/>
      <c r="AD610" s="146"/>
      <c r="AE610" s="162"/>
      <c r="AF610" s="148"/>
    </row>
    <row r="611">
      <c r="A611" s="161"/>
      <c r="B611" s="146" t="str">
        <f>IF(A611&lt;&gt;"", SUMIF(Bets!$F:$F, A611, Bets!Z:Z), "")</f>
        <v/>
      </c>
      <c r="C611" s="162"/>
      <c r="D611" s="148"/>
      <c r="E611" s="161"/>
      <c r="F611" s="146" t="str">
        <f>IF(E611&lt;&gt;"", SUMIF(Bets!$F:$F, E611, Bets!AB:AB), "")</f>
        <v/>
      </c>
      <c r="G611" s="162"/>
      <c r="H611" s="148"/>
      <c r="I611" s="161"/>
      <c r="J611" s="146" t="str">
        <f>IF(I611&lt;&gt;"", SUMIF(Bets!$F:$F, I611, Bets!AA:AA), "")</f>
        <v/>
      </c>
      <c r="K611" s="162"/>
      <c r="L611" s="148"/>
      <c r="M611" s="161"/>
      <c r="N611" s="146"/>
      <c r="O611" s="162"/>
      <c r="P611" s="148"/>
      <c r="Q611" s="161"/>
      <c r="R611" s="146"/>
      <c r="S611" s="162"/>
      <c r="T611" s="148"/>
      <c r="U611" s="161"/>
      <c r="V611" s="146"/>
      <c r="W611" s="162"/>
      <c r="X611" s="148"/>
      <c r="Y611" s="161"/>
      <c r="Z611" s="146"/>
      <c r="AA611" s="162"/>
      <c r="AB611" s="148"/>
      <c r="AC611" s="161"/>
      <c r="AD611" s="146"/>
      <c r="AE611" s="162"/>
      <c r="AF611" s="148"/>
    </row>
    <row r="612">
      <c r="A612" s="161"/>
      <c r="B612" s="146" t="str">
        <f>IF(A612&lt;&gt;"", SUMIF(Bets!$F:$F, A612, Bets!Z:Z), "")</f>
        <v/>
      </c>
      <c r="C612" s="162"/>
      <c r="D612" s="148"/>
      <c r="E612" s="161"/>
      <c r="F612" s="146" t="str">
        <f>IF(E612&lt;&gt;"", SUMIF(Bets!$F:$F, E612, Bets!AB:AB), "")</f>
        <v/>
      </c>
      <c r="G612" s="162"/>
      <c r="H612" s="148"/>
      <c r="I612" s="161"/>
      <c r="J612" s="146" t="str">
        <f>IF(I612&lt;&gt;"", SUMIF(Bets!$F:$F, I612, Bets!AA:AA), "")</f>
        <v/>
      </c>
      <c r="K612" s="162"/>
      <c r="L612" s="148"/>
      <c r="M612" s="161"/>
      <c r="N612" s="146"/>
      <c r="O612" s="162"/>
      <c r="P612" s="148"/>
      <c r="Q612" s="161"/>
      <c r="R612" s="146"/>
      <c r="S612" s="162"/>
      <c r="T612" s="148"/>
      <c r="U612" s="161"/>
      <c r="V612" s="146"/>
      <c r="W612" s="162"/>
      <c r="X612" s="148"/>
      <c r="Y612" s="161"/>
      <c r="Z612" s="146"/>
      <c r="AA612" s="162"/>
      <c r="AB612" s="148"/>
      <c r="AC612" s="161"/>
      <c r="AD612" s="146"/>
      <c r="AE612" s="162"/>
      <c r="AF612" s="148"/>
    </row>
    <row r="613">
      <c r="A613" s="161"/>
      <c r="B613" s="146" t="str">
        <f>IF(A613&lt;&gt;"", SUMIF(Bets!$F:$F, A613, Bets!Z:Z), "")</f>
        <v/>
      </c>
      <c r="C613" s="162"/>
      <c r="D613" s="148"/>
      <c r="E613" s="161"/>
      <c r="F613" s="146" t="str">
        <f>IF(E613&lt;&gt;"", SUMIF(Bets!$F:$F, E613, Bets!AB:AB), "")</f>
        <v/>
      </c>
      <c r="G613" s="162"/>
      <c r="H613" s="148"/>
      <c r="I613" s="161"/>
      <c r="J613" s="146" t="str">
        <f>IF(I613&lt;&gt;"", SUMIF(Bets!$F:$F, I613, Bets!AA:AA), "")</f>
        <v/>
      </c>
      <c r="K613" s="162"/>
      <c r="L613" s="148"/>
      <c r="M613" s="161"/>
      <c r="N613" s="146"/>
      <c r="O613" s="162"/>
      <c r="P613" s="148"/>
      <c r="Q613" s="161"/>
      <c r="R613" s="146"/>
      <c r="S613" s="162"/>
      <c r="T613" s="148"/>
      <c r="U613" s="161"/>
      <c r="V613" s="146"/>
      <c r="W613" s="162"/>
      <c r="X613" s="148"/>
      <c r="Y613" s="161"/>
      <c r="Z613" s="146"/>
      <c r="AA613" s="162"/>
      <c r="AB613" s="148"/>
      <c r="AC613" s="161"/>
      <c r="AD613" s="146"/>
      <c r="AE613" s="162"/>
      <c r="AF613" s="148"/>
    </row>
    <row r="614">
      <c r="A614" s="161"/>
      <c r="B614" s="146" t="str">
        <f>IF(A614&lt;&gt;"", SUMIF(Bets!$F:$F, A614, Bets!Z:Z), "")</f>
        <v/>
      </c>
      <c r="C614" s="162"/>
      <c r="D614" s="148"/>
      <c r="E614" s="161"/>
      <c r="F614" s="146" t="str">
        <f>IF(E614&lt;&gt;"", SUMIF(Bets!$F:$F, E614, Bets!AB:AB), "")</f>
        <v/>
      </c>
      <c r="G614" s="162"/>
      <c r="H614" s="148"/>
      <c r="I614" s="161"/>
      <c r="J614" s="146" t="str">
        <f>IF(I614&lt;&gt;"", SUMIF(Bets!$F:$F, I614, Bets!AA:AA), "")</f>
        <v/>
      </c>
      <c r="K614" s="162"/>
      <c r="L614" s="148"/>
      <c r="M614" s="161"/>
      <c r="N614" s="146"/>
      <c r="O614" s="162"/>
      <c r="P614" s="148"/>
      <c r="Q614" s="161"/>
      <c r="R614" s="146"/>
      <c r="S614" s="162"/>
      <c r="T614" s="148"/>
      <c r="U614" s="161"/>
      <c r="V614" s="146"/>
      <c r="W614" s="162"/>
      <c r="X614" s="148"/>
      <c r="Y614" s="161"/>
      <c r="Z614" s="146"/>
      <c r="AA614" s="162"/>
      <c r="AB614" s="148"/>
      <c r="AC614" s="161"/>
      <c r="AD614" s="146"/>
      <c r="AE614" s="162"/>
      <c r="AF614" s="148"/>
    </row>
    <row r="615">
      <c r="A615" s="161"/>
      <c r="B615" s="146" t="str">
        <f>IF(A615&lt;&gt;"", SUMIF(Bets!$F:$F, A615, Bets!Z:Z), "")</f>
        <v/>
      </c>
      <c r="C615" s="162"/>
      <c r="D615" s="148"/>
      <c r="E615" s="161"/>
      <c r="F615" s="146" t="str">
        <f>IF(E615&lt;&gt;"", SUMIF(Bets!$F:$F, E615, Bets!AB:AB), "")</f>
        <v/>
      </c>
      <c r="G615" s="162"/>
      <c r="H615" s="148"/>
      <c r="I615" s="161"/>
      <c r="J615" s="146" t="str">
        <f>IF(I615&lt;&gt;"", SUMIF(Bets!$F:$F, I615, Bets!AA:AA), "")</f>
        <v/>
      </c>
      <c r="K615" s="162"/>
      <c r="L615" s="148"/>
      <c r="M615" s="161"/>
      <c r="N615" s="146"/>
      <c r="O615" s="162"/>
      <c r="P615" s="148"/>
      <c r="Q615" s="161"/>
      <c r="R615" s="146"/>
      <c r="S615" s="162"/>
      <c r="T615" s="148"/>
      <c r="U615" s="161"/>
      <c r="V615" s="146"/>
      <c r="W615" s="162"/>
      <c r="X615" s="148"/>
      <c r="Y615" s="161"/>
      <c r="Z615" s="146"/>
      <c r="AA615" s="162"/>
      <c r="AB615" s="148"/>
      <c r="AC615" s="161"/>
      <c r="AD615" s="146"/>
      <c r="AE615" s="162"/>
      <c r="AF615" s="148"/>
    </row>
    <row r="616">
      <c r="A616" s="161"/>
      <c r="B616" s="146" t="str">
        <f>IF(A616&lt;&gt;"", SUMIF(Bets!$F:$F, A616, Bets!Z:Z), "")</f>
        <v/>
      </c>
      <c r="C616" s="162"/>
      <c r="D616" s="148"/>
      <c r="E616" s="161"/>
      <c r="F616" s="146" t="str">
        <f>IF(E616&lt;&gt;"", SUMIF(Bets!$F:$F, E616, Bets!AB:AB), "")</f>
        <v/>
      </c>
      <c r="G616" s="162"/>
      <c r="H616" s="148"/>
      <c r="I616" s="161"/>
      <c r="J616" s="146" t="str">
        <f>IF(I616&lt;&gt;"", SUMIF(Bets!$F:$F, I616, Bets!AA:AA), "")</f>
        <v/>
      </c>
      <c r="K616" s="162"/>
      <c r="L616" s="148"/>
      <c r="M616" s="161"/>
      <c r="N616" s="146"/>
      <c r="O616" s="162"/>
      <c r="P616" s="148"/>
      <c r="Q616" s="161"/>
      <c r="R616" s="146"/>
      <c r="S616" s="162"/>
      <c r="T616" s="148"/>
      <c r="U616" s="161"/>
      <c r="V616" s="146"/>
      <c r="W616" s="162"/>
      <c r="X616" s="148"/>
      <c r="Y616" s="161"/>
      <c r="Z616" s="146"/>
      <c r="AA616" s="162"/>
      <c r="AB616" s="148"/>
      <c r="AC616" s="161"/>
      <c r="AD616" s="146"/>
      <c r="AE616" s="162"/>
      <c r="AF616" s="148"/>
    </row>
    <row r="617">
      <c r="A617" s="161"/>
      <c r="B617" s="146" t="str">
        <f>IF(A617&lt;&gt;"", SUMIF(Bets!$F:$F, A617, Bets!Z:Z), "")</f>
        <v/>
      </c>
      <c r="C617" s="162"/>
      <c r="D617" s="148"/>
      <c r="E617" s="161"/>
      <c r="F617" s="146" t="str">
        <f>IF(E617&lt;&gt;"", SUMIF(Bets!$F:$F, E617, Bets!AB:AB), "")</f>
        <v/>
      </c>
      <c r="G617" s="162"/>
      <c r="H617" s="148"/>
      <c r="I617" s="161"/>
      <c r="J617" s="146" t="str">
        <f>IF(I617&lt;&gt;"", SUMIF(Bets!$F:$F, I617, Bets!AA:AA), "")</f>
        <v/>
      </c>
      <c r="K617" s="162"/>
      <c r="L617" s="148"/>
      <c r="M617" s="161"/>
      <c r="N617" s="146"/>
      <c r="O617" s="162"/>
      <c r="P617" s="148"/>
      <c r="Q617" s="161"/>
      <c r="R617" s="146"/>
      <c r="S617" s="162"/>
      <c r="T617" s="148"/>
      <c r="U617" s="161"/>
      <c r="V617" s="146"/>
      <c r="W617" s="162"/>
      <c r="X617" s="148"/>
      <c r="Y617" s="161"/>
      <c r="Z617" s="146"/>
      <c r="AA617" s="162"/>
      <c r="AB617" s="148"/>
      <c r="AC617" s="161"/>
      <c r="AD617" s="146"/>
      <c r="AE617" s="162"/>
      <c r="AF617" s="148"/>
    </row>
    <row r="618">
      <c r="A618" s="161"/>
      <c r="B618" s="146" t="str">
        <f>IF(A618&lt;&gt;"", SUMIF(Bets!$F:$F, A618, Bets!Z:Z), "")</f>
        <v/>
      </c>
      <c r="C618" s="162"/>
      <c r="D618" s="148"/>
      <c r="E618" s="161"/>
      <c r="F618" s="146" t="str">
        <f>IF(E618&lt;&gt;"", SUMIF(Bets!$F:$F, E618, Bets!AB:AB), "")</f>
        <v/>
      </c>
      <c r="G618" s="162"/>
      <c r="H618" s="148"/>
      <c r="I618" s="161"/>
      <c r="J618" s="146" t="str">
        <f>IF(I618&lt;&gt;"", SUMIF(Bets!$F:$F, I618, Bets!AA:AA), "")</f>
        <v/>
      </c>
      <c r="K618" s="162"/>
      <c r="L618" s="148"/>
      <c r="M618" s="161"/>
      <c r="N618" s="146"/>
      <c r="O618" s="162"/>
      <c r="P618" s="148"/>
      <c r="Q618" s="161"/>
      <c r="R618" s="146"/>
      <c r="S618" s="162"/>
      <c r="T618" s="148"/>
      <c r="U618" s="161"/>
      <c r="V618" s="146"/>
      <c r="W618" s="162"/>
      <c r="X618" s="148"/>
      <c r="Y618" s="161"/>
      <c r="Z618" s="146"/>
      <c r="AA618" s="162"/>
      <c r="AB618" s="148"/>
      <c r="AC618" s="161"/>
      <c r="AD618" s="146"/>
      <c r="AE618" s="162"/>
      <c r="AF618" s="148"/>
    </row>
    <row r="619">
      <c r="A619" s="161"/>
      <c r="B619" s="146" t="str">
        <f>IF(A619&lt;&gt;"", SUMIF(Bets!$F:$F, A619, Bets!Z:Z), "")</f>
        <v/>
      </c>
      <c r="C619" s="162"/>
      <c r="D619" s="148"/>
      <c r="E619" s="161"/>
      <c r="F619" s="146" t="str">
        <f>IF(E619&lt;&gt;"", SUMIF(Bets!$F:$F, E619, Bets!AB:AB), "")</f>
        <v/>
      </c>
      <c r="G619" s="162"/>
      <c r="H619" s="148"/>
      <c r="I619" s="161"/>
      <c r="J619" s="146" t="str">
        <f>IF(I619&lt;&gt;"", SUMIF(Bets!$F:$F, I619, Bets!AA:AA), "")</f>
        <v/>
      </c>
      <c r="K619" s="162"/>
      <c r="L619" s="148"/>
      <c r="M619" s="161"/>
      <c r="N619" s="146"/>
      <c r="O619" s="162"/>
      <c r="P619" s="148"/>
      <c r="Q619" s="161"/>
      <c r="R619" s="146"/>
      <c r="S619" s="162"/>
      <c r="T619" s="148"/>
      <c r="U619" s="161"/>
      <c r="V619" s="146"/>
      <c r="W619" s="162"/>
      <c r="X619" s="148"/>
      <c r="Y619" s="161"/>
      <c r="Z619" s="146"/>
      <c r="AA619" s="162"/>
      <c r="AB619" s="148"/>
      <c r="AC619" s="161"/>
      <c r="AD619" s="146"/>
      <c r="AE619" s="162"/>
      <c r="AF619" s="148"/>
    </row>
    <row r="620">
      <c r="A620" s="161"/>
      <c r="B620" s="146" t="str">
        <f>IF(A620&lt;&gt;"", SUMIF(Bets!$F:$F, A620, Bets!Z:Z), "")</f>
        <v/>
      </c>
      <c r="C620" s="162"/>
      <c r="D620" s="148"/>
      <c r="E620" s="161"/>
      <c r="F620" s="146" t="str">
        <f>IF(E620&lt;&gt;"", SUMIF(Bets!$F:$F, E620, Bets!AB:AB), "")</f>
        <v/>
      </c>
      <c r="G620" s="162"/>
      <c r="H620" s="148"/>
      <c r="I620" s="161"/>
      <c r="J620" s="146" t="str">
        <f>IF(I620&lt;&gt;"", SUMIF(Bets!$F:$F, I620, Bets!AA:AA), "")</f>
        <v/>
      </c>
      <c r="K620" s="162"/>
      <c r="L620" s="148"/>
      <c r="M620" s="161"/>
      <c r="N620" s="146"/>
      <c r="O620" s="162"/>
      <c r="P620" s="148"/>
      <c r="Q620" s="161"/>
      <c r="R620" s="146"/>
      <c r="S620" s="162"/>
      <c r="T620" s="148"/>
      <c r="U620" s="161"/>
      <c r="V620" s="146"/>
      <c r="W620" s="162"/>
      <c r="X620" s="148"/>
      <c r="Y620" s="161"/>
      <c r="Z620" s="146"/>
      <c r="AA620" s="162"/>
      <c r="AB620" s="148"/>
      <c r="AC620" s="161"/>
      <c r="AD620" s="146"/>
      <c r="AE620" s="162"/>
      <c r="AF620" s="148"/>
    </row>
    <row r="621">
      <c r="A621" s="161"/>
      <c r="B621" s="146" t="str">
        <f>IF(A621&lt;&gt;"", SUMIF(Bets!$F:$F, A621, Bets!Z:Z), "")</f>
        <v/>
      </c>
      <c r="C621" s="162"/>
      <c r="D621" s="148"/>
      <c r="E621" s="161"/>
      <c r="F621" s="146" t="str">
        <f>IF(E621&lt;&gt;"", SUMIF(Bets!$F:$F, E621, Bets!AB:AB), "")</f>
        <v/>
      </c>
      <c r="G621" s="162"/>
      <c r="H621" s="148"/>
      <c r="I621" s="161"/>
      <c r="J621" s="146" t="str">
        <f>IF(I621&lt;&gt;"", SUMIF(Bets!$F:$F, I621, Bets!AA:AA), "")</f>
        <v/>
      </c>
      <c r="K621" s="162"/>
      <c r="L621" s="148"/>
      <c r="M621" s="161"/>
      <c r="N621" s="146"/>
      <c r="O621" s="162"/>
      <c r="P621" s="148"/>
      <c r="Q621" s="161"/>
      <c r="R621" s="146"/>
      <c r="S621" s="162"/>
      <c r="T621" s="148"/>
      <c r="U621" s="161"/>
      <c r="V621" s="146"/>
      <c r="W621" s="162"/>
      <c r="X621" s="148"/>
      <c r="Y621" s="161"/>
      <c r="Z621" s="146"/>
      <c r="AA621" s="162"/>
      <c r="AB621" s="148"/>
      <c r="AC621" s="161"/>
      <c r="AD621" s="146"/>
      <c r="AE621" s="162"/>
      <c r="AF621" s="148"/>
    </row>
    <row r="622">
      <c r="A622" s="161"/>
      <c r="B622" s="146" t="str">
        <f>IF(A622&lt;&gt;"", SUMIF(Bets!$F:$F, A622, Bets!Z:Z), "")</f>
        <v/>
      </c>
      <c r="C622" s="162"/>
      <c r="D622" s="148"/>
      <c r="E622" s="161"/>
      <c r="F622" s="146" t="str">
        <f>IF(E622&lt;&gt;"", SUMIF(Bets!$F:$F, E622, Bets!AB:AB), "")</f>
        <v/>
      </c>
      <c r="G622" s="162"/>
      <c r="H622" s="148"/>
      <c r="I622" s="161"/>
      <c r="J622" s="146" t="str">
        <f>IF(I622&lt;&gt;"", SUMIF(Bets!$F:$F, I622, Bets!AA:AA), "")</f>
        <v/>
      </c>
      <c r="K622" s="162"/>
      <c r="L622" s="148"/>
      <c r="M622" s="161"/>
      <c r="N622" s="146"/>
      <c r="O622" s="162"/>
      <c r="P622" s="148"/>
      <c r="Q622" s="161"/>
      <c r="R622" s="146"/>
      <c r="S622" s="162"/>
      <c r="T622" s="148"/>
      <c r="U622" s="161"/>
      <c r="V622" s="146"/>
      <c r="W622" s="162"/>
      <c r="X622" s="148"/>
      <c r="Y622" s="161"/>
      <c r="Z622" s="146"/>
      <c r="AA622" s="162"/>
      <c r="AB622" s="148"/>
      <c r="AC622" s="161"/>
      <c r="AD622" s="146"/>
      <c r="AE622" s="162"/>
      <c r="AF622" s="148"/>
    </row>
    <row r="623">
      <c r="A623" s="161"/>
      <c r="B623" s="146" t="str">
        <f>IF(A623&lt;&gt;"", SUMIF(Bets!$F:$F, A623, Bets!Z:Z), "")</f>
        <v/>
      </c>
      <c r="C623" s="162"/>
      <c r="D623" s="148"/>
      <c r="E623" s="161"/>
      <c r="F623" s="146" t="str">
        <f>IF(E623&lt;&gt;"", SUMIF(Bets!$F:$F, E623, Bets!AB:AB), "")</f>
        <v/>
      </c>
      <c r="G623" s="162"/>
      <c r="H623" s="148"/>
      <c r="I623" s="161"/>
      <c r="J623" s="146" t="str">
        <f>IF(I623&lt;&gt;"", SUMIF(Bets!$F:$F, I623, Bets!AA:AA), "")</f>
        <v/>
      </c>
      <c r="K623" s="162"/>
      <c r="L623" s="148"/>
      <c r="M623" s="161"/>
      <c r="N623" s="146"/>
      <c r="O623" s="162"/>
      <c r="P623" s="148"/>
      <c r="Q623" s="161"/>
      <c r="R623" s="146"/>
      <c r="S623" s="162"/>
      <c r="T623" s="148"/>
      <c r="U623" s="161"/>
      <c r="V623" s="146"/>
      <c r="W623" s="162"/>
      <c r="X623" s="148"/>
      <c r="Y623" s="161"/>
      <c r="Z623" s="146"/>
      <c r="AA623" s="162"/>
      <c r="AB623" s="148"/>
      <c r="AC623" s="161"/>
      <c r="AD623" s="146"/>
      <c r="AE623" s="162"/>
      <c r="AF623" s="148"/>
    </row>
    <row r="624">
      <c r="A624" s="161"/>
      <c r="B624" s="146" t="str">
        <f>IF(A624&lt;&gt;"", SUMIF(Bets!$F:$F, A624, Bets!Z:Z), "")</f>
        <v/>
      </c>
      <c r="C624" s="162"/>
      <c r="D624" s="148"/>
      <c r="E624" s="161"/>
      <c r="F624" s="146" t="str">
        <f>IF(E624&lt;&gt;"", SUMIF(Bets!$F:$F, E624, Bets!AB:AB), "")</f>
        <v/>
      </c>
      <c r="G624" s="162"/>
      <c r="H624" s="148"/>
      <c r="I624" s="161"/>
      <c r="J624" s="146" t="str">
        <f>IF(I624&lt;&gt;"", SUMIF(Bets!$F:$F, I624, Bets!AA:AA), "")</f>
        <v/>
      </c>
      <c r="K624" s="162"/>
      <c r="L624" s="148"/>
      <c r="M624" s="161"/>
      <c r="N624" s="146"/>
      <c r="O624" s="162"/>
      <c r="P624" s="148"/>
      <c r="Q624" s="161"/>
      <c r="R624" s="146"/>
      <c r="S624" s="162"/>
      <c r="T624" s="148"/>
      <c r="U624" s="161"/>
      <c r="V624" s="146"/>
      <c r="W624" s="162"/>
      <c r="X624" s="148"/>
      <c r="Y624" s="161"/>
      <c r="Z624" s="146"/>
      <c r="AA624" s="162"/>
      <c r="AB624" s="148"/>
      <c r="AC624" s="161"/>
      <c r="AD624" s="146"/>
      <c r="AE624" s="162"/>
      <c r="AF624" s="148"/>
    </row>
    <row r="625">
      <c r="A625" s="161"/>
      <c r="B625" s="146" t="str">
        <f>IF(A625&lt;&gt;"", SUMIF(Bets!$F:$F, A625, Bets!Z:Z), "")</f>
        <v/>
      </c>
      <c r="C625" s="162"/>
      <c r="D625" s="148"/>
      <c r="E625" s="161"/>
      <c r="F625" s="146" t="str">
        <f>IF(E625&lt;&gt;"", SUMIF(Bets!$F:$F, E625, Bets!AB:AB), "")</f>
        <v/>
      </c>
      <c r="G625" s="162"/>
      <c r="H625" s="148"/>
      <c r="I625" s="161"/>
      <c r="J625" s="146" t="str">
        <f>IF(I625&lt;&gt;"", SUMIF(Bets!$F:$F, I625, Bets!AA:AA), "")</f>
        <v/>
      </c>
      <c r="K625" s="162"/>
      <c r="L625" s="148"/>
      <c r="M625" s="161"/>
      <c r="N625" s="146"/>
      <c r="O625" s="162"/>
      <c r="P625" s="148"/>
      <c r="Q625" s="161"/>
      <c r="R625" s="146"/>
      <c r="S625" s="162"/>
      <c r="T625" s="148"/>
      <c r="U625" s="161"/>
      <c r="V625" s="146"/>
      <c r="W625" s="162"/>
      <c r="X625" s="148"/>
      <c r="Y625" s="161"/>
      <c r="Z625" s="146"/>
      <c r="AA625" s="162"/>
      <c r="AB625" s="148"/>
      <c r="AC625" s="161"/>
      <c r="AD625" s="146"/>
      <c r="AE625" s="162"/>
      <c r="AF625" s="148"/>
    </row>
    <row r="626">
      <c r="A626" s="161"/>
      <c r="B626" s="146" t="str">
        <f>IF(A626&lt;&gt;"", SUMIF(Bets!$F:$F, A626, Bets!Z:Z), "")</f>
        <v/>
      </c>
      <c r="C626" s="162"/>
      <c r="D626" s="148"/>
      <c r="E626" s="161"/>
      <c r="F626" s="146" t="str">
        <f>IF(E626&lt;&gt;"", SUMIF(Bets!$F:$F, E626, Bets!AB:AB), "")</f>
        <v/>
      </c>
      <c r="G626" s="162"/>
      <c r="H626" s="148"/>
      <c r="I626" s="161"/>
      <c r="J626" s="146" t="str">
        <f>IF(I626&lt;&gt;"", SUMIF(Bets!$F:$F, I626, Bets!AA:AA), "")</f>
        <v/>
      </c>
      <c r="K626" s="162"/>
      <c r="L626" s="148"/>
      <c r="M626" s="161"/>
      <c r="N626" s="146"/>
      <c r="O626" s="162"/>
      <c r="P626" s="148"/>
      <c r="Q626" s="161"/>
      <c r="R626" s="146"/>
      <c r="S626" s="162"/>
      <c r="T626" s="148"/>
      <c r="U626" s="161"/>
      <c r="V626" s="146"/>
      <c r="W626" s="162"/>
      <c r="X626" s="148"/>
      <c r="Y626" s="161"/>
      <c r="Z626" s="146"/>
      <c r="AA626" s="162"/>
      <c r="AB626" s="148"/>
      <c r="AC626" s="161"/>
      <c r="AD626" s="146"/>
      <c r="AE626" s="162"/>
      <c r="AF626" s="148"/>
    </row>
    <row r="627">
      <c r="A627" s="161"/>
      <c r="B627" s="146" t="str">
        <f>IF(A627&lt;&gt;"", SUMIF(Bets!$F:$F, A627, Bets!Z:Z), "")</f>
        <v/>
      </c>
      <c r="C627" s="162"/>
      <c r="D627" s="148"/>
      <c r="E627" s="161"/>
      <c r="F627" s="146" t="str">
        <f>IF(E627&lt;&gt;"", SUMIF(Bets!$F:$F, E627, Bets!AB:AB), "")</f>
        <v/>
      </c>
      <c r="G627" s="162"/>
      <c r="H627" s="148"/>
      <c r="I627" s="161"/>
      <c r="J627" s="146" t="str">
        <f>IF(I627&lt;&gt;"", SUMIF(Bets!$F:$F, I627, Bets!AA:AA), "")</f>
        <v/>
      </c>
      <c r="K627" s="162"/>
      <c r="L627" s="148"/>
      <c r="M627" s="161"/>
      <c r="N627" s="146"/>
      <c r="O627" s="162"/>
      <c r="P627" s="148"/>
      <c r="Q627" s="161"/>
      <c r="R627" s="146"/>
      <c r="S627" s="162"/>
      <c r="T627" s="148"/>
      <c r="U627" s="161"/>
      <c r="V627" s="146"/>
      <c r="W627" s="162"/>
      <c r="X627" s="148"/>
      <c r="Y627" s="161"/>
      <c r="Z627" s="146"/>
      <c r="AA627" s="162"/>
      <c r="AB627" s="148"/>
      <c r="AC627" s="161"/>
      <c r="AD627" s="146"/>
      <c r="AE627" s="162"/>
      <c r="AF627" s="148"/>
    </row>
    <row r="628">
      <c r="A628" s="161"/>
      <c r="B628" s="146" t="str">
        <f>IF(A628&lt;&gt;"", SUMIF(Bets!$F:$F, A628, Bets!Z:Z), "")</f>
        <v/>
      </c>
      <c r="C628" s="162"/>
      <c r="D628" s="148"/>
      <c r="E628" s="161"/>
      <c r="F628" s="146" t="str">
        <f>IF(E628&lt;&gt;"", SUMIF(Bets!$F:$F, E628, Bets!AB:AB), "")</f>
        <v/>
      </c>
      <c r="G628" s="162"/>
      <c r="H628" s="148"/>
      <c r="I628" s="161"/>
      <c r="J628" s="146" t="str">
        <f>IF(I628&lt;&gt;"", SUMIF(Bets!$F:$F, I628, Bets!AA:AA), "")</f>
        <v/>
      </c>
      <c r="K628" s="162"/>
      <c r="L628" s="148"/>
      <c r="M628" s="161"/>
      <c r="N628" s="146"/>
      <c r="O628" s="162"/>
      <c r="P628" s="148"/>
      <c r="Q628" s="161"/>
      <c r="R628" s="146"/>
      <c r="S628" s="162"/>
      <c r="T628" s="148"/>
      <c r="U628" s="161"/>
      <c r="V628" s="146"/>
      <c r="W628" s="162"/>
      <c r="X628" s="148"/>
      <c r="Y628" s="161"/>
      <c r="Z628" s="146"/>
      <c r="AA628" s="162"/>
      <c r="AB628" s="148"/>
      <c r="AC628" s="161"/>
      <c r="AD628" s="146"/>
      <c r="AE628" s="162"/>
      <c r="AF628" s="148"/>
    </row>
    <row r="629">
      <c r="A629" s="161"/>
      <c r="B629" s="146" t="str">
        <f>IF(A629&lt;&gt;"", SUMIF(Bets!$F:$F, A629, Bets!Z:Z), "")</f>
        <v/>
      </c>
      <c r="C629" s="162"/>
      <c r="D629" s="148"/>
      <c r="E629" s="161"/>
      <c r="F629" s="146" t="str">
        <f>IF(E629&lt;&gt;"", SUMIF(Bets!$F:$F, E629, Bets!AB:AB), "")</f>
        <v/>
      </c>
      <c r="G629" s="162"/>
      <c r="H629" s="148"/>
      <c r="I629" s="161"/>
      <c r="J629" s="146" t="str">
        <f>IF(I629&lt;&gt;"", SUMIF(Bets!$F:$F, I629, Bets!AA:AA), "")</f>
        <v/>
      </c>
      <c r="K629" s="162"/>
      <c r="L629" s="148"/>
      <c r="M629" s="161"/>
      <c r="N629" s="146"/>
      <c r="O629" s="162"/>
      <c r="P629" s="148"/>
      <c r="Q629" s="161"/>
      <c r="R629" s="146"/>
      <c r="S629" s="162"/>
      <c r="T629" s="148"/>
      <c r="U629" s="161"/>
      <c r="V629" s="146"/>
      <c r="W629" s="162"/>
      <c r="X629" s="148"/>
      <c r="Y629" s="161"/>
      <c r="Z629" s="146"/>
      <c r="AA629" s="162"/>
      <c r="AB629" s="148"/>
      <c r="AC629" s="161"/>
      <c r="AD629" s="146"/>
      <c r="AE629" s="162"/>
      <c r="AF629" s="148"/>
    </row>
    <row r="630">
      <c r="A630" s="161"/>
      <c r="B630" s="146" t="str">
        <f>IF(A630&lt;&gt;"", SUMIF(Bets!$F:$F, A630, Bets!Z:Z), "")</f>
        <v/>
      </c>
      <c r="C630" s="162"/>
      <c r="D630" s="148"/>
      <c r="E630" s="161"/>
      <c r="F630" s="146" t="str">
        <f>IF(E630&lt;&gt;"", SUMIF(Bets!$F:$F, E630, Bets!AB:AB), "")</f>
        <v/>
      </c>
      <c r="G630" s="162"/>
      <c r="H630" s="148"/>
      <c r="I630" s="161"/>
      <c r="J630" s="146" t="str">
        <f>IF(I630&lt;&gt;"", SUMIF(Bets!$F:$F, I630, Bets!AA:AA), "")</f>
        <v/>
      </c>
      <c r="K630" s="162"/>
      <c r="L630" s="148"/>
      <c r="M630" s="161"/>
      <c r="N630" s="146"/>
      <c r="O630" s="162"/>
      <c r="P630" s="148"/>
      <c r="Q630" s="161"/>
      <c r="R630" s="146"/>
      <c r="S630" s="162"/>
      <c r="T630" s="148"/>
      <c r="U630" s="161"/>
      <c r="V630" s="146"/>
      <c r="W630" s="162"/>
      <c r="X630" s="148"/>
      <c r="Y630" s="161"/>
      <c r="Z630" s="146"/>
      <c r="AA630" s="162"/>
      <c r="AB630" s="148"/>
      <c r="AC630" s="161"/>
      <c r="AD630" s="146"/>
      <c r="AE630" s="162"/>
      <c r="AF630" s="148"/>
    </row>
    <row r="631">
      <c r="A631" s="161"/>
      <c r="B631" s="146" t="str">
        <f>IF(A631&lt;&gt;"", SUMIF(Bets!$F:$F, A631, Bets!Z:Z), "")</f>
        <v/>
      </c>
      <c r="C631" s="162"/>
      <c r="D631" s="148"/>
      <c r="E631" s="161"/>
      <c r="F631" s="146" t="str">
        <f>IF(E631&lt;&gt;"", SUMIF(Bets!$F:$F, E631, Bets!AB:AB), "")</f>
        <v/>
      </c>
      <c r="G631" s="162"/>
      <c r="H631" s="148"/>
      <c r="I631" s="161"/>
      <c r="J631" s="146" t="str">
        <f>IF(I631&lt;&gt;"", SUMIF(Bets!$F:$F, I631, Bets!AA:AA), "")</f>
        <v/>
      </c>
      <c r="K631" s="162"/>
      <c r="L631" s="148"/>
      <c r="M631" s="161"/>
      <c r="N631" s="146"/>
      <c r="O631" s="162"/>
      <c r="P631" s="148"/>
      <c r="Q631" s="161"/>
      <c r="R631" s="146"/>
      <c r="S631" s="162"/>
      <c r="T631" s="148"/>
      <c r="U631" s="161"/>
      <c r="V631" s="146"/>
      <c r="W631" s="162"/>
      <c r="X631" s="148"/>
      <c r="Y631" s="161"/>
      <c r="Z631" s="146"/>
      <c r="AA631" s="162"/>
      <c r="AB631" s="148"/>
      <c r="AC631" s="161"/>
      <c r="AD631" s="146"/>
      <c r="AE631" s="162"/>
      <c r="AF631" s="148"/>
    </row>
    <row r="632">
      <c r="A632" s="161"/>
      <c r="B632" s="146" t="str">
        <f>IF(A632&lt;&gt;"", SUMIF(Bets!$F:$F, A632, Bets!Z:Z), "")</f>
        <v/>
      </c>
      <c r="C632" s="162"/>
      <c r="D632" s="148"/>
      <c r="E632" s="161"/>
      <c r="F632" s="146" t="str">
        <f>IF(E632&lt;&gt;"", SUMIF(Bets!$F:$F, E632, Bets!AB:AB), "")</f>
        <v/>
      </c>
      <c r="G632" s="162"/>
      <c r="H632" s="148"/>
      <c r="I632" s="161"/>
      <c r="J632" s="146" t="str">
        <f>IF(I632&lt;&gt;"", SUMIF(Bets!$F:$F, I632, Bets!AA:AA), "")</f>
        <v/>
      </c>
      <c r="K632" s="162"/>
      <c r="L632" s="148"/>
      <c r="M632" s="161"/>
      <c r="N632" s="146"/>
      <c r="O632" s="162"/>
      <c r="P632" s="148"/>
      <c r="Q632" s="161"/>
      <c r="R632" s="146"/>
      <c r="S632" s="162"/>
      <c r="T632" s="148"/>
      <c r="U632" s="161"/>
      <c r="V632" s="146"/>
      <c r="W632" s="162"/>
      <c r="X632" s="148"/>
      <c r="Y632" s="161"/>
      <c r="Z632" s="146"/>
      <c r="AA632" s="162"/>
      <c r="AB632" s="148"/>
      <c r="AC632" s="161"/>
      <c r="AD632" s="146"/>
      <c r="AE632" s="162"/>
      <c r="AF632" s="148"/>
    </row>
    <row r="633">
      <c r="A633" s="161"/>
      <c r="B633" s="146" t="str">
        <f>IF(A633&lt;&gt;"", SUMIF(Bets!$F:$F, A633, Bets!Z:Z), "")</f>
        <v/>
      </c>
      <c r="C633" s="162"/>
      <c r="D633" s="148"/>
      <c r="E633" s="161"/>
      <c r="F633" s="146" t="str">
        <f>IF(E633&lt;&gt;"", SUMIF(Bets!$F:$F, E633, Bets!AB:AB), "")</f>
        <v/>
      </c>
      <c r="G633" s="162"/>
      <c r="H633" s="148"/>
      <c r="I633" s="161"/>
      <c r="J633" s="146" t="str">
        <f>IF(I633&lt;&gt;"", SUMIF(Bets!$F:$F, I633, Bets!AA:AA), "")</f>
        <v/>
      </c>
      <c r="K633" s="162"/>
      <c r="L633" s="148"/>
      <c r="M633" s="161"/>
      <c r="N633" s="146"/>
      <c r="O633" s="162"/>
      <c r="P633" s="148"/>
      <c r="Q633" s="161"/>
      <c r="R633" s="146"/>
      <c r="S633" s="162"/>
      <c r="T633" s="148"/>
      <c r="U633" s="161"/>
      <c r="V633" s="146"/>
      <c r="W633" s="162"/>
      <c r="X633" s="148"/>
      <c r="Y633" s="161"/>
      <c r="Z633" s="146"/>
      <c r="AA633" s="162"/>
      <c r="AB633" s="148"/>
      <c r="AC633" s="161"/>
      <c r="AD633" s="146"/>
      <c r="AE633" s="162"/>
      <c r="AF633" s="148"/>
    </row>
    <row r="634">
      <c r="A634" s="161"/>
      <c r="B634" s="146" t="str">
        <f>IF(A634&lt;&gt;"", SUMIF(Bets!$F:$F, A634, Bets!Z:Z), "")</f>
        <v/>
      </c>
      <c r="C634" s="162"/>
      <c r="D634" s="148"/>
      <c r="E634" s="161"/>
      <c r="F634" s="146" t="str">
        <f>IF(E634&lt;&gt;"", SUMIF(Bets!$F:$F, E634, Bets!AB:AB), "")</f>
        <v/>
      </c>
      <c r="G634" s="162"/>
      <c r="H634" s="148"/>
      <c r="I634" s="161"/>
      <c r="J634" s="146" t="str">
        <f>IF(I634&lt;&gt;"", SUMIF(Bets!$F:$F, I634, Bets!AA:AA), "")</f>
        <v/>
      </c>
      <c r="K634" s="162"/>
      <c r="L634" s="148"/>
      <c r="M634" s="161"/>
      <c r="N634" s="146"/>
      <c r="O634" s="162"/>
      <c r="P634" s="148"/>
      <c r="Q634" s="161"/>
      <c r="R634" s="146"/>
      <c r="S634" s="162"/>
      <c r="T634" s="148"/>
      <c r="U634" s="161"/>
      <c r="V634" s="146"/>
      <c r="W634" s="162"/>
      <c r="X634" s="148"/>
      <c r="Y634" s="161"/>
      <c r="Z634" s="146"/>
      <c r="AA634" s="162"/>
      <c r="AB634" s="148"/>
      <c r="AC634" s="161"/>
      <c r="AD634" s="146"/>
      <c r="AE634" s="162"/>
      <c r="AF634" s="148"/>
    </row>
    <row r="635">
      <c r="A635" s="161"/>
      <c r="B635" s="146" t="str">
        <f>IF(A635&lt;&gt;"", SUMIF(Bets!$F:$F, A635, Bets!Z:Z), "")</f>
        <v/>
      </c>
      <c r="C635" s="162"/>
      <c r="D635" s="148"/>
      <c r="E635" s="161"/>
      <c r="F635" s="146" t="str">
        <f>IF(E635&lt;&gt;"", SUMIF(Bets!$F:$F, E635, Bets!AB:AB), "")</f>
        <v/>
      </c>
      <c r="G635" s="162"/>
      <c r="H635" s="148"/>
      <c r="I635" s="161"/>
      <c r="J635" s="146" t="str">
        <f>IF(I635&lt;&gt;"", SUMIF(Bets!$F:$F, I635, Bets!AA:AA), "")</f>
        <v/>
      </c>
      <c r="K635" s="162"/>
      <c r="L635" s="148"/>
      <c r="M635" s="161"/>
      <c r="N635" s="146"/>
      <c r="O635" s="162"/>
      <c r="P635" s="148"/>
      <c r="Q635" s="161"/>
      <c r="R635" s="146"/>
      <c r="S635" s="162"/>
      <c r="T635" s="148"/>
      <c r="U635" s="161"/>
      <c r="V635" s="146"/>
      <c r="W635" s="162"/>
      <c r="X635" s="148"/>
      <c r="Y635" s="161"/>
      <c r="Z635" s="146"/>
      <c r="AA635" s="162"/>
      <c r="AB635" s="148"/>
      <c r="AC635" s="161"/>
      <c r="AD635" s="146"/>
      <c r="AE635" s="162"/>
      <c r="AF635" s="148"/>
    </row>
    <row r="636">
      <c r="A636" s="161"/>
      <c r="B636" s="146" t="str">
        <f>IF(A636&lt;&gt;"", SUMIF(Bets!$F:$F, A636, Bets!Z:Z), "")</f>
        <v/>
      </c>
      <c r="C636" s="162"/>
      <c r="D636" s="148"/>
      <c r="E636" s="161"/>
      <c r="F636" s="146" t="str">
        <f>IF(E636&lt;&gt;"", SUMIF(Bets!$F:$F, E636, Bets!AB:AB), "")</f>
        <v/>
      </c>
      <c r="G636" s="162"/>
      <c r="H636" s="148"/>
      <c r="I636" s="161"/>
      <c r="J636" s="146" t="str">
        <f>IF(I636&lt;&gt;"", SUMIF(Bets!$F:$F, I636, Bets!AA:AA), "")</f>
        <v/>
      </c>
      <c r="K636" s="162"/>
      <c r="L636" s="148"/>
      <c r="M636" s="161"/>
      <c r="N636" s="146"/>
      <c r="O636" s="162"/>
      <c r="P636" s="148"/>
      <c r="Q636" s="161"/>
      <c r="R636" s="146"/>
      <c r="S636" s="162"/>
      <c r="T636" s="148"/>
      <c r="U636" s="161"/>
      <c r="V636" s="146"/>
      <c r="W636" s="162"/>
      <c r="X636" s="148"/>
      <c r="Y636" s="161"/>
      <c r="Z636" s="146"/>
      <c r="AA636" s="162"/>
      <c r="AB636" s="148"/>
      <c r="AC636" s="161"/>
      <c r="AD636" s="146"/>
      <c r="AE636" s="162"/>
      <c r="AF636" s="148"/>
    </row>
    <row r="637">
      <c r="A637" s="161"/>
      <c r="B637" s="146" t="str">
        <f>IF(A637&lt;&gt;"", SUMIF(Bets!$F:$F, A637, Bets!Z:Z), "")</f>
        <v/>
      </c>
      <c r="C637" s="162"/>
      <c r="D637" s="148"/>
      <c r="E637" s="161"/>
      <c r="F637" s="146" t="str">
        <f>IF(E637&lt;&gt;"", SUMIF(Bets!$F:$F, E637, Bets!AB:AB), "")</f>
        <v/>
      </c>
      <c r="G637" s="162"/>
      <c r="H637" s="148"/>
      <c r="I637" s="161"/>
      <c r="J637" s="146" t="str">
        <f>IF(I637&lt;&gt;"", SUMIF(Bets!$F:$F, I637, Bets!AA:AA), "")</f>
        <v/>
      </c>
      <c r="K637" s="162"/>
      <c r="L637" s="148"/>
      <c r="M637" s="161"/>
      <c r="N637" s="146"/>
      <c r="O637" s="162"/>
      <c r="P637" s="148"/>
      <c r="Q637" s="161"/>
      <c r="R637" s="146"/>
      <c r="S637" s="162"/>
      <c r="T637" s="148"/>
      <c r="U637" s="161"/>
      <c r="V637" s="146"/>
      <c r="W637" s="162"/>
      <c r="X637" s="148"/>
      <c r="Y637" s="161"/>
      <c r="Z637" s="146"/>
      <c r="AA637" s="162"/>
      <c r="AB637" s="148"/>
      <c r="AC637" s="161"/>
      <c r="AD637" s="146"/>
      <c r="AE637" s="162"/>
      <c r="AF637" s="148"/>
    </row>
    <row r="638">
      <c r="A638" s="161"/>
      <c r="B638" s="146" t="str">
        <f>IF(A638&lt;&gt;"", SUMIF(Bets!$F:$F, A638, Bets!Z:Z), "")</f>
        <v/>
      </c>
      <c r="C638" s="162"/>
      <c r="D638" s="148"/>
      <c r="E638" s="161"/>
      <c r="F638" s="146" t="str">
        <f>IF(E638&lt;&gt;"", SUMIF(Bets!$F:$F, E638, Bets!AB:AB), "")</f>
        <v/>
      </c>
      <c r="G638" s="162"/>
      <c r="H638" s="148"/>
      <c r="I638" s="161"/>
      <c r="J638" s="146" t="str">
        <f>IF(I638&lt;&gt;"", SUMIF(Bets!$F:$F, I638, Bets!AA:AA), "")</f>
        <v/>
      </c>
      <c r="K638" s="162"/>
      <c r="L638" s="148"/>
      <c r="M638" s="161"/>
      <c r="N638" s="146"/>
      <c r="O638" s="162"/>
      <c r="P638" s="148"/>
      <c r="Q638" s="161"/>
      <c r="R638" s="146"/>
      <c r="S638" s="162"/>
      <c r="T638" s="148"/>
      <c r="U638" s="161"/>
      <c r="V638" s="146"/>
      <c r="W638" s="162"/>
      <c r="X638" s="148"/>
      <c r="Y638" s="161"/>
      <c r="Z638" s="146"/>
      <c r="AA638" s="162"/>
      <c r="AB638" s="148"/>
      <c r="AC638" s="161"/>
      <c r="AD638" s="146"/>
      <c r="AE638" s="162"/>
      <c r="AF638" s="148"/>
    </row>
    <row r="639">
      <c r="A639" s="161"/>
      <c r="B639" s="146" t="str">
        <f>IF(A639&lt;&gt;"", SUMIF(Bets!$F:$F, A639, Bets!Z:Z), "")</f>
        <v/>
      </c>
      <c r="C639" s="162"/>
      <c r="D639" s="148"/>
      <c r="E639" s="161"/>
      <c r="F639" s="146" t="str">
        <f>IF(E639&lt;&gt;"", SUMIF(Bets!$F:$F, E639, Bets!AB:AB), "")</f>
        <v/>
      </c>
      <c r="G639" s="162"/>
      <c r="H639" s="148"/>
      <c r="I639" s="161"/>
      <c r="J639" s="146" t="str">
        <f>IF(I639&lt;&gt;"", SUMIF(Bets!$F:$F, I639, Bets!AA:AA), "")</f>
        <v/>
      </c>
      <c r="K639" s="162"/>
      <c r="L639" s="148"/>
      <c r="M639" s="161"/>
      <c r="N639" s="146"/>
      <c r="O639" s="162"/>
      <c r="P639" s="148"/>
      <c r="Q639" s="161"/>
      <c r="R639" s="146"/>
      <c r="S639" s="162"/>
      <c r="T639" s="148"/>
      <c r="U639" s="161"/>
      <c r="V639" s="146"/>
      <c r="W639" s="162"/>
      <c r="X639" s="148"/>
      <c r="Y639" s="161"/>
      <c r="Z639" s="146"/>
      <c r="AA639" s="162"/>
      <c r="AB639" s="148"/>
      <c r="AC639" s="161"/>
      <c r="AD639" s="146"/>
      <c r="AE639" s="162"/>
      <c r="AF639" s="148"/>
    </row>
    <row r="640">
      <c r="A640" s="161"/>
      <c r="B640" s="146" t="str">
        <f>IF(A640&lt;&gt;"", SUMIF(Bets!$F:$F, A640, Bets!Z:Z), "")</f>
        <v/>
      </c>
      <c r="C640" s="162"/>
      <c r="D640" s="148"/>
      <c r="E640" s="161"/>
      <c r="F640" s="146" t="str">
        <f>IF(E640&lt;&gt;"", SUMIF(Bets!$F:$F, E640, Bets!AB:AB), "")</f>
        <v/>
      </c>
      <c r="G640" s="162"/>
      <c r="H640" s="148"/>
      <c r="I640" s="161"/>
      <c r="J640" s="146" t="str">
        <f>IF(I640&lt;&gt;"", SUMIF(Bets!$F:$F, I640, Bets!AA:AA), "")</f>
        <v/>
      </c>
      <c r="K640" s="162"/>
      <c r="L640" s="148"/>
      <c r="M640" s="161"/>
      <c r="N640" s="146"/>
      <c r="O640" s="162"/>
      <c r="P640" s="148"/>
      <c r="Q640" s="161"/>
      <c r="R640" s="146"/>
      <c r="S640" s="162"/>
      <c r="T640" s="148"/>
      <c r="U640" s="161"/>
      <c r="V640" s="146"/>
      <c r="W640" s="162"/>
      <c r="X640" s="148"/>
      <c r="Y640" s="161"/>
      <c r="Z640" s="146"/>
      <c r="AA640" s="162"/>
      <c r="AB640" s="148"/>
      <c r="AC640" s="161"/>
      <c r="AD640" s="146"/>
      <c r="AE640" s="162"/>
      <c r="AF640" s="148"/>
    </row>
    <row r="641">
      <c r="A641" s="161"/>
      <c r="B641" s="146" t="str">
        <f>IF(A641&lt;&gt;"", SUMIF(Bets!$F:$F, A641, Bets!Z:Z), "")</f>
        <v/>
      </c>
      <c r="C641" s="162"/>
      <c r="D641" s="148"/>
      <c r="E641" s="161"/>
      <c r="F641" s="146" t="str">
        <f>IF(E641&lt;&gt;"", SUMIF(Bets!$F:$F, E641, Bets!AB:AB), "")</f>
        <v/>
      </c>
      <c r="G641" s="162"/>
      <c r="H641" s="148"/>
      <c r="I641" s="161"/>
      <c r="J641" s="146" t="str">
        <f>IF(I641&lt;&gt;"", SUMIF(Bets!$F:$F, I641, Bets!AA:AA), "")</f>
        <v/>
      </c>
      <c r="K641" s="162"/>
      <c r="L641" s="148"/>
      <c r="M641" s="161"/>
      <c r="N641" s="146"/>
      <c r="O641" s="162"/>
      <c r="P641" s="148"/>
      <c r="Q641" s="161"/>
      <c r="R641" s="146"/>
      <c r="S641" s="162"/>
      <c r="T641" s="148"/>
      <c r="U641" s="161"/>
      <c r="V641" s="146"/>
      <c r="W641" s="162"/>
      <c r="X641" s="148"/>
      <c r="Y641" s="161"/>
      <c r="Z641" s="146"/>
      <c r="AA641" s="162"/>
      <c r="AB641" s="148"/>
      <c r="AC641" s="161"/>
      <c r="AD641" s="146"/>
      <c r="AE641" s="162"/>
      <c r="AF641" s="148"/>
    </row>
    <row r="642">
      <c r="A642" s="161"/>
      <c r="B642" s="146" t="str">
        <f>IF(A642&lt;&gt;"", SUMIF(Bets!$F:$F, A642, Bets!Z:Z), "")</f>
        <v/>
      </c>
      <c r="C642" s="162"/>
      <c r="D642" s="148"/>
      <c r="E642" s="161"/>
      <c r="F642" s="146" t="str">
        <f>IF(E642&lt;&gt;"", SUMIF(Bets!$F:$F, E642, Bets!AB:AB), "")</f>
        <v/>
      </c>
      <c r="G642" s="162"/>
      <c r="H642" s="148"/>
      <c r="I642" s="161"/>
      <c r="J642" s="146" t="str">
        <f>IF(I642&lt;&gt;"", SUMIF(Bets!$F:$F, I642, Bets!AA:AA), "")</f>
        <v/>
      </c>
      <c r="K642" s="162"/>
      <c r="L642" s="148"/>
      <c r="M642" s="161"/>
      <c r="N642" s="146"/>
      <c r="O642" s="162"/>
      <c r="P642" s="148"/>
      <c r="Q642" s="161"/>
      <c r="R642" s="146"/>
      <c r="S642" s="162"/>
      <c r="T642" s="148"/>
      <c r="U642" s="161"/>
      <c r="V642" s="146"/>
      <c r="W642" s="162"/>
      <c r="X642" s="148"/>
      <c r="Y642" s="161"/>
      <c r="Z642" s="146"/>
      <c r="AA642" s="162"/>
      <c r="AB642" s="148"/>
      <c r="AC642" s="161"/>
      <c r="AD642" s="146"/>
      <c r="AE642" s="162"/>
      <c r="AF642" s="148"/>
    </row>
    <row r="643">
      <c r="A643" s="161"/>
      <c r="B643" s="146" t="str">
        <f>IF(A643&lt;&gt;"", SUMIF(Bets!$F:$F, A643, Bets!Z:Z), "")</f>
        <v/>
      </c>
      <c r="C643" s="162"/>
      <c r="D643" s="148"/>
      <c r="E643" s="161"/>
      <c r="F643" s="146" t="str">
        <f>IF(E643&lt;&gt;"", SUMIF(Bets!$F:$F, E643, Bets!AB:AB), "")</f>
        <v/>
      </c>
      <c r="G643" s="162"/>
      <c r="H643" s="148"/>
      <c r="I643" s="161"/>
      <c r="J643" s="146" t="str">
        <f>IF(I643&lt;&gt;"", SUMIF(Bets!$F:$F, I643, Bets!AA:AA), "")</f>
        <v/>
      </c>
      <c r="K643" s="162"/>
      <c r="L643" s="148"/>
      <c r="M643" s="161"/>
      <c r="N643" s="146"/>
      <c r="O643" s="162"/>
      <c r="P643" s="148"/>
      <c r="Q643" s="161"/>
      <c r="R643" s="146"/>
      <c r="S643" s="162"/>
      <c r="T643" s="148"/>
      <c r="U643" s="161"/>
      <c r="V643" s="146"/>
      <c r="W643" s="162"/>
      <c r="X643" s="148"/>
      <c r="Y643" s="161"/>
      <c r="Z643" s="146"/>
      <c r="AA643" s="162"/>
      <c r="AB643" s="148"/>
      <c r="AC643" s="161"/>
      <c r="AD643" s="146"/>
      <c r="AE643" s="162"/>
      <c r="AF643" s="148"/>
    </row>
    <row r="644">
      <c r="A644" s="161"/>
      <c r="B644" s="146" t="str">
        <f>IF(A644&lt;&gt;"", SUMIF(Bets!$F:$F, A644, Bets!Z:Z), "")</f>
        <v/>
      </c>
      <c r="C644" s="162"/>
      <c r="D644" s="148"/>
      <c r="E644" s="161"/>
      <c r="F644" s="146" t="str">
        <f>IF(E644&lt;&gt;"", SUMIF(Bets!$F:$F, E644, Bets!AB:AB), "")</f>
        <v/>
      </c>
      <c r="G644" s="162"/>
      <c r="H644" s="148"/>
      <c r="I644" s="161"/>
      <c r="J644" s="146" t="str">
        <f>IF(I644&lt;&gt;"", SUMIF(Bets!$F:$F, I644, Bets!AA:AA), "")</f>
        <v/>
      </c>
      <c r="K644" s="162"/>
      <c r="L644" s="148"/>
      <c r="M644" s="161"/>
      <c r="N644" s="146"/>
      <c r="O644" s="162"/>
      <c r="P644" s="148"/>
      <c r="Q644" s="161"/>
      <c r="R644" s="146"/>
      <c r="S644" s="162"/>
      <c r="T644" s="148"/>
      <c r="U644" s="161"/>
      <c r="V644" s="146"/>
      <c r="W644" s="162"/>
      <c r="X644" s="148"/>
      <c r="Y644" s="161"/>
      <c r="Z644" s="146"/>
      <c r="AA644" s="162"/>
      <c r="AB644" s="148"/>
      <c r="AC644" s="161"/>
      <c r="AD644" s="146"/>
      <c r="AE644" s="162"/>
      <c r="AF644" s="148"/>
    </row>
    <row r="645">
      <c r="A645" s="161"/>
      <c r="B645" s="146" t="str">
        <f>IF(A645&lt;&gt;"", SUMIF(Bets!$F:$F, A645, Bets!Z:Z), "")</f>
        <v/>
      </c>
      <c r="C645" s="162"/>
      <c r="D645" s="148"/>
      <c r="E645" s="161"/>
      <c r="F645" s="146" t="str">
        <f>IF(E645&lt;&gt;"", SUMIF(Bets!$F:$F, E645, Bets!AB:AB), "")</f>
        <v/>
      </c>
      <c r="G645" s="162"/>
      <c r="H645" s="148"/>
      <c r="I645" s="161"/>
      <c r="J645" s="146" t="str">
        <f>IF(I645&lt;&gt;"", SUMIF(Bets!$F:$F, I645, Bets!AA:AA), "")</f>
        <v/>
      </c>
      <c r="K645" s="162"/>
      <c r="L645" s="148"/>
      <c r="M645" s="161"/>
      <c r="N645" s="146"/>
      <c r="O645" s="162"/>
      <c r="P645" s="148"/>
      <c r="Q645" s="161"/>
      <c r="R645" s="146"/>
      <c r="S645" s="162"/>
      <c r="T645" s="148"/>
      <c r="U645" s="161"/>
      <c r="V645" s="146"/>
      <c r="W645" s="162"/>
      <c r="X645" s="148"/>
      <c r="Y645" s="161"/>
      <c r="Z645" s="146"/>
      <c r="AA645" s="162"/>
      <c r="AB645" s="148"/>
      <c r="AC645" s="161"/>
      <c r="AD645" s="146"/>
      <c r="AE645" s="162"/>
      <c r="AF645" s="148"/>
    </row>
    <row r="646">
      <c r="A646" s="161"/>
      <c r="B646" s="146" t="str">
        <f>IF(A646&lt;&gt;"", SUMIF(Bets!$F:$F, A646, Bets!Z:Z), "")</f>
        <v/>
      </c>
      <c r="C646" s="162"/>
      <c r="D646" s="148"/>
      <c r="E646" s="161"/>
      <c r="F646" s="146" t="str">
        <f>IF(E646&lt;&gt;"", SUMIF(Bets!$F:$F, E646, Bets!AB:AB), "")</f>
        <v/>
      </c>
      <c r="G646" s="162"/>
      <c r="H646" s="148"/>
      <c r="I646" s="161"/>
      <c r="J646" s="146" t="str">
        <f>IF(I646&lt;&gt;"", SUMIF(Bets!$F:$F, I646, Bets!AA:AA), "")</f>
        <v/>
      </c>
      <c r="K646" s="162"/>
      <c r="L646" s="148"/>
      <c r="M646" s="161"/>
      <c r="N646" s="146"/>
      <c r="O646" s="162"/>
      <c r="P646" s="148"/>
      <c r="Q646" s="161"/>
      <c r="R646" s="146"/>
      <c r="S646" s="162"/>
      <c r="T646" s="148"/>
      <c r="U646" s="161"/>
      <c r="V646" s="146"/>
      <c r="W646" s="162"/>
      <c r="X646" s="148"/>
      <c r="Y646" s="161"/>
      <c r="Z646" s="146"/>
      <c r="AA646" s="162"/>
      <c r="AB646" s="148"/>
      <c r="AC646" s="161"/>
      <c r="AD646" s="146"/>
      <c r="AE646" s="162"/>
      <c r="AF646" s="148"/>
    </row>
    <row r="647">
      <c r="A647" s="161"/>
      <c r="B647" s="146" t="str">
        <f>IF(A647&lt;&gt;"", SUMIF(Bets!$F:$F, A647, Bets!Z:Z), "")</f>
        <v/>
      </c>
      <c r="C647" s="162"/>
      <c r="D647" s="148"/>
      <c r="E647" s="161"/>
      <c r="F647" s="146" t="str">
        <f>IF(E647&lt;&gt;"", SUMIF(Bets!$F:$F, E647, Bets!AB:AB), "")</f>
        <v/>
      </c>
      <c r="G647" s="162"/>
      <c r="H647" s="148"/>
      <c r="I647" s="161"/>
      <c r="J647" s="146" t="str">
        <f>IF(I647&lt;&gt;"", SUMIF(Bets!$F:$F, I647, Bets!AA:AA), "")</f>
        <v/>
      </c>
      <c r="K647" s="162"/>
      <c r="L647" s="148"/>
      <c r="M647" s="161"/>
      <c r="N647" s="146"/>
      <c r="O647" s="162"/>
      <c r="P647" s="148"/>
      <c r="Q647" s="161"/>
      <c r="R647" s="146"/>
      <c r="S647" s="162"/>
      <c r="T647" s="148"/>
      <c r="U647" s="161"/>
      <c r="V647" s="146"/>
      <c r="W647" s="162"/>
      <c r="X647" s="148"/>
      <c r="Y647" s="161"/>
      <c r="Z647" s="146"/>
      <c r="AA647" s="162"/>
      <c r="AB647" s="148"/>
      <c r="AC647" s="161"/>
      <c r="AD647" s="146"/>
      <c r="AE647" s="162"/>
      <c r="AF647" s="148"/>
    </row>
    <row r="648">
      <c r="A648" s="161"/>
      <c r="B648" s="146" t="str">
        <f>IF(A648&lt;&gt;"", SUMIF(Bets!$F:$F, A648, Bets!Z:Z), "")</f>
        <v/>
      </c>
      <c r="C648" s="162"/>
      <c r="D648" s="148"/>
      <c r="E648" s="161"/>
      <c r="F648" s="146" t="str">
        <f>IF(E648&lt;&gt;"", SUMIF(Bets!$F:$F, E648, Bets!AB:AB), "")</f>
        <v/>
      </c>
      <c r="G648" s="162"/>
      <c r="H648" s="148"/>
      <c r="I648" s="161"/>
      <c r="J648" s="146" t="str">
        <f>IF(I648&lt;&gt;"", SUMIF(Bets!$F:$F, I648, Bets!AA:AA), "")</f>
        <v/>
      </c>
      <c r="K648" s="162"/>
      <c r="L648" s="148"/>
      <c r="M648" s="161"/>
      <c r="N648" s="146"/>
      <c r="O648" s="162"/>
      <c r="P648" s="148"/>
      <c r="Q648" s="161"/>
      <c r="R648" s="146"/>
      <c r="S648" s="162"/>
      <c r="T648" s="148"/>
      <c r="U648" s="161"/>
      <c r="V648" s="146"/>
      <c r="W648" s="162"/>
      <c r="X648" s="148"/>
      <c r="Y648" s="161"/>
      <c r="Z648" s="146"/>
      <c r="AA648" s="162"/>
      <c r="AB648" s="148"/>
      <c r="AC648" s="161"/>
      <c r="AD648" s="146"/>
      <c r="AE648" s="162"/>
      <c r="AF648" s="148"/>
    </row>
    <row r="649">
      <c r="A649" s="161"/>
      <c r="B649" s="146" t="str">
        <f>IF(A649&lt;&gt;"", SUMIF(Bets!$F:$F, A649, Bets!Z:Z), "")</f>
        <v/>
      </c>
      <c r="C649" s="162"/>
      <c r="D649" s="148"/>
      <c r="E649" s="161"/>
      <c r="F649" s="146" t="str">
        <f>IF(E649&lt;&gt;"", SUMIF(Bets!$F:$F, E649, Bets!AB:AB), "")</f>
        <v/>
      </c>
      <c r="G649" s="162"/>
      <c r="H649" s="148"/>
      <c r="I649" s="161"/>
      <c r="J649" s="146" t="str">
        <f>IF(I649&lt;&gt;"", SUMIF(Bets!$F:$F, I649, Bets!AA:AA), "")</f>
        <v/>
      </c>
      <c r="K649" s="162"/>
      <c r="L649" s="148"/>
      <c r="M649" s="161"/>
      <c r="N649" s="146"/>
      <c r="O649" s="162"/>
      <c r="P649" s="148"/>
      <c r="Q649" s="161"/>
      <c r="R649" s="146"/>
      <c r="S649" s="162"/>
      <c r="T649" s="148"/>
      <c r="U649" s="161"/>
      <c r="V649" s="146"/>
      <c r="W649" s="162"/>
      <c r="X649" s="148"/>
      <c r="Y649" s="161"/>
      <c r="Z649" s="146"/>
      <c r="AA649" s="162"/>
      <c r="AB649" s="148"/>
      <c r="AC649" s="161"/>
      <c r="AD649" s="146"/>
      <c r="AE649" s="162"/>
      <c r="AF649" s="148"/>
    </row>
    <row r="650">
      <c r="A650" s="161"/>
      <c r="B650" s="146" t="str">
        <f>IF(A650&lt;&gt;"", SUMIF(Bets!$F:$F, A650, Bets!Z:Z), "")</f>
        <v/>
      </c>
      <c r="C650" s="162"/>
      <c r="D650" s="148"/>
      <c r="E650" s="161"/>
      <c r="F650" s="146" t="str">
        <f>IF(E650&lt;&gt;"", SUMIF(Bets!$F:$F, E650, Bets!AB:AB), "")</f>
        <v/>
      </c>
      <c r="G650" s="162"/>
      <c r="H650" s="148"/>
      <c r="I650" s="161"/>
      <c r="J650" s="146" t="str">
        <f>IF(I650&lt;&gt;"", SUMIF(Bets!$F:$F, I650, Bets!AA:AA), "")</f>
        <v/>
      </c>
      <c r="K650" s="162"/>
      <c r="L650" s="148"/>
      <c r="M650" s="161"/>
      <c r="N650" s="146"/>
      <c r="O650" s="162"/>
      <c r="P650" s="148"/>
      <c r="Q650" s="161"/>
      <c r="R650" s="146"/>
      <c r="S650" s="162"/>
      <c r="T650" s="148"/>
      <c r="U650" s="161"/>
      <c r="V650" s="146"/>
      <c r="W650" s="162"/>
      <c r="X650" s="148"/>
      <c r="Y650" s="161"/>
      <c r="Z650" s="146"/>
      <c r="AA650" s="162"/>
      <c r="AB650" s="148"/>
      <c r="AC650" s="161"/>
      <c r="AD650" s="146"/>
      <c r="AE650" s="162"/>
      <c r="AF650" s="148"/>
    </row>
    <row r="651">
      <c r="A651" s="161"/>
      <c r="B651" s="146" t="str">
        <f>IF(A651&lt;&gt;"", SUMIF(Bets!$F:$F, A651, Bets!Z:Z), "")</f>
        <v/>
      </c>
      <c r="C651" s="162"/>
      <c r="D651" s="148"/>
      <c r="E651" s="161"/>
      <c r="F651" s="146" t="str">
        <f>IF(E651&lt;&gt;"", SUMIF(Bets!$F:$F, E651, Bets!AB:AB), "")</f>
        <v/>
      </c>
      <c r="G651" s="162"/>
      <c r="H651" s="148"/>
      <c r="I651" s="161"/>
      <c r="J651" s="146" t="str">
        <f>IF(I651&lt;&gt;"", SUMIF(Bets!$F:$F, I651, Bets!AA:AA), "")</f>
        <v/>
      </c>
      <c r="K651" s="162"/>
      <c r="L651" s="148"/>
      <c r="M651" s="161"/>
      <c r="N651" s="146"/>
      <c r="O651" s="162"/>
      <c r="P651" s="148"/>
      <c r="Q651" s="161"/>
      <c r="R651" s="146"/>
      <c r="S651" s="162"/>
      <c r="T651" s="148"/>
      <c r="U651" s="161"/>
      <c r="V651" s="146"/>
      <c r="W651" s="162"/>
      <c r="X651" s="148"/>
      <c r="Y651" s="161"/>
      <c r="Z651" s="146"/>
      <c r="AA651" s="162"/>
      <c r="AB651" s="148"/>
      <c r="AC651" s="161"/>
      <c r="AD651" s="146"/>
      <c r="AE651" s="162"/>
      <c r="AF651" s="148"/>
    </row>
    <row r="652">
      <c r="A652" s="161"/>
      <c r="B652" s="146" t="str">
        <f>IF(A652&lt;&gt;"", SUMIF(Bets!$F:$F, A652, Bets!Z:Z), "")</f>
        <v/>
      </c>
      <c r="C652" s="162"/>
      <c r="D652" s="148"/>
      <c r="E652" s="161"/>
      <c r="F652" s="146" t="str">
        <f>IF(E652&lt;&gt;"", SUMIF(Bets!$F:$F, E652, Bets!AB:AB), "")</f>
        <v/>
      </c>
      <c r="G652" s="162"/>
      <c r="H652" s="148"/>
      <c r="I652" s="161"/>
      <c r="J652" s="146" t="str">
        <f>IF(I652&lt;&gt;"", SUMIF(Bets!$F:$F, I652, Bets!AA:AA), "")</f>
        <v/>
      </c>
      <c r="K652" s="162"/>
      <c r="L652" s="148"/>
      <c r="M652" s="161"/>
      <c r="N652" s="146"/>
      <c r="O652" s="162"/>
      <c r="P652" s="148"/>
      <c r="Q652" s="161"/>
      <c r="R652" s="146"/>
      <c r="S652" s="162"/>
      <c r="T652" s="148"/>
      <c r="U652" s="161"/>
      <c r="V652" s="146"/>
      <c r="W652" s="162"/>
      <c r="X652" s="148"/>
      <c r="Y652" s="161"/>
      <c r="Z652" s="146"/>
      <c r="AA652" s="162"/>
      <c r="AB652" s="148"/>
      <c r="AC652" s="161"/>
      <c r="AD652" s="146"/>
      <c r="AE652" s="162"/>
      <c r="AF652" s="148"/>
    </row>
    <row r="653">
      <c r="A653" s="161"/>
      <c r="B653" s="146" t="str">
        <f>IF(A653&lt;&gt;"", SUMIF(Bets!$F:$F, A653, Bets!Z:Z), "")</f>
        <v/>
      </c>
      <c r="C653" s="162"/>
      <c r="D653" s="148"/>
      <c r="E653" s="161"/>
      <c r="F653" s="146" t="str">
        <f>IF(E653&lt;&gt;"", SUMIF(Bets!$F:$F, E653, Bets!AB:AB), "")</f>
        <v/>
      </c>
      <c r="G653" s="162"/>
      <c r="H653" s="148"/>
      <c r="I653" s="161"/>
      <c r="J653" s="146" t="str">
        <f>IF(I653&lt;&gt;"", SUMIF(Bets!$F:$F, I653, Bets!AA:AA), "")</f>
        <v/>
      </c>
      <c r="K653" s="162"/>
      <c r="L653" s="148"/>
      <c r="M653" s="161"/>
      <c r="N653" s="146"/>
      <c r="O653" s="162"/>
      <c r="P653" s="148"/>
      <c r="Q653" s="161"/>
      <c r="R653" s="146"/>
      <c r="S653" s="162"/>
      <c r="T653" s="148"/>
      <c r="U653" s="161"/>
      <c r="V653" s="146"/>
      <c r="W653" s="162"/>
      <c r="X653" s="148"/>
      <c r="Y653" s="161"/>
      <c r="Z653" s="146"/>
      <c r="AA653" s="162"/>
      <c r="AB653" s="148"/>
      <c r="AC653" s="161"/>
      <c r="AD653" s="146"/>
      <c r="AE653" s="162"/>
      <c r="AF653" s="148"/>
    </row>
    <row r="654">
      <c r="A654" s="161"/>
      <c r="B654" s="146" t="str">
        <f>IF(A654&lt;&gt;"", SUMIF(Bets!$F:$F, A654, Bets!Z:Z), "")</f>
        <v/>
      </c>
      <c r="C654" s="162"/>
      <c r="D654" s="148"/>
      <c r="E654" s="161"/>
      <c r="F654" s="146" t="str">
        <f>IF(E654&lt;&gt;"", SUMIF(Bets!$F:$F, E654, Bets!AB:AB), "")</f>
        <v/>
      </c>
      <c r="G654" s="162"/>
      <c r="H654" s="148"/>
      <c r="I654" s="161"/>
      <c r="J654" s="146" t="str">
        <f>IF(I654&lt;&gt;"", SUMIF(Bets!$F:$F, I654, Bets!AA:AA), "")</f>
        <v/>
      </c>
      <c r="K654" s="162"/>
      <c r="L654" s="148"/>
      <c r="M654" s="161"/>
      <c r="N654" s="146"/>
      <c r="O654" s="162"/>
      <c r="P654" s="148"/>
      <c r="Q654" s="161"/>
      <c r="R654" s="146"/>
      <c r="S654" s="162"/>
      <c r="T654" s="148"/>
      <c r="U654" s="161"/>
      <c r="V654" s="146"/>
      <c r="W654" s="162"/>
      <c r="X654" s="148"/>
      <c r="Y654" s="161"/>
      <c r="Z654" s="146"/>
      <c r="AA654" s="162"/>
      <c r="AB654" s="148"/>
      <c r="AC654" s="161"/>
      <c r="AD654" s="146"/>
      <c r="AE654" s="162"/>
      <c r="AF654" s="148"/>
    </row>
    <row r="655">
      <c r="A655" s="161"/>
      <c r="B655" s="146" t="str">
        <f>IF(A655&lt;&gt;"", SUMIF(Bets!$F:$F, A655, Bets!Z:Z), "")</f>
        <v/>
      </c>
      <c r="C655" s="162"/>
      <c r="D655" s="148"/>
      <c r="E655" s="161"/>
      <c r="F655" s="146" t="str">
        <f>IF(E655&lt;&gt;"", SUMIF(Bets!$F:$F, E655, Bets!AB:AB), "")</f>
        <v/>
      </c>
      <c r="G655" s="162"/>
      <c r="H655" s="148"/>
      <c r="I655" s="161"/>
      <c r="J655" s="146" t="str">
        <f>IF(I655&lt;&gt;"", SUMIF(Bets!$F:$F, I655, Bets!AA:AA), "")</f>
        <v/>
      </c>
      <c r="K655" s="162"/>
      <c r="L655" s="148"/>
      <c r="M655" s="161"/>
      <c r="N655" s="146"/>
      <c r="O655" s="162"/>
      <c r="P655" s="148"/>
      <c r="Q655" s="161"/>
      <c r="R655" s="146"/>
      <c r="S655" s="162"/>
      <c r="T655" s="148"/>
      <c r="U655" s="161"/>
      <c r="V655" s="146"/>
      <c r="W655" s="162"/>
      <c r="X655" s="148"/>
      <c r="Y655" s="161"/>
      <c r="Z655" s="146"/>
      <c r="AA655" s="162"/>
      <c r="AB655" s="148"/>
      <c r="AC655" s="161"/>
      <c r="AD655" s="146"/>
      <c r="AE655" s="162"/>
      <c r="AF655" s="148"/>
    </row>
    <row r="656">
      <c r="A656" s="161"/>
      <c r="B656" s="146" t="str">
        <f>IF(A656&lt;&gt;"", SUMIF(Bets!$F:$F, A656, Bets!Z:Z), "")</f>
        <v/>
      </c>
      <c r="C656" s="162"/>
      <c r="D656" s="148"/>
      <c r="E656" s="161"/>
      <c r="F656" s="146" t="str">
        <f>IF(E656&lt;&gt;"", SUMIF(Bets!$F:$F, E656, Bets!AB:AB), "")</f>
        <v/>
      </c>
      <c r="G656" s="162"/>
      <c r="H656" s="148"/>
      <c r="I656" s="161"/>
      <c r="J656" s="146" t="str">
        <f>IF(I656&lt;&gt;"", SUMIF(Bets!$F:$F, I656, Bets!AA:AA), "")</f>
        <v/>
      </c>
      <c r="K656" s="162"/>
      <c r="L656" s="148"/>
      <c r="M656" s="161"/>
      <c r="N656" s="146"/>
      <c r="O656" s="162"/>
      <c r="P656" s="148"/>
      <c r="Q656" s="161"/>
      <c r="R656" s="146"/>
      <c r="S656" s="162"/>
      <c r="T656" s="148"/>
      <c r="U656" s="161"/>
      <c r="V656" s="146"/>
      <c r="W656" s="162"/>
      <c r="X656" s="148"/>
      <c r="Y656" s="161"/>
      <c r="Z656" s="146"/>
      <c r="AA656" s="162"/>
      <c r="AB656" s="148"/>
      <c r="AC656" s="161"/>
      <c r="AD656" s="146"/>
      <c r="AE656" s="162"/>
      <c r="AF656" s="148"/>
    </row>
    <row r="657">
      <c r="A657" s="161"/>
      <c r="B657" s="146" t="str">
        <f>IF(A657&lt;&gt;"", SUMIF(Bets!$F:$F, A657, Bets!Z:Z), "")</f>
        <v/>
      </c>
      <c r="C657" s="162"/>
      <c r="D657" s="148"/>
      <c r="E657" s="161"/>
      <c r="F657" s="146" t="str">
        <f>IF(E657&lt;&gt;"", SUMIF(Bets!$F:$F, E657, Bets!AB:AB), "")</f>
        <v/>
      </c>
      <c r="G657" s="162"/>
      <c r="H657" s="148"/>
      <c r="I657" s="161"/>
      <c r="J657" s="146" t="str">
        <f>IF(I657&lt;&gt;"", SUMIF(Bets!$F:$F, I657, Bets!AA:AA), "")</f>
        <v/>
      </c>
      <c r="K657" s="162"/>
      <c r="L657" s="148"/>
      <c r="M657" s="161"/>
      <c r="N657" s="146"/>
      <c r="O657" s="162"/>
      <c r="P657" s="148"/>
      <c r="Q657" s="161"/>
      <c r="R657" s="146"/>
      <c r="S657" s="162"/>
      <c r="T657" s="148"/>
      <c r="U657" s="161"/>
      <c r="V657" s="146"/>
      <c r="W657" s="162"/>
      <c r="X657" s="148"/>
      <c r="Y657" s="161"/>
      <c r="Z657" s="146"/>
      <c r="AA657" s="162"/>
      <c r="AB657" s="148"/>
      <c r="AC657" s="161"/>
      <c r="AD657" s="146"/>
      <c r="AE657" s="162"/>
      <c r="AF657" s="148"/>
    </row>
    <row r="658">
      <c r="A658" s="161"/>
      <c r="B658" s="146" t="str">
        <f>IF(A658&lt;&gt;"", SUMIF(Bets!$F:$F, A658, Bets!Z:Z), "")</f>
        <v/>
      </c>
      <c r="C658" s="162"/>
      <c r="D658" s="148"/>
      <c r="E658" s="161"/>
      <c r="F658" s="146" t="str">
        <f>IF(E658&lt;&gt;"", SUMIF(Bets!$F:$F, E658, Bets!AB:AB), "")</f>
        <v/>
      </c>
      <c r="G658" s="162"/>
      <c r="H658" s="148"/>
      <c r="I658" s="161"/>
      <c r="J658" s="146" t="str">
        <f>IF(I658&lt;&gt;"", SUMIF(Bets!$F:$F, I658, Bets!AA:AA), "")</f>
        <v/>
      </c>
      <c r="K658" s="162"/>
      <c r="L658" s="148"/>
      <c r="M658" s="161"/>
      <c r="N658" s="146"/>
      <c r="O658" s="162"/>
      <c r="P658" s="148"/>
      <c r="Q658" s="161"/>
      <c r="R658" s="146"/>
      <c r="S658" s="162"/>
      <c r="T658" s="148"/>
      <c r="U658" s="161"/>
      <c r="V658" s="146"/>
      <c r="W658" s="162"/>
      <c r="X658" s="148"/>
      <c r="Y658" s="161"/>
      <c r="Z658" s="146"/>
      <c r="AA658" s="162"/>
      <c r="AB658" s="148"/>
      <c r="AC658" s="161"/>
      <c r="AD658" s="146"/>
      <c r="AE658" s="162"/>
      <c r="AF658" s="148"/>
    </row>
    <row r="659">
      <c r="A659" s="161"/>
      <c r="B659" s="146" t="str">
        <f>IF(A659&lt;&gt;"", SUMIF(Bets!$F:$F, A659, Bets!Z:Z), "")</f>
        <v/>
      </c>
      <c r="C659" s="162"/>
      <c r="D659" s="148"/>
      <c r="E659" s="161"/>
      <c r="F659" s="146" t="str">
        <f>IF(E659&lt;&gt;"", SUMIF(Bets!$F:$F, E659, Bets!AB:AB), "")</f>
        <v/>
      </c>
      <c r="G659" s="162"/>
      <c r="H659" s="148"/>
      <c r="I659" s="161"/>
      <c r="J659" s="146" t="str">
        <f>IF(I659&lt;&gt;"", SUMIF(Bets!$F:$F, I659, Bets!AA:AA), "")</f>
        <v/>
      </c>
      <c r="K659" s="162"/>
      <c r="L659" s="148"/>
      <c r="M659" s="161"/>
      <c r="N659" s="146"/>
      <c r="O659" s="162"/>
      <c r="P659" s="148"/>
      <c r="Q659" s="161"/>
      <c r="R659" s="146"/>
      <c r="S659" s="162"/>
      <c r="T659" s="148"/>
      <c r="U659" s="161"/>
      <c r="V659" s="146"/>
      <c r="W659" s="162"/>
      <c r="X659" s="148"/>
      <c r="Y659" s="161"/>
      <c r="Z659" s="146"/>
      <c r="AA659" s="162"/>
      <c r="AB659" s="148"/>
      <c r="AC659" s="161"/>
      <c r="AD659" s="146"/>
      <c r="AE659" s="162"/>
      <c r="AF659" s="148"/>
    </row>
    <row r="660">
      <c r="A660" s="161"/>
      <c r="B660" s="146" t="str">
        <f>IF(A660&lt;&gt;"", SUMIF(Bets!$F:$F, A660, Bets!Z:Z), "")</f>
        <v/>
      </c>
      <c r="C660" s="162"/>
      <c r="D660" s="148"/>
      <c r="E660" s="161"/>
      <c r="F660" s="146" t="str">
        <f>IF(E660&lt;&gt;"", SUMIF(Bets!$F:$F, E660, Bets!AB:AB), "")</f>
        <v/>
      </c>
      <c r="G660" s="162"/>
      <c r="H660" s="148"/>
      <c r="I660" s="161"/>
      <c r="J660" s="146" t="str">
        <f>IF(I660&lt;&gt;"", SUMIF(Bets!$F:$F, I660, Bets!AA:AA), "")</f>
        <v/>
      </c>
      <c r="K660" s="162"/>
      <c r="L660" s="148"/>
      <c r="M660" s="161"/>
      <c r="N660" s="146"/>
      <c r="O660" s="162"/>
      <c r="P660" s="148"/>
      <c r="Q660" s="161"/>
      <c r="R660" s="146"/>
      <c r="S660" s="162"/>
      <c r="T660" s="148"/>
      <c r="U660" s="161"/>
      <c r="V660" s="146"/>
      <c r="W660" s="162"/>
      <c r="X660" s="148"/>
      <c r="Y660" s="161"/>
      <c r="Z660" s="146"/>
      <c r="AA660" s="162"/>
      <c r="AB660" s="148"/>
      <c r="AC660" s="161"/>
      <c r="AD660" s="146"/>
      <c r="AE660" s="162"/>
      <c r="AF660" s="148"/>
    </row>
    <row r="661">
      <c r="A661" s="161"/>
      <c r="B661" s="146" t="str">
        <f>IF(A661&lt;&gt;"", SUMIF(Bets!$F:$F, A661, Bets!Z:Z), "")</f>
        <v/>
      </c>
      <c r="C661" s="162"/>
      <c r="D661" s="148"/>
      <c r="E661" s="161"/>
      <c r="F661" s="146" t="str">
        <f>IF(E661&lt;&gt;"", SUMIF(Bets!$F:$F, E661, Bets!AB:AB), "")</f>
        <v/>
      </c>
      <c r="G661" s="162"/>
      <c r="H661" s="148"/>
      <c r="I661" s="161"/>
      <c r="J661" s="146" t="str">
        <f>IF(I661&lt;&gt;"", SUMIF(Bets!$F:$F, I661, Bets!AA:AA), "")</f>
        <v/>
      </c>
      <c r="K661" s="162"/>
      <c r="L661" s="148"/>
      <c r="M661" s="161"/>
      <c r="N661" s="146"/>
      <c r="O661" s="162"/>
      <c r="P661" s="148"/>
      <c r="Q661" s="161"/>
      <c r="R661" s="146"/>
      <c r="S661" s="162"/>
      <c r="T661" s="148"/>
      <c r="U661" s="161"/>
      <c r="V661" s="146"/>
      <c r="W661" s="162"/>
      <c r="X661" s="148"/>
      <c r="Y661" s="161"/>
      <c r="Z661" s="146"/>
      <c r="AA661" s="162"/>
      <c r="AB661" s="148"/>
      <c r="AC661" s="161"/>
      <c r="AD661" s="146"/>
      <c r="AE661" s="162"/>
      <c r="AF661" s="148"/>
    </row>
    <row r="662">
      <c r="A662" s="161"/>
      <c r="B662" s="146" t="str">
        <f>IF(A662&lt;&gt;"", SUMIF(Bets!$F:$F, A662, Bets!Z:Z), "")</f>
        <v/>
      </c>
      <c r="C662" s="162"/>
      <c r="D662" s="148"/>
      <c r="E662" s="161"/>
      <c r="F662" s="146" t="str">
        <f>IF(E662&lt;&gt;"", SUMIF(Bets!$F:$F, E662, Bets!AB:AB), "")</f>
        <v/>
      </c>
      <c r="G662" s="162"/>
      <c r="H662" s="148"/>
      <c r="I662" s="161"/>
      <c r="J662" s="146" t="str">
        <f>IF(I662&lt;&gt;"", SUMIF(Bets!$F:$F, I662, Bets!AA:AA), "")</f>
        <v/>
      </c>
      <c r="K662" s="162"/>
      <c r="L662" s="148"/>
      <c r="M662" s="161"/>
      <c r="N662" s="146"/>
      <c r="O662" s="162"/>
      <c r="P662" s="148"/>
      <c r="Q662" s="161"/>
      <c r="R662" s="146"/>
      <c r="S662" s="162"/>
      <c r="T662" s="148"/>
      <c r="U662" s="161"/>
      <c r="V662" s="146"/>
      <c r="W662" s="162"/>
      <c r="X662" s="148"/>
      <c r="Y662" s="161"/>
      <c r="Z662" s="146"/>
      <c r="AA662" s="162"/>
      <c r="AB662" s="148"/>
      <c r="AC662" s="161"/>
      <c r="AD662" s="146"/>
      <c r="AE662" s="162"/>
      <c r="AF662" s="148"/>
    </row>
    <row r="663">
      <c r="A663" s="161"/>
      <c r="B663" s="146" t="str">
        <f>IF(A663&lt;&gt;"", SUMIF(Bets!$F:$F, A663, Bets!Z:Z), "")</f>
        <v/>
      </c>
      <c r="C663" s="162"/>
      <c r="D663" s="148"/>
      <c r="E663" s="161"/>
      <c r="F663" s="146" t="str">
        <f>IF(E663&lt;&gt;"", SUMIF(Bets!$F:$F, E663, Bets!AB:AB), "")</f>
        <v/>
      </c>
      <c r="G663" s="162"/>
      <c r="H663" s="148"/>
      <c r="I663" s="161"/>
      <c r="J663" s="146" t="str">
        <f>IF(I663&lt;&gt;"", SUMIF(Bets!$F:$F, I663, Bets!AA:AA), "")</f>
        <v/>
      </c>
      <c r="K663" s="162"/>
      <c r="L663" s="148"/>
      <c r="M663" s="161"/>
      <c r="N663" s="146"/>
      <c r="O663" s="162"/>
      <c r="P663" s="148"/>
      <c r="Q663" s="161"/>
      <c r="R663" s="146"/>
      <c r="S663" s="162"/>
      <c r="T663" s="148"/>
      <c r="U663" s="161"/>
      <c r="V663" s="146"/>
      <c r="W663" s="162"/>
      <c r="X663" s="148"/>
      <c r="Y663" s="161"/>
      <c r="Z663" s="146"/>
      <c r="AA663" s="162"/>
      <c r="AB663" s="148"/>
      <c r="AC663" s="161"/>
      <c r="AD663" s="146"/>
      <c r="AE663" s="162"/>
      <c r="AF663" s="148"/>
    </row>
    <row r="664">
      <c r="A664" s="161"/>
      <c r="B664" s="146" t="str">
        <f>IF(A664&lt;&gt;"", SUMIF(Bets!$F:$F, A664, Bets!Z:Z), "")</f>
        <v/>
      </c>
      <c r="C664" s="162"/>
      <c r="D664" s="148"/>
      <c r="E664" s="161"/>
      <c r="F664" s="146" t="str">
        <f>IF(E664&lt;&gt;"", SUMIF(Bets!$F:$F, E664, Bets!AB:AB), "")</f>
        <v/>
      </c>
      <c r="G664" s="162"/>
      <c r="H664" s="148"/>
      <c r="I664" s="161"/>
      <c r="J664" s="146" t="str">
        <f>IF(I664&lt;&gt;"", SUMIF(Bets!$F:$F, I664, Bets!AA:AA), "")</f>
        <v/>
      </c>
      <c r="K664" s="162"/>
      <c r="L664" s="148"/>
      <c r="M664" s="161"/>
      <c r="N664" s="146"/>
      <c r="O664" s="162"/>
      <c r="P664" s="148"/>
      <c r="Q664" s="161"/>
      <c r="R664" s="146"/>
      <c r="S664" s="162"/>
      <c r="T664" s="148"/>
      <c r="U664" s="161"/>
      <c r="V664" s="146"/>
      <c r="W664" s="162"/>
      <c r="X664" s="148"/>
      <c r="Y664" s="161"/>
      <c r="Z664" s="146"/>
      <c r="AA664" s="162"/>
      <c r="AB664" s="148"/>
      <c r="AC664" s="161"/>
      <c r="AD664" s="146"/>
      <c r="AE664" s="162"/>
      <c r="AF664" s="148"/>
    </row>
    <row r="665">
      <c r="A665" s="161"/>
      <c r="B665" s="146" t="str">
        <f>IF(A665&lt;&gt;"", SUMIF(Bets!$F:$F, A665, Bets!Z:Z), "")</f>
        <v/>
      </c>
      <c r="C665" s="162"/>
      <c r="D665" s="148"/>
      <c r="E665" s="161"/>
      <c r="F665" s="146" t="str">
        <f>IF(E665&lt;&gt;"", SUMIF(Bets!$F:$F, E665, Bets!AB:AB), "")</f>
        <v/>
      </c>
      <c r="G665" s="162"/>
      <c r="H665" s="148"/>
      <c r="I665" s="161"/>
      <c r="J665" s="146" t="str">
        <f>IF(I665&lt;&gt;"", SUMIF(Bets!$F:$F, I665, Bets!AA:AA), "")</f>
        <v/>
      </c>
      <c r="K665" s="162"/>
      <c r="L665" s="148"/>
      <c r="M665" s="161"/>
      <c r="N665" s="146"/>
      <c r="O665" s="162"/>
      <c r="P665" s="148"/>
      <c r="Q665" s="161"/>
      <c r="R665" s="146"/>
      <c r="S665" s="162"/>
      <c r="T665" s="148"/>
      <c r="U665" s="161"/>
      <c r="V665" s="146"/>
      <c r="W665" s="162"/>
      <c r="X665" s="148"/>
      <c r="Y665" s="161"/>
      <c r="Z665" s="146"/>
      <c r="AA665" s="162"/>
      <c r="AB665" s="148"/>
      <c r="AC665" s="161"/>
      <c r="AD665" s="146"/>
      <c r="AE665" s="162"/>
      <c r="AF665" s="148"/>
    </row>
    <row r="666">
      <c r="A666" s="161"/>
      <c r="B666" s="146" t="str">
        <f>IF(A666&lt;&gt;"", SUMIF(Bets!$F:$F, A666, Bets!Z:Z), "")</f>
        <v/>
      </c>
      <c r="C666" s="162"/>
      <c r="D666" s="148"/>
      <c r="E666" s="161"/>
      <c r="F666" s="146" t="str">
        <f>IF(E666&lt;&gt;"", SUMIF(Bets!$F:$F, E666, Bets!AB:AB), "")</f>
        <v/>
      </c>
      <c r="G666" s="162"/>
      <c r="H666" s="148"/>
      <c r="I666" s="161"/>
      <c r="J666" s="146" t="str">
        <f>IF(I666&lt;&gt;"", SUMIF(Bets!$F:$F, I666, Bets!AA:AA), "")</f>
        <v/>
      </c>
      <c r="K666" s="162"/>
      <c r="L666" s="148"/>
      <c r="M666" s="161"/>
      <c r="N666" s="146"/>
      <c r="O666" s="162"/>
      <c r="P666" s="148"/>
      <c r="Q666" s="161"/>
      <c r="R666" s="146"/>
      <c r="S666" s="162"/>
      <c r="T666" s="148"/>
      <c r="U666" s="161"/>
      <c r="V666" s="146"/>
      <c r="W666" s="162"/>
      <c r="X666" s="148"/>
      <c r="Y666" s="161"/>
      <c r="Z666" s="146"/>
      <c r="AA666" s="162"/>
      <c r="AB666" s="148"/>
      <c r="AC666" s="161"/>
      <c r="AD666" s="146"/>
      <c r="AE666" s="162"/>
      <c r="AF666" s="148"/>
    </row>
    <row r="667">
      <c r="A667" s="161"/>
      <c r="B667" s="146" t="str">
        <f>IF(A667&lt;&gt;"", SUMIF(Bets!$F:$F, A667, Bets!Z:Z), "")</f>
        <v/>
      </c>
      <c r="C667" s="162"/>
      <c r="D667" s="148"/>
      <c r="E667" s="161"/>
      <c r="F667" s="146" t="str">
        <f>IF(E667&lt;&gt;"", SUMIF(Bets!$F:$F, E667, Bets!AB:AB), "")</f>
        <v/>
      </c>
      <c r="G667" s="162"/>
      <c r="H667" s="148"/>
      <c r="I667" s="161"/>
      <c r="J667" s="146" t="str">
        <f>IF(I667&lt;&gt;"", SUMIF(Bets!$F:$F, I667, Bets!AA:AA), "")</f>
        <v/>
      </c>
      <c r="K667" s="162"/>
      <c r="L667" s="148"/>
      <c r="M667" s="161"/>
      <c r="N667" s="146"/>
      <c r="O667" s="162"/>
      <c r="P667" s="148"/>
      <c r="Q667" s="161"/>
      <c r="R667" s="146"/>
      <c r="S667" s="162"/>
      <c r="T667" s="148"/>
      <c r="U667" s="161"/>
      <c r="V667" s="146"/>
      <c r="W667" s="162"/>
      <c r="X667" s="148"/>
      <c r="Y667" s="161"/>
      <c r="Z667" s="146"/>
      <c r="AA667" s="162"/>
      <c r="AB667" s="148"/>
      <c r="AC667" s="161"/>
      <c r="AD667" s="146"/>
      <c r="AE667" s="162"/>
      <c r="AF667" s="148"/>
    </row>
    <row r="668">
      <c r="A668" s="161"/>
      <c r="B668" s="146" t="str">
        <f>IF(A668&lt;&gt;"", SUMIF(Bets!$F:$F, A668, Bets!Z:Z), "")</f>
        <v/>
      </c>
      <c r="C668" s="162"/>
      <c r="D668" s="148"/>
      <c r="E668" s="161"/>
      <c r="F668" s="146" t="str">
        <f>IF(E668&lt;&gt;"", SUMIF(Bets!$F:$F, E668, Bets!AB:AB), "")</f>
        <v/>
      </c>
      <c r="G668" s="162"/>
      <c r="H668" s="148"/>
      <c r="I668" s="161"/>
      <c r="J668" s="146" t="str">
        <f>IF(I668&lt;&gt;"", SUMIF(Bets!$F:$F, I668, Bets!AA:AA), "")</f>
        <v/>
      </c>
      <c r="K668" s="162"/>
      <c r="L668" s="148"/>
      <c r="M668" s="161"/>
      <c r="N668" s="146"/>
      <c r="O668" s="162"/>
      <c r="P668" s="148"/>
      <c r="Q668" s="161"/>
      <c r="R668" s="146"/>
      <c r="S668" s="162"/>
      <c r="T668" s="148"/>
      <c r="U668" s="161"/>
      <c r="V668" s="146"/>
      <c r="W668" s="162"/>
      <c r="X668" s="148"/>
      <c r="Y668" s="161"/>
      <c r="Z668" s="146"/>
      <c r="AA668" s="162"/>
      <c r="AB668" s="148"/>
      <c r="AC668" s="161"/>
      <c r="AD668" s="146"/>
      <c r="AE668" s="162"/>
      <c r="AF668" s="148"/>
    </row>
    <row r="669">
      <c r="A669" s="161"/>
      <c r="B669" s="146" t="str">
        <f>IF(A669&lt;&gt;"", SUMIF(Bets!$F:$F, A669, Bets!Z:Z), "")</f>
        <v/>
      </c>
      <c r="C669" s="162"/>
      <c r="D669" s="148"/>
      <c r="E669" s="161"/>
      <c r="F669" s="146" t="str">
        <f>IF(E669&lt;&gt;"", SUMIF(Bets!$F:$F, E669, Bets!AB:AB), "")</f>
        <v/>
      </c>
      <c r="G669" s="162"/>
      <c r="H669" s="148"/>
      <c r="I669" s="161"/>
      <c r="J669" s="146" t="str">
        <f>IF(I669&lt;&gt;"", SUMIF(Bets!$F:$F, I669, Bets!AA:AA), "")</f>
        <v/>
      </c>
      <c r="K669" s="162"/>
      <c r="L669" s="148"/>
      <c r="M669" s="161"/>
      <c r="N669" s="146"/>
      <c r="O669" s="162"/>
      <c r="P669" s="148"/>
      <c r="Q669" s="161"/>
      <c r="R669" s="146"/>
      <c r="S669" s="162"/>
      <c r="T669" s="148"/>
      <c r="U669" s="161"/>
      <c r="V669" s="146"/>
      <c r="W669" s="162"/>
      <c r="X669" s="148"/>
      <c r="Y669" s="161"/>
      <c r="Z669" s="146"/>
      <c r="AA669" s="162"/>
      <c r="AB669" s="148"/>
      <c r="AC669" s="161"/>
      <c r="AD669" s="146"/>
      <c r="AE669" s="162"/>
      <c r="AF669" s="148"/>
    </row>
    <row r="670">
      <c r="A670" s="161"/>
      <c r="B670" s="146" t="str">
        <f>IF(A670&lt;&gt;"", SUMIF(Bets!$F:$F, A670, Bets!Z:Z), "")</f>
        <v/>
      </c>
      <c r="C670" s="162"/>
      <c r="D670" s="148"/>
      <c r="E670" s="161"/>
      <c r="F670" s="146" t="str">
        <f>IF(E670&lt;&gt;"", SUMIF(Bets!$F:$F, E670, Bets!AB:AB), "")</f>
        <v/>
      </c>
      <c r="G670" s="162"/>
      <c r="H670" s="148"/>
      <c r="I670" s="161"/>
      <c r="J670" s="146" t="str">
        <f>IF(I670&lt;&gt;"", SUMIF(Bets!$F:$F, I670, Bets!AA:AA), "")</f>
        <v/>
      </c>
      <c r="K670" s="162"/>
      <c r="L670" s="148"/>
      <c r="M670" s="161"/>
      <c r="N670" s="146"/>
      <c r="O670" s="162"/>
      <c r="P670" s="148"/>
      <c r="Q670" s="161"/>
      <c r="R670" s="146"/>
      <c r="S670" s="162"/>
      <c r="T670" s="148"/>
      <c r="U670" s="161"/>
      <c r="V670" s="146"/>
      <c r="W670" s="162"/>
      <c r="X670" s="148"/>
      <c r="Y670" s="161"/>
      <c r="Z670" s="146"/>
      <c r="AA670" s="162"/>
      <c r="AB670" s="148"/>
      <c r="AC670" s="161"/>
      <c r="AD670" s="146"/>
      <c r="AE670" s="162"/>
      <c r="AF670" s="148"/>
    </row>
    <row r="671">
      <c r="A671" s="161"/>
      <c r="B671" s="146" t="str">
        <f>IF(A671&lt;&gt;"", SUMIF(Bets!$F:$F, A671, Bets!Z:Z), "")</f>
        <v/>
      </c>
      <c r="C671" s="162"/>
      <c r="D671" s="148"/>
      <c r="E671" s="161"/>
      <c r="F671" s="146" t="str">
        <f>IF(E671&lt;&gt;"", SUMIF(Bets!$F:$F, E671, Bets!AB:AB), "")</f>
        <v/>
      </c>
      <c r="G671" s="162"/>
      <c r="H671" s="148"/>
      <c r="I671" s="161"/>
      <c r="J671" s="146" t="str">
        <f>IF(I671&lt;&gt;"", SUMIF(Bets!$F:$F, I671, Bets!AA:AA), "")</f>
        <v/>
      </c>
      <c r="K671" s="162"/>
      <c r="L671" s="148"/>
      <c r="M671" s="161"/>
      <c r="N671" s="146"/>
      <c r="O671" s="162"/>
      <c r="P671" s="148"/>
      <c r="Q671" s="161"/>
      <c r="R671" s="146"/>
      <c r="S671" s="162"/>
      <c r="T671" s="148"/>
      <c r="U671" s="161"/>
      <c r="V671" s="146"/>
      <c r="W671" s="162"/>
      <c r="X671" s="148"/>
      <c r="Y671" s="161"/>
      <c r="Z671" s="146"/>
      <c r="AA671" s="162"/>
      <c r="AB671" s="148"/>
      <c r="AC671" s="161"/>
      <c r="AD671" s="146"/>
      <c r="AE671" s="162"/>
      <c r="AF671" s="148"/>
    </row>
    <row r="672">
      <c r="A672" s="161"/>
      <c r="B672" s="146" t="str">
        <f>IF(A672&lt;&gt;"", SUMIF(Bets!$F:$F, A672, Bets!Z:Z), "")</f>
        <v/>
      </c>
      <c r="C672" s="162"/>
      <c r="D672" s="148"/>
      <c r="E672" s="161"/>
      <c r="F672" s="146" t="str">
        <f>IF(E672&lt;&gt;"", SUMIF(Bets!$F:$F, E672, Bets!AB:AB), "")</f>
        <v/>
      </c>
      <c r="G672" s="162"/>
      <c r="H672" s="148"/>
      <c r="I672" s="161"/>
      <c r="J672" s="146" t="str">
        <f>IF(I672&lt;&gt;"", SUMIF(Bets!$F:$F, I672, Bets!AA:AA), "")</f>
        <v/>
      </c>
      <c r="K672" s="162"/>
      <c r="L672" s="148"/>
      <c r="M672" s="161"/>
      <c r="N672" s="146"/>
      <c r="O672" s="162"/>
      <c r="P672" s="148"/>
      <c r="Q672" s="161"/>
      <c r="R672" s="146"/>
      <c r="S672" s="162"/>
      <c r="T672" s="148"/>
      <c r="U672" s="161"/>
      <c r="V672" s="146"/>
      <c r="W672" s="162"/>
      <c r="X672" s="148"/>
      <c r="Y672" s="161"/>
      <c r="Z672" s="146"/>
      <c r="AA672" s="162"/>
      <c r="AB672" s="148"/>
      <c r="AC672" s="161"/>
      <c r="AD672" s="146"/>
      <c r="AE672" s="162"/>
      <c r="AF672" s="148"/>
    </row>
    <row r="673">
      <c r="A673" s="161"/>
      <c r="B673" s="146" t="str">
        <f>IF(A673&lt;&gt;"", SUMIF(Bets!$F:$F, A673, Bets!Z:Z), "")</f>
        <v/>
      </c>
      <c r="C673" s="162"/>
      <c r="D673" s="148"/>
      <c r="E673" s="161"/>
      <c r="F673" s="146" t="str">
        <f>IF(E673&lt;&gt;"", SUMIF(Bets!$F:$F, E673, Bets!AB:AB), "")</f>
        <v/>
      </c>
      <c r="G673" s="162"/>
      <c r="H673" s="148"/>
      <c r="I673" s="161"/>
      <c r="J673" s="146" t="str">
        <f>IF(I673&lt;&gt;"", SUMIF(Bets!$F:$F, I673, Bets!AA:AA), "")</f>
        <v/>
      </c>
      <c r="K673" s="162"/>
      <c r="L673" s="148"/>
      <c r="M673" s="161"/>
      <c r="N673" s="146"/>
      <c r="O673" s="162"/>
      <c r="P673" s="148"/>
      <c r="Q673" s="161"/>
      <c r="R673" s="146"/>
      <c r="S673" s="162"/>
      <c r="T673" s="148"/>
      <c r="U673" s="161"/>
      <c r="V673" s="146"/>
      <c r="W673" s="162"/>
      <c r="X673" s="148"/>
      <c r="Y673" s="161"/>
      <c r="Z673" s="146"/>
      <c r="AA673" s="162"/>
      <c r="AB673" s="148"/>
      <c r="AC673" s="161"/>
      <c r="AD673" s="146"/>
      <c r="AE673" s="162"/>
      <c r="AF673" s="148"/>
    </row>
    <row r="674">
      <c r="A674" s="161"/>
      <c r="B674" s="146" t="str">
        <f>IF(A674&lt;&gt;"", SUMIF(Bets!$F:$F, A674, Bets!Z:Z), "")</f>
        <v/>
      </c>
      <c r="C674" s="162"/>
      <c r="D674" s="148"/>
      <c r="E674" s="161"/>
      <c r="F674" s="146" t="str">
        <f>IF(E674&lt;&gt;"", SUMIF(Bets!$F:$F, E674, Bets!AB:AB), "")</f>
        <v/>
      </c>
      <c r="G674" s="162"/>
      <c r="H674" s="148"/>
      <c r="I674" s="161"/>
      <c r="J674" s="146" t="str">
        <f>IF(I674&lt;&gt;"", SUMIF(Bets!$F:$F, I674, Bets!AA:AA), "")</f>
        <v/>
      </c>
      <c r="K674" s="162"/>
      <c r="L674" s="148"/>
      <c r="M674" s="161"/>
      <c r="N674" s="146"/>
      <c r="O674" s="162"/>
      <c r="P674" s="148"/>
      <c r="Q674" s="161"/>
      <c r="R674" s="146"/>
      <c r="S674" s="162"/>
      <c r="T674" s="148"/>
      <c r="U674" s="161"/>
      <c r="V674" s="146"/>
      <c r="W674" s="162"/>
      <c r="X674" s="148"/>
      <c r="Y674" s="161"/>
      <c r="Z674" s="146"/>
      <c r="AA674" s="162"/>
      <c r="AB674" s="148"/>
      <c r="AC674" s="161"/>
      <c r="AD674" s="146"/>
      <c r="AE674" s="162"/>
      <c r="AF674" s="148"/>
    </row>
    <row r="675">
      <c r="A675" s="161"/>
      <c r="B675" s="146" t="str">
        <f>IF(A675&lt;&gt;"", SUMIF(Bets!$F:$F, A675, Bets!Z:Z), "")</f>
        <v/>
      </c>
      <c r="C675" s="162"/>
      <c r="D675" s="148"/>
      <c r="E675" s="161"/>
      <c r="F675" s="146" t="str">
        <f>IF(E675&lt;&gt;"", SUMIF(Bets!$F:$F, E675, Bets!AB:AB), "")</f>
        <v/>
      </c>
      <c r="G675" s="162"/>
      <c r="H675" s="148"/>
      <c r="I675" s="161"/>
      <c r="J675" s="146" t="str">
        <f>IF(I675&lt;&gt;"", SUMIF(Bets!$F:$F, I675, Bets!AA:AA), "")</f>
        <v/>
      </c>
      <c r="K675" s="162"/>
      <c r="L675" s="148"/>
      <c r="M675" s="161"/>
      <c r="N675" s="146"/>
      <c r="O675" s="162"/>
      <c r="P675" s="148"/>
      <c r="Q675" s="161"/>
      <c r="R675" s="146"/>
      <c r="S675" s="162"/>
      <c r="T675" s="148"/>
      <c r="U675" s="161"/>
      <c r="V675" s="146"/>
      <c r="W675" s="162"/>
      <c r="X675" s="148"/>
      <c r="Y675" s="161"/>
      <c r="Z675" s="146"/>
      <c r="AA675" s="162"/>
      <c r="AB675" s="148"/>
      <c r="AC675" s="161"/>
      <c r="AD675" s="146"/>
      <c r="AE675" s="162"/>
      <c r="AF675" s="148"/>
    </row>
    <row r="676">
      <c r="A676" s="161"/>
      <c r="B676" s="146" t="str">
        <f>IF(A676&lt;&gt;"", SUMIF(Bets!$F:$F, A676, Bets!Z:Z), "")</f>
        <v/>
      </c>
      <c r="C676" s="162"/>
      <c r="D676" s="148"/>
      <c r="E676" s="161"/>
      <c r="F676" s="146" t="str">
        <f>IF(E676&lt;&gt;"", SUMIF(Bets!$F:$F, E676, Bets!AB:AB), "")</f>
        <v/>
      </c>
      <c r="G676" s="162"/>
      <c r="H676" s="148"/>
      <c r="I676" s="161"/>
      <c r="J676" s="146" t="str">
        <f>IF(I676&lt;&gt;"", SUMIF(Bets!$F:$F, I676, Bets!AA:AA), "")</f>
        <v/>
      </c>
      <c r="K676" s="162"/>
      <c r="L676" s="148"/>
      <c r="M676" s="161"/>
      <c r="N676" s="146"/>
      <c r="O676" s="162"/>
      <c r="P676" s="148"/>
      <c r="Q676" s="161"/>
      <c r="R676" s="146"/>
      <c r="S676" s="162"/>
      <c r="T676" s="148"/>
      <c r="U676" s="161"/>
      <c r="V676" s="146"/>
      <c r="W676" s="162"/>
      <c r="X676" s="148"/>
      <c r="Y676" s="161"/>
      <c r="Z676" s="146"/>
      <c r="AA676" s="162"/>
      <c r="AB676" s="148"/>
      <c r="AC676" s="161"/>
      <c r="AD676" s="146"/>
      <c r="AE676" s="162"/>
      <c r="AF676" s="148"/>
    </row>
    <row r="677">
      <c r="A677" s="161"/>
      <c r="B677" s="146" t="str">
        <f>IF(A677&lt;&gt;"", SUMIF(Bets!$F:$F, A677, Bets!Z:Z), "")</f>
        <v/>
      </c>
      <c r="C677" s="162"/>
      <c r="D677" s="148"/>
      <c r="E677" s="161"/>
      <c r="F677" s="146" t="str">
        <f>IF(E677&lt;&gt;"", SUMIF(Bets!$F:$F, E677, Bets!AB:AB), "")</f>
        <v/>
      </c>
      <c r="G677" s="162"/>
      <c r="H677" s="148"/>
      <c r="I677" s="161"/>
      <c r="J677" s="146" t="str">
        <f>IF(I677&lt;&gt;"", SUMIF(Bets!$F:$F, I677, Bets!AA:AA), "")</f>
        <v/>
      </c>
      <c r="K677" s="162"/>
      <c r="L677" s="148"/>
      <c r="M677" s="161"/>
      <c r="N677" s="146"/>
      <c r="O677" s="162"/>
      <c r="P677" s="148"/>
      <c r="Q677" s="161"/>
      <c r="R677" s="146"/>
      <c r="S677" s="162"/>
      <c r="T677" s="148"/>
      <c r="U677" s="161"/>
      <c r="V677" s="146"/>
      <c r="W677" s="162"/>
      <c r="X677" s="148"/>
      <c r="Y677" s="161"/>
      <c r="Z677" s="146"/>
      <c r="AA677" s="162"/>
      <c r="AB677" s="148"/>
      <c r="AC677" s="161"/>
      <c r="AD677" s="146"/>
      <c r="AE677" s="162"/>
      <c r="AF677" s="148"/>
    </row>
    <row r="678">
      <c r="A678" s="161"/>
      <c r="B678" s="146" t="str">
        <f>IF(A678&lt;&gt;"", SUMIF(Bets!$F:$F, A678, Bets!Z:Z), "")</f>
        <v/>
      </c>
      <c r="C678" s="162"/>
      <c r="D678" s="148"/>
      <c r="E678" s="161"/>
      <c r="F678" s="146" t="str">
        <f>IF(E678&lt;&gt;"", SUMIF(Bets!$F:$F, E678, Bets!AB:AB), "")</f>
        <v/>
      </c>
      <c r="G678" s="162"/>
      <c r="H678" s="148"/>
      <c r="I678" s="161"/>
      <c r="J678" s="146" t="str">
        <f>IF(I678&lt;&gt;"", SUMIF(Bets!$F:$F, I678, Bets!AA:AA), "")</f>
        <v/>
      </c>
      <c r="K678" s="162"/>
      <c r="L678" s="148"/>
      <c r="M678" s="161"/>
      <c r="N678" s="146"/>
      <c r="O678" s="162"/>
      <c r="P678" s="148"/>
      <c r="Q678" s="161"/>
      <c r="R678" s="146"/>
      <c r="S678" s="162"/>
      <c r="T678" s="148"/>
      <c r="U678" s="161"/>
      <c r="V678" s="146"/>
      <c r="W678" s="162"/>
      <c r="X678" s="148"/>
      <c r="Y678" s="161"/>
      <c r="Z678" s="146"/>
      <c r="AA678" s="162"/>
      <c r="AB678" s="148"/>
      <c r="AC678" s="161"/>
      <c r="AD678" s="146"/>
      <c r="AE678" s="162"/>
      <c r="AF678" s="148"/>
    </row>
    <row r="679">
      <c r="A679" s="161"/>
      <c r="B679" s="146" t="str">
        <f>IF(A679&lt;&gt;"", SUMIF(Bets!$F:$F, A679, Bets!Z:Z), "")</f>
        <v/>
      </c>
      <c r="C679" s="162"/>
      <c r="D679" s="148"/>
      <c r="E679" s="161"/>
      <c r="F679" s="146" t="str">
        <f>IF(E679&lt;&gt;"", SUMIF(Bets!$F:$F, E679, Bets!AB:AB), "")</f>
        <v/>
      </c>
      <c r="G679" s="162"/>
      <c r="H679" s="148"/>
      <c r="I679" s="161"/>
      <c r="J679" s="146" t="str">
        <f>IF(I679&lt;&gt;"", SUMIF(Bets!$F:$F, I679, Bets!AA:AA), "")</f>
        <v/>
      </c>
      <c r="K679" s="162"/>
      <c r="L679" s="148"/>
      <c r="M679" s="161"/>
      <c r="N679" s="146"/>
      <c r="O679" s="162"/>
      <c r="P679" s="148"/>
      <c r="Q679" s="161"/>
      <c r="R679" s="146"/>
      <c r="S679" s="162"/>
      <c r="T679" s="148"/>
      <c r="U679" s="161"/>
      <c r="V679" s="146"/>
      <c r="W679" s="162"/>
      <c r="X679" s="148"/>
      <c r="Y679" s="161"/>
      <c r="Z679" s="146"/>
      <c r="AA679" s="162"/>
      <c r="AB679" s="148"/>
      <c r="AC679" s="161"/>
      <c r="AD679" s="146"/>
      <c r="AE679" s="162"/>
      <c r="AF679" s="148"/>
    </row>
    <row r="680">
      <c r="A680" s="161"/>
      <c r="B680" s="146" t="str">
        <f>IF(A680&lt;&gt;"", SUMIF(Bets!$F:$F, A680, Bets!Z:Z), "")</f>
        <v/>
      </c>
      <c r="C680" s="162"/>
      <c r="D680" s="148"/>
      <c r="E680" s="161"/>
      <c r="F680" s="146" t="str">
        <f>IF(E680&lt;&gt;"", SUMIF(Bets!$F:$F, E680, Bets!AB:AB), "")</f>
        <v/>
      </c>
      <c r="G680" s="162"/>
      <c r="H680" s="148"/>
      <c r="I680" s="161"/>
      <c r="J680" s="146" t="str">
        <f>IF(I680&lt;&gt;"", SUMIF(Bets!$F:$F, I680, Bets!AA:AA), "")</f>
        <v/>
      </c>
      <c r="K680" s="162"/>
      <c r="L680" s="148"/>
      <c r="M680" s="161"/>
      <c r="N680" s="146"/>
      <c r="O680" s="162"/>
      <c r="P680" s="148"/>
      <c r="Q680" s="161"/>
      <c r="R680" s="146"/>
      <c r="S680" s="162"/>
      <c r="T680" s="148"/>
      <c r="U680" s="161"/>
      <c r="V680" s="146"/>
      <c r="W680" s="162"/>
      <c r="X680" s="148"/>
      <c r="Y680" s="161"/>
      <c r="Z680" s="146"/>
      <c r="AA680" s="162"/>
      <c r="AB680" s="148"/>
      <c r="AC680" s="161"/>
      <c r="AD680" s="146"/>
      <c r="AE680" s="162"/>
      <c r="AF680" s="148"/>
    </row>
    <row r="681">
      <c r="A681" s="161"/>
      <c r="B681" s="146" t="str">
        <f>IF(A681&lt;&gt;"", SUMIF(Bets!$F:$F, A681, Bets!Z:Z), "")</f>
        <v/>
      </c>
      <c r="C681" s="162"/>
      <c r="D681" s="148"/>
      <c r="E681" s="161"/>
      <c r="F681" s="146" t="str">
        <f>IF(E681&lt;&gt;"", SUMIF(Bets!$F:$F, E681, Bets!AB:AB), "")</f>
        <v/>
      </c>
      <c r="G681" s="162"/>
      <c r="H681" s="148"/>
      <c r="I681" s="161"/>
      <c r="J681" s="146" t="str">
        <f>IF(I681&lt;&gt;"", SUMIF(Bets!$F:$F, I681, Bets!AA:AA), "")</f>
        <v/>
      </c>
      <c r="K681" s="162"/>
      <c r="L681" s="148"/>
      <c r="M681" s="161"/>
      <c r="N681" s="146"/>
      <c r="O681" s="162"/>
      <c r="P681" s="148"/>
      <c r="Q681" s="161"/>
      <c r="R681" s="146"/>
      <c r="S681" s="162"/>
      <c r="T681" s="148"/>
      <c r="U681" s="161"/>
      <c r="V681" s="146"/>
      <c r="W681" s="162"/>
      <c r="X681" s="148"/>
      <c r="Y681" s="161"/>
      <c r="Z681" s="146"/>
      <c r="AA681" s="162"/>
      <c r="AB681" s="148"/>
      <c r="AC681" s="161"/>
      <c r="AD681" s="146"/>
      <c r="AE681" s="162"/>
      <c r="AF681" s="148"/>
    </row>
    <row r="682">
      <c r="A682" s="161"/>
      <c r="B682" s="146" t="str">
        <f>IF(A682&lt;&gt;"", SUMIF(Bets!$F:$F, A682, Bets!Z:Z), "")</f>
        <v/>
      </c>
      <c r="C682" s="162"/>
      <c r="D682" s="148"/>
      <c r="E682" s="161"/>
      <c r="F682" s="146" t="str">
        <f>IF(E682&lt;&gt;"", SUMIF(Bets!$F:$F, E682, Bets!AB:AB), "")</f>
        <v/>
      </c>
      <c r="G682" s="162"/>
      <c r="H682" s="148"/>
      <c r="I682" s="161"/>
      <c r="J682" s="146" t="str">
        <f>IF(I682&lt;&gt;"", SUMIF(Bets!$F:$F, I682, Bets!AA:AA), "")</f>
        <v/>
      </c>
      <c r="K682" s="162"/>
      <c r="L682" s="148"/>
      <c r="M682" s="161"/>
      <c r="N682" s="146"/>
      <c r="O682" s="162"/>
      <c r="P682" s="148"/>
      <c r="Q682" s="161"/>
      <c r="R682" s="146"/>
      <c r="S682" s="162"/>
      <c r="T682" s="148"/>
      <c r="U682" s="161"/>
      <c r="V682" s="146"/>
      <c r="W682" s="162"/>
      <c r="X682" s="148"/>
      <c r="Y682" s="161"/>
      <c r="Z682" s="146"/>
      <c r="AA682" s="162"/>
      <c r="AB682" s="148"/>
      <c r="AC682" s="161"/>
      <c r="AD682" s="146"/>
      <c r="AE682" s="162"/>
      <c r="AF682" s="148"/>
    </row>
    <row r="683">
      <c r="A683" s="161"/>
      <c r="B683" s="146" t="str">
        <f>IF(A683&lt;&gt;"", SUMIF(Bets!$F:$F, A683, Bets!Z:Z), "")</f>
        <v/>
      </c>
      <c r="C683" s="162"/>
      <c r="D683" s="148"/>
      <c r="E683" s="161"/>
      <c r="F683" s="146" t="str">
        <f>IF(E683&lt;&gt;"", SUMIF(Bets!$F:$F, E683, Bets!AB:AB), "")</f>
        <v/>
      </c>
      <c r="G683" s="162"/>
      <c r="H683" s="148"/>
      <c r="I683" s="161"/>
      <c r="J683" s="146" t="str">
        <f>IF(I683&lt;&gt;"", SUMIF(Bets!$F:$F, I683, Bets!AA:AA), "")</f>
        <v/>
      </c>
      <c r="K683" s="162"/>
      <c r="L683" s="148"/>
      <c r="M683" s="161"/>
      <c r="N683" s="146"/>
      <c r="O683" s="162"/>
      <c r="P683" s="148"/>
      <c r="Q683" s="161"/>
      <c r="R683" s="146"/>
      <c r="S683" s="162"/>
      <c r="T683" s="148"/>
      <c r="U683" s="161"/>
      <c r="V683" s="146"/>
      <c r="W683" s="162"/>
      <c r="X683" s="148"/>
      <c r="Y683" s="161"/>
      <c r="Z683" s="146"/>
      <c r="AA683" s="162"/>
      <c r="AB683" s="148"/>
      <c r="AC683" s="161"/>
      <c r="AD683" s="146"/>
      <c r="AE683" s="162"/>
      <c r="AF683" s="148"/>
    </row>
    <row r="684">
      <c r="A684" s="161"/>
      <c r="B684" s="146" t="str">
        <f>IF(A684&lt;&gt;"", SUMIF(Bets!$F:$F, A684, Bets!Z:Z), "")</f>
        <v/>
      </c>
      <c r="C684" s="162"/>
      <c r="D684" s="148"/>
      <c r="E684" s="161"/>
      <c r="F684" s="146" t="str">
        <f>IF(E684&lt;&gt;"", SUMIF(Bets!$F:$F, E684, Bets!AB:AB), "")</f>
        <v/>
      </c>
      <c r="G684" s="162"/>
      <c r="H684" s="148"/>
      <c r="I684" s="161"/>
      <c r="J684" s="146" t="str">
        <f>IF(I684&lt;&gt;"", SUMIF(Bets!$F:$F, I684, Bets!AA:AA), "")</f>
        <v/>
      </c>
      <c r="K684" s="162"/>
      <c r="L684" s="148"/>
      <c r="M684" s="161"/>
      <c r="N684" s="146"/>
      <c r="O684" s="162"/>
      <c r="P684" s="148"/>
      <c r="Q684" s="161"/>
      <c r="R684" s="146"/>
      <c r="S684" s="162"/>
      <c r="T684" s="148"/>
      <c r="U684" s="161"/>
      <c r="V684" s="146"/>
      <c r="W684" s="162"/>
      <c r="X684" s="148"/>
      <c r="Y684" s="161"/>
      <c r="Z684" s="146"/>
      <c r="AA684" s="162"/>
      <c r="AB684" s="148"/>
      <c r="AC684" s="161"/>
      <c r="AD684" s="146"/>
      <c r="AE684" s="162"/>
      <c r="AF684" s="148"/>
    </row>
    <row r="685">
      <c r="A685" s="161"/>
      <c r="B685" s="146" t="str">
        <f>IF(A685&lt;&gt;"", SUMIF(Bets!$F:$F, A685, Bets!Z:Z), "")</f>
        <v/>
      </c>
      <c r="C685" s="162"/>
      <c r="D685" s="148"/>
      <c r="E685" s="161"/>
      <c r="F685" s="146" t="str">
        <f>IF(E685&lt;&gt;"", SUMIF(Bets!$F:$F, E685, Bets!AB:AB), "")</f>
        <v/>
      </c>
      <c r="G685" s="162"/>
      <c r="H685" s="148"/>
      <c r="I685" s="161"/>
      <c r="J685" s="146" t="str">
        <f>IF(I685&lt;&gt;"", SUMIF(Bets!$F:$F, I685, Bets!AA:AA), "")</f>
        <v/>
      </c>
      <c r="K685" s="162"/>
      <c r="L685" s="148"/>
      <c r="M685" s="161"/>
      <c r="N685" s="146"/>
      <c r="O685" s="162"/>
      <c r="P685" s="148"/>
      <c r="Q685" s="161"/>
      <c r="R685" s="146"/>
      <c r="S685" s="162"/>
      <c r="T685" s="148"/>
      <c r="U685" s="161"/>
      <c r="V685" s="146"/>
      <c r="W685" s="162"/>
      <c r="X685" s="148"/>
      <c r="Y685" s="161"/>
      <c r="Z685" s="146"/>
      <c r="AA685" s="162"/>
      <c r="AB685" s="148"/>
      <c r="AC685" s="161"/>
      <c r="AD685" s="146"/>
      <c r="AE685" s="162"/>
      <c r="AF685" s="148"/>
    </row>
    <row r="686">
      <c r="A686" s="161"/>
      <c r="B686" s="146" t="str">
        <f>IF(A686&lt;&gt;"", SUMIF(Bets!$F:$F, A686, Bets!Z:Z), "")</f>
        <v/>
      </c>
      <c r="C686" s="162"/>
      <c r="D686" s="148"/>
      <c r="E686" s="161"/>
      <c r="F686" s="146" t="str">
        <f>IF(E686&lt;&gt;"", SUMIF(Bets!$F:$F, E686, Bets!AB:AB), "")</f>
        <v/>
      </c>
      <c r="G686" s="162"/>
      <c r="H686" s="148"/>
      <c r="I686" s="161"/>
      <c r="J686" s="146" t="str">
        <f>IF(I686&lt;&gt;"", SUMIF(Bets!$F:$F, I686, Bets!AA:AA), "")</f>
        <v/>
      </c>
      <c r="K686" s="162"/>
      <c r="L686" s="148"/>
      <c r="M686" s="161"/>
      <c r="N686" s="146"/>
      <c r="O686" s="162"/>
      <c r="P686" s="148"/>
      <c r="Q686" s="161"/>
      <c r="R686" s="146"/>
      <c r="S686" s="162"/>
      <c r="T686" s="148"/>
      <c r="U686" s="161"/>
      <c r="V686" s="146"/>
      <c r="W686" s="162"/>
      <c r="X686" s="148"/>
      <c r="Y686" s="161"/>
      <c r="Z686" s="146"/>
      <c r="AA686" s="162"/>
      <c r="AB686" s="148"/>
      <c r="AC686" s="161"/>
      <c r="AD686" s="146"/>
      <c r="AE686" s="162"/>
      <c r="AF686" s="148"/>
    </row>
    <row r="687">
      <c r="A687" s="161"/>
      <c r="B687" s="146" t="str">
        <f>IF(A687&lt;&gt;"", SUMIF(Bets!$F:$F, A687, Bets!Z:Z), "")</f>
        <v/>
      </c>
      <c r="C687" s="162"/>
      <c r="D687" s="148"/>
      <c r="E687" s="161"/>
      <c r="F687" s="146" t="str">
        <f>IF(E687&lt;&gt;"", SUMIF(Bets!$F:$F, E687, Bets!AB:AB), "")</f>
        <v/>
      </c>
      <c r="G687" s="162"/>
      <c r="H687" s="148"/>
      <c r="I687" s="161"/>
      <c r="J687" s="146" t="str">
        <f>IF(I687&lt;&gt;"", SUMIF(Bets!$F:$F, I687, Bets!AA:AA), "")</f>
        <v/>
      </c>
      <c r="K687" s="162"/>
      <c r="L687" s="148"/>
      <c r="M687" s="161"/>
      <c r="N687" s="146"/>
      <c r="O687" s="162"/>
      <c r="P687" s="148"/>
      <c r="Q687" s="161"/>
      <c r="R687" s="146"/>
      <c r="S687" s="162"/>
      <c r="T687" s="148"/>
      <c r="U687" s="161"/>
      <c r="V687" s="146"/>
      <c r="W687" s="162"/>
      <c r="X687" s="148"/>
      <c r="Y687" s="161"/>
      <c r="Z687" s="146"/>
      <c r="AA687" s="162"/>
      <c r="AB687" s="148"/>
      <c r="AC687" s="161"/>
      <c r="AD687" s="146"/>
      <c r="AE687" s="162"/>
      <c r="AF687" s="148"/>
    </row>
    <row r="688">
      <c r="A688" s="161"/>
      <c r="B688" s="146" t="str">
        <f>IF(A688&lt;&gt;"", SUMIF(Bets!$F:$F, A688, Bets!Z:Z), "")</f>
        <v/>
      </c>
      <c r="C688" s="162"/>
      <c r="D688" s="148"/>
      <c r="E688" s="161"/>
      <c r="F688" s="146" t="str">
        <f>IF(E688&lt;&gt;"", SUMIF(Bets!$F:$F, E688, Bets!AB:AB), "")</f>
        <v/>
      </c>
      <c r="G688" s="162"/>
      <c r="H688" s="148"/>
      <c r="I688" s="161"/>
      <c r="J688" s="146" t="str">
        <f>IF(I688&lt;&gt;"", SUMIF(Bets!$F:$F, I688, Bets!AA:AA), "")</f>
        <v/>
      </c>
      <c r="K688" s="162"/>
      <c r="L688" s="148"/>
      <c r="M688" s="161"/>
      <c r="N688" s="146"/>
      <c r="O688" s="162"/>
      <c r="P688" s="148"/>
      <c r="Q688" s="161"/>
      <c r="R688" s="146"/>
      <c r="S688" s="162"/>
      <c r="T688" s="148"/>
      <c r="U688" s="161"/>
      <c r="V688" s="146"/>
      <c r="W688" s="162"/>
      <c r="X688" s="148"/>
      <c r="Y688" s="161"/>
      <c r="Z688" s="146"/>
      <c r="AA688" s="162"/>
      <c r="AB688" s="148"/>
      <c r="AC688" s="161"/>
      <c r="AD688" s="146"/>
      <c r="AE688" s="162"/>
      <c r="AF688" s="148"/>
    </row>
    <row r="689">
      <c r="A689" s="161"/>
      <c r="B689" s="146" t="str">
        <f>IF(A689&lt;&gt;"", SUMIF(Bets!$F:$F, A689, Bets!Z:Z), "")</f>
        <v/>
      </c>
      <c r="C689" s="162"/>
      <c r="D689" s="148"/>
      <c r="E689" s="161"/>
      <c r="F689" s="146" t="str">
        <f>IF(E689&lt;&gt;"", SUMIF(Bets!$F:$F, E689, Bets!AB:AB), "")</f>
        <v/>
      </c>
      <c r="G689" s="162"/>
      <c r="H689" s="148"/>
      <c r="I689" s="161"/>
      <c r="J689" s="146" t="str">
        <f>IF(I689&lt;&gt;"", SUMIF(Bets!$F:$F, I689, Bets!AA:AA), "")</f>
        <v/>
      </c>
      <c r="K689" s="162"/>
      <c r="L689" s="148"/>
      <c r="M689" s="161"/>
      <c r="N689" s="146"/>
      <c r="O689" s="162"/>
      <c r="P689" s="148"/>
      <c r="Q689" s="161"/>
      <c r="R689" s="146"/>
      <c r="S689" s="162"/>
      <c r="T689" s="148"/>
      <c r="U689" s="161"/>
      <c r="V689" s="146"/>
      <c r="W689" s="162"/>
      <c r="X689" s="148"/>
      <c r="Y689" s="161"/>
      <c r="Z689" s="146"/>
      <c r="AA689" s="162"/>
      <c r="AB689" s="148"/>
      <c r="AC689" s="161"/>
      <c r="AD689" s="146"/>
      <c r="AE689" s="162"/>
      <c r="AF689" s="148"/>
    </row>
    <row r="690">
      <c r="A690" s="161"/>
      <c r="B690" s="146" t="str">
        <f>IF(A690&lt;&gt;"", SUMIF(Bets!$F:$F, A690, Bets!Z:Z), "")</f>
        <v/>
      </c>
      <c r="C690" s="162"/>
      <c r="D690" s="148"/>
      <c r="E690" s="161"/>
      <c r="F690" s="146" t="str">
        <f>IF(E690&lt;&gt;"", SUMIF(Bets!$F:$F, E690, Bets!AB:AB), "")</f>
        <v/>
      </c>
      <c r="G690" s="162"/>
      <c r="H690" s="148"/>
      <c r="I690" s="161"/>
      <c r="J690" s="146" t="str">
        <f>IF(I690&lt;&gt;"", SUMIF(Bets!$F:$F, I690, Bets!AA:AA), "")</f>
        <v/>
      </c>
      <c r="K690" s="162"/>
      <c r="L690" s="148"/>
      <c r="M690" s="161"/>
      <c r="N690" s="146"/>
      <c r="O690" s="162"/>
      <c r="P690" s="148"/>
      <c r="Q690" s="161"/>
      <c r="R690" s="146"/>
      <c r="S690" s="162"/>
      <c r="T690" s="148"/>
      <c r="U690" s="161"/>
      <c r="V690" s="146"/>
      <c r="W690" s="162"/>
      <c r="X690" s="148"/>
      <c r="Y690" s="161"/>
      <c r="Z690" s="146"/>
      <c r="AA690" s="162"/>
      <c r="AB690" s="148"/>
      <c r="AC690" s="161"/>
      <c r="AD690" s="146"/>
      <c r="AE690" s="162"/>
      <c r="AF690" s="148"/>
    </row>
    <row r="691">
      <c r="A691" s="161"/>
      <c r="B691" s="146" t="str">
        <f>IF(A691&lt;&gt;"", SUMIF(Bets!$F:$F, A691, Bets!Z:Z), "")</f>
        <v/>
      </c>
      <c r="C691" s="162"/>
      <c r="D691" s="148"/>
      <c r="E691" s="161"/>
      <c r="F691" s="146" t="str">
        <f>IF(E691&lt;&gt;"", SUMIF(Bets!$F:$F, E691, Bets!AB:AB), "")</f>
        <v/>
      </c>
      <c r="G691" s="162"/>
      <c r="H691" s="148"/>
      <c r="I691" s="161"/>
      <c r="J691" s="146" t="str">
        <f>IF(I691&lt;&gt;"", SUMIF(Bets!$F:$F, I691, Bets!AA:AA), "")</f>
        <v/>
      </c>
      <c r="K691" s="162"/>
      <c r="L691" s="148"/>
      <c r="M691" s="161"/>
      <c r="N691" s="146"/>
      <c r="O691" s="162"/>
      <c r="P691" s="148"/>
      <c r="Q691" s="161"/>
      <c r="R691" s="146"/>
      <c r="S691" s="162"/>
      <c r="T691" s="148"/>
      <c r="U691" s="161"/>
      <c r="V691" s="146"/>
      <c r="W691" s="162"/>
      <c r="X691" s="148"/>
      <c r="Y691" s="161"/>
      <c r="Z691" s="146"/>
      <c r="AA691" s="162"/>
      <c r="AB691" s="148"/>
      <c r="AC691" s="161"/>
      <c r="AD691" s="146"/>
      <c r="AE691" s="162"/>
      <c r="AF691" s="148"/>
    </row>
    <row r="692">
      <c r="A692" s="161"/>
      <c r="B692" s="146" t="str">
        <f>IF(A692&lt;&gt;"", SUMIF(Bets!$F:$F, A692, Bets!Z:Z), "")</f>
        <v/>
      </c>
      <c r="C692" s="162"/>
      <c r="D692" s="148"/>
      <c r="E692" s="161"/>
      <c r="F692" s="146" t="str">
        <f>IF(E692&lt;&gt;"", SUMIF(Bets!$F:$F, E692, Bets!AB:AB), "")</f>
        <v/>
      </c>
      <c r="G692" s="162"/>
      <c r="H692" s="148"/>
      <c r="I692" s="161"/>
      <c r="J692" s="146" t="str">
        <f>IF(I692&lt;&gt;"", SUMIF(Bets!$F:$F, I692, Bets!AA:AA), "")</f>
        <v/>
      </c>
      <c r="K692" s="162"/>
      <c r="L692" s="148"/>
      <c r="M692" s="161"/>
      <c r="N692" s="146"/>
      <c r="O692" s="162"/>
      <c r="P692" s="148"/>
      <c r="Q692" s="161"/>
      <c r="R692" s="146"/>
      <c r="S692" s="162"/>
      <c r="T692" s="148"/>
      <c r="U692" s="161"/>
      <c r="V692" s="146"/>
      <c r="W692" s="162"/>
      <c r="X692" s="148"/>
      <c r="Y692" s="161"/>
      <c r="Z692" s="146"/>
      <c r="AA692" s="162"/>
      <c r="AB692" s="148"/>
      <c r="AC692" s="161"/>
      <c r="AD692" s="146"/>
      <c r="AE692" s="162"/>
      <c r="AF692" s="148"/>
    </row>
    <row r="693">
      <c r="A693" s="161"/>
      <c r="B693" s="146" t="str">
        <f>IF(A693&lt;&gt;"", SUMIF(Bets!$F:$F, A693, Bets!Z:Z), "")</f>
        <v/>
      </c>
      <c r="C693" s="162"/>
      <c r="D693" s="148"/>
      <c r="E693" s="161"/>
      <c r="F693" s="146" t="str">
        <f>IF(E693&lt;&gt;"", SUMIF(Bets!$F:$F, E693, Bets!AB:AB), "")</f>
        <v/>
      </c>
      <c r="G693" s="162"/>
      <c r="H693" s="148"/>
      <c r="I693" s="161"/>
      <c r="J693" s="146" t="str">
        <f>IF(I693&lt;&gt;"", SUMIF(Bets!$F:$F, I693, Bets!AA:AA), "")</f>
        <v/>
      </c>
      <c r="K693" s="162"/>
      <c r="L693" s="148"/>
      <c r="M693" s="161"/>
      <c r="N693" s="146"/>
      <c r="O693" s="162"/>
      <c r="P693" s="148"/>
      <c r="Q693" s="161"/>
      <c r="R693" s="146"/>
      <c r="S693" s="162"/>
      <c r="T693" s="148"/>
      <c r="U693" s="161"/>
      <c r="V693" s="146"/>
      <c r="W693" s="162"/>
      <c r="X693" s="148"/>
      <c r="Y693" s="161"/>
      <c r="Z693" s="146"/>
      <c r="AA693" s="162"/>
      <c r="AB693" s="148"/>
      <c r="AC693" s="161"/>
      <c r="AD693" s="146"/>
      <c r="AE693" s="162"/>
      <c r="AF693" s="148"/>
    </row>
    <row r="694">
      <c r="A694" s="161"/>
      <c r="B694" s="146" t="str">
        <f>IF(A694&lt;&gt;"", SUMIF(Bets!$F:$F, A694, Bets!Z:Z), "")</f>
        <v/>
      </c>
      <c r="C694" s="162"/>
      <c r="D694" s="148"/>
      <c r="E694" s="161"/>
      <c r="F694" s="146" t="str">
        <f>IF(E694&lt;&gt;"", SUMIF(Bets!$F:$F, E694, Bets!AB:AB), "")</f>
        <v/>
      </c>
      <c r="G694" s="162"/>
      <c r="H694" s="148"/>
      <c r="I694" s="161"/>
      <c r="J694" s="146" t="str">
        <f>IF(I694&lt;&gt;"", SUMIF(Bets!$F:$F, I694, Bets!AA:AA), "")</f>
        <v/>
      </c>
      <c r="K694" s="162"/>
      <c r="L694" s="148"/>
      <c r="M694" s="161"/>
      <c r="N694" s="146"/>
      <c r="O694" s="162"/>
      <c r="P694" s="148"/>
      <c r="Q694" s="161"/>
      <c r="R694" s="146"/>
      <c r="S694" s="162"/>
      <c r="T694" s="148"/>
      <c r="U694" s="161"/>
      <c r="V694" s="146"/>
      <c r="W694" s="162"/>
      <c r="X694" s="148"/>
      <c r="Y694" s="161"/>
      <c r="Z694" s="146"/>
      <c r="AA694" s="162"/>
      <c r="AB694" s="148"/>
      <c r="AC694" s="161"/>
      <c r="AD694" s="146"/>
      <c r="AE694" s="162"/>
      <c r="AF694" s="148"/>
    </row>
    <row r="695">
      <c r="A695" s="161"/>
      <c r="B695" s="146" t="str">
        <f>IF(A695&lt;&gt;"", SUMIF(Bets!$F:$F, A695, Bets!Z:Z), "")</f>
        <v/>
      </c>
      <c r="C695" s="162"/>
      <c r="D695" s="148"/>
      <c r="E695" s="161"/>
      <c r="F695" s="146" t="str">
        <f>IF(E695&lt;&gt;"", SUMIF(Bets!$F:$F, E695, Bets!AB:AB), "")</f>
        <v/>
      </c>
      <c r="G695" s="162"/>
      <c r="H695" s="148"/>
      <c r="I695" s="161"/>
      <c r="J695" s="146" t="str">
        <f>IF(I695&lt;&gt;"", SUMIF(Bets!$F:$F, I695, Bets!AA:AA), "")</f>
        <v/>
      </c>
      <c r="K695" s="162"/>
      <c r="L695" s="148"/>
      <c r="M695" s="161"/>
      <c r="N695" s="146"/>
      <c r="O695" s="162"/>
      <c r="P695" s="148"/>
      <c r="Q695" s="161"/>
      <c r="R695" s="146"/>
      <c r="S695" s="162"/>
      <c r="T695" s="148"/>
      <c r="U695" s="161"/>
      <c r="V695" s="146"/>
      <c r="W695" s="162"/>
      <c r="X695" s="148"/>
      <c r="Y695" s="161"/>
      <c r="Z695" s="146"/>
      <c r="AA695" s="162"/>
      <c r="AB695" s="148"/>
      <c r="AC695" s="161"/>
      <c r="AD695" s="146"/>
      <c r="AE695" s="162"/>
      <c r="AF695" s="148"/>
    </row>
    <row r="696">
      <c r="A696" s="161"/>
      <c r="B696" s="146" t="str">
        <f>IF(A696&lt;&gt;"", SUMIF(Bets!$F:$F, A696, Bets!Z:Z), "")</f>
        <v/>
      </c>
      <c r="C696" s="162"/>
      <c r="D696" s="148"/>
      <c r="E696" s="161"/>
      <c r="F696" s="146" t="str">
        <f>IF(E696&lt;&gt;"", SUMIF(Bets!$F:$F, E696, Bets!AB:AB), "")</f>
        <v/>
      </c>
      <c r="G696" s="162"/>
      <c r="H696" s="148"/>
      <c r="I696" s="161"/>
      <c r="J696" s="146" t="str">
        <f>IF(I696&lt;&gt;"", SUMIF(Bets!$F:$F, I696, Bets!AA:AA), "")</f>
        <v/>
      </c>
      <c r="K696" s="162"/>
      <c r="L696" s="148"/>
      <c r="M696" s="161"/>
      <c r="N696" s="146"/>
      <c r="O696" s="162"/>
      <c r="P696" s="148"/>
      <c r="Q696" s="161"/>
      <c r="R696" s="146"/>
      <c r="S696" s="162"/>
      <c r="T696" s="148"/>
      <c r="U696" s="161"/>
      <c r="V696" s="146"/>
      <c r="W696" s="162"/>
      <c r="X696" s="148"/>
      <c r="Y696" s="161"/>
      <c r="Z696" s="146"/>
      <c r="AA696" s="162"/>
      <c r="AB696" s="148"/>
      <c r="AC696" s="161"/>
      <c r="AD696" s="146"/>
      <c r="AE696" s="162"/>
      <c r="AF696" s="148"/>
    </row>
    <row r="697">
      <c r="A697" s="161"/>
      <c r="B697" s="146" t="str">
        <f>IF(A697&lt;&gt;"", SUMIF(Bets!$F:$F, A697, Bets!Z:Z), "")</f>
        <v/>
      </c>
      <c r="C697" s="162"/>
      <c r="D697" s="148"/>
      <c r="E697" s="161"/>
      <c r="F697" s="146" t="str">
        <f>IF(E697&lt;&gt;"", SUMIF(Bets!$F:$F, E697, Bets!AB:AB), "")</f>
        <v/>
      </c>
      <c r="G697" s="162"/>
      <c r="H697" s="148"/>
      <c r="I697" s="161"/>
      <c r="J697" s="146" t="str">
        <f>IF(I697&lt;&gt;"", SUMIF(Bets!$F:$F, I697, Bets!AA:AA), "")</f>
        <v/>
      </c>
      <c r="K697" s="162"/>
      <c r="L697" s="148"/>
      <c r="M697" s="161"/>
      <c r="N697" s="146"/>
      <c r="O697" s="162"/>
      <c r="P697" s="148"/>
      <c r="Q697" s="161"/>
      <c r="R697" s="146"/>
      <c r="S697" s="162"/>
      <c r="T697" s="148"/>
      <c r="U697" s="161"/>
      <c r="V697" s="146"/>
      <c r="W697" s="162"/>
      <c r="X697" s="148"/>
      <c r="Y697" s="161"/>
      <c r="Z697" s="146"/>
      <c r="AA697" s="162"/>
      <c r="AB697" s="148"/>
      <c r="AC697" s="161"/>
      <c r="AD697" s="146"/>
      <c r="AE697" s="162"/>
      <c r="AF697" s="148"/>
    </row>
    <row r="698">
      <c r="A698" s="161"/>
      <c r="B698" s="146" t="str">
        <f>IF(A698&lt;&gt;"", SUMIF(Bets!$F:$F, A698, Bets!Z:Z), "")</f>
        <v/>
      </c>
      <c r="C698" s="162"/>
      <c r="D698" s="148"/>
      <c r="E698" s="161"/>
      <c r="F698" s="146" t="str">
        <f>IF(E698&lt;&gt;"", SUMIF(Bets!$F:$F, E698, Bets!AB:AB), "")</f>
        <v/>
      </c>
      <c r="G698" s="162"/>
      <c r="H698" s="148"/>
      <c r="I698" s="161"/>
      <c r="J698" s="146" t="str">
        <f>IF(I698&lt;&gt;"", SUMIF(Bets!$F:$F, I698, Bets!AA:AA), "")</f>
        <v/>
      </c>
      <c r="K698" s="162"/>
      <c r="L698" s="148"/>
      <c r="M698" s="161"/>
      <c r="N698" s="146"/>
      <c r="O698" s="162"/>
      <c r="P698" s="148"/>
      <c r="Q698" s="161"/>
      <c r="R698" s="146"/>
      <c r="S698" s="162"/>
      <c r="T698" s="148"/>
      <c r="U698" s="161"/>
      <c r="V698" s="146"/>
      <c r="W698" s="162"/>
      <c r="X698" s="148"/>
      <c r="Y698" s="161"/>
      <c r="Z698" s="146"/>
      <c r="AA698" s="162"/>
      <c r="AB698" s="148"/>
      <c r="AC698" s="161"/>
      <c r="AD698" s="146"/>
      <c r="AE698" s="162"/>
      <c r="AF698" s="148"/>
    </row>
    <row r="699">
      <c r="A699" s="161"/>
      <c r="B699" s="146" t="str">
        <f>IF(A699&lt;&gt;"", SUMIF(Bets!$F:$F, A699, Bets!Z:Z), "")</f>
        <v/>
      </c>
      <c r="C699" s="162"/>
      <c r="D699" s="148"/>
      <c r="E699" s="161"/>
      <c r="F699" s="146" t="str">
        <f>IF(E699&lt;&gt;"", SUMIF(Bets!$F:$F, E699, Bets!AB:AB), "")</f>
        <v/>
      </c>
      <c r="G699" s="162"/>
      <c r="H699" s="148"/>
      <c r="I699" s="161"/>
      <c r="J699" s="146" t="str">
        <f>IF(I699&lt;&gt;"", SUMIF(Bets!$F:$F, I699, Bets!AA:AA), "")</f>
        <v/>
      </c>
      <c r="K699" s="162"/>
      <c r="L699" s="148"/>
      <c r="M699" s="161"/>
      <c r="N699" s="146"/>
      <c r="O699" s="162"/>
      <c r="P699" s="148"/>
      <c r="Q699" s="161"/>
      <c r="R699" s="146"/>
      <c r="S699" s="162"/>
      <c r="T699" s="148"/>
      <c r="U699" s="161"/>
      <c r="V699" s="146"/>
      <c r="W699" s="162"/>
      <c r="X699" s="148"/>
      <c r="Y699" s="161"/>
      <c r="Z699" s="146"/>
      <c r="AA699" s="162"/>
      <c r="AB699" s="148"/>
      <c r="AC699" s="161"/>
      <c r="AD699" s="146"/>
      <c r="AE699" s="162"/>
      <c r="AF699" s="148"/>
    </row>
    <row r="700">
      <c r="A700" s="161"/>
      <c r="B700" s="146" t="str">
        <f>IF(A700&lt;&gt;"", SUMIF(Bets!$F:$F, A700, Bets!Z:Z), "")</f>
        <v/>
      </c>
      <c r="C700" s="162"/>
      <c r="D700" s="148"/>
      <c r="E700" s="161"/>
      <c r="F700" s="146" t="str">
        <f>IF(E700&lt;&gt;"", SUMIF(Bets!$F:$F, E700, Bets!AB:AB), "")</f>
        <v/>
      </c>
      <c r="G700" s="162"/>
      <c r="H700" s="148"/>
      <c r="I700" s="161"/>
      <c r="J700" s="146" t="str">
        <f>IF(I700&lt;&gt;"", SUMIF(Bets!$F:$F, I700, Bets!AA:AA), "")</f>
        <v/>
      </c>
      <c r="K700" s="162"/>
      <c r="L700" s="148"/>
      <c r="M700" s="161"/>
      <c r="N700" s="146"/>
      <c r="O700" s="162"/>
      <c r="P700" s="148"/>
      <c r="Q700" s="161"/>
      <c r="R700" s="146"/>
      <c r="S700" s="162"/>
      <c r="T700" s="148"/>
      <c r="U700" s="161"/>
      <c r="V700" s="146"/>
      <c r="W700" s="162"/>
      <c r="X700" s="148"/>
      <c r="Y700" s="161"/>
      <c r="Z700" s="146"/>
      <c r="AA700" s="162"/>
      <c r="AB700" s="148"/>
      <c r="AC700" s="161"/>
      <c r="AD700" s="146"/>
      <c r="AE700" s="162"/>
      <c r="AF700" s="148"/>
    </row>
    <row r="701">
      <c r="A701" s="161"/>
      <c r="B701" s="146" t="str">
        <f>IF(A701&lt;&gt;"", SUMIF(Bets!$F:$F, A701, Bets!Z:Z), "")</f>
        <v/>
      </c>
      <c r="C701" s="162"/>
      <c r="D701" s="148"/>
      <c r="E701" s="161"/>
      <c r="F701" s="146" t="str">
        <f>IF(E701&lt;&gt;"", SUMIF(Bets!$F:$F, E701, Bets!AB:AB), "")</f>
        <v/>
      </c>
      <c r="G701" s="162"/>
      <c r="H701" s="148"/>
      <c r="I701" s="161"/>
      <c r="J701" s="146" t="str">
        <f>IF(I701&lt;&gt;"", SUMIF(Bets!$F:$F, I701, Bets!AA:AA), "")</f>
        <v/>
      </c>
      <c r="K701" s="162"/>
      <c r="L701" s="148"/>
      <c r="M701" s="161"/>
      <c r="N701" s="146"/>
      <c r="O701" s="162"/>
      <c r="P701" s="148"/>
      <c r="Q701" s="161"/>
      <c r="R701" s="146"/>
      <c r="S701" s="162"/>
      <c r="T701" s="148"/>
      <c r="U701" s="161"/>
      <c r="V701" s="146"/>
      <c r="W701" s="162"/>
      <c r="X701" s="148"/>
      <c r="Y701" s="161"/>
      <c r="Z701" s="146"/>
      <c r="AA701" s="162"/>
      <c r="AB701" s="148"/>
      <c r="AC701" s="161"/>
      <c r="AD701" s="146"/>
      <c r="AE701" s="162"/>
      <c r="AF701" s="148"/>
    </row>
    <row r="702">
      <c r="A702" s="161"/>
      <c r="B702" s="146" t="str">
        <f>IF(A702&lt;&gt;"", SUMIF(Bets!$F:$F, A702, Bets!Z:Z), "")</f>
        <v/>
      </c>
      <c r="C702" s="162"/>
      <c r="D702" s="148"/>
      <c r="E702" s="161"/>
      <c r="F702" s="146" t="str">
        <f>IF(E702&lt;&gt;"", SUMIF(Bets!$F:$F, E702, Bets!AB:AB), "")</f>
        <v/>
      </c>
      <c r="G702" s="162"/>
      <c r="H702" s="148"/>
      <c r="I702" s="161"/>
      <c r="J702" s="146" t="str">
        <f>IF(I702&lt;&gt;"", SUMIF(Bets!$F:$F, I702, Bets!AA:AA), "")</f>
        <v/>
      </c>
      <c r="K702" s="162"/>
      <c r="L702" s="148"/>
      <c r="M702" s="161"/>
      <c r="N702" s="146"/>
      <c r="O702" s="162"/>
      <c r="P702" s="148"/>
      <c r="Q702" s="161"/>
      <c r="R702" s="146"/>
      <c r="S702" s="162"/>
      <c r="T702" s="148"/>
      <c r="U702" s="161"/>
      <c r="V702" s="146"/>
      <c r="W702" s="162"/>
      <c r="X702" s="148"/>
      <c r="Y702" s="161"/>
      <c r="Z702" s="146"/>
      <c r="AA702" s="162"/>
      <c r="AB702" s="148"/>
      <c r="AC702" s="161"/>
      <c r="AD702" s="146"/>
      <c r="AE702" s="162"/>
      <c r="AF702" s="148"/>
    </row>
    <row r="703">
      <c r="A703" s="161"/>
      <c r="B703" s="146" t="str">
        <f>IF(A703&lt;&gt;"", SUMIF(Bets!$F:$F, A703, Bets!Z:Z), "")</f>
        <v/>
      </c>
      <c r="C703" s="162"/>
      <c r="D703" s="148"/>
      <c r="E703" s="161"/>
      <c r="F703" s="146" t="str">
        <f>IF(E703&lt;&gt;"", SUMIF(Bets!$F:$F, E703, Bets!AB:AB), "")</f>
        <v/>
      </c>
      <c r="G703" s="162"/>
      <c r="H703" s="148"/>
      <c r="I703" s="161"/>
      <c r="J703" s="146" t="str">
        <f>IF(I703&lt;&gt;"", SUMIF(Bets!$F:$F, I703, Bets!AA:AA), "")</f>
        <v/>
      </c>
      <c r="K703" s="162"/>
      <c r="L703" s="148"/>
      <c r="M703" s="161"/>
      <c r="N703" s="146"/>
      <c r="O703" s="162"/>
      <c r="P703" s="148"/>
      <c r="Q703" s="161"/>
      <c r="R703" s="146"/>
      <c r="S703" s="162"/>
      <c r="T703" s="148"/>
      <c r="U703" s="161"/>
      <c r="V703" s="146"/>
      <c r="W703" s="162"/>
      <c r="X703" s="148"/>
      <c r="Y703" s="161"/>
      <c r="Z703" s="146"/>
      <c r="AA703" s="162"/>
      <c r="AB703" s="148"/>
      <c r="AC703" s="161"/>
      <c r="AD703" s="146"/>
      <c r="AE703" s="162"/>
      <c r="AF703" s="148"/>
    </row>
    <row r="704">
      <c r="A704" s="161"/>
      <c r="B704" s="146" t="str">
        <f>IF(A704&lt;&gt;"", SUMIF(Bets!$F:$F, A704, Bets!Z:Z), "")</f>
        <v/>
      </c>
      <c r="C704" s="162"/>
      <c r="D704" s="148"/>
      <c r="E704" s="161"/>
      <c r="F704" s="146" t="str">
        <f>IF(E704&lt;&gt;"", SUMIF(Bets!$F:$F, E704, Bets!AB:AB), "")</f>
        <v/>
      </c>
      <c r="G704" s="162"/>
      <c r="H704" s="148"/>
      <c r="I704" s="161"/>
      <c r="J704" s="146" t="str">
        <f>IF(I704&lt;&gt;"", SUMIF(Bets!$F:$F, I704, Bets!AA:AA), "")</f>
        <v/>
      </c>
      <c r="K704" s="162"/>
      <c r="L704" s="148"/>
      <c r="M704" s="161"/>
      <c r="N704" s="146"/>
      <c r="O704" s="162"/>
      <c r="P704" s="148"/>
      <c r="Q704" s="161"/>
      <c r="R704" s="146"/>
      <c r="S704" s="162"/>
      <c r="T704" s="148"/>
      <c r="U704" s="161"/>
      <c r="V704" s="146"/>
      <c r="W704" s="162"/>
      <c r="X704" s="148"/>
      <c r="Y704" s="161"/>
      <c r="Z704" s="146"/>
      <c r="AA704" s="162"/>
      <c r="AB704" s="148"/>
      <c r="AC704" s="161"/>
      <c r="AD704" s="146"/>
      <c r="AE704" s="162"/>
      <c r="AF704" s="148"/>
    </row>
    <row r="705">
      <c r="A705" s="161"/>
      <c r="B705" s="146" t="str">
        <f>IF(A705&lt;&gt;"", SUMIF(Bets!$F:$F, A705, Bets!Z:Z), "")</f>
        <v/>
      </c>
      <c r="C705" s="162"/>
      <c r="D705" s="148"/>
      <c r="E705" s="161"/>
      <c r="F705" s="146" t="str">
        <f>IF(E705&lt;&gt;"", SUMIF(Bets!$F:$F, E705, Bets!AB:AB), "")</f>
        <v/>
      </c>
      <c r="G705" s="162"/>
      <c r="H705" s="148"/>
      <c r="I705" s="161"/>
      <c r="J705" s="146" t="str">
        <f>IF(I705&lt;&gt;"", SUMIF(Bets!$F:$F, I705, Bets!AA:AA), "")</f>
        <v/>
      </c>
      <c r="K705" s="162"/>
      <c r="L705" s="148"/>
      <c r="M705" s="161"/>
      <c r="N705" s="146"/>
      <c r="O705" s="162"/>
      <c r="P705" s="148"/>
      <c r="Q705" s="161"/>
      <c r="R705" s="146"/>
      <c r="S705" s="162"/>
      <c r="T705" s="148"/>
      <c r="U705" s="161"/>
      <c r="V705" s="146"/>
      <c r="W705" s="162"/>
      <c r="X705" s="148"/>
      <c r="Y705" s="161"/>
      <c r="Z705" s="146"/>
      <c r="AA705" s="162"/>
      <c r="AB705" s="148"/>
      <c r="AC705" s="161"/>
      <c r="AD705" s="146"/>
      <c r="AE705" s="162"/>
      <c r="AF705" s="148"/>
    </row>
    <row r="706">
      <c r="A706" s="161"/>
      <c r="B706" s="146" t="str">
        <f>IF(A706&lt;&gt;"", SUMIF(Bets!$F:$F, A706, Bets!Z:Z), "")</f>
        <v/>
      </c>
      <c r="C706" s="162"/>
      <c r="D706" s="148"/>
      <c r="E706" s="161"/>
      <c r="F706" s="146" t="str">
        <f>IF(E706&lt;&gt;"", SUMIF(Bets!$F:$F, E706, Bets!AB:AB), "")</f>
        <v/>
      </c>
      <c r="G706" s="162"/>
      <c r="H706" s="148"/>
      <c r="I706" s="161"/>
      <c r="J706" s="146" t="str">
        <f>IF(I706&lt;&gt;"", SUMIF(Bets!$F:$F, I706, Bets!AA:AA), "")</f>
        <v/>
      </c>
      <c r="K706" s="162"/>
      <c r="L706" s="148"/>
      <c r="M706" s="161"/>
      <c r="N706" s="146"/>
      <c r="O706" s="162"/>
      <c r="P706" s="148"/>
      <c r="Q706" s="161"/>
      <c r="R706" s="146"/>
      <c r="S706" s="162"/>
      <c r="T706" s="148"/>
      <c r="U706" s="161"/>
      <c r="V706" s="146"/>
      <c r="W706" s="162"/>
      <c r="X706" s="148"/>
      <c r="Y706" s="161"/>
      <c r="Z706" s="146"/>
      <c r="AA706" s="162"/>
      <c r="AB706" s="148"/>
      <c r="AC706" s="161"/>
      <c r="AD706" s="146"/>
      <c r="AE706" s="162"/>
      <c r="AF706" s="148"/>
    </row>
    <row r="707">
      <c r="A707" s="161"/>
      <c r="B707" s="146" t="str">
        <f>IF(A707&lt;&gt;"", SUMIF(Bets!$F:$F, A707, Bets!Z:Z), "")</f>
        <v/>
      </c>
      <c r="C707" s="162"/>
      <c r="D707" s="148"/>
      <c r="E707" s="161"/>
      <c r="F707" s="146" t="str">
        <f>IF(E707&lt;&gt;"", SUMIF(Bets!$F:$F, E707, Bets!AB:AB), "")</f>
        <v/>
      </c>
      <c r="G707" s="162"/>
      <c r="H707" s="148"/>
      <c r="I707" s="161"/>
      <c r="J707" s="146" t="str">
        <f>IF(I707&lt;&gt;"", SUMIF(Bets!$F:$F, I707, Bets!AA:AA), "")</f>
        <v/>
      </c>
      <c r="K707" s="162"/>
      <c r="L707" s="148"/>
      <c r="M707" s="161"/>
      <c r="N707" s="146"/>
      <c r="O707" s="162"/>
      <c r="P707" s="148"/>
      <c r="Q707" s="161"/>
      <c r="R707" s="146"/>
      <c r="S707" s="162"/>
      <c r="T707" s="148"/>
      <c r="U707" s="161"/>
      <c r="V707" s="146"/>
      <c r="W707" s="162"/>
      <c r="X707" s="148"/>
      <c r="Y707" s="161"/>
      <c r="Z707" s="146"/>
      <c r="AA707" s="162"/>
      <c r="AB707" s="148"/>
      <c r="AC707" s="161"/>
      <c r="AD707" s="146"/>
      <c r="AE707" s="162"/>
      <c r="AF707" s="148"/>
    </row>
    <row r="708">
      <c r="A708" s="161"/>
      <c r="B708" s="146" t="str">
        <f>IF(A708&lt;&gt;"", SUMIF(Bets!$F:$F, A708, Bets!Z:Z), "")</f>
        <v/>
      </c>
      <c r="C708" s="162"/>
      <c r="D708" s="148"/>
      <c r="E708" s="161"/>
      <c r="F708" s="146" t="str">
        <f>IF(E708&lt;&gt;"", SUMIF(Bets!$F:$F, E708, Bets!AB:AB), "")</f>
        <v/>
      </c>
      <c r="G708" s="162"/>
      <c r="H708" s="148"/>
      <c r="I708" s="161"/>
      <c r="J708" s="146" t="str">
        <f>IF(I708&lt;&gt;"", SUMIF(Bets!$F:$F, I708, Bets!AA:AA), "")</f>
        <v/>
      </c>
      <c r="K708" s="162"/>
      <c r="L708" s="148"/>
      <c r="M708" s="161"/>
      <c r="N708" s="146"/>
      <c r="O708" s="162"/>
      <c r="P708" s="148"/>
      <c r="Q708" s="161"/>
      <c r="R708" s="146"/>
      <c r="S708" s="162"/>
      <c r="T708" s="148"/>
      <c r="U708" s="161"/>
      <c r="V708" s="146"/>
      <c r="W708" s="162"/>
      <c r="X708" s="148"/>
      <c r="Y708" s="161"/>
      <c r="Z708" s="146"/>
      <c r="AA708" s="162"/>
      <c r="AB708" s="148"/>
      <c r="AC708" s="161"/>
      <c r="AD708" s="146"/>
      <c r="AE708" s="162"/>
      <c r="AF708" s="148"/>
    </row>
    <row r="709">
      <c r="A709" s="161"/>
      <c r="B709" s="146" t="str">
        <f>IF(A709&lt;&gt;"", SUMIF(Bets!$F:$F, A709, Bets!Z:Z), "")</f>
        <v/>
      </c>
      <c r="C709" s="162"/>
      <c r="D709" s="148"/>
      <c r="E709" s="161"/>
      <c r="F709" s="146" t="str">
        <f>IF(E709&lt;&gt;"", SUMIF(Bets!$F:$F, E709, Bets!AB:AB), "")</f>
        <v/>
      </c>
      <c r="G709" s="162"/>
      <c r="H709" s="148"/>
      <c r="I709" s="161"/>
      <c r="J709" s="146" t="str">
        <f>IF(I709&lt;&gt;"", SUMIF(Bets!$F:$F, I709, Bets!AA:AA), "")</f>
        <v/>
      </c>
      <c r="K709" s="162"/>
      <c r="L709" s="148"/>
      <c r="M709" s="161"/>
      <c r="N709" s="146"/>
      <c r="O709" s="162"/>
      <c r="P709" s="148"/>
      <c r="Q709" s="161"/>
      <c r="R709" s="146"/>
      <c r="S709" s="162"/>
      <c r="T709" s="148"/>
      <c r="U709" s="161"/>
      <c r="V709" s="146"/>
      <c r="W709" s="162"/>
      <c r="X709" s="148"/>
      <c r="Y709" s="161"/>
      <c r="Z709" s="146"/>
      <c r="AA709" s="162"/>
      <c r="AB709" s="148"/>
      <c r="AC709" s="161"/>
      <c r="AD709" s="146"/>
      <c r="AE709" s="162"/>
      <c r="AF709" s="148"/>
    </row>
    <row r="710">
      <c r="A710" s="161"/>
      <c r="B710" s="146" t="str">
        <f>IF(A710&lt;&gt;"", SUMIF(Bets!$F:$F, A710, Bets!Z:Z), "")</f>
        <v/>
      </c>
      <c r="C710" s="162"/>
      <c r="D710" s="148"/>
      <c r="E710" s="161"/>
      <c r="F710" s="146" t="str">
        <f>IF(E710&lt;&gt;"", SUMIF(Bets!$F:$F, E710, Bets!AB:AB), "")</f>
        <v/>
      </c>
      <c r="G710" s="162"/>
      <c r="H710" s="148"/>
      <c r="I710" s="161"/>
      <c r="J710" s="146" t="str">
        <f>IF(I710&lt;&gt;"", SUMIF(Bets!$F:$F, I710, Bets!AA:AA), "")</f>
        <v/>
      </c>
      <c r="K710" s="162"/>
      <c r="L710" s="148"/>
      <c r="M710" s="161"/>
      <c r="N710" s="146"/>
      <c r="O710" s="162"/>
      <c r="P710" s="148"/>
      <c r="Q710" s="161"/>
      <c r="R710" s="146"/>
      <c r="S710" s="162"/>
      <c r="T710" s="148"/>
      <c r="U710" s="161"/>
      <c r="V710" s="146"/>
      <c r="W710" s="162"/>
      <c r="X710" s="148"/>
      <c r="Y710" s="161"/>
      <c r="Z710" s="146"/>
      <c r="AA710" s="162"/>
      <c r="AB710" s="148"/>
      <c r="AC710" s="161"/>
      <c r="AD710" s="146"/>
      <c r="AE710" s="162"/>
      <c r="AF710" s="148"/>
    </row>
    <row r="711">
      <c r="A711" s="161"/>
      <c r="B711" s="146" t="str">
        <f>IF(A711&lt;&gt;"", SUMIF(Bets!$F:$F, A711, Bets!Z:Z), "")</f>
        <v/>
      </c>
      <c r="C711" s="162"/>
      <c r="D711" s="148"/>
      <c r="E711" s="161"/>
      <c r="F711" s="146" t="str">
        <f>IF(E711&lt;&gt;"", SUMIF(Bets!$F:$F, E711, Bets!AB:AB), "")</f>
        <v/>
      </c>
      <c r="G711" s="162"/>
      <c r="H711" s="148"/>
      <c r="I711" s="161"/>
      <c r="J711" s="146" t="str">
        <f>IF(I711&lt;&gt;"", SUMIF(Bets!$F:$F, I711, Bets!AA:AA), "")</f>
        <v/>
      </c>
      <c r="K711" s="162"/>
      <c r="L711" s="148"/>
      <c r="M711" s="161"/>
      <c r="N711" s="146"/>
      <c r="O711" s="162"/>
      <c r="P711" s="148"/>
      <c r="Q711" s="161"/>
      <c r="R711" s="146"/>
      <c r="S711" s="162"/>
      <c r="T711" s="148"/>
      <c r="U711" s="161"/>
      <c r="V711" s="146"/>
      <c r="W711" s="162"/>
      <c r="X711" s="148"/>
      <c r="Y711" s="161"/>
      <c r="Z711" s="146"/>
      <c r="AA711" s="162"/>
      <c r="AB711" s="148"/>
      <c r="AC711" s="161"/>
      <c r="AD711" s="146"/>
      <c r="AE711" s="162"/>
      <c r="AF711" s="148"/>
    </row>
    <row r="712">
      <c r="A712" s="161"/>
      <c r="B712" s="146" t="str">
        <f>IF(A712&lt;&gt;"", SUMIF(Bets!$F:$F, A712, Bets!Z:Z), "")</f>
        <v/>
      </c>
      <c r="C712" s="162"/>
      <c r="D712" s="148"/>
      <c r="E712" s="161"/>
      <c r="F712" s="146" t="str">
        <f>IF(E712&lt;&gt;"", SUMIF(Bets!$F:$F, E712, Bets!AB:AB), "")</f>
        <v/>
      </c>
      <c r="G712" s="162"/>
      <c r="H712" s="148"/>
      <c r="I712" s="161"/>
      <c r="J712" s="146" t="str">
        <f>IF(I712&lt;&gt;"", SUMIF(Bets!$F:$F, I712, Bets!AA:AA), "")</f>
        <v/>
      </c>
      <c r="K712" s="162"/>
      <c r="L712" s="148"/>
      <c r="M712" s="161"/>
      <c r="N712" s="146"/>
      <c r="O712" s="162"/>
      <c r="P712" s="148"/>
      <c r="Q712" s="161"/>
      <c r="R712" s="146"/>
      <c r="S712" s="162"/>
      <c r="T712" s="148"/>
      <c r="U712" s="161"/>
      <c r="V712" s="146"/>
      <c r="W712" s="162"/>
      <c r="X712" s="148"/>
      <c r="Y712" s="161"/>
      <c r="Z712" s="146"/>
      <c r="AA712" s="162"/>
      <c r="AB712" s="148"/>
      <c r="AC712" s="161"/>
      <c r="AD712" s="146"/>
      <c r="AE712" s="162"/>
      <c r="AF712" s="148"/>
    </row>
    <row r="713">
      <c r="A713" s="161"/>
      <c r="B713" s="146" t="str">
        <f>IF(A713&lt;&gt;"", SUMIF(Bets!$F:$F, A713, Bets!Z:Z), "")</f>
        <v/>
      </c>
      <c r="C713" s="162"/>
      <c r="D713" s="148"/>
      <c r="E713" s="161"/>
      <c r="F713" s="146" t="str">
        <f>IF(E713&lt;&gt;"", SUMIF(Bets!$F:$F, E713, Bets!AB:AB), "")</f>
        <v/>
      </c>
      <c r="G713" s="162"/>
      <c r="H713" s="148"/>
      <c r="I713" s="161"/>
      <c r="J713" s="146" t="str">
        <f>IF(I713&lt;&gt;"", SUMIF(Bets!$F:$F, I713, Bets!AA:AA), "")</f>
        <v/>
      </c>
      <c r="K713" s="162"/>
      <c r="L713" s="148"/>
      <c r="M713" s="161"/>
      <c r="N713" s="146"/>
      <c r="O713" s="162"/>
      <c r="P713" s="148"/>
      <c r="Q713" s="161"/>
      <c r="R713" s="146"/>
      <c r="S713" s="162"/>
      <c r="T713" s="148"/>
      <c r="U713" s="161"/>
      <c r="V713" s="146"/>
      <c r="W713" s="162"/>
      <c r="X713" s="148"/>
      <c r="Y713" s="161"/>
      <c r="Z713" s="146"/>
      <c r="AA713" s="162"/>
      <c r="AB713" s="148"/>
      <c r="AC713" s="161"/>
      <c r="AD713" s="146"/>
      <c r="AE713" s="162"/>
      <c r="AF713" s="148"/>
    </row>
    <row r="714">
      <c r="A714" s="161"/>
      <c r="B714" s="146" t="str">
        <f>IF(A714&lt;&gt;"", SUMIF(Bets!$F:$F, A714, Bets!Z:Z), "")</f>
        <v/>
      </c>
      <c r="C714" s="162"/>
      <c r="D714" s="148"/>
      <c r="E714" s="161"/>
      <c r="F714" s="146" t="str">
        <f>IF(E714&lt;&gt;"", SUMIF(Bets!$F:$F, E714, Bets!AB:AB), "")</f>
        <v/>
      </c>
      <c r="G714" s="162"/>
      <c r="H714" s="148"/>
      <c r="I714" s="161"/>
      <c r="J714" s="146" t="str">
        <f>IF(I714&lt;&gt;"", SUMIF(Bets!$F:$F, I714, Bets!AA:AA), "")</f>
        <v/>
      </c>
      <c r="K714" s="162"/>
      <c r="L714" s="148"/>
      <c r="M714" s="161"/>
      <c r="N714" s="146"/>
      <c r="O714" s="162"/>
      <c r="P714" s="148"/>
      <c r="Q714" s="161"/>
      <c r="R714" s="146"/>
      <c r="S714" s="162"/>
      <c r="T714" s="148"/>
      <c r="U714" s="161"/>
      <c r="V714" s="146"/>
      <c r="W714" s="162"/>
      <c r="X714" s="148"/>
      <c r="Y714" s="161"/>
      <c r="Z714" s="146"/>
      <c r="AA714" s="162"/>
      <c r="AB714" s="148"/>
      <c r="AC714" s="161"/>
      <c r="AD714" s="146"/>
      <c r="AE714" s="162"/>
      <c r="AF714" s="148"/>
    </row>
    <row r="715">
      <c r="A715" s="161"/>
      <c r="B715" s="146" t="str">
        <f>IF(A715&lt;&gt;"", SUMIF(Bets!$F:$F, A715, Bets!Z:Z), "")</f>
        <v/>
      </c>
      <c r="C715" s="162"/>
      <c r="D715" s="148"/>
      <c r="E715" s="161"/>
      <c r="F715" s="146" t="str">
        <f>IF(E715&lt;&gt;"", SUMIF(Bets!$F:$F, E715, Bets!AB:AB), "")</f>
        <v/>
      </c>
      <c r="G715" s="162"/>
      <c r="H715" s="148"/>
      <c r="I715" s="161"/>
      <c r="J715" s="146" t="str">
        <f>IF(I715&lt;&gt;"", SUMIF(Bets!$F:$F, I715, Bets!AA:AA), "")</f>
        <v/>
      </c>
      <c r="K715" s="162"/>
      <c r="L715" s="148"/>
      <c r="M715" s="161"/>
      <c r="N715" s="146"/>
      <c r="O715" s="162"/>
      <c r="P715" s="148"/>
      <c r="Q715" s="161"/>
      <c r="R715" s="146"/>
      <c r="S715" s="162"/>
      <c r="T715" s="148"/>
      <c r="U715" s="161"/>
      <c r="V715" s="146"/>
      <c r="W715" s="162"/>
      <c r="X715" s="148"/>
      <c r="Y715" s="161"/>
      <c r="Z715" s="146"/>
      <c r="AA715" s="162"/>
      <c r="AB715" s="148"/>
      <c r="AC715" s="161"/>
      <c r="AD715" s="146"/>
      <c r="AE715" s="162"/>
      <c r="AF715" s="148"/>
    </row>
    <row r="716">
      <c r="A716" s="161"/>
      <c r="B716" s="146" t="str">
        <f>IF(A716&lt;&gt;"", SUMIF(Bets!$F:$F, A716, Bets!Z:Z), "")</f>
        <v/>
      </c>
      <c r="C716" s="162"/>
      <c r="D716" s="148"/>
      <c r="E716" s="161"/>
      <c r="F716" s="146" t="str">
        <f>IF(E716&lt;&gt;"", SUMIF(Bets!$F:$F, E716, Bets!AB:AB), "")</f>
        <v/>
      </c>
      <c r="G716" s="162"/>
      <c r="H716" s="148"/>
      <c r="I716" s="161"/>
      <c r="J716" s="146" t="str">
        <f>IF(I716&lt;&gt;"", SUMIF(Bets!$F:$F, I716, Bets!AA:AA), "")</f>
        <v/>
      </c>
      <c r="K716" s="162"/>
      <c r="L716" s="148"/>
      <c r="M716" s="161"/>
      <c r="N716" s="146"/>
      <c r="O716" s="162"/>
      <c r="P716" s="148"/>
      <c r="Q716" s="161"/>
      <c r="R716" s="146"/>
      <c r="S716" s="162"/>
      <c r="T716" s="148"/>
      <c r="U716" s="161"/>
      <c r="V716" s="146"/>
      <c r="W716" s="162"/>
      <c r="X716" s="148"/>
      <c r="Y716" s="161"/>
      <c r="Z716" s="146"/>
      <c r="AA716" s="162"/>
      <c r="AB716" s="148"/>
      <c r="AC716" s="161"/>
      <c r="AD716" s="146"/>
      <c r="AE716" s="162"/>
      <c r="AF716" s="148"/>
    </row>
    <row r="717">
      <c r="A717" s="161"/>
      <c r="B717" s="146" t="str">
        <f>IF(A717&lt;&gt;"", SUMIF(Bets!$F:$F, A717, Bets!Z:Z), "")</f>
        <v/>
      </c>
      <c r="C717" s="162"/>
      <c r="D717" s="148"/>
      <c r="E717" s="161"/>
      <c r="F717" s="146" t="str">
        <f>IF(E717&lt;&gt;"", SUMIF(Bets!$F:$F, E717, Bets!AB:AB), "")</f>
        <v/>
      </c>
      <c r="G717" s="162"/>
      <c r="H717" s="148"/>
      <c r="I717" s="161"/>
      <c r="J717" s="146" t="str">
        <f>IF(I717&lt;&gt;"", SUMIF(Bets!$F:$F, I717, Bets!AA:AA), "")</f>
        <v/>
      </c>
      <c r="K717" s="162"/>
      <c r="L717" s="148"/>
      <c r="M717" s="161"/>
      <c r="N717" s="146"/>
      <c r="O717" s="162"/>
      <c r="P717" s="148"/>
      <c r="Q717" s="161"/>
      <c r="R717" s="146"/>
      <c r="S717" s="162"/>
      <c r="T717" s="148"/>
      <c r="U717" s="161"/>
      <c r="V717" s="146"/>
      <c r="W717" s="162"/>
      <c r="X717" s="148"/>
      <c r="Y717" s="161"/>
      <c r="Z717" s="146"/>
      <c r="AA717" s="162"/>
      <c r="AB717" s="148"/>
      <c r="AC717" s="161"/>
      <c r="AD717" s="146"/>
      <c r="AE717" s="162"/>
      <c r="AF717" s="148"/>
    </row>
    <row r="718">
      <c r="A718" s="161"/>
      <c r="B718" s="146" t="str">
        <f>IF(A718&lt;&gt;"", SUMIF(Bets!$F:$F, A718, Bets!Z:Z), "")</f>
        <v/>
      </c>
      <c r="C718" s="162"/>
      <c r="D718" s="148"/>
      <c r="E718" s="161"/>
      <c r="F718" s="146" t="str">
        <f>IF(E718&lt;&gt;"", SUMIF(Bets!$F:$F, E718, Bets!AB:AB), "")</f>
        <v/>
      </c>
      <c r="G718" s="162"/>
      <c r="H718" s="148"/>
      <c r="I718" s="161"/>
      <c r="J718" s="146" t="str">
        <f>IF(I718&lt;&gt;"", SUMIF(Bets!$F:$F, I718, Bets!AA:AA), "")</f>
        <v/>
      </c>
      <c r="K718" s="162"/>
      <c r="L718" s="148"/>
      <c r="M718" s="161"/>
      <c r="N718" s="146"/>
      <c r="O718" s="162"/>
      <c r="P718" s="148"/>
      <c r="Q718" s="161"/>
      <c r="R718" s="146"/>
      <c r="S718" s="162"/>
      <c r="T718" s="148"/>
      <c r="U718" s="161"/>
      <c r="V718" s="146"/>
      <c r="W718" s="162"/>
      <c r="X718" s="148"/>
      <c r="Y718" s="161"/>
      <c r="Z718" s="146"/>
      <c r="AA718" s="162"/>
      <c r="AB718" s="148"/>
      <c r="AC718" s="161"/>
      <c r="AD718" s="146"/>
      <c r="AE718" s="162"/>
      <c r="AF718" s="148"/>
    </row>
    <row r="719">
      <c r="A719" s="161"/>
      <c r="B719" s="146" t="str">
        <f>IF(A719&lt;&gt;"", SUMIF(Bets!$F:$F, A719, Bets!Z:Z), "")</f>
        <v/>
      </c>
      <c r="C719" s="162"/>
      <c r="D719" s="148"/>
      <c r="E719" s="161"/>
      <c r="F719" s="146" t="str">
        <f>IF(E719&lt;&gt;"", SUMIF(Bets!$F:$F, E719, Bets!AB:AB), "")</f>
        <v/>
      </c>
      <c r="G719" s="162"/>
      <c r="H719" s="148"/>
      <c r="I719" s="161"/>
      <c r="J719" s="146" t="str">
        <f>IF(I719&lt;&gt;"", SUMIF(Bets!$F:$F, I719, Bets!AA:AA), "")</f>
        <v/>
      </c>
      <c r="K719" s="162"/>
      <c r="L719" s="148"/>
      <c r="M719" s="161"/>
      <c r="N719" s="146"/>
      <c r="O719" s="162"/>
      <c r="P719" s="148"/>
      <c r="Q719" s="161"/>
      <c r="R719" s="146"/>
      <c r="S719" s="162"/>
      <c r="T719" s="148"/>
      <c r="U719" s="161"/>
      <c r="V719" s="146"/>
      <c r="W719" s="162"/>
      <c r="X719" s="148"/>
      <c r="Y719" s="161"/>
      <c r="Z719" s="146"/>
      <c r="AA719" s="162"/>
      <c r="AB719" s="148"/>
      <c r="AC719" s="161"/>
      <c r="AD719" s="146"/>
      <c r="AE719" s="162"/>
      <c r="AF719" s="148"/>
    </row>
    <row r="720">
      <c r="A720" s="161"/>
      <c r="B720" s="146" t="str">
        <f>IF(A720&lt;&gt;"", SUMIF(Bets!$F:$F, A720, Bets!Z:Z), "")</f>
        <v/>
      </c>
      <c r="C720" s="162"/>
      <c r="D720" s="148"/>
      <c r="E720" s="161"/>
      <c r="F720" s="146" t="str">
        <f>IF(E720&lt;&gt;"", SUMIF(Bets!$F:$F, E720, Bets!AB:AB), "")</f>
        <v/>
      </c>
      <c r="G720" s="162"/>
      <c r="H720" s="148"/>
      <c r="I720" s="161"/>
      <c r="J720" s="146" t="str">
        <f>IF(I720&lt;&gt;"", SUMIF(Bets!$F:$F, I720, Bets!AA:AA), "")</f>
        <v/>
      </c>
      <c r="K720" s="162"/>
      <c r="L720" s="148"/>
      <c r="M720" s="161"/>
      <c r="N720" s="146"/>
      <c r="O720" s="162"/>
      <c r="P720" s="148"/>
      <c r="Q720" s="161"/>
      <c r="R720" s="146"/>
      <c r="S720" s="162"/>
      <c r="T720" s="148"/>
      <c r="U720" s="161"/>
      <c r="V720" s="146"/>
      <c r="W720" s="162"/>
      <c r="X720" s="148"/>
      <c r="Y720" s="161"/>
      <c r="Z720" s="146"/>
      <c r="AA720" s="162"/>
      <c r="AB720" s="148"/>
      <c r="AC720" s="161"/>
      <c r="AD720" s="146"/>
      <c r="AE720" s="162"/>
      <c r="AF720" s="148"/>
    </row>
    <row r="721">
      <c r="A721" s="161"/>
      <c r="B721" s="146" t="str">
        <f>IF(A721&lt;&gt;"", SUMIF(Bets!$F:$F, A721, Bets!Z:Z), "")</f>
        <v/>
      </c>
      <c r="C721" s="162"/>
      <c r="D721" s="148"/>
      <c r="E721" s="161"/>
      <c r="F721" s="146" t="str">
        <f>IF(E721&lt;&gt;"", SUMIF(Bets!$F:$F, E721, Bets!AB:AB), "")</f>
        <v/>
      </c>
      <c r="G721" s="162"/>
      <c r="H721" s="148"/>
      <c r="I721" s="161"/>
      <c r="J721" s="146" t="str">
        <f>IF(I721&lt;&gt;"", SUMIF(Bets!$F:$F, I721, Bets!AA:AA), "")</f>
        <v/>
      </c>
      <c r="K721" s="162"/>
      <c r="L721" s="148"/>
      <c r="M721" s="161"/>
      <c r="N721" s="146"/>
      <c r="O721" s="162"/>
      <c r="P721" s="148"/>
      <c r="Q721" s="161"/>
      <c r="R721" s="146"/>
      <c r="S721" s="162"/>
      <c r="T721" s="148"/>
      <c r="U721" s="161"/>
      <c r="V721" s="146"/>
      <c r="W721" s="162"/>
      <c r="X721" s="148"/>
      <c r="Y721" s="161"/>
      <c r="Z721" s="146"/>
      <c r="AA721" s="162"/>
      <c r="AB721" s="148"/>
      <c r="AC721" s="161"/>
      <c r="AD721" s="146"/>
      <c r="AE721" s="162"/>
      <c r="AF721" s="148"/>
    </row>
    <row r="722">
      <c r="A722" s="161"/>
      <c r="B722" s="146" t="str">
        <f>IF(A722&lt;&gt;"", SUMIF(Bets!$F:$F, A722, Bets!Z:Z), "")</f>
        <v/>
      </c>
      <c r="C722" s="162"/>
      <c r="D722" s="148"/>
      <c r="E722" s="161"/>
      <c r="F722" s="146" t="str">
        <f>IF(E722&lt;&gt;"", SUMIF(Bets!$F:$F, E722, Bets!AB:AB), "")</f>
        <v/>
      </c>
      <c r="G722" s="162"/>
      <c r="H722" s="148"/>
      <c r="I722" s="161"/>
      <c r="J722" s="146" t="str">
        <f>IF(I722&lt;&gt;"", SUMIF(Bets!$F:$F, I722, Bets!AA:AA), "")</f>
        <v/>
      </c>
      <c r="K722" s="162"/>
      <c r="L722" s="148"/>
      <c r="M722" s="161"/>
      <c r="N722" s="146"/>
      <c r="O722" s="162"/>
      <c r="P722" s="148"/>
      <c r="Q722" s="161"/>
      <c r="R722" s="146"/>
      <c r="S722" s="162"/>
      <c r="T722" s="148"/>
      <c r="U722" s="161"/>
      <c r="V722" s="146"/>
      <c r="W722" s="162"/>
      <c r="X722" s="148"/>
      <c r="Y722" s="161"/>
      <c r="Z722" s="146"/>
      <c r="AA722" s="162"/>
      <c r="AB722" s="148"/>
      <c r="AC722" s="161"/>
      <c r="AD722" s="146"/>
      <c r="AE722" s="162"/>
      <c r="AF722" s="148"/>
    </row>
    <row r="723">
      <c r="A723" s="161"/>
      <c r="B723" s="146" t="str">
        <f>IF(A723&lt;&gt;"", SUMIF(Bets!$F:$F, A723, Bets!Z:Z), "")</f>
        <v/>
      </c>
      <c r="C723" s="162"/>
      <c r="D723" s="148"/>
      <c r="E723" s="161"/>
      <c r="F723" s="146" t="str">
        <f>IF(E723&lt;&gt;"", SUMIF(Bets!$F:$F, E723, Bets!AB:AB), "")</f>
        <v/>
      </c>
      <c r="G723" s="162"/>
      <c r="H723" s="148"/>
      <c r="I723" s="161"/>
      <c r="J723" s="146" t="str">
        <f>IF(I723&lt;&gt;"", SUMIF(Bets!$F:$F, I723, Bets!AA:AA), "")</f>
        <v/>
      </c>
      <c r="K723" s="162"/>
      <c r="L723" s="148"/>
      <c r="M723" s="161"/>
      <c r="N723" s="146"/>
      <c r="O723" s="162"/>
      <c r="P723" s="148"/>
      <c r="Q723" s="161"/>
      <c r="R723" s="146"/>
      <c r="S723" s="162"/>
      <c r="T723" s="148"/>
      <c r="U723" s="161"/>
      <c r="V723" s="146"/>
      <c r="W723" s="162"/>
      <c r="X723" s="148"/>
      <c r="Y723" s="161"/>
      <c r="Z723" s="146"/>
      <c r="AA723" s="162"/>
      <c r="AB723" s="148"/>
      <c r="AC723" s="161"/>
      <c r="AD723" s="146"/>
      <c r="AE723" s="162"/>
      <c r="AF723" s="148"/>
    </row>
    <row r="724">
      <c r="A724" s="161"/>
      <c r="B724" s="146" t="str">
        <f>IF(A724&lt;&gt;"", SUMIF(Bets!$F:$F, A724, Bets!Z:Z), "")</f>
        <v/>
      </c>
      <c r="C724" s="162"/>
      <c r="D724" s="148"/>
      <c r="E724" s="161"/>
      <c r="F724" s="146" t="str">
        <f>IF(E724&lt;&gt;"", SUMIF(Bets!$F:$F, E724, Bets!AB:AB), "")</f>
        <v/>
      </c>
      <c r="G724" s="162"/>
      <c r="H724" s="148"/>
      <c r="I724" s="161"/>
      <c r="J724" s="146" t="str">
        <f>IF(I724&lt;&gt;"", SUMIF(Bets!$F:$F, I724, Bets!AA:AA), "")</f>
        <v/>
      </c>
      <c r="K724" s="162"/>
      <c r="L724" s="148"/>
      <c r="M724" s="161"/>
      <c r="N724" s="146"/>
      <c r="O724" s="162"/>
      <c r="P724" s="148"/>
      <c r="Q724" s="161"/>
      <c r="R724" s="146"/>
      <c r="S724" s="162"/>
      <c r="T724" s="148"/>
      <c r="U724" s="161"/>
      <c r="V724" s="146"/>
      <c r="W724" s="162"/>
      <c r="X724" s="148"/>
      <c r="Y724" s="161"/>
      <c r="Z724" s="146"/>
      <c r="AA724" s="162"/>
      <c r="AB724" s="148"/>
      <c r="AC724" s="161"/>
      <c r="AD724" s="146"/>
      <c r="AE724" s="162"/>
      <c r="AF724" s="148"/>
    </row>
    <row r="725">
      <c r="A725" s="161"/>
      <c r="B725" s="146" t="str">
        <f>IF(A725&lt;&gt;"", SUMIF(Bets!$F:$F, A725, Bets!Z:Z), "")</f>
        <v/>
      </c>
      <c r="C725" s="162"/>
      <c r="D725" s="148"/>
      <c r="E725" s="161"/>
      <c r="F725" s="146" t="str">
        <f>IF(E725&lt;&gt;"", SUMIF(Bets!$F:$F, E725, Bets!AB:AB), "")</f>
        <v/>
      </c>
      <c r="G725" s="162"/>
      <c r="H725" s="148"/>
      <c r="I725" s="161"/>
      <c r="J725" s="146" t="str">
        <f>IF(I725&lt;&gt;"", SUMIF(Bets!$F:$F, I725, Bets!AA:AA), "")</f>
        <v/>
      </c>
      <c r="K725" s="162"/>
      <c r="L725" s="148"/>
      <c r="M725" s="161"/>
      <c r="N725" s="146"/>
      <c r="O725" s="162"/>
      <c r="P725" s="148"/>
      <c r="Q725" s="161"/>
      <c r="R725" s="146"/>
      <c r="S725" s="162"/>
      <c r="T725" s="148"/>
      <c r="U725" s="161"/>
      <c r="V725" s="146"/>
      <c r="W725" s="162"/>
      <c r="X725" s="148"/>
      <c r="Y725" s="161"/>
      <c r="Z725" s="146"/>
      <c r="AA725" s="162"/>
      <c r="AB725" s="148"/>
      <c r="AC725" s="161"/>
      <c r="AD725" s="146"/>
      <c r="AE725" s="162"/>
      <c r="AF725" s="148"/>
    </row>
    <row r="726">
      <c r="A726" s="161"/>
      <c r="B726" s="146" t="str">
        <f>IF(A726&lt;&gt;"", SUMIF(Bets!$F:$F, A726, Bets!Z:Z), "")</f>
        <v/>
      </c>
      <c r="C726" s="162"/>
      <c r="D726" s="148"/>
      <c r="E726" s="161"/>
      <c r="F726" s="146" t="str">
        <f>IF(E726&lt;&gt;"", SUMIF(Bets!$F:$F, E726, Bets!AB:AB), "")</f>
        <v/>
      </c>
      <c r="G726" s="162"/>
      <c r="H726" s="148"/>
      <c r="I726" s="161"/>
      <c r="J726" s="146" t="str">
        <f>IF(I726&lt;&gt;"", SUMIF(Bets!$F:$F, I726, Bets!AA:AA), "")</f>
        <v/>
      </c>
      <c r="K726" s="162"/>
      <c r="L726" s="148"/>
      <c r="M726" s="161"/>
      <c r="N726" s="146"/>
      <c r="O726" s="162"/>
      <c r="P726" s="148"/>
      <c r="Q726" s="161"/>
      <c r="R726" s="146"/>
      <c r="S726" s="162"/>
      <c r="T726" s="148"/>
      <c r="U726" s="161"/>
      <c r="V726" s="146"/>
      <c r="W726" s="162"/>
      <c r="X726" s="148"/>
      <c r="Y726" s="161"/>
      <c r="Z726" s="146"/>
      <c r="AA726" s="162"/>
      <c r="AB726" s="148"/>
      <c r="AC726" s="161"/>
      <c r="AD726" s="146"/>
      <c r="AE726" s="162"/>
      <c r="AF726" s="148"/>
    </row>
    <row r="727">
      <c r="A727" s="161"/>
      <c r="B727" s="146" t="str">
        <f>IF(A727&lt;&gt;"", SUMIF(Bets!$F:$F, A727, Bets!Z:Z), "")</f>
        <v/>
      </c>
      <c r="C727" s="162"/>
      <c r="D727" s="148"/>
      <c r="E727" s="161"/>
      <c r="F727" s="146" t="str">
        <f>IF(E727&lt;&gt;"", SUMIF(Bets!$F:$F, E727, Bets!AB:AB), "")</f>
        <v/>
      </c>
      <c r="G727" s="162"/>
      <c r="H727" s="148"/>
      <c r="I727" s="161"/>
      <c r="J727" s="146" t="str">
        <f>IF(I727&lt;&gt;"", SUMIF(Bets!$F:$F, I727, Bets!AA:AA), "")</f>
        <v/>
      </c>
      <c r="K727" s="162"/>
      <c r="L727" s="148"/>
      <c r="M727" s="161"/>
      <c r="N727" s="146"/>
      <c r="O727" s="162"/>
      <c r="P727" s="148"/>
      <c r="Q727" s="161"/>
      <c r="R727" s="146"/>
      <c r="S727" s="162"/>
      <c r="T727" s="148"/>
      <c r="U727" s="161"/>
      <c r="V727" s="146"/>
      <c r="W727" s="162"/>
      <c r="X727" s="148"/>
      <c r="Y727" s="161"/>
      <c r="Z727" s="146"/>
      <c r="AA727" s="162"/>
      <c r="AB727" s="148"/>
      <c r="AC727" s="161"/>
      <c r="AD727" s="146"/>
      <c r="AE727" s="162"/>
      <c r="AF727" s="148"/>
    </row>
    <row r="728">
      <c r="A728" s="161"/>
      <c r="B728" s="146" t="str">
        <f>IF(A728&lt;&gt;"", SUMIF(Bets!$F:$F, A728, Bets!Z:Z), "")</f>
        <v/>
      </c>
      <c r="C728" s="162"/>
      <c r="D728" s="148"/>
      <c r="E728" s="161"/>
      <c r="F728" s="146" t="str">
        <f>IF(E728&lt;&gt;"", SUMIF(Bets!$F:$F, E728, Bets!AB:AB), "")</f>
        <v/>
      </c>
      <c r="G728" s="162"/>
      <c r="H728" s="148"/>
      <c r="I728" s="161"/>
      <c r="J728" s="146" t="str">
        <f>IF(I728&lt;&gt;"", SUMIF(Bets!$F:$F, I728, Bets!AA:AA), "")</f>
        <v/>
      </c>
      <c r="K728" s="162"/>
      <c r="L728" s="148"/>
      <c r="M728" s="161"/>
      <c r="N728" s="146"/>
      <c r="O728" s="162"/>
      <c r="P728" s="148"/>
      <c r="Q728" s="161"/>
      <c r="R728" s="146"/>
      <c r="S728" s="162"/>
      <c r="T728" s="148"/>
      <c r="U728" s="161"/>
      <c r="V728" s="146"/>
      <c r="W728" s="162"/>
      <c r="X728" s="148"/>
      <c r="Y728" s="161"/>
      <c r="Z728" s="146"/>
      <c r="AA728" s="162"/>
      <c r="AB728" s="148"/>
      <c r="AC728" s="161"/>
      <c r="AD728" s="146"/>
      <c r="AE728" s="162"/>
      <c r="AF728" s="148"/>
    </row>
    <row r="729">
      <c r="A729" s="161"/>
      <c r="B729" s="146" t="str">
        <f>IF(A729&lt;&gt;"", SUMIF(Bets!$F:$F, A729, Bets!Z:Z), "")</f>
        <v/>
      </c>
      <c r="C729" s="162"/>
      <c r="D729" s="148"/>
      <c r="E729" s="161"/>
      <c r="F729" s="146" t="str">
        <f>IF(E729&lt;&gt;"", SUMIF(Bets!$F:$F, E729, Bets!AB:AB), "")</f>
        <v/>
      </c>
      <c r="G729" s="162"/>
      <c r="H729" s="148"/>
      <c r="I729" s="161"/>
      <c r="J729" s="146" t="str">
        <f>IF(I729&lt;&gt;"", SUMIF(Bets!$F:$F, I729, Bets!AA:AA), "")</f>
        <v/>
      </c>
      <c r="K729" s="162"/>
      <c r="L729" s="148"/>
      <c r="M729" s="161"/>
      <c r="N729" s="146"/>
      <c r="O729" s="162"/>
      <c r="P729" s="148"/>
      <c r="Q729" s="161"/>
      <c r="R729" s="146"/>
      <c r="S729" s="162"/>
      <c r="T729" s="148"/>
      <c r="U729" s="161"/>
      <c r="V729" s="146"/>
      <c r="W729" s="162"/>
      <c r="X729" s="148"/>
      <c r="Y729" s="161"/>
      <c r="Z729" s="146"/>
      <c r="AA729" s="162"/>
      <c r="AB729" s="148"/>
      <c r="AC729" s="161"/>
      <c r="AD729" s="146"/>
      <c r="AE729" s="162"/>
      <c r="AF729" s="148"/>
    </row>
    <row r="730">
      <c r="A730" s="161"/>
      <c r="B730" s="146" t="str">
        <f>IF(A730&lt;&gt;"", SUMIF(Bets!$F:$F, A730, Bets!Z:Z), "")</f>
        <v/>
      </c>
      <c r="C730" s="162"/>
      <c r="D730" s="148"/>
      <c r="E730" s="161"/>
      <c r="F730" s="146" t="str">
        <f>IF(E730&lt;&gt;"", SUMIF(Bets!$F:$F, E730, Bets!AB:AB), "")</f>
        <v/>
      </c>
      <c r="G730" s="162"/>
      <c r="H730" s="148"/>
      <c r="I730" s="161"/>
      <c r="J730" s="146" t="str">
        <f>IF(I730&lt;&gt;"", SUMIF(Bets!$F:$F, I730, Bets!AA:AA), "")</f>
        <v/>
      </c>
      <c r="K730" s="162"/>
      <c r="L730" s="148"/>
      <c r="M730" s="161"/>
      <c r="N730" s="146"/>
      <c r="O730" s="162"/>
      <c r="P730" s="148"/>
      <c r="Q730" s="161"/>
      <c r="R730" s="146"/>
      <c r="S730" s="162"/>
      <c r="T730" s="148"/>
      <c r="U730" s="161"/>
      <c r="V730" s="146"/>
      <c r="W730" s="162"/>
      <c r="X730" s="148"/>
      <c r="Y730" s="161"/>
      <c r="Z730" s="146"/>
      <c r="AA730" s="162"/>
      <c r="AB730" s="148"/>
      <c r="AC730" s="161"/>
      <c r="AD730" s="146"/>
      <c r="AE730" s="162"/>
      <c r="AF730" s="148"/>
    </row>
    <row r="731">
      <c r="A731" s="161"/>
      <c r="B731" s="146" t="str">
        <f>IF(A731&lt;&gt;"", SUMIF(Bets!$F:$F, A731, Bets!Z:Z), "")</f>
        <v/>
      </c>
      <c r="C731" s="162"/>
      <c r="D731" s="148"/>
      <c r="E731" s="161"/>
      <c r="F731" s="146" t="str">
        <f>IF(E731&lt;&gt;"", SUMIF(Bets!$F:$F, E731, Bets!AB:AB), "")</f>
        <v/>
      </c>
      <c r="G731" s="162"/>
      <c r="H731" s="148"/>
      <c r="I731" s="161"/>
      <c r="J731" s="146" t="str">
        <f>IF(I731&lt;&gt;"", SUMIF(Bets!$F:$F, I731, Bets!AA:AA), "")</f>
        <v/>
      </c>
      <c r="K731" s="162"/>
      <c r="L731" s="148"/>
      <c r="M731" s="161"/>
      <c r="N731" s="146"/>
      <c r="O731" s="162"/>
      <c r="P731" s="148"/>
      <c r="Q731" s="161"/>
      <c r="R731" s="146"/>
      <c r="S731" s="162"/>
      <c r="T731" s="148"/>
      <c r="U731" s="161"/>
      <c r="V731" s="146"/>
      <c r="W731" s="162"/>
      <c r="X731" s="148"/>
      <c r="Y731" s="161"/>
      <c r="Z731" s="146"/>
      <c r="AA731" s="162"/>
      <c r="AB731" s="148"/>
      <c r="AC731" s="161"/>
      <c r="AD731" s="146"/>
      <c r="AE731" s="162"/>
      <c r="AF731" s="148"/>
    </row>
    <row r="732">
      <c r="A732" s="161"/>
      <c r="B732" s="146" t="str">
        <f>IF(A732&lt;&gt;"", SUMIF(Bets!$F:$F, A732, Bets!Z:Z), "")</f>
        <v/>
      </c>
      <c r="C732" s="162"/>
      <c r="D732" s="148"/>
      <c r="E732" s="161"/>
      <c r="F732" s="146" t="str">
        <f>IF(E732&lt;&gt;"", SUMIF(Bets!$F:$F, E732, Bets!AB:AB), "")</f>
        <v/>
      </c>
      <c r="G732" s="162"/>
      <c r="H732" s="148"/>
      <c r="I732" s="161"/>
      <c r="J732" s="146" t="str">
        <f>IF(I732&lt;&gt;"", SUMIF(Bets!$F:$F, I732, Bets!AA:AA), "")</f>
        <v/>
      </c>
      <c r="K732" s="162"/>
      <c r="L732" s="148"/>
      <c r="M732" s="161"/>
      <c r="N732" s="146"/>
      <c r="O732" s="162"/>
      <c r="P732" s="148"/>
      <c r="Q732" s="161"/>
      <c r="R732" s="146"/>
      <c r="S732" s="162"/>
      <c r="T732" s="148"/>
      <c r="U732" s="161"/>
      <c r="V732" s="146"/>
      <c r="W732" s="162"/>
      <c r="X732" s="148"/>
      <c r="Y732" s="161"/>
      <c r="Z732" s="146"/>
      <c r="AA732" s="162"/>
      <c r="AB732" s="148"/>
      <c r="AC732" s="161"/>
      <c r="AD732" s="146"/>
      <c r="AE732" s="162"/>
      <c r="AF732" s="148"/>
    </row>
    <row r="733">
      <c r="A733" s="161"/>
      <c r="B733" s="146" t="str">
        <f>IF(A733&lt;&gt;"", SUMIF(Bets!$F:$F, A733, Bets!Z:Z), "")</f>
        <v/>
      </c>
      <c r="C733" s="162"/>
      <c r="D733" s="148"/>
      <c r="E733" s="161"/>
      <c r="F733" s="146" t="str">
        <f>IF(E733&lt;&gt;"", SUMIF(Bets!$F:$F, E733, Bets!AB:AB), "")</f>
        <v/>
      </c>
      <c r="G733" s="162"/>
      <c r="H733" s="148"/>
      <c r="I733" s="161"/>
      <c r="J733" s="146" t="str">
        <f>IF(I733&lt;&gt;"", SUMIF(Bets!$F:$F, I733, Bets!AA:AA), "")</f>
        <v/>
      </c>
      <c r="K733" s="162"/>
      <c r="L733" s="148"/>
      <c r="M733" s="161"/>
      <c r="N733" s="146"/>
      <c r="O733" s="162"/>
      <c r="P733" s="148"/>
      <c r="Q733" s="161"/>
      <c r="R733" s="146"/>
      <c r="S733" s="162"/>
      <c r="T733" s="148"/>
      <c r="U733" s="161"/>
      <c r="V733" s="146"/>
      <c r="W733" s="162"/>
      <c r="X733" s="148"/>
      <c r="Y733" s="161"/>
      <c r="Z733" s="146"/>
      <c r="AA733" s="162"/>
      <c r="AB733" s="148"/>
      <c r="AC733" s="161"/>
      <c r="AD733" s="146"/>
      <c r="AE733" s="162"/>
      <c r="AF733" s="148"/>
    </row>
    <row r="734">
      <c r="A734" s="161"/>
      <c r="B734" s="146" t="str">
        <f>IF(A734&lt;&gt;"", SUMIF(Bets!$F:$F, A734, Bets!Z:Z), "")</f>
        <v/>
      </c>
      <c r="C734" s="162"/>
      <c r="D734" s="148"/>
      <c r="E734" s="161"/>
      <c r="F734" s="146" t="str">
        <f>IF(E734&lt;&gt;"", SUMIF(Bets!$F:$F, E734, Bets!AB:AB), "")</f>
        <v/>
      </c>
      <c r="G734" s="162"/>
      <c r="H734" s="148"/>
      <c r="I734" s="161"/>
      <c r="J734" s="146" t="str">
        <f>IF(I734&lt;&gt;"", SUMIF(Bets!$F:$F, I734, Bets!AA:AA), "")</f>
        <v/>
      </c>
      <c r="K734" s="162"/>
      <c r="L734" s="148"/>
      <c r="M734" s="161"/>
      <c r="N734" s="146"/>
      <c r="O734" s="162"/>
      <c r="P734" s="148"/>
      <c r="Q734" s="161"/>
      <c r="R734" s="146"/>
      <c r="S734" s="162"/>
      <c r="T734" s="148"/>
      <c r="U734" s="161"/>
      <c r="V734" s="146"/>
      <c r="W734" s="162"/>
      <c r="X734" s="148"/>
      <c r="Y734" s="161"/>
      <c r="Z734" s="146"/>
      <c r="AA734" s="162"/>
      <c r="AB734" s="148"/>
      <c r="AC734" s="161"/>
      <c r="AD734" s="146"/>
      <c r="AE734" s="162"/>
      <c r="AF734" s="148"/>
    </row>
    <row r="735">
      <c r="A735" s="161"/>
      <c r="B735" s="146" t="str">
        <f>IF(A735&lt;&gt;"", SUMIF(Bets!$F:$F, A735, Bets!Z:Z), "")</f>
        <v/>
      </c>
      <c r="C735" s="162"/>
      <c r="D735" s="148"/>
      <c r="E735" s="161"/>
      <c r="F735" s="146" t="str">
        <f>IF(E735&lt;&gt;"", SUMIF(Bets!$F:$F, E735, Bets!AB:AB), "")</f>
        <v/>
      </c>
      <c r="G735" s="162"/>
      <c r="H735" s="148"/>
      <c r="I735" s="161"/>
      <c r="J735" s="146" t="str">
        <f>IF(I735&lt;&gt;"", SUMIF(Bets!$F:$F, I735, Bets!AA:AA), "")</f>
        <v/>
      </c>
      <c r="K735" s="162"/>
      <c r="L735" s="148"/>
      <c r="M735" s="161"/>
      <c r="N735" s="146"/>
      <c r="O735" s="162"/>
      <c r="P735" s="148"/>
      <c r="Q735" s="161"/>
      <c r="R735" s="146"/>
      <c r="S735" s="162"/>
      <c r="T735" s="148"/>
      <c r="U735" s="161"/>
      <c r="V735" s="146"/>
      <c r="W735" s="162"/>
      <c r="X735" s="148"/>
      <c r="Y735" s="161"/>
      <c r="Z735" s="146"/>
      <c r="AA735" s="162"/>
      <c r="AB735" s="148"/>
      <c r="AC735" s="161"/>
      <c r="AD735" s="146"/>
      <c r="AE735" s="162"/>
      <c r="AF735" s="148"/>
    </row>
    <row r="736">
      <c r="A736" s="161"/>
      <c r="B736" s="146" t="str">
        <f>IF(A736&lt;&gt;"", SUMIF(Bets!$F:$F, A736, Bets!Z:Z), "")</f>
        <v/>
      </c>
      <c r="C736" s="162"/>
      <c r="D736" s="148"/>
      <c r="E736" s="161"/>
      <c r="F736" s="146" t="str">
        <f>IF(E736&lt;&gt;"", SUMIF(Bets!$F:$F, E736, Bets!AB:AB), "")</f>
        <v/>
      </c>
      <c r="G736" s="162"/>
      <c r="H736" s="148"/>
      <c r="I736" s="161"/>
      <c r="J736" s="146" t="str">
        <f>IF(I736&lt;&gt;"", SUMIF(Bets!$F:$F, I736, Bets!AA:AA), "")</f>
        <v/>
      </c>
      <c r="K736" s="162"/>
      <c r="L736" s="148"/>
      <c r="M736" s="161"/>
      <c r="N736" s="146"/>
      <c r="O736" s="162"/>
      <c r="P736" s="148"/>
      <c r="Q736" s="161"/>
      <c r="R736" s="146"/>
      <c r="S736" s="162"/>
      <c r="T736" s="148"/>
      <c r="U736" s="161"/>
      <c r="V736" s="146"/>
      <c r="W736" s="162"/>
      <c r="X736" s="148"/>
      <c r="Y736" s="161"/>
      <c r="Z736" s="146"/>
      <c r="AA736" s="162"/>
      <c r="AB736" s="148"/>
      <c r="AC736" s="161"/>
      <c r="AD736" s="146"/>
      <c r="AE736" s="162"/>
      <c r="AF736" s="148"/>
    </row>
    <row r="737">
      <c r="A737" s="161"/>
      <c r="B737" s="146" t="str">
        <f>IF(A737&lt;&gt;"", SUMIF(Bets!$F:$F, A737, Bets!Z:Z), "")</f>
        <v/>
      </c>
      <c r="C737" s="162"/>
      <c r="D737" s="148"/>
      <c r="E737" s="161"/>
      <c r="F737" s="146" t="str">
        <f>IF(E737&lt;&gt;"", SUMIF(Bets!$F:$F, E737, Bets!AB:AB), "")</f>
        <v/>
      </c>
      <c r="G737" s="162"/>
      <c r="H737" s="148"/>
      <c r="I737" s="161"/>
      <c r="J737" s="146" t="str">
        <f>IF(I737&lt;&gt;"", SUMIF(Bets!$F:$F, I737, Bets!AA:AA), "")</f>
        <v/>
      </c>
      <c r="K737" s="162"/>
      <c r="L737" s="148"/>
      <c r="M737" s="161"/>
      <c r="N737" s="146"/>
      <c r="O737" s="162"/>
      <c r="P737" s="148"/>
      <c r="Q737" s="161"/>
      <c r="R737" s="146"/>
      <c r="S737" s="162"/>
      <c r="T737" s="148"/>
      <c r="U737" s="161"/>
      <c r="V737" s="146"/>
      <c r="W737" s="162"/>
      <c r="X737" s="148"/>
      <c r="Y737" s="161"/>
      <c r="Z737" s="146"/>
      <c r="AA737" s="162"/>
      <c r="AB737" s="148"/>
      <c r="AC737" s="161"/>
      <c r="AD737" s="146"/>
      <c r="AE737" s="162"/>
      <c r="AF737" s="148"/>
    </row>
    <row r="738">
      <c r="A738" s="161"/>
      <c r="B738" s="146" t="str">
        <f>IF(A738&lt;&gt;"", SUMIF(Bets!$F:$F, A738, Bets!Z:Z), "")</f>
        <v/>
      </c>
      <c r="C738" s="162"/>
      <c r="D738" s="148"/>
      <c r="E738" s="161"/>
      <c r="F738" s="146" t="str">
        <f>IF(E738&lt;&gt;"", SUMIF(Bets!$F:$F, E738, Bets!AB:AB), "")</f>
        <v/>
      </c>
      <c r="G738" s="162"/>
      <c r="H738" s="148"/>
      <c r="I738" s="161"/>
      <c r="J738" s="146" t="str">
        <f>IF(I738&lt;&gt;"", SUMIF(Bets!$F:$F, I738, Bets!AA:AA), "")</f>
        <v/>
      </c>
      <c r="K738" s="162"/>
      <c r="L738" s="148"/>
      <c r="M738" s="161"/>
      <c r="N738" s="146"/>
      <c r="O738" s="162"/>
      <c r="P738" s="148"/>
      <c r="Q738" s="161"/>
      <c r="R738" s="146"/>
      <c r="S738" s="162"/>
      <c r="T738" s="148"/>
      <c r="U738" s="161"/>
      <c r="V738" s="146"/>
      <c r="W738" s="162"/>
      <c r="X738" s="148"/>
      <c r="Y738" s="161"/>
      <c r="Z738" s="146"/>
      <c r="AA738" s="162"/>
      <c r="AB738" s="148"/>
      <c r="AC738" s="161"/>
      <c r="AD738" s="146"/>
      <c r="AE738" s="162"/>
      <c r="AF738" s="148"/>
    </row>
    <row r="739">
      <c r="A739" s="161"/>
      <c r="B739" s="146" t="str">
        <f>IF(A739&lt;&gt;"", SUMIF(Bets!$F:$F, A739, Bets!Z:Z), "")</f>
        <v/>
      </c>
      <c r="C739" s="162"/>
      <c r="D739" s="148"/>
      <c r="E739" s="161"/>
      <c r="F739" s="146" t="str">
        <f>IF(E739&lt;&gt;"", SUMIF(Bets!$F:$F, E739, Bets!AB:AB), "")</f>
        <v/>
      </c>
      <c r="G739" s="162"/>
      <c r="H739" s="148"/>
      <c r="I739" s="161"/>
      <c r="J739" s="146" t="str">
        <f>IF(I739&lt;&gt;"", SUMIF(Bets!$F:$F, I739, Bets!AA:AA), "")</f>
        <v/>
      </c>
      <c r="K739" s="162"/>
      <c r="L739" s="148"/>
      <c r="M739" s="161"/>
      <c r="N739" s="146"/>
      <c r="O739" s="162"/>
      <c r="P739" s="148"/>
      <c r="Q739" s="161"/>
      <c r="R739" s="146"/>
      <c r="S739" s="162"/>
      <c r="T739" s="148"/>
      <c r="U739" s="161"/>
      <c r="V739" s="146"/>
      <c r="W739" s="162"/>
      <c r="X739" s="148"/>
      <c r="Y739" s="161"/>
      <c r="Z739" s="146"/>
      <c r="AA739" s="162"/>
      <c r="AB739" s="148"/>
      <c r="AC739" s="161"/>
      <c r="AD739" s="146"/>
      <c r="AE739" s="162"/>
      <c r="AF739" s="148"/>
    </row>
    <row r="740">
      <c r="A740" s="161"/>
      <c r="B740" s="146" t="str">
        <f>IF(A740&lt;&gt;"", SUMIF(Bets!$F:$F, A740, Bets!Z:Z), "")</f>
        <v/>
      </c>
      <c r="C740" s="162"/>
      <c r="D740" s="148"/>
      <c r="E740" s="161"/>
      <c r="F740" s="146" t="str">
        <f>IF(E740&lt;&gt;"", SUMIF(Bets!$F:$F, E740, Bets!AB:AB), "")</f>
        <v/>
      </c>
      <c r="G740" s="162"/>
      <c r="H740" s="148"/>
      <c r="I740" s="161"/>
      <c r="J740" s="146" t="str">
        <f>IF(I740&lt;&gt;"", SUMIF(Bets!$F:$F, I740, Bets!AA:AA), "")</f>
        <v/>
      </c>
      <c r="K740" s="162"/>
      <c r="L740" s="148"/>
      <c r="M740" s="161"/>
      <c r="N740" s="146"/>
      <c r="O740" s="162"/>
      <c r="P740" s="148"/>
      <c r="Q740" s="161"/>
      <c r="R740" s="146"/>
      <c r="S740" s="162"/>
      <c r="T740" s="148"/>
      <c r="U740" s="161"/>
      <c r="V740" s="146"/>
      <c r="W740" s="162"/>
      <c r="X740" s="148"/>
      <c r="Y740" s="161"/>
      <c r="Z740" s="146"/>
      <c r="AA740" s="162"/>
      <c r="AB740" s="148"/>
      <c r="AC740" s="161"/>
      <c r="AD740" s="146"/>
      <c r="AE740" s="162"/>
      <c r="AF740" s="148"/>
    </row>
    <row r="741">
      <c r="A741" s="161"/>
      <c r="B741" s="146" t="str">
        <f>IF(A741&lt;&gt;"", SUMIF(Bets!$F:$F, A741, Bets!Z:Z), "")</f>
        <v/>
      </c>
      <c r="C741" s="162"/>
      <c r="D741" s="148"/>
      <c r="E741" s="161"/>
      <c r="F741" s="146" t="str">
        <f>IF(E741&lt;&gt;"", SUMIF(Bets!$F:$F, E741, Bets!AB:AB), "")</f>
        <v/>
      </c>
      <c r="G741" s="162"/>
      <c r="H741" s="148"/>
      <c r="I741" s="161"/>
      <c r="J741" s="146" t="str">
        <f>IF(I741&lt;&gt;"", SUMIF(Bets!$F:$F, I741, Bets!AA:AA), "")</f>
        <v/>
      </c>
      <c r="K741" s="162"/>
      <c r="L741" s="148"/>
      <c r="M741" s="161"/>
      <c r="N741" s="146"/>
      <c r="O741" s="162"/>
      <c r="P741" s="148"/>
      <c r="Q741" s="161"/>
      <c r="R741" s="146"/>
      <c r="S741" s="162"/>
      <c r="T741" s="148"/>
      <c r="U741" s="161"/>
      <c r="V741" s="146"/>
      <c r="W741" s="162"/>
      <c r="X741" s="148"/>
      <c r="Y741" s="161"/>
      <c r="Z741" s="146"/>
      <c r="AA741" s="162"/>
      <c r="AB741" s="148"/>
      <c r="AC741" s="161"/>
      <c r="AD741" s="146"/>
      <c r="AE741" s="162"/>
      <c r="AF741" s="148"/>
    </row>
    <row r="742">
      <c r="A742" s="161"/>
      <c r="B742" s="146" t="str">
        <f>IF(A742&lt;&gt;"", SUMIF(Bets!$F:$F, A742, Bets!Z:Z), "")</f>
        <v/>
      </c>
      <c r="C742" s="162"/>
      <c r="D742" s="148"/>
      <c r="E742" s="161"/>
      <c r="F742" s="146" t="str">
        <f>IF(E742&lt;&gt;"", SUMIF(Bets!$F:$F, E742, Bets!AB:AB), "")</f>
        <v/>
      </c>
      <c r="G742" s="162"/>
      <c r="H742" s="148"/>
      <c r="I742" s="161"/>
      <c r="J742" s="146" t="str">
        <f>IF(I742&lt;&gt;"", SUMIF(Bets!$F:$F, I742, Bets!AA:AA), "")</f>
        <v/>
      </c>
      <c r="K742" s="162"/>
      <c r="L742" s="148"/>
      <c r="M742" s="161"/>
      <c r="N742" s="146"/>
      <c r="O742" s="162"/>
      <c r="P742" s="148"/>
      <c r="Q742" s="161"/>
      <c r="R742" s="146"/>
      <c r="S742" s="162"/>
      <c r="T742" s="148"/>
      <c r="U742" s="161"/>
      <c r="V742" s="146"/>
      <c r="W742" s="162"/>
      <c r="X742" s="148"/>
      <c r="Y742" s="161"/>
      <c r="Z742" s="146"/>
      <c r="AA742" s="162"/>
      <c r="AB742" s="148"/>
      <c r="AC742" s="161"/>
      <c r="AD742" s="146"/>
      <c r="AE742" s="162"/>
      <c r="AF742" s="148"/>
    </row>
    <row r="743">
      <c r="A743" s="161"/>
      <c r="B743" s="146" t="str">
        <f>IF(A743&lt;&gt;"", SUMIF(Bets!$F:$F, A743, Bets!Z:Z), "")</f>
        <v/>
      </c>
      <c r="C743" s="162"/>
      <c r="D743" s="148"/>
      <c r="E743" s="161"/>
      <c r="F743" s="146" t="str">
        <f>IF(E743&lt;&gt;"", SUMIF(Bets!$F:$F, E743, Bets!AB:AB), "")</f>
        <v/>
      </c>
      <c r="G743" s="162"/>
      <c r="H743" s="148"/>
      <c r="I743" s="161"/>
      <c r="J743" s="146" t="str">
        <f>IF(I743&lt;&gt;"", SUMIF(Bets!$F:$F, I743, Bets!AA:AA), "")</f>
        <v/>
      </c>
      <c r="K743" s="162"/>
      <c r="L743" s="148"/>
      <c r="M743" s="161"/>
      <c r="N743" s="146"/>
      <c r="O743" s="162"/>
      <c r="P743" s="148"/>
      <c r="Q743" s="161"/>
      <c r="R743" s="146"/>
      <c r="S743" s="162"/>
      <c r="T743" s="148"/>
      <c r="U743" s="161"/>
      <c r="V743" s="146"/>
      <c r="W743" s="162"/>
      <c r="X743" s="148"/>
      <c r="Y743" s="161"/>
      <c r="Z743" s="146"/>
      <c r="AA743" s="162"/>
      <c r="AB743" s="148"/>
      <c r="AC743" s="161"/>
      <c r="AD743" s="146"/>
      <c r="AE743" s="162"/>
      <c r="AF743" s="148"/>
    </row>
    <row r="744">
      <c r="A744" s="161"/>
      <c r="B744" s="146" t="str">
        <f>IF(A744&lt;&gt;"", SUMIF(Bets!$F:$F, A744, Bets!Z:Z), "")</f>
        <v/>
      </c>
      <c r="C744" s="162"/>
      <c r="D744" s="148"/>
      <c r="E744" s="161"/>
      <c r="F744" s="146" t="str">
        <f>IF(E744&lt;&gt;"", SUMIF(Bets!$F:$F, E744, Bets!AB:AB), "")</f>
        <v/>
      </c>
      <c r="G744" s="162"/>
      <c r="H744" s="148"/>
      <c r="I744" s="161"/>
      <c r="J744" s="146" t="str">
        <f>IF(I744&lt;&gt;"", SUMIF(Bets!$F:$F, I744, Bets!AA:AA), "")</f>
        <v/>
      </c>
      <c r="K744" s="162"/>
      <c r="L744" s="148"/>
      <c r="M744" s="161"/>
      <c r="N744" s="146"/>
      <c r="O744" s="162"/>
      <c r="P744" s="148"/>
      <c r="Q744" s="161"/>
      <c r="R744" s="146"/>
      <c r="S744" s="162"/>
      <c r="T744" s="148"/>
      <c r="U744" s="161"/>
      <c r="V744" s="146"/>
      <c r="W744" s="162"/>
      <c r="X744" s="148"/>
      <c r="Y744" s="161"/>
      <c r="Z744" s="146"/>
      <c r="AA744" s="162"/>
      <c r="AB744" s="148"/>
      <c r="AC744" s="161"/>
      <c r="AD744" s="146"/>
      <c r="AE744" s="162"/>
      <c r="AF744" s="148"/>
    </row>
    <row r="745">
      <c r="A745" s="161"/>
      <c r="B745" s="146" t="str">
        <f>IF(A745&lt;&gt;"", SUMIF(Bets!$F:$F, A745, Bets!Z:Z), "")</f>
        <v/>
      </c>
      <c r="C745" s="162"/>
      <c r="D745" s="148"/>
      <c r="E745" s="161"/>
      <c r="F745" s="146" t="str">
        <f>IF(E745&lt;&gt;"", SUMIF(Bets!$F:$F, E745, Bets!AB:AB), "")</f>
        <v/>
      </c>
      <c r="G745" s="162"/>
      <c r="H745" s="148"/>
      <c r="I745" s="161"/>
      <c r="J745" s="146" t="str">
        <f>IF(I745&lt;&gt;"", SUMIF(Bets!$F:$F, I745, Bets!AA:AA), "")</f>
        <v/>
      </c>
      <c r="K745" s="162"/>
      <c r="L745" s="148"/>
      <c r="M745" s="161"/>
      <c r="N745" s="146"/>
      <c r="O745" s="162"/>
      <c r="P745" s="148"/>
      <c r="Q745" s="161"/>
      <c r="R745" s="146"/>
      <c r="S745" s="162"/>
      <c r="T745" s="148"/>
      <c r="U745" s="161"/>
      <c r="V745" s="146"/>
      <c r="W745" s="162"/>
      <c r="X745" s="148"/>
      <c r="Y745" s="161"/>
      <c r="Z745" s="146"/>
      <c r="AA745" s="162"/>
      <c r="AB745" s="148"/>
      <c r="AC745" s="161"/>
      <c r="AD745" s="146"/>
      <c r="AE745" s="162"/>
      <c r="AF745" s="148"/>
    </row>
    <row r="746">
      <c r="A746" s="161"/>
      <c r="B746" s="146" t="str">
        <f>IF(A746&lt;&gt;"", SUMIF(Bets!$F:$F, A746, Bets!Z:Z), "")</f>
        <v/>
      </c>
      <c r="C746" s="162"/>
      <c r="D746" s="148"/>
      <c r="E746" s="161"/>
      <c r="F746" s="146" t="str">
        <f>IF(E746&lt;&gt;"", SUMIF(Bets!$F:$F, E746, Bets!AB:AB), "")</f>
        <v/>
      </c>
      <c r="G746" s="162"/>
      <c r="H746" s="148"/>
      <c r="I746" s="161"/>
      <c r="J746" s="146" t="str">
        <f>IF(I746&lt;&gt;"", SUMIF(Bets!$F:$F, I746, Bets!AA:AA), "")</f>
        <v/>
      </c>
      <c r="K746" s="162"/>
      <c r="L746" s="148"/>
      <c r="M746" s="161"/>
      <c r="N746" s="146"/>
      <c r="O746" s="162"/>
      <c r="P746" s="148"/>
      <c r="Q746" s="161"/>
      <c r="R746" s="146"/>
      <c r="S746" s="162"/>
      <c r="T746" s="148"/>
      <c r="U746" s="161"/>
      <c r="V746" s="146"/>
      <c r="W746" s="162"/>
      <c r="X746" s="148"/>
      <c r="Y746" s="161"/>
      <c r="Z746" s="146"/>
      <c r="AA746" s="162"/>
      <c r="AB746" s="148"/>
      <c r="AC746" s="161"/>
      <c r="AD746" s="146"/>
      <c r="AE746" s="162"/>
      <c r="AF746" s="148"/>
    </row>
    <row r="747">
      <c r="A747" s="161"/>
      <c r="B747" s="146" t="str">
        <f>IF(A747&lt;&gt;"", SUMIF(Bets!$F:$F, A747, Bets!Z:Z), "")</f>
        <v/>
      </c>
      <c r="C747" s="162"/>
      <c r="D747" s="148"/>
      <c r="E747" s="161"/>
      <c r="F747" s="146" t="str">
        <f>IF(E747&lt;&gt;"", SUMIF(Bets!$F:$F, E747, Bets!AB:AB), "")</f>
        <v/>
      </c>
      <c r="G747" s="162"/>
      <c r="H747" s="148"/>
      <c r="I747" s="161"/>
      <c r="J747" s="146" t="str">
        <f>IF(I747&lt;&gt;"", SUMIF(Bets!$F:$F, I747, Bets!AA:AA), "")</f>
        <v/>
      </c>
      <c r="K747" s="162"/>
      <c r="L747" s="148"/>
      <c r="M747" s="161"/>
      <c r="N747" s="146"/>
      <c r="O747" s="162"/>
      <c r="P747" s="148"/>
      <c r="Q747" s="161"/>
      <c r="R747" s="146"/>
      <c r="S747" s="162"/>
      <c r="T747" s="148"/>
      <c r="U747" s="161"/>
      <c r="V747" s="146"/>
      <c r="W747" s="162"/>
      <c r="X747" s="148"/>
      <c r="Y747" s="161"/>
      <c r="Z747" s="146"/>
      <c r="AA747" s="162"/>
      <c r="AB747" s="148"/>
      <c r="AC747" s="161"/>
      <c r="AD747" s="146"/>
      <c r="AE747" s="162"/>
      <c r="AF747" s="148"/>
    </row>
    <row r="748">
      <c r="A748" s="161"/>
      <c r="B748" s="146" t="str">
        <f>IF(A748&lt;&gt;"", SUMIF(Bets!$F:$F, A748, Bets!Z:Z), "")</f>
        <v/>
      </c>
      <c r="C748" s="162"/>
      <c r="D748" s="148"/>
      <c r="E748" s="161"/>
      <c r="F748" s="146" t="str">
        <f>IF(E748&lt;&gt;"", SUMIF(Bets!$F:$F, E748, Bets!AB:AB), "")</f>
        <v/>
      </c>
      <c r="G748" s="162"/>
      <c r="H748" s="148"/>
      <c r="I748" s="161"/>
      <c r="J748" s="146" t="str">
        <f>IF(I748&lt;&gt;"", SUMIF(Bets!$F:$F, I748, Bets!AA:AA), "")</f>
        <v/>
      </c>
      <c r="K748" s="162"/>
      <c r="L748" s="148"/>
      <c r="M748" s="161"/>
      <c r="N748" s="146"/>
      <c r="O748" s="162"/>
      <c r="P748" s="148"/>
      <c r="Q748" s="161"/>
      <c r="R748" s="146"/>
      <c r="S748" s="162"/>
      <c r="T748" s="148"/>
      <c r="U748" s="161"/>
      <c r="V748" s="146"/>
      <c r="W748" s="162"/>
      <c r="X748" s="148"/>
      <c r="Y748" s="161"/>
      <c r="Z748" s="146"/>
      <c r="AA748" s="162"/>
      <c r="AB748" s="148"/>
      <c r="AC748" s="161"/>
      <c r="AD748" s="146"/>
      <c r="AE748" s="162"/>
      <c r="AF748" s="148"/>
    </row>
    <row r="749">
      <c r="A749" s="161"/>
      <c r="B749" s="146" t="str">
        <f>IF(A749&lt;&gt;"", SUMIF(Bets!$F:$F, A749, Bets!Z:Z), "")</f>
        <v/>
      </c>
      <c r="C749" s="162"/>
      <c r="D749" s="148"/>
      <c r="E749" s="161"/>
      <c r="F749" s="146" t="str">
        <f>IF(E749&lt;&gt;"", SUMIF(Bets!$F:$F, E749, Bets!AB:AB), "")</f>
        <v/>
      </c>
      <c r="G749" s="162"/>
      <c r="H749" s="148"/>
      <c r="I749" s="161"/>
      <c r="J749" s="146" t="str">
        <f>IF(I749&lt;&gt;"", SUMIF(Bets!$F:$F, I749, Bets!AA:AA), "")</f>
        <v/>
      </c>
      <c r="K749" s="162"/>
      <c r="L749" s="148"/>
      <c r="M749" s="161"/>
      <c r="N749" s="146"/>
      <c r="O749" s="162"/>
      <c r="P749" s="148"/>
      <c r="Q749" s="161"/>
      <c r="R749" s="146"/>
      <c r="S749" s="162"/>
      <c r="T749" s="148"/>
      <c r="U749" s="161"/>
      <c r="V749" s="146"/>
      <c r="W749" s="162"/>
      <c r="X749" s="148"/>
      <c r="Y749" s="161"/>
      <c r="Z749" s="146"/>
      <c r="AA749" s="162"/>
      <c r="AB749" s="148"/>
      <c r="AC749" s="161"/>
      <c r="AD749" s="146"/>
      <c r="AE749" s="162"/>
      <c r="AF749" s="148"/>
    </row>
    <row r="750">
      <c r="A750" s="161"/>
      <c r="B750" s="146" t="str">
        <f>IF(A750&lt;&gt;"", SUMIF(Bets!$F:$F, A750, Bets!Z:Z), "")</f>
        <v/>
      </c>
      <c r="C750" s="162"/>
      <c r="D750" s="148"/>
      <c r="E750" s="161"/>
      <c r="F750" s="146" t="str">
        <f>IF(E750&lt;&gt;"", SUMIF(Bets!$F:$F, E750, Bets!AB:AB), "")</f>
        <v/>
      </c>
      <c r="G750" s="162"/>
      <c r="H750" s="148"/>
      <c r="I750" s="161"/>
      <c r="J750" s="146" t="str">
        <f>IF(I750&lt;&gt;"", SUMIF(Bets!$F:$F, I750, Bets!AA:AA), "")</f>
        <v/>
      </c>
      <c r="K750" s="162"/>
      <c r="L750" s="148"/>
      <c r="M750" s="161"/>
      <c r="N750" s="146"/>
      <c r="O750" s="162"/>
      <c r="P750" s="148"/>
      <c r="Q750" s="161"/>
      <c r="R750" s="146"/>
      <c r="S750" s="162"/>
      <c r="T750" s="148"/>
      <c r="U750" s="161"/>
      <c r="V750" s="146"/>
      <c r="W750" s="162"/>
      <c r="X750" s="148"/>
      <c r="Y750" s="161"/>
      <c r="Z750" s="146"/>
      <c r="AA750" s="162"/>
      <c r="AB750" s="148"/>
      <c r="AC750" s="161"/>
      <c r="AD750" s="146"/>
      <c r="AE750" s="162"/>
      <c r="AF750" s="148"/>
    </row>
    <row r="751">
      <c r="A751" s="161"/>
      <c r="B751" s="146" t="str">
        <f>IF(A751&lt;&gt;"", SUMIF(Bets!$F:$F, A751, Bets!Z:Z), "")</f>
        <v/>
      </c>
      <c r="C751" s="162"/>
      <c r="D751" s="148"/>
      <c r="E751" s="161"/>
      <c r="F751" s="146" t="str">
        <f>IF(E751&lt;&gt;"", SUMIF(Bets!$F:$F, E751, Bets!AB:AB), "")</f>
        <v/>
      </c>
      <c r="G751" s="162"/>
      <c r="H751" s="148"/>
      <c r="I751" s="161"/>
      <c r="J751" s="146" t="str">
        <f>IF(I751&lt;&gt;"", SUMIF(Bets!$F:$F, I751, Bets!AA:AA), "")</f>
        <v/>
      </c>
      <c r="K751" s="162"/>
      <c r="L751" s="148"/>
      <c r="M751" s="161"/>
      <c r="N751" s="146"/>
      <c r="O751" s="162"/>
      <c r="P751" s="148"/>
      <c r="Q751" s="161"/>
      <c r="R751" s="146"/>
      <c r="S751" s="162"/>
      <c r="T751" s="148"/>
      <c r="U751" s="161"/>
      <c r="V751" s="146"/>
      <c r="W751" s="162"/>
      <c r="X751" s="148"/>
      <c r="Y751" s="161"/>
      <c r="Z751" s="146"/>
      <c r="AA751" s="162"/>
      <c r="AB751" s="148"/>
      <c r="AC751" s="161"/>
      <c r="AD751" s="146"/>
      <c r="AE751" s="162"/>
      <c r="AF751" s="148"/>
    </row>
    <row r="752">
      <c r="A752" s="161"/>
      <c r="B752" s="146" t="str">
        <f>IF(A752&lt;&gt;"", SUMIF(Bets!$F:$F, A752, Bets!Z:Z), "")</f>
        <v/>
      </c>
      <c r="C752" s="162"/>
      <c r="D752" s="148"/>
      <c r="E752" s="161"/>
      <c r="F752" s="146" t="str">
        <f>IF(E752&lt;&gt;"", SUMIF(Bets!$F:$F, E752, Bets!AB:AB), "")</f>
        <v/>
      </c>
      <c r="G752" s="162"/>
      <c r="H752" s="148"/>
      <c r="I752" s="161"/>
      <c r="J752" s="146" t="str">
        <f>IF(I752&lt;&gt;"", SUMIF(Bets!$F:$F, I752, Bets!AA:AA), "")</f>
        <v/>
      </c>
      <c r="K752" s="162"/>
      <c r="L752" s="148"/>
      <c r="M752" s="161"/>
      <c r="N752" s="146"/>
      <c r="O752" s="162"/>
      <c r="P752" s="148"/>
      <c r="Q752" s="161"/>
      <c r="R752" s="146"/>
      <c r="S752" s="162"/>
      <c r="T752" s="148"/>
      <c r="U752" s="161"/>
      <c r="V752" s="146"/>
      <c r="W752" s="162"/>
      <c r="X752" s="148"/>
      <c r="Y752" s="161"/>
      <c r="Z752" s="146"/>
      <c r="AA752" s="162"/>
      <c r="AB752" s="148"/>
      <c r="AC752" s="161"/>
      <c r="AD752" s="146"/>
      <c r="AE752" s="162"/>
      <c r="AF752" s="148"/>
    </row>
    <row r="753">
      <c r="A753" s="161"/>
      <c r="B753" s="146" t="str">
        <f>IF(A753&lt;&gt;"", SUMIF(Bets!$F:$F, A753, Bets!Z:Z), "")</f>
        <v/>
      </c>
      <c r="C753" s="162"/>
      <c r="D753" s="148"/>
      <c r="E753" s="161"/>
      <c r="F753" s="146" t="str">
        <f>IF(E753&lt;&gt;"", SUMIF(Bets!$F:$F, E753, Bets!AB:AB), "")</f>
        <v/>
      </c>
      <c r="G753" s="162"/>
      <c r="H753" s="148"/>
      <c r="I753" s="161"/>
      <c r="J753" s="146" t="str">
        <f>IF(I753&lt;&gt;"", SUMIF(Bets!$F:$F, I753, Bets!AA:AA), "")</f>
        <v/>
      </c>
      <c r="K753" s="162"/>
      <c r="L753" s="148"/>
      <c r="M753" s="161"/>
      <c r="N753" s="146"/>
      <c r="O753" s="162"/>
      <c r="P753" s="148"/>
      <c r="Q753" s="161"/>
      <c r="R753" s="146"/>
      <c r="S753" s="162"/>
      <c r="T753" s="148"/>
      <c r="U753" s="161"/>
      <c r="V753" s="146"/>
      <c r="W753" s="162"/>
      <c r="X753" s="148"/>
      <c r="Y753" s="161"/>
      <c r="Z753" s="146"/>
      <c r="AA753" s="162"/>
      <c r="AB753" s="148"/>
      <c r="AC753" s="161"/>
      <c r="AD753" s="146"/>
      <c r="AE753" s="162"/>
      <c r="AF753" s="148"/>
    </row>
    <row r="754">
      <c r="A754" s="161"/>
      <c r="B754" s="146" t="str">
        <f>IF(A754&lt;&gt;"", SUMIF(Bets!$F:$F, A754, Bets!Z:Z), "")</f>
        <v/>
      </c>
      <c r="C754" s="162"/>
      <c r="D754" s="148"/>
      <c r="E754" s="161"/>
      <c r="F754" s="146" t="str">
        <f>IF(E754&lt;&gt;"", SUMIF(Bets!$F:$F, E754, Bets!AB:AB), "")</f>
        <v/>
      </c>
      <c r="G754" s="162"/>
      <c r="H754" s="148"/>
      <c r="I754" s="161"/>
      <c r="J754" s="146" t="str">
        <f>IF(I754&lt;&gt;"", SUMIF(Bets!$F:$F, I754, Bets!AA:AA), "")</f>
        <v/>
      </c>
      <c r="K754" s="162"/>
      <c r="L754" s="148"/>
      <c r="M754" s="161"/>
      <c r="N754" s="146"/>
      <c r="O754" s="162"/>
      <c r="P754" s="148"/>
      <c r="Q754" s="161"/>
      <c r="R754" s="146"/>
      <c r="S754" s="162"/>
      <c r="T754" s="148"/>
      <c r="U754" s="161"/>
      <c r="V754" s="146"/>
      <c r="W754" s="162"/>
      <c r="X754" s="148"/>
      <c r="Y754" s="161"/>
      <c r="Z754" s="146"/>
      <c r="AA754" s="162"/>
      <c r="AB754" s="148"/>
      <c r="AC754" s="161"/>
      <c r="AD754" s="146"/>
      <c r="AE754" s="162"/>
      <c r="AF754" s="148"/>
    </row>
    <row r="755">
      <c r="A755" s="161"/>
      <c r="B755" s="146" t="str">
        <f>IF(A755&lt;&gt;"", SUMIF(Bets!$F:$F, A755, Bets!Z:Z), "")</f>
        <v/>
      </c>
      <c r="C755" s="162"/>
      <c r="D755" s="148"/>
      <c r="E755" s="161"/>
      <c r="F755" s="146" t="str">
        <f>IF(E755&lt;&gt;"", SUMIF(Bets!$F:$F, E755, Bets!AB:AB), "")</f>
        <v/>
      </c>
      <c r="G755" s="162"/>
      <c r="H755" s="148"/>
      <c r="I755" s="161"/>
      <c r="J755" s="146" t="str">
        <f>IF(I755&lt;&gt;"", SUMIF(Bets!$F:$F, I755, Bets!AA:AA), "")</f>
        <v/>
      </c>
      <c r="K755" s="162"/>
      <c r="L755" s="148"/>
      <c r="M755" s="161"/>
      <c r="N755" s="146"/>
      <c r="O755" s="162"/>
      <c r="P755" s="148"/>
      <c r="Q755" s="161"/>
      <c r="R755" s="146"/>
      <c r="S755" s="162"/>
      <c r="T755" s="148"/>
      <c r="U755" s="161"/>
      <c r="V755" s="146"/>
      <c r="W755" s="162"/>
      <c r="X755" s="148"/>
      <c r="Y755" s="161"/>
      <c r="Z755" s="146"/>
      <c r="AA755" s="162"/>
      <c r="AB755" s="148"/>
      <c r="AC755" s="161"/>
      <c r="AD755" s="146"/>
      <c r="AE755" s="162"/>
      <c r="AF755" s="148"/>
    </row>
    <row r="756">
      <c r="A756" s="161"/>
      <c r="B756" s="146" t="str">
        <f>IF(A756&lt;&gt;"", SUMIF(Bets!$F:$F, A756, Bets!Z:Z), "")</f>
        <v/>
      </c>
      <c r="C756" s="162"/>
      <c r="D756" s="148"/>
      <c r="E756" s="161"/>
      <c r="F756" s="146" t="str">
        <f>IF(E756&lt;&gt;"", SUMIF(Bets!$F:$F, E756, Bets!AB:AB), "")</f>
        <v/>
      </c>
      <c r="G756" s="162"/>
      <c r="H756" s="148"/>
      <c r="I756" s="161"/>
      <c r="J756" s="146" t="str">
        <f>IF(I756&lt;&gt;"", SUMIF(Bets!$F:$F, I756, Bets!AA:AA), "")</f>
        <v/>
      </c>
      <c r="K756" s="162"/>
      <c r="L756" s="148"/>
      <c r="M756" s="161"/>
      <c r="N756" s="146"/>
      <c r="O756" s="162"/>
      <c r="P756" s="148"/>
      <c r="Q756" s="161"/>
      <c r="R756" s="146"/>
      <c r="S756" s="162"/>
      <c r="T756" s="148"/>
      <c r="U756" s="161"/>
      <c r="V756" s="146"/>
      <c r="W756" s="162"/>
      <c r="X756" s="148"/>
      <c r="Y756" s="161"/>
      <c r="Z756" s="146"/>
      <c r="AA756" s="162"/>
      <c r="AB756" s="148"/>
      <c r="AC756" s="161"/>
      <c r="AD756" s="146"/>
      <c r="AE756" s="162"/>
      <c r="AF756" s="148"/>
    </row>
    <row r="757">
      <c r="A757" s="161"/>
      <c r="B757" s="146" t="str">
        <f>IF(A757&lt;&gt;"", SUMIF(Bets!$F:$F, A757, Bets!Z:Z), "")</f>
        <v/>
      </c>
      <c r="C757" s="162"/>
      <c r="D757" s="148"/>
      <c r="E757" s="161"/>
      <c r="F757" s="146" t="str">
        <f>IF(E757&lt;&gt;"", SUMIF(Bets!$F:$F, E757, Bets!AB:AB), "")</f>
        <v/>
      </c>
      <c r="G757" s="162"/>
      <c r="H757" s="148"/>
      <c r="I757" s="161"/>
      <c r="J757" s="146" t="str">
        <f>IF(I757&lt;&gt;"", SUMIF(Bets!$F:$F, I757, Bets!AA:AA), "")</f>
        <v/>
      </c>
      <c r="K757" s="162"/>
      <c r="L757" s="148"/>
      <c r="M757" s="161"/>
      <c r="N757" s="146"/>
      <c r="O757" s="162"/>
      <c r="P757" s="148"/>
      <c r="Q757" s="161"/>
      <c r="R757" s="146"/>
      <c r="S757" s="162"/>
      <c r="T757" s="148"/>
      <c r="U757" s="161"/>
      <c r="V757" s="146"/>
      <c r="W757" s="162"/>
      <c r="X757" s="148"/>
      <c r="Y757" s="161"/>
      <c r="Z757" s="146"/>
      <c r="AA757" s="162"/>
      <c r="AB757" s="148"/>
      <c r="AC757" s="161"/>
      <c r="AD757" s="146"/>
      <c r="AE757" s="162"/>
      <c r="AF757" s="148"/>
    </row>
    <row r="758">
      <c r="A758" s="161"/>
      <c r="B758" s="146" t="str">
        <f>IF(A758&lt;&gt;"", SUMIF(Bets!$F:$F, A758, Bets!Z:Z), "")</f>
        <v/>
      </c>
      <c r="C758" s="162"/>
      <c r="D758" s="148"/>
      <c r="E758" s="161"/>
      <c r="F758" s="146" t="str">
        <f>IF(E758&lt;&gt;"", SUMIF(Bets!$F:$F, E758, Bets!AB:AB), "")</f>
        <v/>
      </c>
      <c r="G758" s="162"/>
      <c r="H758" s="148"/>
      <c r="I758" s="161"/>
      <c r="J758" s="146" t="str">
        <f>IF(I758&lt;&gt;"", SUMIF(Bets!$F:$F, I758, Bets!AA:AA), "")</f>
        <v/>
      </c>
      <c r="K758" s="162"/>
      <c r="L758" s="148"/>
      <c r="M758" s="161"/>
      <c r="N758" s="146"/>
      <c r="O758" s="162"/>
      <c r="P758" s="148"/>
      <c r="Q758" s="161"/>
      <c r="R758" s="146"/>
      <c r="S758" s="162"/>
      <c r="T758" s="148"/>
      <c r="U758" s="161"/>
      <c r="V758" s="146"/>
      <c r="W758" s="162"/>
      <c r="X758" s="148"/>
      <c r="Y758" s="161"/>
      <c r="Z758" s="146"/>
      <c r="AA758" s="162"/>
      <c r="AB758" s="148"/>
      <c r="AC758" s="161"/>
      <c r="AD758" s="146"/>
      <c r="AE758" s="162"/>
      <c r="AF758" s="148"/>
    </row>
    <row r="759">
      <c r="A759" s="161"/>
      <c r="B759" s="146" t="str">
        <f>IF(A759&lt;&gt;"", SUMIF(Bets!$F:$F, A759, Bets!Z:Z), "")</f>
        <v/>
      </c>
      <c r="C759" s="162"/>
      <c r="D759" s="148"/>
      <c r="E759" s="161"/>
      <c r="F759" s="146" t="str">
        <f>IF(E759&lt;&gt;"", SUMIF(Bets!$F:$F, E759, Bets!AB:AB), "")</f>
        <v/>
      </c>
      <c r="G759" s="162"/>
      <c r="H759" s="148"/>
      <c r="I759" s="161"/>
      <c r="J759" s="146" t="str">
        <f>IF(I759&lt;&gt;"", SUMIF(Bets!$F:$F, I759, Bets!AA:AA), "")</f>
        <v/>
      </c>
      <c r="K759" s="162"/>
      <c r="L759" s="148"/>
      <c r="M759" s="161"/>
      <c r="N759" s="146"/>
      <c r="O759" s="162"/>
      <c r="P759" s="148"/>
      <c r="Q759" s="161"/>
      <c r="R759" s="146"/>
      <c r="S759" s="162"/>
      <c r="T759" s="148"/>
      <c r="U759" s="161"/>
      <c r="V759" s="146"/>
      <c r="W759" s="162"/>
      <c r="X759" s="148"/>
      <c r="Y759" s="161"/>
      <c r="Z759" s="146"/>
      <c r="AA759" s="162"/>
      <c r="AB759" s="148"/>
      <c r="AC759" s="161"/>
      <c r="AD759" s="146"/>
      <c r="AE759" s="162"/>
      <c r="AF759" s="148"/>
    </row>
    <row r="760">
      <c r="A760" s="161"/>
      <c r="B760" s="146" t="str">
        <f>IF(A760&lt;&gt;"", SUMIF(Bets!$F:$F, A760, Bets!Z:Z), "")</f>
        <v/>
      </c>
      <c r="C760" s="162"/>
      <c r="D760" s="148"/>
      <c r="E760" s="161"/>
      <c r="F760" s="146" t="str">
        <f>IF(E760&lt;&gt;"", SUMIF(Bets!$F:$F, E760, Bets!AB:AB), "")</f>
        <v/>
      </c>
      <c r="G760" s="162"/>
      <c r="H760" s="148"/>
      <c r="I760" s="161"/>
      <c r="J760" s="146" t="str">
        <f>IF(I760&lt;&gt;"", SUMIF(Bets!$F:$F, I760, Bets!AA:AA), "")</f>
        <v/>
      </c>
      <c r="K760" s="162"/>
      <c r="L760" s="148"/>
      <c r="M760" s="161"/>
      <c r="N760" s="146"/>
      <c r="O760" s="162"/>
      <c r="P760" s="148"/>
      <c r="Q760" s="161"/>
      <c r="R760" s="146"/>
      <c r="S760" s="162"/>
      <c r="T760" s="148"/>
      <c r="U760" s="161"/>
      <c r="V760" s="146"/>
      <c r="W760" s="162"/>
      <c r="X760" s="148"/>
      <c r="Y760" s="161"/>
      <c r="Z760" s="146"/>
      <c r="AA760" s="162"/>
      <c r="AB760" s="148"/>
      <c r="AC760" s="161"/>
      <c r="AD760" s="146"/>
      <c r="AE760" s="162"/>
      <c r="AF760" s="148"/>
    </row>
    <row r="761">
      <c r="A761" s="161"/>
      <c r="B761" s="146" t="str">
        <f>IF(A761&lt;&gt;"", SUMIF(Bets!$F:$F, A761, Bets!Z:Z), "")</f>
        <v/>
      </c>
      <c r="C761" s="162"/>
      <c r="D761" s="148"/>
      <c r="E761" s="161"/>
      <c r="F761" s="146" t="str">
        <f>IF(E761&lt;&gt;"", SUMIF(Bets!$F:$F, E761, Bets!AB:AB), "")</f>
        <v/>
      </c>
      <c r="G761" s="162"/>
      <c r="H761" s="148"/>
      <c r="I761" s="161"/>
      <c r="J761" s="146" t="str">
        <f>IF(I761&lt;&gt;"", SUMIF(Bets!$F:$F, I761, Bets!AA:AA), "")</f>
        <v/>
      </c>
      <c r="K761" s="162"/>
      <c r="L761" s="148"/>
      <c r="M761" s="161"/>
      <c r="N761" s="146"/>
      <c r="O761" s="162"/>
      <c r="P761" s="148"/>
      <c r="Q761" s="161"/>
      <c r="R761" s="146"/>
      <c r="S761" s="162"/>
      <c r="T761" s="148"/>
      <c r="U761" s="161"/>
      <c r="V761" s="146"/>
      <c r="W761" s="162"/>
      <c r="X761" s="148"/>
      <c r="Y761" s="161"/>
      <c r="Z761" s="146"/>
      <c r="AA761" s="162"/>
      <c r="AB761" s="148"/>
      <c r="AC761" s="161"/>
      <c r="AD761" s="146"/>
      <c r="AE761" s="162"/>
      <c r="AF761" s="148"/>
    </row>
    <row r="762">
      <c r="A762" s="161"/>
      <c r="B762" s="146" t="str">
        <f>IF(A762&lt;&gt;"", SUMIF(Bets!$F:$F, A762, Bets!Z:Z), "")</f>
        <v/>
      </c>
      <c r="C762" s="162"/>
      <c r="D762" s="148"/>
      <c r="E762" s="161"/>
      <c r="F762" s="146" t="str">
        <f>IF(E762&lt;&gt;"", SUMIF(Bets!$F:$F, E762, Bets!AB:AB), "")</f>
        <v/>
      </c>
      <c r="G762" s="162"/>
      <c r="H762" s="148"/>
      <c r="I762" s="161"/>
      <c r="J762" s="146" t="str">
        <f>IF(I762&lt;&gt;"", SUMIF(Bets!$F:$F, I762, Bets!AA:AA), "")</f>
        <v/>
      </c>
      <c r="K762" s="162"/>
      <c r="L762" s="148"/>
      <c r="M762" s="161"/>
      <c r="N762" s="146"/>
      <c r="O762" s="162"/>
      <c r="P762" s="148"/>
      <c r="Q762" s="161"/>
      <c r="R762" s="146"/>
      <c r="S762" s="162"/>
      <c r="T762" s="148"/>
      <c r="U762" s="161"/>
      <c r="V762" s="146"/>
      <c r="W762" s="162"/>
      <c r="X762" s="148"/>
      <c r="Y762" s="161"/>
      <c r="Z762" s="146"/>
      <c r="AA762" s="162"/>
      <c r="AB762" s="148"/>
      <c r="AC762" s="161"/>
      <c r="AD762" s="146"/>
      <c r="AE762" s="162"/>
      <c r="AF762" s="148"/>
    </row>
    <row r="763">
      <c r="A763" s="161"/>
      <c r="B763" s="146" t="str">
        <f>IF(A763&lt;&gt;"", SUMIF(Bets!$F:$F, A763, Bets!Z:Z), "")</f>
        <v/>
      </c>
      <c r="C763" s="162"/>
      <c r="D763" s="148"/>
      <c r="E763" s="161"/>
      <c r="F763" s="146" t="str">
        <f>IF(E763&lt;&gt;"", SUMIF(Bets!$F:$F, E763, Bets!AB:AB), "")</f>
        <v/>
      </c>
      <c r="G763" s="162"/>
      <c r="H763" s="148"/>
      <c r="I763" s="161"/>
      <c r="J763" s="146" t="str">
        <f>IF(I763&lt;&gt;"", SUMIF(Bets!$F:$F, I763, Bets!AA:AA), "")</f>
        <v/>
      </c>
      <c r="K763" s="162"/>
      <c r="L763" s="148"/>
      <c r="M763" s="161"/>
      <c r="N763" s="146"/>
      <c r="O763" s="162"/>
      <c r="P763" s="148"/>
      <c r="Q763" s="161"/>
      <c r="R763" s="146"/>
      <c r="S763" s="162"/>
      <c r="T763" s="148"/>
      <c r="U763" s="161"/>
      <c r="V763" s="146"/>
      <c r="W763" s="162"/>
      <c r="X763" s="148"/>
      <c r="Y763" s="161"/>
      <c r="Z763" s="146"/>
      <c r="AA763" s="162"/>
      <c r="AB763" s="148"/>
      <c r="AC763" s="161"/>
      <c r="AD763" s="146"/>
      <c r="AE763" s="162"/>
      <c r="AF763" s="148"/>
    </row>
    <row r="764">
      <c r="A764" s="161"/>
      <c r="B764" s="146" t="str">
        <f>IF(A764&lt;&gt;"", SUMIF(Bets!$F:$F, A764, Bets!Z:Z), "")</f>
        <v/>
      </c>
      <c r="C764" s="162"/>
      <c r="D764" s="148"/>
      <c r="E764" s="161"/>
      <c r="F764" s="146" t="str">
        <f>IF(E764&lt;&gt;"", SUMIF(Bets!$F:$F, E764, Bets!AB:AB), "")</f>
        <v/>
      </c>
      <c r="G764" s="162"/>
      <c r="H764" s="148"/>
      <c r="I764" s="161"/>
      <c r="J764" s="146" t="str">
        <f>IF(I764&lt;&gt;"", SUMIF(Bets!$F:$F, I764, Bets!AA:AA), "")</f>
        <v/>
      </c>
      <c r="K764" s="162"/>
      <c r="L764" s="148"/>
      <c r="M764" s="161"/>
      <c r="N764" s="146"/>
      <c r="O764" s="162"/>
      <c r="P764" s="148"/>
      <c r="Q764" s="161"/>
      <c r="R764" s="146"/>
      <c r="S764" s="162"/>
      <c r="T764" s="148"/>
      <c r="U764" s="161"/>
      <c r="V764" s="146"/>
      <c r="W764" s="162"/>
      <c r="X764" s="148"/>
      <c r="Y764" s="161"/>
      <c r="Z764" s="146"/>
      <c r="AA764" s="162"/>
      <c r="AB764" s="148"/>
      <c r="AC764" s="161"/>
      <c r="AD764" s="146"/>
      <c r="AE764" s="162"/>
      <c r="AF764" s="148"/>
    </row>
    <row r="765">
      <c r="A765" s="161"/>
      <c r="B765" s="146" t="str">
        <f>IF(A765&lt;&gt;"", SUMIF(Bets!$F:$F, A765, Bets!Z:Z), "")</f>
        <v/>
      </c>
      <c r="C765" s="162"/>
      <c r="D765" s="148"/>
      <c r="E765" s="161"/>
      <c r="F765" s="146" t="str">
        <f>IF(E765&lt;&gt;"", SUMIF(Bets!$F:$F, E765, Bets!AB:AB), "")</f>
        <v/>
      </c>
      <c r="G765" s="162"/>
      <c r="H765" s="148"/>
      <c r="I765" s="161"/>
      <c r="J765" s="146" t="str">
        <f>IF(I765&lt;&gt;"", SUMIF(Bets!$F:$F, I765, Bets!AA:AA), "")</f>
        <v/>
      </c>
      <c r="K765" s="162"/>
      <c r="L765" s="148"/>
      <c r="M765" s="161"/>
      <c r="N765" s="146"/>
      <c r="O765" s="162"/>
      <c r="P765" s="148"/>
      <c r="Q765" s="161"/>
      <c r="R765" s="146"/>
      <c r="S765" s="162"/>
      <c r="T765" s="148"/>
      <c r="U765" s="161"/>
      <c r="V765" s="146"/>
      <c r="W765" s="162"/>
      <c r="X765" s="148"/>
      <c r="Y765" s="161"/>
      <c r="Z765" s="146"/>
      <c r="AA765" s="162"/>
      <c r="AB765" s="148"/>
      <c r="AC765" s="161"/>
      <c r="AD765" s="146"/>
      <c r="AE765" s="162"/>
      <c r="AF765" s="148"/>
    </row>
    <row r="766">
      <c r="A766" s="161"/>
      <c r="B766" s="146" t="str">
        <f>IF(A766&lt;&gt;"", SUMIF(Bets!$F:$F, A766, Bets!Z:Z), "")</f>
        <v/>
      </c>
      <c r="C766" s="162"/>
      <c r="D766" s="148"/>
      <c r="E766" s="161"/>
      <c r="F766" s="146" t="str">
        <f>IF(E766&lt;&gt;"", SUMIF(Bets!$F:$F, E766, Bets!AB:AB), "")</f>
        <v/>
      </c>
      <c r="G766" s="162"/>
      <c r="H766" s="148"/>
      <c r="I766" s="161"/>
      <c r="J766" s="146" t="str">
        <f>IF(I766&lt;&gt;"", SUMIF(Bets!$F:$F, I766, Bets!AA:AA), "")</f>
        <v/>
      </c>
      <c r="K766" s="162"/>
      <c r="L766" s="148"/>
      <c r="M766" s="161"/>
      <c r="N766" s="146"/>
      <c r="O766" s="162"/>
      <c r="P766" s="148"/>
      <c r="Q766" s="161"/>
      <c r="R766" s="146"/>
      <c r="S766" s="162"/>
      <c r="T766" s="148"/>
      <c r="U766" s="161"/>
      <c r="V766" s="146"/>
      <c r="W766" s="162"/>
      <c r="X766" s="148"/>
      <c r="Y766" s="161"/>
      <c r="Z766" s="146"/>
      <c r="AA766" s="162"/>
      <c r="AB766" s="148"/>
      <c r="AC766" s="161"/>
      <c r="AD766" s="146"/>
      <c r="AE766" s="162"/>
      <c r="AF766" s="148"/>
    </row>
    <row r="767">
      <c r="A767" s="161"/>
      <c r="B767" s="146" t="str">
        <f>IF(A767&lt;&gt;"", SUMIF(Bets!$F:$F, A767, Bets!Z:Z), "")</f>
        <v/>
      </c>
      <c r="C767" s="162"/>
      <c r="D767" s="148"/>
      <c r="E767" s="161"/>
      <c r="F767" s="146" t="str">
        <f>IF(E767&lt;&gt;"", SUMIF(Bets!$F:$F, E767, Bets!AB:AB), "")</f>
        <v/>
      </c>
      <c r="G767" s="162"/>
      <c r="H767" s="148"/>
      <c r="I767" s="161"/>
      <c r="J767" s="146" t="str">
        <f>IF(I767&lt;&gt;"", SUMIF(Bets!$F:$F, I767, Bets!AA:AA), "")</f>
        <v/>
      </c>
      <c r="K767" s="162"/>
      <c r="L767" s="148"/>
      <c r="M767" s="161"/>
      <c r="N767" s="146"/>
      <c r="O767" s="162"/>
      <c r="P767" s="148"/>
      <c r="Q767" s="161"/>
      <c r="R767" s="146"/>
      <c r="S767" s="162"/>
      <c r="T767" s="148"/>
      <c r="U767" s="161"/>
      <c r="V767" s="146"/>
      <c r="W767" s="162"/>
      <c r="X767" s="148"/>
      <c r="Y767" s="161"/>
      <c r="Z767" s="146"/>
      <c r="AA767" s="162"/>
      <c r="AB767" s="148"/>
      <c r="AC767" s="161"/>
      <c r="AD767" s="146"/>
      <c r="AE767" s="162"/>
      <c r="AF767" s="148"/>
    </row>
    <row r="768">
      <c r="A768" s="161"/>
      <c r="B768" s="146" t="str">
        <f>IF(A768&lt;&gt;"", SUMIF(Bets!$F:$F, A768, Bets!Z:Z), "")</f>
        <v/>
      </c>
      <c r="C768" s="162"/>
      <c r="D768" s="148"/>
      <c r="E768" s="161"/>
      <c r="F768" s="146" t="str">
        <f>IF(E768&lt;&gt;"", SUMIF(Bets!$F:$F, E768, Bets!AB:AB), "")</f>
        <v/>
      </c>
      <c r="G768" s="162"/>
      <c r="H768" s="148"/>
      <c r="I768" s="161"/>
      <c r="J768" s="146" t="str">
        <f>IF(I768&lt;&gt;"", SUMIF(Bets!$F:$F, I768, Bets!AA:AA), "")</f>
        <v/>
      </c>
      <c r="K768" s="162"/>
      <c r="L768" s="148"/>
      <c r="M768" s="161"/>
      <c r="N768" s="146"/>
      <c r="O768" s="162"/>
      <c r="P768" s="148"/>
      <c r="Q768" s="161"/>
      <c r="R768" s="146"/>
      <c r="S768" s="162"/>
      <c r="T768" s="148"/>
      <c r="U768" s="161"/>
      <c r="V768" s="146"/>
      <c r="W768" s="162"/>
      <c r="X768" s="148"/>
      <c r="Y768" s="161"/>
      <c r="Z768" s="146"/>
      <c r="AA768" s="162"/>
      <c r="AB768" s="148"/>
      <c r="AC768" s="161"/>
      <c r="AD768" s="146"/>
      <c r="AE768" s="162"/>
      <c r="AF768" s="148"/>
    </row>
    <row r="769">
      <c r="A769" s="161"/>
      <c r="B769" s="146" t="str">
        <f>IF(A769&lt;&gt;"", SUMIF(Bets!$F:$F, A769, Bets!Z:Z), "")</f>
        <v/>
      </c>
      <c r="C769" s="162"/>
      <c r="D769" s="148"/>
      <c r="E769" s="161"/>
      <c r="F769" s="146" t="str">
        <f>IF(E769&lt;&gt;"", SUMIF(Bets!$F:$F, E769, Bets!AB:AB), "")</f>
        <v/>
      </c>
      <c r="G769" s="162"/>
      <c r="H769" s="148"/>
      <c r="I769" s="161"/>
      <c r="J769" s="146" t="str">
        <f>IF(I769&lt;&gt;"", SUMIF(Bets!$F:$F, I769, Bets!AA:AA), "")</f>
        <v/>
      </c>
      <c r="K769" s="162"/>
      <c r="L769" s="148"/>
      <c r="M769" s="161"/>
      <c r="N769" s="146"/>
      <c r="O769" s="162"/>
      <c r="P769" s="148"/>
      <c r="Q769" s="161"/>
      <c r="R769" s="146"/>
      <c r="S769" s="162"/>
      <c r="T769" s="148"/>
      <c r="U769" s="161"/>
      <c r="V769" s="146"/>
      <c r="W769" s="162"/>
      <c r="X769" s="148"/>
      <c r="Y769" s="161"/>
      <c r="Z769" s="146"/>
      <c r="AA769" s="162"/>
      <c r="AB769" s="148"/>
      <c r="AC769" s="161"/>
      <c r="AD769" s="146"/>
      <c r="AE769" s="162"/>
      <c r="AF769" s="148"/>
    </row>
    <row r="770">
      <c r="A770" s="161"/>
      <c r="B770" s="146" t="str">
        <f>IF(A770&lt;&gt;"", SUMIF(Bets!$F:$F, A770, Bets!Z:Z), "")</f>
        <v/>
      </c>
      <c r="C770" s="162"/>
      <c r="D770" s="148"/>
      <c r="E770" s="161"/>
      <c r="F770" s="146" t="str">
        <f>IF(E770&lt;&gt;"", SUMIF(Bets!$F:$F, E770, Bets!AB:AB), "")</f>
        <v/>
      </c>
      <c r="G770" s="162"/>
      <c r="H770" s="148"/>
      <c r="I770" s="161"/>
      <c r="J770" s="146" t="str">
        <f>IF(I770&lt;&gt;"", SUMIF(Bets!$F:$F, I770, Bets!AA:AA), "")</f>
        <v/>
      </c>
      <c r="K770" s="162"/>
      <c r="L770" s="148"/>
      <c r="M770" s="161"/>
      <c r="N770" s="146"/>
      <c r="O770" s="162"/>
      <c r="P770" s="148"/>
      <c r="Q770" s="161"/>
      <c r="R770" s="146"/>
      <c r="S770" s="162"/>
      <c r="T770" s="148"/>
      <c r="U770" s="161"/>
      <c r="V770" s="146"/>
      <c r="W770" s="162"/>
      <c r="X770" s="148"/>
      <c r="Y770" s="161"/>
      <c r="Z770" s="146"/>
      <c r="AA770" s="162"/>
      <c r="AB770" s="148"/>
      <c r="AC770" s="161"/>
      <c r="AD770" s="146"/>
      <c r="AE770" s="162"/>
      <c r="AF770" s="148"/>
    </row>
    <row r="771">
      <c r="A771" s="161"/>
      <c r="B771" s="146" t="str">
        <f>IF(A771&lt;&gt;"", SUMIF(Bets!$F:$F, A771, Bets!Z:Z), "")</f>
        <v/>
      </c>
      <c r="C771" s="162"/>
      <c r="D771" s="148"/>
      <c r="E771" s="161"/>
      <c r="F771" s="146" t="str">
        <f>IF(E771&lt;&gt;"", SUMIF(Bets!$F:$F, E771, Bets!AB:AB), "")</f>
        <v/>
      </c>
      <c r="G771" s="162"/>
      <c r="H771" s="148"/>
      <c r="I771" s="161"/>
      <c r="J771" s="146" t="str">
        <f>IF(I771&lt;&gt;"", SUMIF(Bets!$F:$F, I771, Bets!AA:AA), "")</f>
        <v/>
      </c>
      <c r="K771" s="162"/>
      <c r="L771" s="148"/>
      <c r="M771" s="161"/>
      <c r="N771" s="146"/>
      <c r="O771" s="162"/>
      <c r="P771" s="148"/>
      <c r="Q771" s="161"/>
      <c r="R771" s="146"/>
      <c r="S771" s="162"/>
      <c r="T771" s="148"/>
      <c r="U771" s="161"/>
      <c r="V771" s="146"/>
      <c r="W771" s="162"/>
      <c r="X771" s="148"/>
      <c r="Y771" s="161"/>
      <c r="Z771" s="146"/>
      <c r="AA771" s="162"/>
      <c r="AB771" s="148"/>
      <c r="AC771" s="161"/>
      <c r="AD771" s="146"/>
      <c r="AE771" s="162"/>
      <c r="AF771" s="148"/>
    </row>
    <row r="772">
      <c r="A772" s="161"/>
      <c r="B772" s="146" t="str">
        <f>IF(A772&lt;&gt;"", SUMIF(Bets!$F:$F, A772, Bets!Z:Z), "")</f>
        <v/>
      </c>
      <c r="C772" s="162"/>
      <c r="D772" s="148"/>
      <c r="E772" s="161"/>
      <c r="F772" s="146" t="str">
        <f>IF(E772&lt;&gt;"", SUMIF(Bets!$F:$F, E772, Bets!AB:AB), "")</f>
        <v/>
      </c>
      <c r="G772" s="162"/>
      <c r="H772" s="148"/>
      <c r="I772" s="161"/>
      <c r="J772" s="146" t="str">
        <f>IF(I772&lt;&gt;"", SUMIF(Bets!$F:$F, I772, Bets!AA:AA), "")</f>
        <v/>
      </c>
      <c r="K772" s="162"/>
      <c r="L772" s="148"/>
      <c r="M772" s="161"/>
      <c r="N772" s="146"/>
      <c r="O772" s="162"/>
      <c r="P772" s="148"/>
      <c r="Q772" s="161"/>
      <c r="R772" s="146"/>
      <c r="S772" s="162"/>
      <c r="T772" s="148"/>
      <c r="U772" s="161"/>
      <c r="V772" s="146"/>
      <c r="W772" s="162"/>
      <c r="X772" s="148"/>
      <c r="Y772" s="161"/>
      <c r="Z772" s="146"/>
      <c r="AA772" s="162"/>
      <c r="AB772" s="148"/>
      <c r="AC772" s="161"/>
      <c r="AD772" s="146"/>
      <c r="AE772" s="162"/>
      <c r="AF772" s="148"/>
    </row>
    <row r="773">
      <c r="A773" s="161"/>
      <c r="B773" s="146" t="str">
        <f>IF(A773&lt;&gt;"", SUMIF(Bets!$F:$F, A773, Bets!Z:Z), "")</f>
        <v/>
      </c>
      <c r="C773" s="162"/>
      <c r="D773" s="148"/>
      <c r="E773" s="161"/>
      <c r="F773" s="146" t="str">
        <f>IF(E773&lt;&gt;"", SUMIF(Bets!$F:$F, E773, Bets!AB:AB), "")</f>
        <v/>
      </c>
      <c r="G773" s="162"/>
      <c r="H773" s="148"/>
      <c r="I773" s="161"/>
      <c r="J773" s="146" t="str">
        <f>IF(I773&lt;&gt;"", SUMIF(Bets!$F:$F, I773, Bets!AA:AA), "")</f>
        <v/>
      </c>
      <c r="K773" s="162"/>
      <c r="L773" s="148"/>
      <c r="M773" s="161"/>
      <c r="N773" s="146"/>
      <c r="O773" s="162"/>
      <c r="P773" s="148"/>
      <c r="Q773" s="161"/>
      <c r="R773" s="146"/>
      <c r="S773" s="162"/>
      <c r="T773" s="148"/>
      <c r="U773" s="161"/>
      <c r="V773" s="146"/>
      <c r="W773" s="162"/>
      <c r="X773" s="148"/>
      <c r="Y773" s="161"/>
      <c r="Z773" s="146"/>
      <c r="AA773" s="162"/>
      <c r="AB773" s="148"/>
      <c r="AC773" s="161"/>
      <c r="AD773" s="146"/>
      <c r="AE773" s="162"/>
      <c r="AF773" s="148"/>
    </row>
    <row r="774">
      <c r="A774" s="161"/>
      <c r="B774" s="146" t="str">
        <f>IF(A774&lt;&gt;"", SUMIF(Bets!$F:$F, A774, Bets!Z:Z), "")</f>
        <v/>
      </c>
      <c r="C774" s="162"/>
      <c r="D774" s="148"/>
      <c r="E774" s="161"/>
      <c r="F774" s="146" t="str">
        <f>IF(E774&lt;&gt;"", SUMIF(Bets!$F:$F, E774, Bets!AB:AB), "")</f>
        <v/>
      </c>
      <c r="G774" s="162"/>
      <c r="H774" s="148"/>
      <c r="I774" s="161"/>
      <c r="J774" s="146" t="str">
        <f>IF(I774&lt;&gt;"", SUMIF(Bets!$F:$F, I774, Bets!AA:AA), "")</f>
        <v/>
      </c>
      <c r="K774" s="162"/>
      <c r="L774" s="148"/>
      <c r="M774" s="161"/>
      <c r="N774" s="146"/>
      <c r="O774" s="162"/>
      <c r="P774" s="148"/>
      <c r="Q774" s="161"/>
      <c r="R774" s="146"/>
      <c r="S774" s="162"/>
      <c r="T774" s="148"/>
      <c r="U774" s="161"/>
      <c r="V774" s="146"/>
      <c r="W774" s="162"/>
      <c r="X774" s="148"/>
      <c r="Y774" s="161"/>
      <c r="Z774" s="146"/>
      <c r="AA774" s="162"/>
      <c r="AB774" s="148"/>
      <c r="AC774" s="161"/>
      <c r="AD774" s="146"/>
      <c r="AE774" s="162"/>
      <c r="AF774" s="148"/>
    </row>
    <row r="775">
      <c r="A775" s="161"/>
      <c r="B775" s="146" t="str">
        <f>IF(A775&lt;&gt;"", SUMIF(Bets!$F:$F, A775, Bets!Z:Z), "")</f>
        <v/>
      </c>
      <c r="C775" s="162"/>
      <c r="D775" s="148"/>
      <c r="E775" s="161"/>
      <c r="F775" s="146" t="str">
        <f>IF(E775&lt;&gt;"", SUMIF(Bets!$F:$F, E775, Bets!AB:AB), "")</f>
        <v/>
      </c>
      <c r="G775" s="162"/>
      <c r="H775" s="148"/>
      <c r="I775" s="161"/>
      <c r="J775" s="146" t="str">
        <f>IF(I775&lt;&gt;"", SUMIF(Bets!$F:$F, I775, Bets!AA:AA), "")</f>
        <v/>
      </c>
      <c r="K775" s="162"/>
      <c r="L775" s="148"/>
      <c r="M775" s="161"/>
      <c r="N775" s="146"/>
      <c r="O775" s="162"/>
      <c r="P775" s="148"/>
      <c r="Q775" s="161"/>
      <c r="R775" s="146"/>
      <c r="S775" s="162"/>
      <c r="T775" s="148"/>
      <c r="U775" s="161"/>
      <c r="V775" s="146"/>
      <c r="W775" s="162"/>
      <c r="X775" s="148"/>
      <c r="Y775" s="161"/>
      <c r="Z775" s="146"/>
      <c r="AA775" s="162"/>
      <c r="AB775" s="148"/>
      <c r="AC775" s="161"/>
      <c r="AD775" s="146"/>
      <c r="AE775" s="162"/>
      <c r="AF775" s="148"/>
    </row>
    <row r="776">
      <c r="A776" s="161"/>
      <c r="B776" s="146" t="str">
        <f>IF(A776&lt;&gt;"", SUMIF(Bets!$F:$F, A776, Bets!Z:Z), "")</f>
        <v/>
      </c>
      <c r="C776" s="162"/>
      <c r="D776" s="148"/>
      <c r="E776" s="161"/>
      <c r="F776" s="146" t="str">
        <f>IF(E776&lt;&gt;"", SUMIF(Bets!$F:$F, E776, Bets!AB:AB), "")</f>
        <v/>
      </c>
      <c r="G776" s="162"/>
      <c r="H776" s="148"/>
      <c r="I776" s="161"/>
      <c r="J776" s="146" t="str">
        <f>IF(I776&lt;&gt;"", SUMIF(Bets!$F:$F, I776, Bets!AA:AA), "")</f>
        <v/>
      </c>
      <c r="K776" s="162"/>
      <c r="L776" s="148"/>
      <c r="M776" s="161"/>
      <c r="N776" s="146"/>
      <c r="O776" s="162"/>
      <c r="P776" s="148"/>
      <c r="Q776" s="161"/>
      <c r="R776" s="146"/>
      <c r="S776" s="162"/>
      <c r="T776" s="148"/>
      <c r="U776" s="161"/>
      <c r="V776" s="146"/>
      <c r="W776" s="162"/>
      <c r="X776" s="148"/>
      <c r="Y776" s="161"/>
      <c r="Z776" s="146"/>
      <c r="AA776" s="162"/>
      <c r="AB776" s="148"/>
      <c r="AC776" s="161"/>
      <c r="AD776" s="146"/>
      <c r="AE776" s="162"/>
      <c r="AF776" s="148"/>
    </row>
    <row r="777">
      <c r="A777" s="161"/>
      <c r="B777" s="146" t="str">
        <f>IF(A777&lt;&gt;"", SUMIF(Bets!$F:$F, A777, Bets!Z:Z), "")</f>
        <v/>
      </c>
      <c r="C777" s="162"/>
      <c r="D777" s="148"/>
      <c r="E777" s="161"/>
      <c r="F777" s="146" t="str">
        <f>IF(E777&lt;&gt;"", SUMIF(Bets!$F:$F, E777, Bets!AB:AB), "")</f>
        <v/>
      </c>
      <c r="G777" s="162"/>
      <c r="H777" s="148"/>
      <c r="I777" s="161"/>
      <c r="J777" s="146" t="str">
        <f>IF(I777&lt;&gt;"", SUMIF(Bets!$F:$F, I777, Bets!AA:AA), "")</f>
        <v/>
      </c>
      <c r="K777" s="162"/>
      <c r="L777" s="148"/>
      <c r="M777" s="161"/>
      <c r="N777" s="146"/>
      <c r="O777" s="162"/>
      <c r="P777" s="148"/>
      <c r="Q777" s="161"/>
      <c r="R777" s="146"/>
      <c r="S777" s="162"/>
      <c r="T777" s="148"/>
      <c r="U777" s="161"/>
      <c r="V777" s="146"/>
      <c r="W777" s="162"/>
      <c r="X777" s="148"/>
      <c r="Y777" s="161"/>
      <c r="Z777" s="146"/>
      <c r="AA777" s="162"/>
      <c r="AB777" s="148"/>
      <c r="AC777" s="161"/>
      <c r="AD777" s="146"/>
      <c r="AE777" s="162"/>
      <c r="AF777" s="148"/>
    </row>
    <row r="778">
      <c r="A778" s="161"/>
      <c r="B778" s="146" t="str">
        <f>IF(A778&lt;&gt;"", SUMIF(Bets!$F:$F, A778, Bets!Z:Z), "")</f>
        <v/>
      </c>
      <c r="C778" s="162"/>
      <c r="D778" s="148"/>
      <c r="E778" s="161"/>
      <c r="F778" s="146" t="str">
        <f>IF(E778&lt;&gt;"", SUMIF(Bets!$F:$F, E778, Bets!AB:AB), "")</f>
        <v/>
      </c>
      <c r="G778" s="162"/>
      <c r="H778" s="148"/>
      <c r="I778" s="161"/>
      <c r="J778" s="146" t="str">
        <f>IF(I778&lt;&gt;"", SUMIF(Bets!$F:$F, I778, Bets!AA:AA), "")</f>
        <v/>
      </c>
      <c r="K778" s="162"/>
      <c r="L778" s="148"/>
      <c r="M778" s="161"/>
      <c r="N778" s="146"/>
      <c r="O778" s="162"/>
      <c r="P778" s="148"/>
      <c r="Q778" s="161"/>
      <c r="R778" s="146"/>
      <c r="S778" s="162"/>
      <c r="T778" s="148"/>
      <c r="U778" s="161"/>
      <c r="V778" s="146"/>
      <c r="W778" s="162"/>
      <c r="X778" s="148"/>
      <c r="Y778" s="161"/>
      <c r="Z778" s="146"/>
      <c r="AA778" s="162"/>
      <c r="AB778" s="148"/>
      <c r="AC778" s="161"/>
      <c r="AD778" s="146"/>
      <c r="AE778" s="162"/>
      <c r="AF778" s="148"/>
    </row>
    <row r="779">
      <c r="A779" s="161"/>
      <c r="B779" s="146" t="str">
        <f>IF(A779&lt;&gt;"", SUMIF(Bets!$F:$F, A779, Bets!Z:Z), "")</f>
        <v/>
      </c>
      <c r="C779" s="162"/>
      <c r="D779" s="148"/>
      <c r="E779" s="161"/>
      <c r="F779" s="146" t="str">
        <f>IF(E779&lt;&gt;"", SUMIF(Bets!$F:$F, E779, Bets!AB:AB), "")</f>
        <v/>
      </c>
      <c r="G779" s="162"/>
      <c r="H779" s="148"/>
      <c r="I779" s="161"/>
      <c r="J779" s="146" t="str">
        <f>IF(I779&lt;&gt;"", SUMIF(Bets!$F:$F, I779, Bets!AA:AA), "")</f>
        <v/>
      </c>
      <c r="K779" s="162"/>
      <c r="L779" s="148"/>
      <c r="M779" s="161"/>
      <c r="N779" s="146"/>
      <c r="O779" s="162"/>
      <c r="P779" s="148"/>
      <c r="Q779" s="161"/>
      <c r="R779" s="146"/>
      <c r="S779" s="162"/>
      <c r="T779" s="148"/>
      <c r="U779" s="161"/>
      <c r="V779" s="146"/>
      <c r="W779" s="162"/>
      <c r="X779" s="148"/>
      <c r="Y779" s="161"/>
      <c r="Z779" s="146"/>
      <c r="AA779" s="162"/>
      <c r="AB779" s="148"/>
      <c r="AC779" s="161"/>
      <c r="AD779" s="146"/>
      <c r="AE779" s="162"/>
      <c r="AF779" s="148"/>
    </row>
    <row r="780">
      <c r="A780" s="161"/>
      <c r="B780" s="146" t="str">
        <f>IF(A780&lt;&gt;"", SUMIF(Bets!$F:$F, A780, Bets!Z:Z), "")</f>
        <v/>
      </c>
      <c r="C780" s="162"/>
      <c r="D780" s="148"/>
      <c r="E780" s="161"/>
      <c r="F780" s="146" t="str">
        <f>IF(E780&lt;&gt;"", SUMIF(Bets!$F:$F, E780, Bets!AB:AB), "")</f>
        <v/>
      </c>
      <c r="G780" s="162"/>
      <c r="H780" s="148"/>
      <c r="I780" s="161"/>
      <c r="J780" s="146" t="str">
        <f>IF(I780&lt;&gt;"", SUMIF(Bets!$F:$F, I780, Bets!AA:AA), "")</f>
        <v/>
      </c>
      <c r="K780" s="162"/>
      <c r="L780" s="148"/>
      <c r="M780" s="161"/>
      <c r="N780" s="146"/>
      <c r="O780" s="162"/>
      <c r="P780" s="148"/>
      <c r="Q780" s="161"/>
      <c r="R780" s="146"/>
      <c r="S780" s="162"/>
      <c r="T780" s="148"/>
      <c r="U780" s="161"/>
      <c r="V780" s="146"/>
      <c r="W780" s="162"/>
      <c r="X780" s="148"/>
      <c r="Y780" s="161"/>
      <c r="Z780" s="146"/>
      <c r="AA780" s="162"/>
      <c r="AB780" s="148"/>
      <c r="AC780" s="161"/>
      <c r="AD780" s="146"/>
      <c r="AE780" s="162"/>
      <c r="AF780" s="148"/>
    </row>
    <row r="781">
      <c r="A781" s="161"/>
      <c r="B781" s="146" t="str">
        <f>IF(A781&lt;&gt;"", SUMIF(Bets!$F:$F, A781, Bets!Z:Z), "")</f>
        <v/>
      </c>
      <c r="C781" s="162"/>
      <c r="D781" s="148"/>
      <c r="E781" s="161"/>
      <c r="F781" s="146" t="str">
        <f>IF(E781&lt;&gt;"", SUMIF(Bets!$F:$F, E781, Bets!AB:AB), "")</f>
        <v/>
      </c>
      <c r="G781" s="162"/>
      <c r="H781" s="148"/>
      <c r="I781" s="161"/>
      <c r="J781" s="146" t="str">
        <f>IF(I781&lt;&gt;"", SUMIF(Bets!$F:$F, I781, Bets!AA:AA), "")</f>
        <v/>
      </c>
      <c r="K781" s="162"/>
      <c r="L781" s="148"/>
      <c r="M781" s="161"/>
      <c r="N781" s="146"/>
      <c r="O781" s="162"/>
      <c r="P781" s="148"/>
      <c r="Q781" s="161"/>
      <c r="R781" s="146"/>
      <c r="S781" s="162"/>
      <c r="T781" s="148"/>
      <c r="U781" s="161"/>
      <c r="V781" s="146"/>
      <c r="W781" s="162"/>
      <c r="X781" s="148"/>
      <c r="Y781" s="161"/>
      <c r="Z781" s="146"/>
      <c r="AA781" s="162"/>
      <c r="AB781" s="148"/>
      <c r="AC781" s="161"/>
      <c r="AD781" s="146"/>
      <c r="AE781" s="162"/>
      <c r="AF781" s="148"/>
    </row>
    <row r="782">
      <c r="A782" s="161"/>
      <c r="B782" s="146" t="str">
        <f>IF(A782&lt;&gt;"", SUMIF(Bets!$F:$F, A782, Bets!Z:Z), "")</f>
        <v/>
      </c>
      <c r="C782" s="162"/>
      <c r="D782" s="148"/>
      <c r="E782" s="161"/>
      <c r="F782" s="146" t="str">
        <f>IF(E782&lt;&gt;"", SUMIF(Bets!$F:$F, E782, Bets!AB:AB), "")</f>
        <v/>
      </c>
      <c r="G782" s="162"/>
      <c r="H782" s="148"/>
      <c r="I782" s="161"/>
      <c r="J782" s="146" t="str">
        <f>IF(I782&lt;&gt;"", SUMIF(Bets!$F:$F, I782, Bets!AA:AA), "")</f>
        <v/>
      </c>
      <c r="K782" s="162"/>
      <c r="L782" s="148"/>
      <c r="M782" s="161"/>
      <c r="N782" s="146"/>
      <c r="O782" s="162"/>
      <c r="P782" s="148"/>
      <c r="Q782" s="161"/>
      <c r="R782" s="146"/>
      <c r="S782" s="162"/>
      <c r="T782" s="148"/>
      <c r="U782" s="161"/>
      <c r="V782" s="146"/>
      <c r="W782" s="162"/>
      <c r="X782" s="148"/>
      <c r="Y782" s="161"/>
      <c r="Z782" s="146"/>
      <c r="AA782" s="162"/>
      <c r="AB782" s="148"/>
      <c r="AC782" s="161"/>
      <c r="AD782" s="146"/>
      <c r="AE782" s="162"/>
      <c r="AF782" s="148"/>
    </row>
    <row r="783">
      <c r="A783" s="161"/>
      <c r="B783" s="146" t="str">
        <f>IF(A783&lt;&gt;"", SUMIF(Bets!$F:$F, A783, Bets!Z:Z), "")</f>
        <v/>
      </c>
      <c r="C783" s="162"/>
      <c r="D783" s="148"/>
      <c r="E783" s="161"/>
      <c r="F783" s="146" t="str">
        <f>IF(E783&lt;&gt;"", SUMIF(Bets!$F:$F, E783, Bets!AB:AB), "")</f>
        <v/>
      </c>
      <c r="G783" s="162"/>
      <c r="H783" s="148"/>
      <c r="I783" s="161"/>
      <c r="J783" s="146" t="str">
        <f>IF(I783&lt;&gt;"", SUMIF(Bets!$F:$F, I783, Bets!AA:AA), "")</f>
        <v/>
      </c>
      <c r="K783" s="162"/>
      <c r="L783" s="148"/>
      <c r="M783" s="161"/>
      <c r="N783" s="146"/>
      <c r="O783" s="162"/>
      <c r="P783" s="148"/>
      <c r="Q783" s="161"/>
      <c r="R783" s="146"/>
      <c r="S783" s="162"/>
      <c r="T783" s="148"/>
      <c r="U783" s="161"/>
      <c r="V783" s="146"/>
      <c r="W783" s="162"/>
      <c r="X783" s="148"/>
      <c r="Y783" s="161"/>
      <c r="Z783" s="146"/>
      <c r="AA783" s="162"/>
      <c r="AB783" s="148"/>
      <c r="AC783" s="161"/>
      <c r="AD783" s="146"/>
      <c r="AE783" s="162"/>
      <c r="AF783" s="148"/>
    </row>
    <row r="784">
      <c r="A784" s="161"/>
      <c r="B784" s="146" t="str">
        <f>IF(A784&lt;&gt;"", SUMIF(Bets!$F:$F, A784, Bets!Z:Z), "")</f>
        <v/>
      </c>
      <c r="C784" s="162"/>
      <c r="D784" s="148"/>
      <c r="E784" s="161"/>
      <c r="F784" s="146" t="str">
        <f>IF(E784&lt;&gt;"", SUMIF(Bets!$F:$F, E784, Bets!AB:AB), "")</f>
        <v/>
      </c>
      <c r="G784" s="162"/>
      <c r="H784" s="148"/>
      <c r="I784" s="161"/>
      <c r="J784" s="146" t="str">
        <f>IF(I784&lt;&gt;"", SUMIF(Bets!$F:$F, I784, Bets!AA:AA), "")</f>
        <v/>
      </c>
      <c r="K784" s="162"/>
      <c r="L784" s="148"/>
      <c r="M784" s="161"/>
      <c r="N784" s="146"/>
      <c r="O784" s="162"/>
      <c r="P784" s="148"/>
      <c r="Q784" s="161"/>
      <c r="R784" s="146"/>
      <c r="S784" s="162"/>
      <c r="T784" s="148"/>
      <c r="U784" s="161"/>
      <c r="V784" s="146"/>
      <c r="W784" s="162"/>
      <c r="X784" s="148"/>
      <c r="Y784" s="161"/>
      <c r="Z784" s="146"/>
      <c r="AA784" s="162"/>
      <c r="AB784" s="148"/>
      <c r="AC784" s="161"/>
      <c r="AD784" s="146"/>
      <c r="AE784" s="162"/>
      <c r="AF784" s="148"/>
    </row>
    <row r="785">
      <c r="A785" s="161"/>
      <c r="B785" s="146" t="str">
        <f>IF(A785&lt;&gt;"", SUMIF(Bets!$F:$F, A785, Bets!Z:Z), "")</f>
        <v/>
      </c>
      <c r="C785" s="162"/>
      <c r="D785" s="148"/>
      <c r="E785" s="161"/>
      <c r="F785" s="146" t="str">
        <f>IF(E785&lt;&gt;"", SUMIF(Bets!$F:$F, E785, Bets!AB:AB), "")</f>
        <v/>
      </c>
      <c r="G785" s="162"/>
      <c r="H785" s="148"/>
      <c r="I785" s="161"/>
      <c r="J785" s="146" t="str">
        <f>IF(I785&lt;&gt;"", SUMIF(Bets!$F:$F, I785, Bets!AA:AA), "")</f>
        <v/>
      </c>
      <c r="K785" s="162"/>
      <c r="L785" s="148"/>
      <c r="M785" s="161"/>
      <c r="N785" s="146"/>
      <c r="O785" s="162"/>
      <c r="P785" s="148"/>
      <c r="Q785" s="161"/>
      <c r="R785" s="146"/>
      <c r="S785" s="162"/>
      <c r="T785" s="148"/>
      <c r="U785" s="161"/>
      <c r="V785" s="146"/>
      <c r="W785" s="162"/>
      <c r="X785" s="148"/>
      <c r="Y785" s="161"/>
      <c r="Z785" s="146"/>
      <c r="AA785" s="162"/>
      <c r="AB785" s="148"/>
      <c r="AC785" s="161"/>
      <c r="AD785" s="146"/>
      <c r="AE785" s="162"/>
      <c r="AF785" s="148"/>
    </row>
    <row r="786">
      <c r="A786" s="161"/>
      <c r="B786" s="146" t="str">
        <f>IF(A786&lt;&gt;"", SUMIF(Bets!$F:$F, A786, Bets!Z:Z), "")</f>
        <v/>
      </c>
      <c r="C786" s="162"/>
      <c r="D786" s="148"/>
      <c r="E786" s="161"/>
      <c r="F786" s="146" t="str">
        <f>IF(E786&lt;&gt;"", SUMIF(Bets!$F:$F, E786, Bets!AB:AB), "")</f>
        <v/>
      </c>
      <c r="G786" s="162"/>
      <c r="H786" s="148"/>
      <c r="I786" s="161"/>
      <c r="J786" s="146" t="str">
        <f>IF(I786&lt;&gt;"", SUMIF(Bets!$F:$F, I786, Bets!AA:AA), "")</f>
        <v/>
      </c>
      <c r="K786" s="162"/>
      <c r="L786" s="148"/>
      <c r="M786" s="161"/>
      <c r="N786" s="146"/>
      <c r="O786" s="162"/>
      <c r="P786" s="148"/>
      <c r="Q786" s="161"/>
      <c r="R786" s="146"/>
      <c r="S786" s="162"/>
      <c r="T786" s="148"/>
      <c r="U786" s="161"/>
      <c r="V786" s="146"/>
      <c r="W786" s="162"/>
      <c r="X786" s="148"/>
      <c r="Y786" s="161"/>
      <c r="Z786" s="146"/>
      <c r="AA786" s="162"/>
      <c r="AB786" s="148"/>
      <c r="AC786" s="161"/>
      <c r="AD786" s="146"/>
      <c r="AE786" s="162"/>
      <c r="AF786" s="148"/>
    </row>
    <row r="787">
      <c r="A787" s="161"/>
      <c r="B787" s="146" t="str">
        <f>IF(A787&lt;&gt;"", SUMIF(Bets!$F:$F, A787, Bets!Z:Z), "")</f>
        <v/>
      </c>
      <c r="C787" s="162"/>
      <c r="D787" s="148"/>
      <c r="E787" s="161"/>
      <c r="F787" s="146" t="str">
        <f>IF(E787&lt;&gt;"", SUMIF(Bets!$F:$F, E787, Bets!AB:AB), "")</f>
        <v/>
      </c>
      <c r="G787" s="162"/>
      <c r="H787" s="148"/>
      <c r="I787" s="161"/>
      <c r="J787" s="146" t="str">
        <f>IF(I787&lt;&gt;"", SUMIF(Bets!$F:$F, I787, Bets!AA:AA), "")</f>
        <v/>
      </c>
      <c r="K787" s="162"/>
      <c r="L787" s="148"/>
      <c r="M787" s="161"/>
      <c r="N787" s="146"/>
      <c r="O787" s="162"/>
      <c r="P787" s="148"/>
      <c r="Q787" s="161"/>
      <c r="R787" s="146"/>
      <c r="S787" s="162"/>
      <c r="T787" s="148"/>
      <c r="U787" s="161"/>
      <c r="V787" s="146"/>
      <c r="W787" s="162"/>
      <c r="X787" s="148"/>
      <c r="Y787" s="161"/>
      <c r="Z787" s="146"/>
      <c r="AA787" s="162"/>
      <c r="AB787" s="148"/>
      <c r="AC787" s="161"/>
      <c r="AD787" s="146"/>
      <c r="AE787" s="162"/>
      <c r="AF787" s="148"/>
    </row>
    <row r="788">
      <c r="A788" s="161"/>
      <c r="B788" s="146" t="str">
        <f>IF(A788&lt;&gt;"", SUMIF(Bets!$F:$F, A788, Bets!Z:Z), "")</f>
        <v/>
      </c>
      <c r="C788" s="162"/>
      <c r="D788" s="148"/>
      <c r="E788" s="161"/>
      <c r="F788" s="146" t="str">
        <f>IF(E788&lt;&gt;"", SUMIF(Bets!$F:$F, E788, Bets!AB:AB), "")</f>
        <v/>
      </c>
      <c r="G788" s="162"/>
      <c r="H788" s="148"/>
      <c r="I788" s="161"/>
      <c r="J788" s="146" t="str">
        <f>IF(I788&lt;&gt;"", SUMIF(Bets!$F:$F, I788, Bets!AA:AA), "")</f>
        <v/>
      </c>
      <c r="K788" s="162"/>
      <c r="L788" s="148"/>
      <c r="M788" s="161"/>
      <c r="N788" s="146"/>
      <c r="O788" s="162"/>
      <c r="P788" s="148"/>
      <c r="Q788" s="161"/>
      <c r="R788" s="146"/>
      <c r="S788" s="162"/>
      <c r="T788" s="148"/>
      <c r="U788" s="161"/>
      <c r="V788" s="146"/>
      <c r="W788" s="162"/>
      <c r="X788" s="148"/>
      <c r="Y788" s="161"/>
      <c r="Z788" s="146"/>
      <c r="AA788" s="162"/>
      <c r="AB788" s="148"/>
      <c r="AC788" s="161"/>
      <c r="AD788" s="146"/>
      <c r="AE788" s="162"/>
      <c r="AF788" s="148"/>
    </row>
    <row r="789">
      <c r="A789" s="161"/>
      <c r="B789" s="146" t="str">
        <f>IF(A789&lt;&gt;"", SUMIF(Bets!$F:$F, A789, Bets!Z:Z), "")</f>
        <v/>
      </c>
      <c r="C789" s="162"/>
      <c r="D789" s="148"/>
      <c r="E789" s="161"/>
      <c r="F789" s="146" t="str">
        <f>IF(E789&lt;&gt;"", SUMIF(Bets!$F:$F, E789, Bets!AB:AB), "")</f>
        <v/>
      </c>
      <c r="G789" s="162"/>
      <c r="H789" s="148"/>
      <c r="I789" s="161"/>
      <c r="J789" s="146" t="str">
        <f>IF(I789&lt;&gt;"", SUMIF(Bets!$F:$F, I789, Bets!AA:AA), "")</f>
        <v/>
      </c>
      <c r="K789" s="162"/>
      <c r="L789" s="148"/>
      <c r="M789" s="161"/>
      <c r="N789" s="146"/>
      <c r="O789" s="162"/>
      <c r="P789" s="148"/>
      <c r="Q789" s="161"/>
      <c r="R789" s="146"/>
      <c r="S789" s="162"/>
      <c r="T789" s="148"/>
      <c r="U789" s="161"/>
      <c r="V789" s="146"/>
      <c r="W789" s="162"/>
      <c r="X789" s="148"/>
      <c r="Y789" s="161"/>
      <c r="Z789" s="146"/>
      <c r="AA789" s="162"/>
      <c r="AB789" s="148"/>
      <c r="AC789" s="161"/>
      <c r="AD789" s="146"/>
      <c r="AE789" s="162"/>
      <c r="AF789" s="148"/>
    </row>
    <row r="790">
      <c r="A790" s="161"/>
      <c r="B790" s="146" t="str">
        <f>IF(A790&lt;&gt;"", SUMIF(Bets!$F:$F, A790, Bets!Z:Z), "")</f>
        <v/>
      </c>
      <c r="C790" s="162"/>
      <c r="D790" s="148"/>
      <c r="E790" s="161"/>
      <c r="F790" s="146" t="str">
        <f>IF(E790&lt;&gt;"", SUMIF(Bets!$F:$F, E790, Bets!AB:AB), "")</f>
        <v/>
      </c>
      <c r="G790" s="162"/>
      <c r="H790" s="148"/>
      <c r="I790" s="161"/>
      <c r="J790" s="146" t="str">
        <f>IF(I790&lt;&gt;"", SUMIF(Bets!$F:$F, I790, Bets!AA:AA), "")</f>
        <v/>
      </c>
      <c r="K790" s="162"/>
      <c r="L790" s="148"/>
      <c r="M790" s="161"/>
      <c r="N790" s="146"/>
      <c r="O790" s="162"/>
      <c r="P790" s="148"/>
      <c r="Q790" s="161"/>
      <c r="R790" s="146"/>
      <c r="S790" s="162"/>
      <c r="T790" s="148"/>
      <c r="U790" s="161"/>
      <c r="V790" s="146"/>
      <c r="W790" s="162"/>
      <c r="X790" s="148"/>
      <c r="Y790" s="161"/>
      <c r="Z790" s="146"/>
      <c r="AA790" s="162"/>
      <c r="AB790" s="148"/>
      <c r="AC790" s="161"/>
      <c r="AD790" s="146"/>
      <c r="AE790" s="162"/>
      <c r="AF790" s="148"/>
    </row>
    <row r="791">
      <c r="A791" s="161"/>
      <c r="B791" s="146" t="str">
        <f>IF(A791&lt;&gt;"", SUMIF(Bets!$F:$F, A791, Bets!Z:Z), "")</f>
        <v/>
      </c>
      <c r="C791" s="162"/>
      <c r="D791" s="148"/>
      <c r="E791" s="161"/>
      <c r="F791" s="146" t="str">
        <f>IF(E791&lt;&gt;"", SUMIF(Bets!$F:$F, E791, Bets!AB:AB), "")</f>
        <v/>
      </c>
      <c r="G791" s="162"/>
      <c r="H791" s="148"/>
      <c r="I791" s="161"/>
      <c r="J791" s="146" t="str">
        <f>IF(I791&lt;&gt;"", SUMIF(Bets!$F:$F, I791, Bets!AA:AA), "")</f>
        <v/>
      </c>
      <c r="K791" s="162"/>
      <c r="L791" s="148"/>
      <c r="M791" s="161"/>
      <c r="N791" s="146"/>
      <c r="O791" s="162"/>
      <c r="P791" s="148"/>
      <c r="Q791" s="161"/>
      <c r="R791" s="146"/>
      <c r="S791" s="162"/>
      <c r="T791" s="148"/>
      <c r="U791" s="161"/>
      <c r="V791" s="146"/>
      <c r="W791" s="162"/>
      <c r="X791" s="148"/>
      <c r="Y791" s="161"/>
      <c r="Z791" s="146"/>
      <c r="AA791" s="162"/>
      <c r="AB791" s="148"/>
      <c r="AC791" s="161"/>
      <c r="AD791" s="146"/>
      <c r="AE791" s="162"/>
      <c r="AF791" s="148"/>
    </row>
    <row r="792">
      <c r="A792" s="161"/>
      <c r="B792" s="146" t="str">
        <f>IF(A792&lt;&gt;"", SUMIF(Bets!$F:$F, A792, Bets!Z:Z), "")</f>
        <v/>
      </c>
      <c r="C792" s="162"/>
      <c r="D792" s="148"/>
      <c r="E792" s="161"/>
      <c r="F792" s="146" t="str">
        <f>IF(E792&lt;&gt;"", SUMIF(Bets!$F:$F, E792, Bets!AB:AB), "")</f>
        <v/>
      </c>
      <c r="G792" s="162"/>
      <c r="H792" s="148"/>
      <c r="I792" s="161"/>
      <c r="J792" s="146" t="str">
        <f>IF(I792&lt;&gt;"", SUMIF(Bets!$F:$F, I792, Bets!AA:AA), "")</f>
        <v/>
      </c>
      <c r="K792" s="162"/>
      <c r="L792" s="148"/>
      <c r="M792" s="161"/>
      <c r="N792" s="146"/>
      <c r="O792" s="162"/>
      <c r="P792" s="148"/>
      <c r="Q792" s="161"/>
      <c r="R792" s="146"/>
      <c r="S792" s="162"/>
      <c r="T792" s="148"/>
      <c r="U792" s="161"/>
      <c r="V792" s="146"/>
      <c r="W792" s="162"/>
      <c r="X792" s="148"/>
      <c r="Y792" s="161"/>
      <c r="Z792" s="146"/>
      <c r="AA792" s="162"/>
      <c r="AB792" s="148"/>
      <c r="AC792" s="161"/>
      <c r="AD792" s="146"/>
      <c r="AE792" s="162"/>
      <c r="AF792" s="148"/>
    </row>
    <row r="793">
      <c r="A793" s="161"/>
      <c r="B793" s="146" t="str">
        <f>IF(A793&lt;&gt;"", SUMIF(Bets!$F:$F, A793, Bets!Z:Z), "")</f>
        <v/>
      </c>
      <c r="C793" s="162"/>
      <c r="D793" s="148"/>
      <c r="E793" s="161"/>
      <c r="F793" s="146" t="str">
        <f>IF(E793&lt;&gt;"", SUMIF(Bets!$F:$F, E793, Bets!AB:AB), "")</f>
        <v/>
      </c>
      <c r="G793" s="162"/>
      <c r="H793" s="148"/>
      <c r="I793" s="161"/>
      <c r="J793" s="146" t="str">
        <f>IF(I793&lt;&gt;"", SUMIF(Bets!$F:$F, I793, Bets!AA:AA), "")</f>
        <v/>
      </c>
      <c r="K793" s="162"/>
      <c r="L793" s="148"/>
      <c r="M793" s="161"/>
      <c r="N793" s="146"/>
      <c r="O793" s="162"/>
      <c r="P793" s="148"/>
      <c r="Q793" s="161"/>
      <c r="R793" s="146"/>
      <c r="S793" s="162"/>
      <c r="T793" s="148"/>
      <c r="U793" s="161"/>
      <c r="V793" s="146"/>
      <c r="W793" s="162"/>
      <c r="X793" s="148"/>
      <c r="Y793" s="161"/>
      <c r="Z793" s="146"/>
      <c r="AA793" s="162"/>
      <c r="AB793" s="148"/>
      <c r="AC793" s="161"/>
      <c r="AD793" s="146"/>
      <c r="AE793" s="162"/>
      <c r="AF793" s="148"/>
    </row>
    <row r="794">
      <c r="A794" s="161"/>
      <c r="B794" s="146" t="str">
        <f>IF(A794&lt;&gt;"", SUMIF(Bets!$F:$F, A794, Bets!Z:Z), "")</f>
        <v/>
      </c>
      <c r="C794" s="162"/>
      <c r="D794" s="148"/>
      <c r="E794" s="161"/>
      <c r="F794" s="146" t="str">
        <f>IF(E794&lt;&gt;"", SUMIF(Bets!$F:$F, E794, Bets!AB:AB), "")</f>
        <v/>
      </c>
      <c r="G794" s="162"/>
      <c r="H794" s="148"/>
      <c r="I794" s="161"/>
      <c r="J794" s="146" t="str">
        <f>IF(I794&lt;&gt;"", SUMIF(Bets!$F:$F, I794, Bets!AA:AA), "")</f>
        <v/>
      </c>
      <c r="K794" s="162"/>
      <c r="L794" s="148"/>
      <c r="M794" s="161"/>
      <c r="N794" s="146"/>
      <c r="O794" s="162"/>
      <c r="P794" s="148"/>
      <c r="Q794" s="161"/>
      <c r="R794" s="146"/>
      <c r="S794" s="162"/>
      <c r="T794" s="148"/>
      <c r="U794" s="161"/>
      <c r="V794" s="146"/>
      <c r="W794" s="162"/>
      <c r="X794" s="148"/>
      <c r="Y794" s="161"/>
      <c r="Z794" s="146"/>
      <c r="AA794" s="162"/>
      <c r="AB794" s="148"/>
      <c r="AC794" s="161"/>
      <c r="AD794" s="146"/>
      <c r="AE794" s="162"/>
      <c r="AF794" s="148"/>
    </row>
    <row r="795">
      <c r="A795" s="161"/>
      <c r="B795" s="146" t="str">
        <f>IF(A795&lt;&gt;"", SUMIF(Bets!$F:$F, A795, Bets!Z:Z), "")</f>
        <v/>
      </c>
      <c r="C795" s="162"/>
      <c r="D795" s="148"/>
      <c r="E795" s="161"/>
      <c r="F795" s="146" t="str">
        <f>IF(E795&lt;&gt;"", SUMIF(Bets!$F:$F, E795, Bets!AB:AB), "")</f>
        <v/>
      </c>
      <c r="G795" s="162"/>
      <c r="H795" s="148"/>
      <c r="I795" s="161"/>
      <c r="J795" s="146" t="str">
        <f>IF(I795&lt;&gt;"", SUMIF(Bets!$F:$F, I795, Bets!AA:AA), "")</f>
        <v/>
      </c>
      <c r="K795" s="162"/>
      <c r="L795" s="148"/>
      <c r="M795" s="161"/>
      <c r="N795" s="146"/>
      <c r="O795" s="162"/>
      <c r="P795" s="148"/>
      <c r="Q795" s="161"/>
      <c r="R795" s="146"/>
      <c r="S795" s="162"/>
      <c r="T795" s="148"/>
      <c r="U795" s="161"/>
      <c r="V795" s="146"/>
      <c r="W795" s="162"/>
      <c r="X795" s="148"/>
      <c r="Y795" s="161"/>
      <c r="Z795" s="146"/>
      <c r="AA795" s="162"/>
      <c r="AB795" s="148"/>
      <c r="AC795" s="161"/>
      <c r="AD795" s="146"/>
      <c r="AE795" s="162"/>
      <c r="AF795" s="148"/>
    </row>
    <row r="796">
      <c r="A796" s="161"/>
      <c r="B796" s="146" t="str">
        <f>IF(A796&lt;&gt;"", SUMIF(Bets!$F:$F, A796, Bets!Z:Z), "")</f>
        <v/>
      </c>
      <c r="C796" s="162"/>
      <c r="D796" s="148"/>
      <c r="E796" s="161"/>
      <c r="F796" s="146" t="str">
        <f>IF(E796&lt;&gt;"", SUMIF(Bets!$F:$F, E796, Bets!AB:AB), "")</f>
        <v/>
      </c>
      <c r="G796" s="162"/>
      <c r="H796" s="148"/>
      <c r="I796" s="161"/>
      <c r="J796" s="146" t="str">
        <f>IF(I796&lt;&gt;"", SUMIF(Bets!$F:$F, I796, Bets!AA:AA), "")</f>
        <v/>
      </c>
      <c r="K796" s="162"/>
      <c r="L796" s="148"/>
      <c r="M796" s="161"/>
      <c r="N796" s="146"/>
      <c r="O796" s="162"/>
      <c r="P796" s="148"/>
      <c r="Q796" s="161"/>
      <c r="R796" s="146"/>
      <c r="S796" s="162"/>
      <c r="T796" s="148"/>
      <c r="U796" s="161"/>
      <c r="V796" s="146"/>
      <c r="W796" s="162"/>
      <c r="X796" s="148"/>
      <c r="Y796" s="161"/>
      <c r="Z796" s="146"/>
      <c r="AA796" s="162"/>
      <c r="AB796" s="148"/>
      <c r="AC796" s="161"/>
      <c r="AD796" s="146"/>
      <c r="AE796" s="162"/>
      <c r="AF796" s="148"/>
    </row>
    <row r="797">
      <c r="A797" s="161"/>
      <c r="B797" s="146" t="str">
        <f>IF(A797&lt;&gt;"", SUMIF(Bets!$F:$F, A797, Bets!Z:Z), "")</f>
        <v/>
      </c>
      <c r="C797" s="162"/>
      <c r="D797" s="148"/>
      <c r="E797" s="161"/>
      <c r="F797" s="146" t="str">
        <f>IF(E797&lt;&gt;"", SUMIF(Bets!$F:$F, E797, Bets!AB:AB), "")</f>
        <v/>
      </c>
      <c r="G797" s="162"/>
      <c r="H797" s="148"/>
      <c r="I797" s="161"/>
      <c r="J797" s="146" t="str">
        <f>IF(I797&lt;&gt;"", SUMIF(Bets!$F:$F, I797, Bets!AA:AA), "")</f>
        <v/>
      </c>
      <c r="K797" s="162"/>
      <c r="L797" s="148"/>
      <c r="M797" s="161"/>
      <c r="N797" s="146"/>
      <c r="O797" s="162"/>
      <c r="P797" s="148"/>
      <c r="Q797" s="161"/>
      <c r="R797" s="146"/>
      <c r="S797" s="162"/>
      <c r="T797" s="148"/>
      <c r="U797" s="161"/>
      <c r="V797" s="146"/>
      <c r="W797" s="162"/>
      <c r="X797" s="148"/>
      <c r="Y797" s="161"/>
      <c r="Z797" s="146"/>
      <c r="AA797" s="162"/>
      <c r="AB797" s="148"/>
      <c r="AC797" s="161"/>
      <c r="AD797" s="146"/>
      <c r="AE797" s="162"/>
      <c r="AF797" s="148"/>
    </row>
    <row r="798">
      <c r="A798" s="161"/>
      <c r="B798" s="146" t="str">
        <f>IF(A798&lt;&gt;"", SUMIF(Bets!$F:$F, A798, Bets!Z:Z), "")</f>
        <v/>
      </c>
      <c r="C798" s="162"/>
      <c r="D798" s="148"/>
      <c r="E798" s="161"/>
      <c r="F798" s="146" t="str">
        <f>IF(E798&lt;&gt;"", SUMIF(Bets!$F:$F, E798, Bets!AB:AB), "")</f>
        <v/>
      </c>
      <c r="G798" s="162"/>
      <c r="H798" s="148"/>
      <c r="I798" s="161"/>
      <c r="J798" s="146" t="str">
        <f>IF(I798&lt;&gt;"", SUMIF(Bets!$F:$F, I798, Bets!AA:AA), "")</f>
        <v/>
      </c>
      <c r="K798" s="162"/>
      <c r="L798" s="148"/>
      <c r="M798" s="161"/>
      <c r="N798" s="146"/>
      <c r="O798" s="162"/>
      <c r="P798" s="148"/>
      <c r="Q798" s="161"/>
      <c r="R798" s="146"/>
      <c r="S798" s="162"/>
      <c r="T798" s="148"/>
      <c r="U798" s="161"/>
      <c r="V798" s="146"/>
      <c r="W798" s="162"/>
      <c r="X798" s="148"/>
      <c r="Y798" s="161"/>
      <c r="Z798" s="146"/>
      <c r="AA798" s="162"/>
      <c r="AB798" s="148"/>
      <c r="AC798" s="161"/>
      <c r="AD798" s="146"/>
      <c r="AE798" s="162"/>
      <c r="AF798" s="148"/>
    </row>
    <row r="799">
      <c r="A799" s="161"/>
      <c r="B799" s="146" t="str">
        <f>IF(A799&lt;&gt;"", SUMIF(Bets!$F:$F, A799, Bets!Z:Z), "")</f>
        <v/>
      </c>
      <c r="C799" s="162"/>
      <c r="D799" s="148"/>
      <c r="E799" s="161"/>
      <c r="F799" s="146" t="str">
        <f>IF(E799&lt;&gt;"", SUMIF(Bets!$F:$F, E799, Bets!AB:AB), "")</f>
        <v/>
      </c>
      <c r="G799" s="162"/>
      <c r="H799" s="148"/>
      <c r="I799" s="161"/>
      <c r="J799" s="146" t="str">
        <f>IF(I799&lt;&gt;"", SUMIF(Bets!$F:$F, I799, Bets!AA:AA), "")</f>
        <v/>
      </c>
      <c r="K799" s="162"/>
      <c r="L799" s="148"/>
      <c r="M799" s="161"/>
      <c r="N799" s="146"/>
      <c r="O799" s="162"/>
      <c r="P799" s="148"/>
      <c r="Q799" s="161"/>
      <c r="R799" s="146"/>
      <c r="S799" s="162"/>
      <c r="T799" s="148"/>
      <c r="U799" s="161"/>
      <c r="V799" s="146"/>
      <c r="W799" s="162"/>
      <c r="X799" s="148"/>
      <c r="Y799" s="161"/>
      <c r="Z799" s="146"/>
      <c r="AA799" s="162"/>
      <c r="AB799" s="148"/>
      <c r="AC799" s="161"/>
      <c r="AD799" s="146"/>
      <c r="AE799" s="162"/>
      <c r="AF799" s="148"/>
    </row>
    <row r="800">
      <c r="A800" s="161"/>
      <c r="B800" s="146" t="str">
        <f>IF(A800&lt;&gt;"", SUMIF(Bets!$F:$F, A800, Bets!Z:Z), "")</f>
        <v/>
      </c>
      <c r="C800" s="162"/>
      <c r="D800" s="148"/>
      <c r="E800" s="161"/>
      <c r="F800" s="146" t="str">
        <f>IF(E800&lt;&gt;"", SUMIF(Bets!$F:$F, E800, Bets!AB:AB), "")</f>
        <v/>
      </c>
      <c r="G800" s="162"/>
      <c r="H800" s="148"/>
      <c r="I800" s="161"/>
      <c r="J800" s="146" t="str">
        <f>IF(I800&lt;&gt;"", SUMIF(Bets!$F:$F, I800, Bets!AA:AA), "")</f>
        <v/>
      </c>
      <c r="K800" s="162"/>
      <c r="L800" s="148"/>
      <c r="M800" s="161"/>
      <c r="N800" s="146"/>
      <c r="O800" s="162"/>
      <c r="P800" s="148"/>
      <c r="Q800" s="161"/>
      <c r="R800" s="146"/>
      <c r="S800" s="162"/>
      <c r="T800" s="148"/>
      <c r="U800" s="161"/>
      <c r="V800" s="146"/>
      <c r="W800" s="162"/>
      <c r="X800" s="148"/>
      <c r="Y800" s="161"/>
      <c r="Z800" s="146"/>
      <c r="AA800" s="162"/>
      <c r="AB800" s="148"/>
      <c r="AC800" s="161"/>
      <c r="AD800" s="146"/>
      <c r="AE800" s="162"/>
      <c r="AF800" s="148"/>
    </row>
    <row r="801">
      <c r="A801" s="161"/>
      <c r="B801" s="146" t="str">
        <f>IF(A801&lt;&gt;"", SUMIF(Bets!$F:$F, A801, Bets!Z:Z), "")</f>
        <v/>
      </c>
      <c r="C801" s="162"/>
      <c r="D801" s="148"/>
      <c r="E801" s="161"/>
      <c r="F801" s="146" t="str">
        <f>IF(E801&lt;&gt;"", SUMIF(Bets!$F:$F, E801, Bets!AB:AB), "")</f>
        <v/>
      </c>
      <c r="G801" s="162"/>
      <c r="H801" s="148"/>
      <c r="I801" s="161"/>
      <c r="J801" s="146" t="str">
        <f>IF(I801&lt;&gt;"", SUMIF(Bets!$F:$F, I801, Bets!AA:AA), "")</f>
        <v/>
      </c>
      <c r="K801" s="162"/>
      <c r="L801" s="148"/>
      <c r="M801" s="161"/>
      <c r="N801" s="146"/>
      <c r="O801" s="162"/>
      <c r="P801" s="148"/>
      <c r="Q801" s="161"/>
      <c r="R801" s="146"/>
      <c r="S801" s="162"/>
      <c r="T801" s="148"/>
      <c r="U801" s="161"/>
      <c r="V801" s="146"/>
      <c r="W801" s="162"/>
      <c r="X801" s="148"/>
      <c r="Y801" s="161"/>
      <c r="Z801" s="146"/>
      <c r="AA801" s="162"/>
      <c r="AB801" s="148"/>
      <c r="AC801" s="161"/>
      <c r="AD801" s="146"/>
      <c r="AE801" s="162"/>
      <c r="AF801" s="148"/>
    </row>
    <row r="802">
      <c r="A802" s="161"/>
      <c r="B802" s="146" t="str">
        <f>IF(A802&lt;&gt;"", SUMIF(Bets!$F:$F, A802, Bets!Z:Z), "")</f>
        <v/>
      </c>
      <c r="C802" s="162"/>
      <c r="D802" s="148"/>
      <c r="E802" s="161"/>
      <c r="F802" s="146" t="str">
        <f>IF(E802&lt;&gt;"", SUMIF(Bets!$F:$F, E802, Bets!AB:AB), "")</f>
        <v/>
      </c>
      <c r="G802" s="162"/>
      <c r="H802" s="148"/>
      <c r="I802" s="161"/>
      <c r="J802" s="146" t="str">
        <f>IF(I802&lt;&gt;"", SUMIF(Bets!$F:$F, I802, Bets!AA:AA), "")</f>
        <v/>
      </c>
      <c r="K802" s="162"/>
      <c r="L802" s="148"/>
      <c r="M802" s="161"/>
      <c r="N802" s="146"/>
      <c r="O802" s="162"/>
      <c r="P802" s="148"/>
      <c r="Q802" s="161"/>
      <c r="R802" s="146"/>
      <c r="S802" s="162"/>
      <c r="T802" s="148"/>
      <c r="U802" s="161"/>
      <c r="V802" s="146"/>
      <c r="W802" s="162"/>
      <c r="X802" s="148"/>
      <c r="Y802" s="161"/>
      <c r="Z802" s="146"/>
      <c r="AA802" s="162"/>
      <c r="AB802" s="148"/>
      <c r="AC802" s="161"/>
      <c r="AD802" s="146"/>
      <c r="AE802" s="162"/>
      <c r="AF802" s="148"/>
    </row>
    <row r="803">
      <c r="A803" s="161"/>
      <c r="B803" s="146" t="str">
        <f>IF(A803&lt;&gt;"", SUMIF(Bets!$F:$F, A803, Bets!Z:Z), "")</f>
        <v/>
      </c>
      <c r="C803" s="162"/>
      <c r="D803" s="148"/>
      <c r="E803" s="161"/>
      <c r="F803" s="146" t="str">
        <f>IF(E803&lt;&gt;"", SUMIF(Bets!$F:$F, E803, Bets!AB:AB), "")</f>
        <v/>
      </c>
      <c r="G803" s="162"/>
      <c r="H803" s="148"/>
      <c r="I803" s="161"/>
      <c r="J803" s="146" t="str">
        <f>IF(I803&lt;&gt;"", SUMIF(Bets!$F:$F, I803, Bets!AA:AA), "")</f>
        <v/>
      </c>
      <c r="K803" s="162"/>
      <c r="L803" s="148"/>
      <c r="M803" s="161"/>
      <c r="N803" s="146"/>
      <c r="O803" s="162"/>
      <c r="P803" s="148"/>
      <c r="Q803" s="161"/>
      <c r="R803" s="146"/>
      <c r="S803" s="162"/>
      <c r="T803" s="148"/>
      <c r="U803" s="161"/>
      <c r="V803" s="146"/>
      <c r="W803" s="162"/>
      <c r="X803" s="148"/>
      <c r="Y803" s="161"/>
      <c r="Z803" s="146"/>
      <c r="AA803" s="162"/>
      <c r="AB803" s="148"/>
      <c r="AC803" s="161"/>
      <c r="AD803" s="146"/>
      <c r="AE803" s="162"/>
      <c r="AF803" s="148"/>
    </row>
    <row r="804">
      <c r="A804" s="161"/>
      <c r="B804" s="146" t="str">
        <f>IF(A804&lt;&gt;"", SUMIF(Bets!$F:$F, A804, Bets!Z:Z), "")</f>
        <v/>
      </c>
      <c r="C804" s="162"/>
      <c r="D804" s="148"/>
      <c r="E804" s="161"/>
      <c r="F804" s="146" t="str">
        <f>IF(E804&lt;&gt;"", SUMIF(Bets!$F:$F, E804, Bets!AB:AB), "")</f>
        <v/>
      </c>
      <c r="G804" s="162"/>
      <c r="H804" s="148"/>
      <c r="I804" s="161"/>
      <c r="J804" s="146" t="str">
        <f>IF(I804&lt;&gt;"", SUMIF(Bets!$F:$F, I804, Bets!AA:AA), "")</f>
        <v/>
      </c>
      <c r="K804" s="162"/>
      <c r="L804" s="148"/>
      <c r="M804" s="161"/>
      <c r="N804" s="146"/>
      <c r="O804" s="162"/>
      <c r="P804" s="148"/>
      <c r="Q804" s="161"/>
      <c r="R804" s="146"/>
      <c r="S804" s="162"/>
      <c r="T804" s="148"/>
      <c r="U804" s="161"/>
      <c r="V804" s="146"/>
      <c r="W804" s="162"/>
      <c r="X804" s="148"/>
      <c r="Y804" s="161"/>
      <c r="Z804" s="146"/>
      <c r="AA804" s="162"/>
      <c r="AB804" s="148"/>
      <c r="AC804" s="161"/>
      <c r="AD804" s="146"/>
      <c r="AE804" s="162"/>
      <c r="AF804" s="148"/>
    </row>
    <row r="805">
      <c r="A805" s="161"/>
      <c r="B805" s="146" t="str">
        <f>IF(A805&lt;&gt;"", SUMIF(Bets!$F:$F, A805, Bets!Z:Z), "")</f>
        <v/>
      </c>
      <c r="C805" s="162"/>
      <c r="D805" s="148"/>
      <c r="E805" s="161"/>
      <c r="F805" s="146" t="str">
        <f>IF(E805&lt;&gt;"", SUMIF(Bets!$F:$F, E805, Bets!AB:AB), "")</f>
        <v/>
      </c>
      <c r="G805" s="162"/>
      <c r="H805" s="148"/>
      <c r="I805" s="161"/>
      <c r="J805" s="146" t="str">
        <f>IF(I805&lt;&gt;"", SUMIF(Bets!$F:$F, I805, Bets!AA:AA), "")</f>
        <v/>
      </c>
      <c r="K805" s="162"/>
      <c r="L805" s="148"/>
      <c r="M805" s="161"/>
      <c r="N805" s="146"/>
      <c r="O805" s="162"/>
      <c r="P805" s="148"/>
      <c r="Q805" s="161"/>
      <c r="R805" s="146"/>
      <c r="S805" s="162"/>
      <c r="T805" s="148"/>
      <c r="U805" s="161"/>
      <c r="V805" s="146"/>
      <c r="W805" s="162"/>
      <c r="X805" s="148"/>
      <c r="Y805" s="161"/>
      <c r="Z805" s="146"/>
      <c r="AA805" s="162"/>
      <c r="AB805" s="148"/>
      <c r="AC805" s="161"/>
      <c r="AD805" s="146"/>
      <c r="AE805" s="162"/>
      <c r="AF805" s="148"/>
    </row>
    <row r="806">
      <c r="A806" s="161"/>
      <c r="B806" s="146" t="str">
        <f>IF(A806&lt;&gt;"", SUMIF(Bets!$F:$F, A806, Bets!Z:Z), "")</f>
        <v/>
      </c>
      <c r="C806" s="162"/>
      <c r="D806" s="148"/>
      <c r="E806" s="161"/>
      <c r="F806" s="146" t="str">
        <f>IF(E806&lt;&gt;"", SUMIF(Bets!$F:$F, E806, Bets!AB:AB), "")</f>
        <v/>
      </c>
      <c r="G806" s="162"/>
      <c r="H806" s="148"/>
      <c r="I806" s="161"/>
      <c r="J806" s="146" t="str">
        <f>IF(I806&lt;&gt;"", SUMIF(Bets!$F:$F, I806, Bets!AA:AA), "")</f>
        <v/>
      </c>
      <c r="K806" s="162"/>
      <c r="L806" s="148"/>
      <c r="M806" s="161"/>
      <c r="N806" s="146"/>
      <c r="O806" s="162"/>
      <c r="P806" s="148"/>
      <c r="Q806" s="161"/>
      <c r="R806" s="146"/>
      <c r="S806" s="162"/>
      <c r="T806" s="148"/>
      <c r="U806" s="161"/>
      <c r="V806" s="146"/>
      <c r="W806" s="162"/>
      <c r="X806" s="148"/>
      <c r="Y806" s="161"/>
      <c r="Z806" s="146"/>
      <c r="AA806" s="162"/>
      <c r="AB806" s="148"/>
      <c r="AC806" s="161"/>
      <c r="AD806" s="146"/>
      <c r="AE806" s="162"/>
      <c r="AF806" s="148"/>
    </row>
    <row r="807">
      <c r="A807" s="161"/>
      <c r="B807" s="146" t="str">
        <f>IF(A807&lt;&gt;"", SUMIF(Bets!$F:$F, A807, Bets!Z:Z), "")</f>
        <v/>
      </c>
      <c r="C807" s="162"/>
      <c r="D807" s="148"/>
      <c r="E807" s="161"/>
      <c r="F807" s="146" t="str">
        <f>IF(E807&lt;&gt;"", SUMIF(Bets!$F:$F, E807, Bets!AB:AB), "")</f>
        <v/>
      </c>
      <c r="G807" s="162"/>
      <c r="H807" s="148"/>
      <c r="I807" s="161"/>
      <c r="J807" s="146" t="str">
        <f>IF(I807&lt;&gt;"", SUMIF(Bets!$F:$F, I807, Bets!AA:AA), "")</f>
        <v/>
      </c>
      <c r="K807" s="162"/>
      <c r="L807" s="148"/>
      <c r="M807" s="161"/>
      <c r="N807" s="146"/>
      <c r="O807" s="162"/>
      <c r="P807" s="148"/>
      <c r="Q807" s="161"/>
      <c r="R807" s="146"/>
      <c r="S807" s="162"/>
      <c r="T807" s="148"/>
      <c r="U807" s="161"/>
      <c r="V807" s="146"/>
      <c r="W807" s="162"/>
      <c r="X807" s="148"/>
      <c r="Y807" s="161"/>
      <c r="Z807" s="146"/>
      <c r="AA807" s="162"/>
      <c r="AB807" s="148"/>
      <c r="AC807" s="161"/>
      <c r="AD807" s="146"/>
      <c r="AE807" s="162"/>
      <c r="AF807" s="148"/>
    </row>
    <row r="808">
      <c r="A808" s="161"/>
      <c r="B808" s="146" t="str">
        <f>IF(A808&lt;&gt;"", SUMIF(Bets!$F:$F, A808, Bets!Z:Z), "")</f>
        <v/>
      </c>
      <c r="C808" s="162"/>
      <c r="D808" s="148"/>
      <c r="E808" s="161"/>
      <c r="F808" s="146" t="str">
        <f>IF(E808&lt;&gt;"", SUMIF(Bets!$F:$F, E808, Bets!AB:AB), "")</f>
        <v/>
      </c>
      <c r="G808" s="162"/>
      <c r="H808" s="148"/>
      <c r="I808" s="161"/>
      <c r="J808" s="146" t="str">
        <f>IF(I808&lt;&gt;"", SUMIF(Bets!$F:$F, I808, Bets!AA:AA), "")</f>
        <v/>
      </c>
      <c r="K808" s="162"/>
      <c r="L808" s="148"/>
      <c r="M808" s="161"/>
      <c r="N808" s="146"/>
      <c r="O808" s="162"/>
      <c r="P808" s="148"/>
      <c r="Q808" s="161"/>
      <c r="R808" s="146"/>
      <c r="S808" s="162"/>
      <c r="T808" s="148"/>
      <c r="U808" s="161"/>
      <c r="V808" s="146"/>
      <c r="W808" s="162"/>
      <c r="X808" s="148"/>
      <c r="Y808" s="161"/>
      <c r="Z808" s="146"/>
      <c r="AA808" s="162"/>
      <c r="AB808" s="148"/>
      <c r="AC808" s="161"/>
      <c r="AD808" s="146"/>
      <c r="AE808" s="162"/>
      <c r="AF808" s="148"/>
    </row>
    <row r="809">
      <c r="A809" s="161"/>
      <c r="B809" s="146" t="str">
        <f>IF(A809&lt;&gt;"", SUMIF(Bets!$F:$F, A809, Bets!Z:Z), "")</f>
        <v/>
      </c>
      <c r="C809" s="162"/>
      <c r="D809" s="148"/>
      <c r="E809" s="161"/>
      <c r="F809" s="146" t="str">
        <f>IF(E809&lt;&gt;"", SUMIF(Bets!$F:$F, E809, Bets!AB:AB), "")</f>
        <v/>
      </c>
      <c r="G809" s="162"/>
      <c r="H809" s="148"/>
      <c r="I809" s="161"/>
      <c r="J809" s="146" t="str">
        <f>IF(I809&lt;&gt;"", SUMIF(Bets!$F:$F, I809, Bets!AA:AA), "")</f>
        <v/>
      </c>
      <c r="K809" s="162"/>
      <c r="L809" s="148"/>
      <c r="M809" s="161"/>
      <c r="N809" s="146"/>
      <c r="O809" s="162"/>
      <c r="P809" s="148"/>
      <c r="Q809" s="161"/>
      <c r="R809" s="146"/>
      <c r="S809" s="162"/>
      <c r="T809" s="148"/>
      <c r="U809" s="161"/>
      <c r="V809" s="146"/>
      <c r="W809" s="162"/>
      <c r="X809" s="148"/>
      <c r="Y809" s="161"/>
      <c r="Z809" s="146"/>
      <c r="AA809" s="162"/>
      <c r="AB809" s="148"/>
      <c r="AC809" s="161"/>
      <c r="AD809" s="146"/>
      <c r="AE809" s="162"/>
      <c r="AF809" s="148"/>
    </row>
    <row r="810">
      <c r="A810" s="161"/>
      <c r="B810" s="146" t="str">
        <f>IF(A810&lt;&gt;"", SUMIF(Bets!$F:$F, A810, Bets!Z:Z), "")</f>
        <v/>
      </c>
      <c r="C810" s="162"/>
      <c r="D810" s="148"/>
      <c r="E810" s="161"/>
      <c r="F810" s="146" t="str">
        <f>IF(E810&lt;&gt;"", SUMIF(Bets!$F:$F, E810, Bets!AB:AB), "")</f>
        <v/>
      </c>
      <c r="G810" s="162"/>
      <c r="H810" s="148"/>
      <c r="I810" s="161"/>
      <c r="J810" s="146" t="str">
        <f>IF(I810&lt;&gt;"", SUMIF(Bets!$F:$F, I810, Bets!AA:AA), "")</f>
        <v/>
      </c>
      <c r="K810" s="162"/>
      <c r="L810" s="148"/>
      <c r="M810" s="161"/>
      <c r="N810" s="146"/>
      <c r="O810" s="162"/>
      <c r="P810" s="148"/>
      <c r="Q810" s="161"/>
      <c r="R810" s="146"/>
      <c r="S810" s="162"/>
      <c r="T810" s="148"/>
      <c r="U810" s="161"/>
      <c r="V810" s="146"/>
      <c r="W810" s="162"/>
      <c r="X810" s="148"/>
      <c r="Y810" s="161"/>
      <c r="Z810" s="146"/>
      <c r="AA810" s="162"/>
      <c r="AB810" s="148"/>
      <c r="AC810" s="161"/>
      <c r="AD810" s="146"/>
      <c r="AE810" s="162"/>
      <c r="AF810" s="148"/>
    </row>
    <row r="811">
      <c r="A811" s="161"/>
      <c r="B811" s="146" t="str">
        <f>IF(A811&lt;&gt;"", SUMIF(Bets!$F:$F, A811, Bets!Z:Z), "")</f>
        <v/>
      </c>
      <c r="C811" s="162"/>
      <c r="D811" s="148"/>
      <c r="E811" s="161"/>
      <c r="F811" s="146" t="str">
        <f>IF(E811&lt;&gt;"", SUMIF(Bets!$F:$F, E811, Bets!AB:AB), "")</f>
        <v/>
      </c>
      <c r="G811" s="162"/>
      <c r="H811" s="148"/>
      <c r="I811" s="161"/>
      <c r="J811" s="146" t="str">
        <f>IF(I811&lt;&gt;"", SUMIF(Bets!$F:$F, I811, Bets!AA:AA), "")</f>
        <v/>
      </c>
      <c r="K811" s="162"/>
      <c r="L811" s="148"/>
      <c r="M811" s="161"/>
      <c r="N811" s="146"/>
      <c r="O811" s="162"/>
      <c r="P811" s="148"/>
      <c r="Q811" s="161"/>
      <c r="R811" s="146"/>
      <c r="S811" s="162"/>
      <c r="T811" s="148"/>
      <c r="U811" s="161"/>
      <c r="V811" s="146"/>
      <c r="W811" s="162"/>
      <c r="X811" s="148"/>
      <c r="Y811" s="161"/>
      <c r="Z811" s="146"/>
      <c r="AA811" s="162"/>
      <c r="AB811" s="148"/>
      <c r="AC811" s="161"/>
      <c r="AD811" s="146"/>
      <c r="AE811" s="162"/>
      <c r="AF811" s="148"/>
    </row>
    <row r="812">
      <c r="A812" s="161"/>
      <c r="B812" s="146" t="str">
        <f>IF(A812&lt;&gt;"", SUMIF(Bets!$F:$F, A812, Bets!Z:Z), "")</f>
        <v/>
      </c>
      <c r="C812" s="162"/>
      <c r="D812" s="148"/>
      <c r="E812" s="161"/>
      <c r="F812" s="146" t="str">
        <f>IF(E812&lt;&gt;"", SUMIF(Bets!$F:$F, E812, Bets!AB:AB), "")</f>
        <v/>
      </c>
      <c r="G812" s="162"/>
      <c r="H812" s="148"/>
      <c r="I812" s="161"/>
      <c r="J812" s="146" t="str">
        <f>IF(I812&lt;&gt;"", SUMIF(Bets!$F:$F, I812, Bets!AA:AA), "")</f>
        <v/>
      </c>
      <c r="K812" s="162"/>
      <c r="L812" s="148"/>
      <c r="M812" s="161"/>
      <c r="N812" s="146"/>
      <c r="O812" s="162"/>
      <c r="P812" s="148"/>
      <c r="Q812" s="161"/>
      <c r="R812" s="146"/>
      <c r="S812" s="162"/>
      <c r="T812" s="148"/>
      <c r="U812" s="161"/>
      <c r="V812" s="146"/>
      <c r="W812" s="162"/>
      <c r="X812" s="148"/>
      <c r="Y812" s="161"/>
      <c r="Z812" s="146"/>
      <c r="AA812" s="162"/>
      <c r="AB812" s="148"/>
      <c r="AC812" s="161"/>
      <c r="AD812" s="146"/>
      <c r="AE812" s="162"/>
      <c r="AF812" s="148"/>
    </row>
    <row r="813">
      <c r="A813" s="161"/>
      <c r="B813" s="146" t="str">
        <f>IF(A813&lt;&gt;"", SUMIF(Bets!$F:$F, A813, Bets!Z:Z), "")</f>
        <v/>
      </c>
      <c r="C813" s="162"/>
      <c r="D813" s="148"/>
      <c r="E813" s="161"/>
      <c r="F813" s="146" t="str">
        <f>IF(E813&lt;&gt;"", SUMIF(Bets!$F:$F, E813, Bets!AB:AB), "")</f>
        <v/>
      </c>
      <c r="G813" s="162"/>
      <c r="H813" s="148"/>
      <c r="I813" s="161"/>
      <c r="J813" s="146" t="str">
        <f>IF(I813&lt;&gt;"", SUMIF(Bets!$F:$F, I813, Bets!AA:AA), "")</f>
        <v/>
      </c>
      <c r="K813" s="162"/>
      <c r="L813" s="148"/>
      <c r="M813" s="161"/>
      <c r="N813" s="146"/>
      <c r="O813" s="162"/>
      <c r="P813" s="148"/>
      <c r="Q813" s="161"/>
      <c r="R813" s="146"/>
      <c r="S813" s="162"/>
      <c r="T813" s="148"/>
      <c r="U813" s="161"/>
      <c r="V813" s="146"/>
      <c r="W813" s="162"/>
      <c r="X813" s="148"/>
      <c r="Y813" s="161"/>
      <c r="Z813" s="146"/>
      <c r="AA813" s="162"/>
      <c r="AB813" s="148"/>
      <c r="AC813" s="161"/>
      <c r="AD813" s="146"/>
      <c r="AE813" s="162"/>
      <c r="AF813" s="148"/>
    </row>
    <row r="814">
      <c r="A814" s="161"/>
      <c r="B814" s="146" t="str">
        <f>IF(A814&lt;&gt;"", SUMIF(Bets!$F:$F, A814, Bets!Z:Z), "")</f>
        <v/>
      </c>
      <c r="C814" s="162"/>
      <c r="D814" s="148"/>
      <c r="E814" s="161"/>
      <c r="F814" s="146" t="str">
        <f>IF(E814&lt;&gt;"", SUMIF(Bets!$F:$F, E814, Bets!AB:AB), "")</f>
        <v/>
      </c>
      <c r="G814" s="162"/>
      <c r="H814" s="148"/>
      <c r="I814" s="161"/>
      <c r="J814" s="146" t="str">
        <f>IF(I814&lt;&gt;"", SUMIF(Bets!$F:$F, I814, Bets!AA:AA), "")</f>
        <v/>
      </c>
      <c r="K814" s="162"/>
      <c r="L814" s="148"/>
      <c r="M814" s="161"/>
      <c r="N814" s="146"/>
      <c r="O814" s="162"/>
      <c r="P814" s="148"/>
      <c r="Q814" s="161"/>
      <c r="R814" s="146"/>
      <c r="S814" s="162"/>
      <c r="T814" s="148"/>
      <c r="U814" s="161"/>
      <c r="V814" s="146"/>
      <c r="W814" s="162"/>
      <c r="X814" s="148"/>
      <c r="Y814" s="161"/>
      <c r="Z814" s="146"/>
      <c r="AA814" s="162"/>
      <c r="AB814" s="148"/>
      <c r="AC814" s="161"/>
      <c r="AD814" s="146"/>
      <c r="AE814" s="162"/>
      <c r="AF814" s="148"/>
    </row>
    <row r="815">
      <c r="A815" s="161"/>
      <c r="B815" s="146" t="str">
        <f>IF(A815&lt;&gt;"", SUMIF(Bets!$F:$F, A815, Bets!Z:Z), "")</f>
        <v/>
      </c>
      <c r="C815" s="162"/>
      <c r="D815" s="148"/>
      <c r="E815" s="161"/>
      <c r="F815" s="146" t="str">
        <f>IF(E815&lt;&gt;"", SUMIF(Bets!$F:$F, E815, Bets!AB:AB), "")</f>
        <v/>
      </c>
      <c r="G815" s="162"/>
      <c r="H815" s="148"/>
      <c r="I815" s="161"/>
      <c r="J815" s="146" t="str">
        <f>IF(I815&lt;&gt;"", SUMIF(Bets!$F:$F, I815, Bets!AA:AA), "")</f>
        <v/>
      </c>
      <c r="K815" s="162"/>
      <c r="L815" s="148"/>
      <c r="M815" s="161"/>
      <c r="N815" s="146"/>
      <c r="O815" s="162"/>
      <c r="P815" s="148"/>
      <c r="Q815" s="161"/>
      <c r="R815" s="146"/>
      <c r="S815" s="162"/>
      <c r="T815" s="148"/>
      <c r="U815" s="161"/>
      <c r="V815" s="146"/>
      <c r="W815" s="162"/>
      <c r="X815" s="148"/>
      <c r="Y815" s="161"/>
      <c r="Z815" s="146"/>
      <c r="AA815" s="162"/>
      <c r="AB815" s="148"/>
      <c r="AC815" s="161"/>
      <c r="AD815" s="146"/>
      <c r="AE815" s="162"/>
      <c r="AF815" s="148"/>
    </row>
    <row r="816">
      <c r="A816" s="161"/>
      <c r="B816" s="146" t="str">
        <f>IF(A816&lt;&gt;"", SUMIF(Bets!$F:$F, A816, Bets!Z:Z), "")</f>
        <v/>
      </c>
      <c r="C816" s="162"/>
      <c r="D816" s="148"/>
      <c r="E816" s="161"/>
      <c r="F816" s="146" t="str">
        <f>IF(E816&lt;&gt;"", SUMIF(Bets!$F:$F, E816, Bets!AB:AB), "")</f>
        <v/>
      </c>
      <c r="G816" s="162"/>
      <c r="H816" s="148"/>
      <c r="I816" s="161"/>
      <c r="J816" s="146" t="str">
        <f>IF(I816&lt;&gt;"", SUMIF(Bets!$F:$F, I816, Bets!AA:AA), "")</f>
        <v/>
      </c>
      <c r="K816" s="162"/>
      <c r="L816" s="148"/>
      <c r="M816" s="161"/>
      <c r="N816" s="146"/>
      <c r="O816" s="162"/>
      <c r="P816" s="148"/>
      <c r="Q816" s="161"/>
      <c r="R816" s="146"/>
      <c r="S816" s="162"/>
      <c r="T816" s="148"/>
      <c r="U816" s="161"/>
      <c r="V816" s="146"/>
      <c r="W816" s="162"/>
      <c r="X816" s="148"/>
      <c r="Y816" s="161"/>
      <c r="Z816" s="146"/>
      <c r="AA816" s="162"/>
      <c r="AB816" s="148"/>
      <c r="AC816" s="161"/>
      <c r="AD816" s="146"/>
      <c r="AE816" s="162"/>
      <c r="AF816" s="148"/>
    </row>
    <row r="817">
      <c r="A817" s="161"/>
      <c r="B817" s="146" t="str">
        <f>IF(A817&lt;&gt;"", SUMIF(Bets!$F:$F, A817, Bets!Z:Z), "")</f>
        <v/>
      </c>
      <c r="C817" s="162"/>
      <c r="D817" s="148"/>
      <c r="E817" s="161"/>
      <c r="F817" s="146" t="str">
        <f>IF(E817&lt;&gt;"", SUMIF(Bets!$F:$F, E817, Bets!AB:AB), "")</f>
        <v/>
      </c>
      <c r="G817" s="162"/>
      <c r="H817" s="148"/>
      <c r="I817" s="161"/>
      <c r="J817" s="146" t="str">
        <f>IF(I817&lt;&gt;"", SUMIF(Bets!$F:$F, I817, Bets!AA:AA), "")</f>
        <v/>
      </c>
      <c r="K817" s="162"/>
      <c r="L817" s="148"/>
      <c r="M817" s="161"/>
      <c r="N817" s="146"/>
      <c r="O817" s="162"/>
      <c r="P817" s="148"/>
      <c r="Q817" s="161"/>
      <c r="R817" s="146"/>
      <c r="S817" s="162"/>
      <c r="T817" s="148"/>
      <c r="U817" s="161"/>
      <c r="V817" s="146"/>
      <c r="W817" s="162"/>
      <c r="X817" s="148"/>
      <c r="Y817" s="161"/>
      <c r="Z817" s="146"/>
      <c r="AA817" s="162"/>
      <c r="AB817" s="148"/>
      <c r="AC817" s="161"/>
      <c r="AD817" s="146"/>
      <c r="AE817" s="162"/>
      <c r="AF817" s="148"/>
    </row>
    <row r="818">
      <c r="A818" s="161"/>
      <c r="B818" s="146" t="str">
        <f>IF(A818&lt;&gt;"", SUMIF(Bets!$F:$F, A818, Bets!Z:Z), "")</f>
        <v/>
      </c>
      <c r="C818" s="162"/>
      <c r="D818" s="148"/>
      <c r="E818" s="161"/>
      <c r="F818" s="146" t="str">
        <f>IF(E818&lt;&gt;"", SUMIF(Bets!$F:$F, E818, Bets!AB:AB), "")</f>
        <v/>
      </c>
      <c r="G818" s="162"/>
      <c r="H818" s="148"/>
      <c r="I818" s="161"/>
      <c r="J818" s="146" t="str">
        <f>IF(I818&lt;&gt;"", SUMIF(Bets!$F:$F, I818, Bets!AA:AA), "")</f>
        <v/>
      </c>
      <c r="K818" s="162"/>
      <c r="L818" s="148"/>
      <c r="M818" s="161"/>
      <c r="N818" s="146"/>
      <c r="O818" s="162"/>
      <c r="P818" s="148"/>
      <c r="Q818" s="161"/>
      <c r="R818" s="146"/>
      <c r="S818" s="162"/>
      <c r="T818" s="148"/>
      <c r="U818" s="161"/>
      <c r="V818" s="146"/>
      <c r="W818" s="162"/>
      <c r="X818" s="148"/>
      <c r="Y818" s="161"/>
      <c r="Z818" s="146"/>
      <c r="AA818" s="162"/>
      <c r="AB818" s="148"/>
      <c r="AC818" s="161"/>
      <c r="AD818" s="146"/>
      <c r="AE818" s="162"/>
      <c r="AF818" s="148"/>
    </row>
    <row r="819">
      <c r="A819" s="161"/>
      <c r="B819" s="146" t="str">
        <f>IF(A819&lt;&gt;"", SUMIF(Bets!$F:$F, A819, Bets!Z:Z), "")</f>
        <v/>
      </c>
      <c r="C819" s="162"/>
      <c r="D819" s="148"/>
      <c r="E819" s="161"/>
      <c r="F819" s="146" t="str">
        <f>IF(E819&lt;&gt;"", SUMIF(Bets!$F:$F, E819, Bets!AB:AB), "")</f>
        <v/>
      </c>
      <c r="G819" s="162"/>
      <c r="H819" s="148"/>
      <c r="I819" s="161"/>
      <c r="J819" s="146" t="str">
        <f>IF(I819&lt;&gt;"", SUMIF(Bets!$F:$F, I819, Bets!AA:AA), "")</f>
        <v/>
      </c>
      <c r="K819" s="162"/>
      <c r="L819" s="148"/>
      <c r="M819" s="161"/>
      <c r="N819" s="146"/>
      <c r="O819" s="162"/>
      <c r="P819" s="148"/>
      <c r="Q819" s="161"/>
      <c r="R819" s="146"/>
      <c r="S819" s="162"/>
      <c r="T819" s="148"/>
      <c r="U819" s="161"/>
      <c r="V819" s="146"/>
      <c r="W819" s="162"/>
      <c r="X819" s="148"/>
      <c r="Y819" s="161"/>
      <c r="Z819" s="146"/>
      <c r="AA819" s="162"/>
      <c r="AB819" s="148"/>
      <c r="AC819" s="161"/>
      <c r="AD819" s="146"/>
      <c r="AE819" s="162"/>
      <c r="AF819" s="148"/>
    </row>
    <row r="820">
      <c r="A820" s="161"/>
      <c r="B820" s="146" t="str">
        <f>IF(A820&lt;&gt;"", SUMIF(Bets!$F:$F, A820, Bets!Z:Z), "")</f>
        <v/>
      </c>
      <c r="C820" s="162"/>
      <c r="D820" s="148"/>
      <c r="E820" s="161"/>
      <c r="F820" s="146" t="str">
        <f>IF(E820&lt;&gt;"", SUMIF(Bets!$F:$F, E820, Bets!AB:AB), "")</f>
        <v/>
      </c>
      <c r="G820" s="162"/>
      <c r="H820" s="148"/>
      <c r="I820" s="161"/>
      <c r="J820" s="146" t="str">
        <f>IF(I820&lt;&gt;"", SUMIF(Bets!$F:$F, I820, Bets!AA:AA), "")</f>
        <v/>
      </c>
      <c r="K820" s="162"/>
      <c r="L820" s="148"/>
      <c r="M820" s="161"/>
      <c r="N820" s="146"/>
      <c r="O820" s="162"/>
      <c r="P820" s="148"/>
      <c r="Q820" s="161"/>
      <c r="R820" s="146"/>
      <c r="S820" s="162"/>
      <c r="T820" s="148"/>
      <c r="U820" s="161"/>
      <c r="V820" s="146"/>
      <c r="W820" s="162"/>
      <c r="X820" s="148"/>
      <c r="Y820" s="161"/>
      <c r="Z820" s="146"/>
      <c r="AA820" s="162"/>
      <c r="AB820" s="148"/>
      <c r="AC820" s="161"/>
      <c r="AD820" s="146"/>
      <c r="AE820" s="162"/>
      <c r="AF820" s="148"/>
    </row>
    <row r="821">
      <c r="A821" s="161"/>
      <c r="B821" s="146" t="str">
        <f>IF(A821&lt;&gt;"", SUMIF(Bets!$F:$F, A821, Bets!Z:Z), "")</f>
        <v/>
      </c>
      <c r="C821" s="162"/>
      <c r="D821" s="148"/>
      <c r="E821" s="161"/>
      <c r="F821" s="146" t="str">
        <f>IF(E821&lt;&gt;"", SUMIF(Bets!$F:$F, E821, Bets!AB:AB), "")</f>
        <v/>
      </c>
      <c r="G821" s="162"/>
      <c r="H821" s="148"/>
      <c r="I821" s="161"/>
      <c r="J821" s="146" t="str">
        <f>IF(I821&lt;&gt;"", SUMIF(Bets!$F:$F, I821, Bets!AA:AA), "")</f>
        <v/>
      </c>
      <c r="K821" s="162"/>
      <c r="L821" s="148"/>
      <c r="M821" s="161"/>
      <c r="N821" s="146"/>
      <c r="O821" s="162"/>
      <c r="P821" s="148"/>
      <c r="Q821" s="161"/>
      <c r="R821" s="146"/>
      <c r="S821" s="162"/>
      <c r="T821" s="148"/>
      <c r="U821" s="161"/>
      <c r="V821" s="146"/>
      <c r="W821" s="162"/>
      <c r="X821" s="148"/>
      <c r="Y821" s="161"/>
      <c r="Z821" s="146"/>
      <c r="AA821" s="162"/>
      <c r="AB821" s="148"/>
      <c r="AC821" s="161"/>
      <c r="AD821" s="146"/>
      <c r="AE821" s="162"/>
      <c r="AF821" s="148"/>
    </row>
    <row r="822">
      <c r="A822" s="161"/>
      <c r="B822" s="146" t="str">
        <f>IF(A822&lt;&gt;"", SUMIF(Bets!$F:$F, A822, Bets!Z:Z), "")</f>
        <v/>
      </c>
      <c r="C822" s="162"/>
      <c r="D822" s="148"/>
      <c r="E822" s="161"/>
      <c r="F822" s="146" t="str">
        <f>IF(E822&lt;&gt;"", SUMIF(Bets!$F:$F, E822, Bets!AB:AB), "")</f>
        <v/>
      </c>
      <c r="G822" s="162"/>
      <c r="H822" s="148"/>
      <c r="I822" s="161"/>
      <c r="J822" s="146" t="str">
        <f>IF(I822&lt;&gt;"", SUMIF(Bets!$F:$F, I822, Bets!AA:AA), "")</f>
        <v/>
      </c>
      <c r="K822" s="162"/>
      <c r="L822" s="148"/>
      <c r="M822" s="161"/>
      <c r="N822" s="146"/>
      <c r="O822" s="162"/>
      <c r="P822" s="148"/>
      <c r="Q822" s="161"/>
      <c r="R822" s="146"/>
      <c r="S822" s="162"/>
      <c r="T822" s="148"/>
      <c r="U822" s="161"/>
      <c r="V822" s="146"/>
      <c r="W822" s="162"/>
      <c r="X822" s="148"/>
      <c r="Y822" s="161"/>
      <c r="Z822" s="146"/>
      <c r="AA822" s="162"/>
      <c r="AB822" s="148"/>
      <c r="AC822" s="161"/>
      <c r="AD822" s="146"/>
      <c r="AE822" s="162"/>
      <c r="AF822" s="148"/>
    </row>
    <row r="823">
      <c r="A823" s="161"/>
      <c r="B823" s="146" t="str">
        <f>IF(A823&lt;&gt;"", SUMIF(Bets!$F:$F, A823, Bets!Z:Z), "")</f>
        <v/>
      </c>
      <c r="C823" s="162"/>
      <c r="D823" s="148"/>
      <c r="E823" s="161"/>
      <c r="F823" s="146" t="str">
        <f>IF(E823&lt;&gt;"", SUMIF(Bets!$F:$F, E823, Bets!AB:AB), "")</f>
        <v/>
      </c>
      <c r="G823" s="162"/>
      <c r="H823" s="148"/>
      <c r="I823" s="161"/>
      <c r="J823" s="146" t="str">
        <f>IF(I823&lt;&gt;"", SUMIF(Bets!$F:$F, I823, Bets!AA:AA), "")</f>
        <v/>
      </c>
      <c r="K823" s="162"/>
      <c r="L823" s="148"/>
      <c r="M823" s="161"/>
      <c r="N823" s="146"/>
      <c r="O823" s="162"/>
      <c r="P823" s="148"/>
      <c r="Q823" s="161"/>
      <c r="R823" s="146"/>
      <c r="S823" s="162"/>
      <c r="T823" s="148"/>
      <c r="U823" s="161"/>
      <c r="V823" s="146"/>
      <c r="W823" s="162"/>
      <c r="X823" s="148"/>
      <c r="Y823" s="161"/>
      <c r="Z823" s="146"/>
      <c r="AA823" s="162"/>
      <c r="AB823" s="148"/>
      <c r="AC823" s="161"/>
      <c r="AD823" s="146"/>
      <c r="AE823" s="162"/>
      <c r="AF823" s="148"/>
    </row>
    <row r="824">
      <c r="A824" s="161"/>
      <c r="B824" s="146" t="str">
        <f>IF(A824&lt;&gt;"", SUMIF(Bets!$F:$F, A824, Bets!Z:Z), "")</f>
        <v/>
      </c>
      <c r="C824" s="162"/>
      <c r="D824" s="148"/>
      <c r="E824" s="161"/>
      <c r="F824" s="146" t="str">
        <f>IF(E824&lt;&gt;"", SUMIF(Bets!$F:$F, E824, Bets!AB:AB), "")</f>
        <v/>
      </c>
      <c r="G824" s="162"/>
      <c r="H824" s="148"/>
      <c r="I824" s="161"/>
      <c r="J824" s="146" t="str">
        <f>IF(I824&lt;&gt;"", SUMIF(Bets!$F:$F, I824, Bets!AA:AA), "")</f>
        <v/>
      </c>
      <c r="K824" s="162"/>
      <c r="L824" s="148"/>
      <c r="M824" s="161"/>
      <c r="N824" s="146"/>
      <c r="O824" s="162"/>
      <c r="P824" s="148"/>
      <c r="Q824" s="161"/>
      <c r="R824" s="146"/>
      <c r="S824" s="162"/>
      <c r="T824" s="148"/>
      <c r="U824" s="161"/>
      <c r="V824" s="146"/>
      <c r="W824" s="162"/>
      <c r="X824" s="148"/>
      <c r="Y824" s="161"/>
      <c r="Z824" s="146"/>
      <c r="AA824" s="162"/>
      <c r="AB824" s="148"/>
      <c r="AC824" s="161"/>
      <c r="AD824" s="146"/>
      <c r="AE824" s="162"/>
      <c r="AF824" s="148"/>
    </row>
    <row r="825">
      <c r="A825" s="161"/>
      <c r="B825" s="146" t="str">
        <f>IF(A825&lt;&gt;"", SUMIF(Bets!$F:$F, A825, Bets!Z:Z), "")</f>
        <v/>
      </c>
      <c r="C825" s="162"/>
      <c r="D825" s="148"/>
      <c r="E825" s="161"/>
      <c r="F825" s="146" t="str">
        <f>IF(E825&lt;&gt;"", SUMIF(Bets!$F:$F, E825, Bets!AB:AB), "")</f>
        <v/>
      </c>
      <c r="G825" s="162"/>
      <c r="H825" s="148"/>
      <c r="I825" s="161"/>
      <c r="J825" s="146" t="str">
        <f>IF(I825&lt;&gt;"", SUMIF(Bets!$F:$F, I825, Bets!AA:AA), "")</f>
        <v/>
      </c>
      <c r="K825" s="162"/>
      <c r="L825" s="148"/>
      <c r="M825" s="161"/>
      <c r="N825" s="146"/>
      <c r="O825" s="162"/>
      <c r="P825" s="148"/>
      <c r="Q825" s="161"/>
      <c r="R825" s="146"/>
      <c r="S825" s="162"/>
      <c r="T825" s="148"/>
      <c r="U825" s="161"/>
      <c r="V825" s="146"/>
      <c r="W825" s="162"/>
      <c r="X825" s="148"/>
      <c r="Y825" s="161"/>
      <c r="Z825" s="146"/>
      <c r="AA825" s="162"/>
      <c r="AB825" s="148"/>
      <c r="AC825" s="161"/>
      <c r="AD825" s="146"/>
      <c r="AE825" s="162"/>
      <c r="AF825" s="148"/>
    </row>
    <row r="826">
      <c r="A826" s="161"/>
      <c r="B826" s="146" t="str">
        <f>IF(A826&lt;&gt;"", SUMIF(Bets!$F:$F, A826, Bets!Z:Z), "")</f>
        <v/>
      </c>
      <c r="C826" s="162"/>
      <c r="D826" s="148"/>
      <c r="E826" s="161"/>
      <c r="F826" s="146" t="str">
        <f>IF(E826&lt;&gt;"", SUMIF(Bets!$F:$F, E826, Bets!AB:AB), "")</f>
        <v/>
      </c>
      <c r="G826" s="162"/>
      <c r="H826" s="148"/>
      <c r="I826" s="161"/>
      <c r="J826" s="146" t="str">
        <f>IF(I826&lt;&gt;"", SUMIF(Bets!$F:$F, I826, Bets!AA:AA), "")</f>
        <v/>
      </c>
      <c r="K826" s="162"/>
      <c r="L826" s="148"/>
      <c r="M826" s="161"/>
      <c r="N826" s="146"/>
      <c r="O826" s="162"/>
      <c r="P826" s="148"/>
      <c r="Q826" s="161"/>
      <c r="R826" s="146"/>
      <c r="S826" s="162"/>
      <c r="T826" s="148"/>
      <c r="U826" s="161"/>
      <c r="V826" s="146"/>
      <c r="W826" s="162"/>
      <c r="X826" s="148"/>
      <c r="Y826" s="161"/>
      <c r="Z826" s="146"/>
      <c r="AA826" s="162"/>
      <c r="AB826" s="148"/>
      <c r="AC826" s="161"/>
      <c r="AD826" s="146"/>
      <c r="AE826" s="162"/>
      <c r="AF826" s="148"/>
    </row>
    <row r="827">
      <c r="A827" s="161"/>
      <c r="B827" s="146" t="str">
        <f>IF(A827&lt;&gt;"", SUMIF(Bets!$F:$F, A827, Bets!Z:Z), "")</f>
        <v/>
      </c>
      <c r="C827" s="162"/>
      <c r="D827" s="148"/>
      <c r="E827" s="161"/>
      <c r="F827" s="146" t="str">
        <f>IF(E827&lt;&gt;"", SUMIF(Bets!$F:$F, E827, Bets!AB:AB), "")</f>
        <v/>
      </c>
      <c r="G827" s="162"/>
      <c r="H827" s="148"/>
      <c r="I827" s="161"/>
      <c r="J827" s="146" t="str">
        <f>IF(I827&lt;&gt;"", SUMIF(Bets!$F:$F, I827, Bets!AA:AA), "")</f>
        <v/>
      </c>
      <c r="K827" s="162"/>
      <c r="L827" s="148"/>
      <c r="M827" s="161"/>
      <c r="N827" s="146"/>
      <c r="O827" s="162"/>
      <c r="P827" s="148"/>
      <c r="Q827" s="161"/>
      <c r="R827" s="146"/>
      <c r="S827" s="162"/>
      <c r="T827" s="148"/>
      <c r="U827" s="161"/>
      <c r="V827" s="146"/>
      <c r="W827" s="162"/>
      <c r="X827" s="148"/>
      <c r="Y827" s="161"/>
      <c r="Z827" s="146"/>
      <c r="AA827" s="162"/>
      <c r="AB827" s="148"/>
      <c r="AC827" s="161"/>
      <c r="AD827" s="146"/>
      <c r="AE827" s="162"/>
      <c r="AF827" s="148"/>
    </row>
    <row r="828">
      <c r="A828" s="161"/>
      <c r="B828" s="146" t="str">
        <f>IF(A828&lt;&gt;"", SUMIF(Bets!$F:$F, A828, Bets!Z:Z), "")</f>
        <v/>
      </c>
      <c r="C828" s="162"/>
      <c r="D828" s="148"/>
      <c r="E828" s="161"/>
      <c r="F828" s="146" t="str">
        <f>IF(E828&lt;&gt;"", SUMIF(Bets!$F:$F, E828, Bets!AB:AB), "")</f>
        <v/>
      </c>
      <c r="G828" s="162"/>
      <c r="H828" s="148"/>
      <c r="I828" s="161"/>
      <c r="J828" s="146" t="str">
        <f>IF(I828&lt;&gt;"", SUMIF(Bets!$F:$F, I828, Bets!AA:AA), "")</f>
        <v/>
      </c>
      <c r="K828" s="162"/>
      <c r="L828" s="148"/>
      <c r="M828" s="161"/>
      <c r="N828" s="146"/>
      <c r="O828" s="162"/>
      <c r="P828" s="148"/>
      <c r="Q828" s="161"/>
      <c r="R828" s="146"/>
      <c r="S828" s="162"/>
      <c r="T828" s="148"/>
      <c r="U828" s="161"/>
      <c r="V828" s="146"/>
      <c r="W828" s="162"/>
      <c r="X828" s="148"/>
      <c r="Y828" s="161"/>
      <c r="Z828" s="146"/>
      <c r="AA828" s="162"/>
      <c r="AB828" s="148"/>
      <c r="AC828" s="161"/>
      <c r="AD828" s="146"/>
      <c r="AE828" s="162"/>
      <c r="AF828" s="148"/>
    </row>
    <row r="829">
      <c r="A829" s="161"/>
      <c r="B829" s="146" t="str">
        <f>IF(A829&lt;&gt;"", SUMIF(Bets!$F:$F, A829, Bets!Z:Z), "")</f>
        <v/>
      </c>
      <c r="C829" s="162"/>
      <c r="D829" s="148"/>
      <c r="E829" s="161"/>
      <c r="F829" s="146" t="str">
        <f>IF(E829&lt;&gt;"", SUMIF(Bets!$F:$F, E829, Bets!AB:AB), "")</f>
        <v/>
      </c>
      <c r="G829" s="162"/>
      <c r="H829" s="148"/>
      <c r="I829" s="161"/>
      <c r="J829" s="146" t="str">
        <f>IF(I829&lt;&gt;"", SUMIF(Bets!$F:$F, I829, Bets!AA:AA), "")</f>
        <v/>
      </c>
      <c r="K829" s="162"/>
      <c r="L829" s="148"/>
      <c r="M829" s="161"/>
      <c r="N829" s="146"/>
      <c r="O829" s="162"/>
      <c r="P829" s="148"/>
      <c r="Q829" s="161"/>
      <c r="R829" s="146"/>
      <c r="S829" s="162"/>
      <c r="T829" s="148"/>
      <c r="U829" s="161"/>
      <c r="V829" s="146"/>
      <c r="W829" s="162"/>
      <c r="X829" s="148"/>
      <c r="Y829" s="161"/>
      <c r="Z829" s="146"/>
      <c r="AA829" s="162"/>
      <c r="AB829" s="148"/>
      <c r="AC829" s="161"/>
      <c r="AD829" s="146"/>
      <c r="AE829" s="162"/>
      <c r="AF829" s="148"/>
    </row>
    <row r="830">
      <c r="A830" s="161"/>
      <c r="B830" s="146" t="str">
        <f>IF(A830&lt;&gt;"", SUMIF(Bets!$F:$F, A830, Bets!Z:Z), "")</f>
        <v/>
      </c>
      <c r="C830" s="162"/>
      <c r="D830" s="148"/>
      <c r="E830" s="161"/>
      <c r="F830" s="146" t="str">
        <f>IF(E830&lt;&gt;"", SUMIF(Bets!$F:$F, E830, Bets!AB:AB), "")</f>
        <v/>
      </c>
      <c r="G830" s="162"/>
      <c r="H830" s="148"/>
      <c r="I830" s="161"/>
      <c r="J830" s="146" t="str">
        <f>IF(I830&lt;&gt;"", SUMIF(Bets!$F:$F, I830, Bets!AA:AA), "")</f>
        <v/>
      </c>
      <c r="K830" s="162"/>
      <c r="L830" s="148"/>
      <c r="M830" s="161"/>
      <c r="N830" s="146"/>
      <c r="O830" s="162"/>
      <c r="P830" s="148"/>
      <c r="Q830" s="161"/>
      <c r="R830" s="146"/>
      <c r="S830" s="162"/>
      <c r="T830" s="148"/>
      <c r="U830" s="161"/>
      <c r="V830" s="146"/>
      <c r="W830" s="162"/>
      <c r="X830" s="148"/>
      <c r="Y830" s="161"/>
      <c r="Z830" s="146"/>
      <c r="AA830" s="162"/>
      <c r="AB830" s="148"/>
      <c r="AC830" s="161"/>
      <c r="AD830" s="146"/>
      <c r="AE830" s="162"/>
      <c r="AF830" s="148"/>
    </row>
    <row r="831">
      <c r="A831" s="161"/>
      <c r="B831" s="146" t="str">
        <f>IF(A831&lt;&gt;"", SUMIF(Bets!$F:$F, A831, Bets!Z:Z), "")</f>
        <v/>
      </c>
      <c r="C831" s="162"/>
      <c r="D831" s="148"/>
      <c r="E831" s="161"/>
      <c r="F831" s="146" t="str">
        <f>IF(E831&lt;&gt;"", SUMIF(Bets!$F:$F, E831, Bets!AB:AB), "")</f>
        <v/>
      </c>
      <c r="G831" s="162"/>
      <c r="H831" s="148"/>
      <c r="I831" s="161"/>
      <c r="J831" s="146" t="str">
        <f>IF(I831&lt;&gt;"", SUMIF(Bets!$F:$F, I831, Bets!AA:AA), "")</f>
        <v/>
      </c>
      <c r="K831" s="162"/>
      <c r="L831" s="148"/>
      <c r="M831" s="161"/>
      <c r="N831" s="146"/>
      <c r="O831" s="162"/>
      <c r="P831" s="148"/>
      <c r="Q831" s="161"/>
      <c r="R831" s="146"/>
      <c r="S831" s="162"/>
      <c r="T831" s="148"/>
      <c r="U831" s="161"/>
      <c r="V831" s="146"/>
      <c r="W831" s="162"/>
      <c r="X831" s="148"/>
      <c r="Y831" s="161"/>
      <c r="Z831" s="146"/>
      <c r="AA831" s="162"/>
      <c r="AB831" s="148"/>
      <c r="AC831" s="161"/>
      <c r="AD831" s="146"/>
      <c r="AE831" s="162"/>
      <c r="AF831" s="148"/>
    </row>
    <row r="832">
      <c r="A832" s="161"/>
      <c r="B832" s="146" t="str">
        <f>IF(A832&lt;&gt;"", SUMIF(Bets!$F:$F, A832, Bets!Z:Z), "")</f>
        <v/>
      </c>
      <c r="C832" s="162"/>
      <c r="D832" s="148"/>
      <c r="E832" s="161"/>
      <c r="F832" s="146" t="str">
        <f>IF(E832&lt;&gt;"", SUMIF(Bets!$F:$F, E832, Bets!AB:AB), "")</f>
        <v/>
      </c>
      <c r="G832" s="162"/>
      <c r="H832" s="148"/>
      <c r="I832" s="161"/>
      <c r="J832" s="146" t="str">
        <f>IF(I832&lt;&gt;"", SUMIF(Bets!$F:$F, I832, Bets!AA:AA), "")</f>
        <v/>
      </c>
      <c r="K832" s="162"/>
      <c r="L832" s="148"/>
      <c r="M832" s="161"/>
      <c r="N832" s="146"/>
      <c r="O832" s="162"/>
      <c r="P832" s="148"/>
      <c r="Q832" s="161"/>
      <c r="R832" s="146"/>
      <c r="S832" s="162"/>
      <c r="T832" s="148"/>
      <c r="U832" s="161"/>
      <c r="V832" s="146"/>
      <c r="W832" s="162"/>
      <c r="X832" s="148"/>
      <c r="Y832" s="161"/>
      <c r="Z832" s="146"/>
      <c r="AA832" s="162"/>
      <c r="AB832" s="148"/>
      <c r="AC832" s="161"/>
      <c r="AD832" s="146"/>
      <c r="AE832" s="162"/>
      <c r="AF832" s="148"/>
    </row>
    <row r="833">
      <c r="A833" s="161"/>
      <c r="B833" s="146" t="str">
        <f>IF(A833&lt;&gt;"", SUMIF(Bets!$F:$F, A833, Bets!Z:Z), "")</f>
        <v/>
      </c>
      <c r="C833" s="162"/>
      <c r="D833" s="148"/>
      <c r="E833" s="161"/>
      <c r="F833" s="146" t="str">
        <f>IF(E833&lt;&gt;"", SUMIF(Bets!$F:$F, E833, Bets!AB:AB), "")</f>
        <v/>
      </c>
      <c r="G833" s="162"/>
      <c r="H833" s="148"/>
      <c r="I833" s="161"/>
      <c r="J833" s="146" t="str">
        <f>IF(I833&lt;&gt;"", SUMIF(Bets!$F:$F, I833, Bets!AA:AA), "")</f>
        <v/>
      </c>
      <c r="K833" s="162"/>
      <c r="L833" s="148"/>
      <c r="M833" s="161"/>
      <c r="N833" s="146"/>
      <c r="O833" s="162"/>
      <c r="P833" s="148"/>
      <c r="Q833" s="161"/>
      <c r="R833" s="146"/>
      <c r="S833" s="162"/>
      <c r="T833" s="148"/>
      <c r="U833" s="161"/>
      <c r="V833" s="146"/>
      <c r="W833" s="162"/>
      <c r="X833" s="148"/>
      <c r="Y833" s="161"/>
      <c r="Z833" s="146"/>
      <c r="AA833" s="162"/>
      <c r="AB833" s="148"/>
      <c r="AC833" s="161"/>
      <c r="AD833" s="146"/>
      <c r="AE833" s="162"/>
      <c r="AF833" s="148"/>
    </row>
    <row r="834">
      <c r="A834" s="161"/>
      <c r="B834" s="146" t="str">
        <f>IF(A834&lt;&gt;"", SUMIF(Bets!$F:$F, A834, Bets!Z:Z), "")</f>
        <v/>
      </c>
      <c r="C834" s="162"/>
      <c r="D834" s="148"/>
      <c r="E834" s="161"/>
      <c r="F834" s="146" t="str">
        <f>IF(E834&lt;&gt;"", SUMIF(Bets!$F:$F, E834, Bets!AB:AB), "")</f>
        <v/>
      </c>
      <c r="G834" s="162"/>
      <c r="H834" s="148"/>
      <c r="I834" s="161"/>
      <c r="J834" s="146" t="str">
        <f>IF(I834&lt;&gt;"", SUMIF(Bets!$F:$F, I834, Bets!AA:AA), "")</f>
        <v/>
      </c>
      <c r="K834" s="162"/>
      <c r="L834" s="148"/>
      <c r="M834" s="161"/>
      <c r="N834" s="146"/>
      <c r="O834" s="162"/>
      <c r="P834" s="148"/>
      <c r="Q834" s="161"/>
      <c r="R834" s="146"/>
      <c r="S834" s="162"/>
      <c r="T834" s="148"/>
      <c r="U834" s="161"/>
      <c r="V834" s="146"/>
      <c r="W834" s="162"/>
      <c r="X834" s="148"/>
      <c r="Y834" s="161"/>
      <c r="Z834" s="146"/>
      <c r="AA834" s="162"/>
      <c r="AB834" s="148"/>
      <c r="AC834" s="161"/>
      <c r="AD834" s="146"/>
      <c r="AE834" s="162"/>
      <c r="AF834" s="148"/>
    </row>
    <row r="835">
      <c r="A835" s="161"/>
      <c r="B835" s="146" t="str">
        <f>IF(A835&lt;&gt;"", SUMIF(Bets!$F:$F, A835, Bets!Z:Z), "")</f>
        <v/>
      </c>
      <c r="C835" s="162"/>
      <c r="D835" s="148"/>
      <c r="E835" s="161"/>
      <c r="F835" s="146" t="str">
        <f>IF(E835&lt;&gt;"", SUMIF(Bets!$F:$F, E835, Bets!AB:AB), "")</f>
        <v/>
      </c>
      <c r="G835" s="162"/>
      <c r="H835" s="148"/>
      <c r="I835" s="161"/>
      <c r="J835" s="146" t="str">
        <f>IF(I835&lt;&gt;"", SUMIF(Bets!$F:$F, I835, Bets!AA:AA), "")</f>
        <v/>
      </c>
      <c r="K835" s="162"/>
      <c r="L835" s="148"/>
      <c r="M835" s="161"/>
      <c r="N835" s="146"/>
      <c r="O835" s="162"/>
      <c r="P835" s="148"/>
      <c r="Q835" s="161"/>
      <c r="R835" s="146"/>
      <c r="S835" s="162"/>
      <c r="T835" s="148"/>
      <c r="U835" s="161"/>
      <c r="V835" s="146"/>
      <c r="W835" s="162"/>
      <c r="X835" s="148"/>
      <c r="Y835" s="161"/>
      <c r="Z835" s="146"/>
      <c r="AA835" s="162"/>
      <c r="AB835" s="148"/>
      <c r="AC835" s="161"/>
      <c r="AD835" s="146"/>
      <c r="AE835" s="162"/>
      <c r="AF835" s="148"/>
    </row>
    <row r="836">
      <c r="A836" s="161"/>
      <c r="B836" s="146" t="str">
        <f>IF(A836&lt;&gt;"", SUMIF(Bets!$F:$F, A836, Bets!Z:Z), "")</f>
        <v/>
      </c>
      <c r="C836" s="162"/>
      <c r="D836" s="148"/>
      <c r="E836" s="161"/>
      <c r="F836" s="146" t="str">
        <f>IF(E836&lt;&gt;"", SUMIF(Bets!$F:$F, E836, Bets!AB:AB), "")</f>
        <v/>
      </c>
      <c r="G836" s="162"/>
      <c r="H836" s="148"/>
      <c r="I836" s="161"/>
      <c r="J836" s="146" t="str">
        <f>IF(I836&lt;&gt;"", SUMIF(Bets!$F:$F, I836, Bets!AA:AA), "")</f>
        <v/>
      </c>
      <c r="K836" s="162"/>
      <c r="L836" s="148"/>
      <c r="M836" s="161"/>
      <c r="N836" s="146"/>
      <c r="O836" s="162"/>
      <c r="P836" s="148"/>
      <c r="Q836" s="161"/>
      <c r="R836" s="146"/>
      <c r="S836" s="162"/>
      <c r="T836" s="148"/>
      <c r="U836" s="161"/>
      <c r="V836" s="146"/>
      <c r="W836" s="162"/>
      <c r="X836" s="148"/>
      <c r="Y836" s="161"/>
      <c r="Z836" s="146"/>
      <c r="AA836" s="162"/>
      <c r="AB836" s="148"/>
      <c r="AC836" s="161"/>
      <c r="AD836" s="146"/>
      <c r="AE836" s="162"/>
      <c r="AF836" s="148"/>
    </row>
    <row r="837">
      <c r="A837" s="161"/>
      <c r="B837" s="146" t="str">
        <f>IF(A837&lt;&gt;"", SUMIF(Bets!$F:$F, A837, Bets!Z:Z), "")</f>
        <v/>
      </c>
      <c r="C837" s="162"/>
      <c r="D837" s="148"/>
      <c r="E837" s="161"/>
      <c r="F837" s="146" t="str">
        <f>IF(E837&lt;&gt;"", SUMIF(Bets!$F:$F, E837, Bets!AB:AB), "")</f>
        <v/>
      </c>
      <c r="G837" s="162"/>
      <c r="H837" s="148"/>
      <c r="I837" s="161"/>
      <c r="J837" s="146" t="str">
        <f>IF(I837&lt;&gt;"", SUMIF(Bets!$F:$F, I837, Bets!AA:AA), "")</f>
        <v/>
      </c>
      <c r="K837" s="162"/>
      <c r="L837" s="148"/>
      <c r="M837" s="161"/>
      <c r="N837" s="146"/>
      <c r="O837" s="162"/>
      <c r="P837" s="148"/>
      <c r="Q837" s="161"/>
      <c r="R837" s="146"/>
      <c r="S837" s="162"/>
      <c r="T837" s="148"/>
      <c r="U837" s="161"/>
      <c r="V837" s="146"/>
      <c r="W837" s="162"/>
      <c r="X837" s="148"/>
      <c r="Y837" s="161"/>
      <c r="Z837" s="146"/>
      <c r="AA837" s="162"/>
      <c r="AB837" s="148"/>
      <c r="AC837" s="161"/>
      <c r="AD837" s="146"/>
      <c r="AE837" s="162"/>
      <c r="AF837" s="148"/>
    </row>
    <row r="838">
      <c r="A838" s="161"/>
      <c r="B838" s="146" t="str">
        <f>IF(A838&lt;&gt;"", SUMIF(Bets!$F:$F, A838, Bets!Z:Z), "")</f>
        <v/>
      </c>
      <c r="C838" s="162"/>
      <c r="D838" s="148"/>
      <c r="E838" s="161"/>
      <c r="F838" s="146" t="str">
        <f>IF(E838&lt;&gt;"", SUMIF(Bets!$F:$F, E838, Bets!AB:AB), "")</f>
        <v/>
      </c>
      <c r="G838" s="162"/>
      <c r="H838" s="148"/>
      <c r="I838" s="161"/>
      <c r="J838" s="146" t="str">
        <f>IF(I838&lt;&gt;"", SUMIF(Bets!$F:$F, I838, Bets!AA:AA), "")</f>
        <v/>
      </c>
      <c r="K838" s="162"/>
      <c r="L838" s="148"/>
      <c r="M838" s="161"/>
      <c r="N838" s="146"/>
      <c r="O838" s="162"/>
      <c r="P838" s="148"/>
      <c r="Q838" s="161"/>
      <c r="R838" s="146"/>
      <c r="S838" s="162"/>
      <c r="T838" s="148"/>
      <c r="U838" s="161"/>
      <c r="V838" s="146"/>
      <c r="W838" s="162"/>
      <c r="X838" s="148"/>
      <c r="Y838" s="161"/>
      <c r="Z838" s="146"/>
      <c r="AA838" s="162"/>
      <c r="AB838" s="148"/>
      <c r="AC838" s="161"/>
      <c r="AD838" s="146"/>
      <c r="AE838" s="162"/>
      <c r="AF838" s="148"/>
    </row>
    <row r="839">
      <c r="A839" s="161"/>
      <c r="B839" s="146" t="str">
        <f>IF(A839&lt;&gt;"", SUMIF(Bets!$F:$F, A839, Bets!Z:Z), "")</f>
        <v/>
      </c>
      <c r="C839" s="162"/>
      <c r="D839" s="148"/>
      <c r="E839" s="161"/>
      <c r="F839" s="146" t="str">
        <f>IF(E839&lt;&gt;"", SUMIF(Bets!$F:$F, E839, Bets!AB:AB), "")</f>
        <v/>
      </c>
      <c r="G839" s="162"/>
      <c r="H839" s="148"/>
      <c r="I839" s="161"/>
      <c r="J839" s="146" t="str">
        <f>IF(I839&lt;&gt;"", SUMIF(Bets!$F:$F, I839, Bets!AA:AA), "")</f>
        <v/>
      </c>
      <c r="K839" s="162"/>
      <c r="L839" s="148"/>
      <c r="M839" s="161"/>
      <c r="N839" s="146"/>
      <c r="O839" s="162"/>
      <c r="P839" s="148"/>
      <c r="Q839" s="161"/>
      <c r="R839" s="146"/>
      <c r="S839" s="162"/>
      <c r="T839" s="148"/>
      <c r="U839" s="161"/>
      <c r="V839" s="146"/>
      <c r="W839" s="162"/>
      <c r="X839" s="148"/>
      <c r="Y839" s="161"/>
      <c r="Z839" s="146"/>
      <c r="AA839" s="162"/>
      <c r="AB839" s="148"/>
      <c r="AC839" s="161"/>
      <c r="AD839" s="146"/>
      <c r="AE839" s="162"/>
      <c r="AF839" s="148"/>
    </row>
    <row r="840">
      <c r="A840" s="161"/>
      <c r="B840" s="146" t="str">
        <f>IF(A840&lt;&gt;"", SUMIF(Bets!$F:$F, A840, Bets!Z:Z), "")</f>
        <v/>
      </c>
      <c r="C840" s="162"/>
      <c r="D840" s="148"/>
      <c r="E840" s="161"/>
      <c r="F840" s="146" t="str">
        <f>IF(E840&lt;&gt;"", SUMIF(Bets!$F:$F, E840, Bets!AB:AB), "")</f>
        <v/>
      </c>
      <c r="G840" s="162"/>
      <c r="H840" s="148"/>
      <c r="I840" s="161"/>
      <c r="J840" s="146" t="str">
        <f>IF(I840&lt;&gt;"", SUMIF(Bets!$F:$F, I840, Bets!AA:AA), "")</f>
        <v/>
      </c>
      <c r="K840" s="162"/>
      <c r="L840" s="148"/>
      <c r="M840" s="161"/>
      <c r="N840" s="146"/>
      <c r="O840" s="162"/>
      <c r="P840" s="148"/>
      <c r="Q840" s="161"/>
      <c r="R840" s="146"/>
      <c r="S840" s="162"/>
      <c r="T840" s="148"/>
      <c r="U840" s="161"/>
      <c r="V840" s="146"/>
      <c r="W840" s="162"/>
      <c r="X840" s="148"/>
      <c r="Y840" s="161"/>
      <c r="Z840" s="146"/>
      <c r="AA840" s="162"/>
      <c r="AB840" s="148"/>
      <c r="AC840" s="161"/>
      <c r="AD840" s="146"/>
      <c r="AE840" s="162"/>
      <c r="AF840" s="148"/>
    </row>
    <row r="841">
      <c r="A841" s="161"/>
      <c r="B841" s="146" t="str">
        <f>IF(A841&lt;&gt;"", SUMIF(Bets!$F:$F, A841, Bets!Z:Z), "")</f>
        <v/>
      </c>
      <c r="C841" s="162"/>
      <c r="D841" s="148"/>
      <c r="E841" s="161"/>
      <c r="F841" s="146" t="str">
        <f>IF(E841&lt;&gt;"", SUMIF(Bets!$F:$F, E841, Bets!AB:AB), "")</f>
        <v/>
      </c>
      <c r="G841" s="162"/>
      <c r="H841" s="148"/>
      <c r="I841" s="161"/>
      <c r="J841" s="146" t="str">
        <f>IF(I841&lt;&gt;"", SUMIF(Bets!$F:$F, I841, Bets!AA:AA), "")</f>
        <v/>
      </c>
      <c r="K841" s="162"/>
      <c r="L841" s="148"/>
      <c r="M841" s="161"/>
      <c r="N841" s="146"/>
      <c r="O841" s="162"/>
      <c r="P841" s="148"/>
      <c r="Q841" s="161"/>
      <c r="R841" s="146"/>
      <c r="S841" s="162"/>
      <c r="T841" s="148"/>
      <c r="U841" s="161"/>
      <c r="V841" s="146"/>
      <c r="W841" s="162"/>
      <c r="X841" s="148"/>
      <c r="Y841" s="161"/>
      <c r="Z841" s="146"/>
      <c r="AA841" s="162"/>
      <c r="AB841" s="148"/>
      <c r="AC841" s="161"/>
      <c r="AD841" s="146"/>
      <c r="AE841" s="162"/>
      <c r="AF841" s="148"/>
    </row>
    <row r="842">
      <c r="A842" s="161"/>
      <c r="B842" s="146" t="str">
        <f>IF(A842&lt;&gt;"", SUMIF(Bets!$F:$F, A842, Bets!Z:Z), "")</f>
        <v/>
      </c>
      <c r="C842" s="162"/>
      <c r="D842" s="148"/>
      <c r="E842" s="161"/>
      <c r="F842" s="146" t="str">
        <f>IF(E842&lt;&gt;"", SUMIF(Bets!$F:$F, E842, Bets!AB:AB), "")</f>
        <v/>
      </c>
      <c r="G842" s="162"/>
      <c r="H842" s="148"/>
      <c r="I842" s="161"/>
      <c r="J842" s="146" t="str">
        <f>IF(I842&lt;&gt;"", SUMIF(Bets!$F:$F, I842, Bets!AA:AA), "")</f>
        <v/>
      </c>
      <c r="K842" s="162"/>
      <c r="L842" s="148"/>
      <c r="M842" s="161"/>
      <c r="N842" s="146"/>
      <c r="O842" s="162"/>
      <c r="P842" s="148"/>
      <c r="Q842" s="161"/>
      <c r="R842" s="146"/>
      <c r="S842" s="162"/>
      <c r="T842" s="148"/>
      <c r="U842" s="161"/>
      <c r="V842" s="146"/>
      <c r="W842" s="162"/>
      <c r="X842" s="148"/>
      <c r="Y842" s="161"/>
      <c r="Z842" s="146"/>
      <c r="AA842" s="162"/>
      <c r="AB842" s="148"/>
      <c r="AC842" s="161"/>
      <c r="AD842" s="146"/>
      <c r="AE842" s="162"/>
      <c r="AF842" s="148"/>
    </row>
    <row r="843">
      <c r="A843" s="161"/>
      <c r="B843" s="146" t="str">
        <f>IF(A843&lt;&gt;"", SUMIF(Bets!$F:$F, A843, Bets!Z:Z), "")</f>
        <v/>
      </c>
      <c r="C843" s="162"/>
      <c r="D843" s="148"/>
      <c r="E843" s="161"/>
      <c r="F843" s="146" t="str">
        <f>IF(E843&lt;&gt;"", SUMIF(Bets!$F:$F, E843, Bets!AB:AB), "")</f>
        <v/>
      </c>
      <c r="G843" s="162"/>
      <c r="H843" s="148"/>
      <c r="I843" s="161"/>
      <c r="J843" s="146" t="str">
        <f>IF(I843&lt;&gt;"", SUMIF(Bets!$F:$F, I843, Bets!AA:AA), "")</f>
        <v/>
      </c>
      <c r="K843" s="162"/>
      <c r="L843" s="148"/>
      <c r="M843" s="161"/>
      <c r="N843" s="146"/>
      <c r="O843" s="162"/>
      <c r="P843" s="148"/>
      <c r="Q843" s="161"/>
      <c r="R843" s="146"/>
      <c r="S843" s="162"/>
      <c r="T843" s="148"/>
      <c r="U843" s="161"/>
      <c r="V843" s="146"/>
      <c r="W843" s="162"/>
      <c r="X843" s="148"/>
      <c r="Y843" s="161"/>
      <c r="Z843" s="146"/>
      <c r="AA843" s="162"/>
      <c r="AB843" s="148"/>
      <c r="AC843" s="161"/>
      <c r="AD843" s="146"/>
      <c r="AE843" s="162"/>
      <c r="AF843" s="148"/>
    </row>
    <row r="844">
      <c r="A844" s="161"/>
      <c r="B844" s="146" t="str">
        <f>IF(A844&lt;&gt;"", SUMIF(Bets!$F:$F, A844, Bets!Z:Z), "")</f>
        <v/>
      </c>
      <c r="C844" s="162"/>
      <c r="D844" s="148"/>
      <c r="E844" s="161"/>
      <c r="F844" s="146" t="str">
        <f>IF(E844&lt;&gt;"", SUMIF(Bets!$F:$F, E844, Bets!AB:AB), "")</f>
        <v/>
      </c>
      <c r="G844" s="162"/>
      <c r="H844" s="148"/>
      <c r="I844" s="161"/>
      <c r="J844" s="146" t="str">
        <f>IF(I844&lt;&gt;"", SUMIF(Bets!$F:$F, I844, Bets!AA:AA), "")</f>
        <v/>
      </c>
      <c r="K844" s="162"/>
      <c r="L844" s="148"/>
      <c r="M844" s="161"/>
      <c r="N844" s="146"/>
      <c r="O844" s="162"/>
      <c r="P844" s="148"/>
      <c r="Q844" s="161"/>
      <c r="R844" s="146"/>
      <c r="S844" s="162"/>
      <c r="T844" s="148"/>
      <c r="U844" s="161"/>
      <c r="V844" s="146"/>
      <c r="W844" s="162"/>
      <c r="X844" s="148"/>
      <c r="Y844" s="161"/>
      <c r="Z844" s="146"/>
      <c r="AA844" s="162"/>
      <c r="AB844" s="148"/>
      <c r="AC844" s="161"/>
      <c r="AD844" s="146"/>
      <c r="AE844" s="162"/>
      <c r="AF844" s="148"/>
    </row>
    <row r="845">
      <c r="A845" s="161"/>
      <c r="B845" s="146" t="str">
        <f>IF(A845&lt;&gt;"", SUMIF(Bets!$F:$F, A845, Bets!Z:Z), "")</f>
        <v/>
      </c>
      <c r="C845" s="162"/>
      <c r="D845" s="148"/>
      <c r="E845" s="161"/>
      <c r="F845" s="146" t="str">
        <f>IF(E845&lt;&gt;"", SUMIF(Bets!$F:$F, E845, Bets!AB:AB), "")</f>
        <v/>
      </c>
      <c r="G845" s="162"/>
      <c r="H845" s="148"/>
      <c r="I845" s="161"/>
      <c r="J845" s="146" t="str">
        <f>IF(I845&lt;&gt;"", SUMIF(Bets!$F:$F, I845, Bets!AA:AA), "")</f>
        <v/>
      </c>
      <c r="K845" s="162"/>
      <c r="L845" s="148"/>
      <c r="M845" s="161"/>
      <c r="N845" s="146"/>
      <c r="O845" s="162"/>
      <c r="P845" s="148"/>
      <c r="Q845" s="161"/>
      <c r="R845" s="146"/>
      <c r="S845" s="162"/>
      <c r="T845" s="148"/>
      <c r="U845" s="161"/>
      <c r="V845" s="146"/>
      <c r="W845" s="162"/>
      <c r="X845" s="148"/>
      <c r="Y845" s="161"/>
      <c r="Z845" s="146"/>
      <c r="AA845" s="162"/>
      <c r="AB845" s="148"/>
      <c r="AC845" s="161"/>
      <c r="AD845" s="146"/>
      <c r="AE845" s="162"/>
      <c r="AF845" s="148"/>
    </row>
    <row r="846">
      <c r="A846" s="161"/>
      <c r="B846" s="146" t="str">
        <f>IF(A846&lt;&gt;"", SUMIF(Bets!$F:$F, A846, Bets!Z:Z), "")</f>
        <v/>
      </c>
      <c r="C846" s="162"/>
      <c r="D846" s="148"/>
      <c r="E846" s="161"/>
      <c r="F846" s="146" t="str">
        <f>IF(E846&lt;&gt;"", SUMIF(Bets!$F:$F, E846, Bets!AB:AB), "")</f>
        <v/>
      </c>
      <c r="G846" s="162"/>
      <c r="H846" s="148"/>
      <c r="I846" s="161"/>
      <c r="J846" s="146" t="str">
        <f>IF(I846&lt;&gt;"", SUMIF(Bets!$F:$F, I846, Bets!AA:AA), "")</f>
        <v/>
      </c>
      <c r="K846" s="162"/>
      <c r="L846" s="148"/>
      <c r="M846" s="161"/>
      <c r="N846" s="146"/>
      <c r="O846" s="162"/>
      <c r="P846" s="148"/>
      <c r="Q846" s="161"/>
      <c r="R846" s="146"/>
      <c r="S846" s="162"/>
      <c r="T846" s="148"/>
      <c r="U846" s="161"/>
      <c r="V846" s="146"/>
      <c r="W846" s="162"/>
      <c r="X846" s="148"/>
      <c r="Y846" s="161"/>
      <c r="Z846" s="146"/>
      <c r="AA846" s="162"/>
      <c r="AB846" s="148"/>
      <c r="AC846" s="161"/>
      <c r="AD846" s="146"/>
      <c r="AE846" s="162"/>
      <c r="AF846" s="148"/>
    </row>
    <row r="847">
      <c r="A847" s="161"/>
      <c r="B847" s="146" t="str">
        <f>IF(A847&lt;&gt;"", SUMIF(Bets!$F:$F, A847, Bets!Z:Z), "")</f>
        <v/>
      </c>
      <c r="C847" s="162"/>
      <c r="D847" s="148"/>
      <c r="E847" s="161"/>
      <c r="F847" s="146" t="str">
        <f>IF(E847&lt;&gt;"", SUMIF(Bets!$F:$F, E847, Bets!AB:AB), "")</f>
        <v/>
      </c>
      <c r="G847" s="162"/>
      <c r="H847" s="148"/>
      <c r="I847" s="161"/>
      <c r="J847" s="146" t="str">
        <f>IF(I847&lt;&gt;"", SUMIF(Bets!$F:$F, I847, Bets!AA:AA), "")</f>
        <v/>
      </c>
      <c r="K847" s="162"/>
      <c r="L847" s="148"/>
      <c r="M847" s="161"/>
      <c r="N847" s="146"/>
      <c r="O847" s="162"/>
      <c r="P847" s="148"/>
      <c r="Q847" s="161"/>
      <c r="R847" s="146"/>
      <c r="S847" s="162"/>
      <c r="T847" s="148"/>
      <c r="U847" s="161"/>
      <c r="V847" s="146"/>
      <c r="W847" s="162"/>
      <c r="X847" s="148"/>
      <c r="Y847" s="161"/>
      <c r="Z847" s="146"/>
      <c r="AA847" s="162"/>
      <c r="AB847" s="148"/>
      <c r="AC847" s="161"/>
      <c r="AD847" s="146"/>
      <c r="AE847" s="162"/>
      <c r="AF847" s="148"/>
    </row>
    <row r="848">
      <c r="A848" s="161"/>
      <c r="B848" s="146" t="str">
        <f>IF(A848&lt;&gt;"", SUMIF(Bets!$F:$F, A848, Bets!Z:Z), "")</f>
        <v/>
      </c>
      <c r="C848" s="162"/>
      <c r="D848" s="148"/>
      <c r="E848" s="161"/>
      <c r="F848" s="146" t="str">
        <f>IF(E848&lt;&gt;"", SUMIF(Bets!$F:$F, E848, Bets!AB:AB), "")</f>
        <v/>
      </c>
      <c r="G848" s="162"/>
      <c r="H848" s="148"/>
      <c r="I848" s="161"/>
      <c r="J848" s="146" t="str">
        <f>IF(I848&lt;&gt;"", SUMIF(Bets!$F:$F, I848, Bets!AA:AA), "")</f>
        <v/>
      </c>
      <c r="K848" s="162"/>
      <c r="L848" s="148"/>
      <c r="M848" s="161"/>
      <c r="N848" s="146"/>
      <c r="O848" s="162"/>
      <c r="P848" s="148"/>
      <c r="Q848" s="161"/>
      <c r="R848" s="146"/>
      <c r="S848" s="162"/>
      <c r="T848" s="148"/>
      <c r="U848" s="161"/>
      <c r="V848" s="146"/>
      <c r="W848" s="162"/>
      <c r="X848" s="148"/>
      <c r="Y848" s="161"/>
      <c r="Z848" s="146"/>
      <c r="AA848" s="162"/>
      <c r="AB848" s="148"/>
      <c r="AC848" s="161"/>
      <c r="AD848" s="146"/>
      <c r="AE848" s="162"/>
      <c r="AF848" s="148"/>
    </row>
    <row r="849">
      <c r="A849" s="161"/>
      <c r="B849" s="146" t="str">
        <f>IF(A849&lt;&gt;"", SUMIF(Bets!$F:$F, A849, Bets!Z:Z), "")</f>
        <v/>
      </c>
      <c r="C849" s="162"/>
      <c r="D849" s="148"/>
      <c r="E849" s="161"/>
      <c r="F849" s="146" t="str">
        <f>IF(E849&lt;&gt;"", SUMIF(Bets!$F:$F, E849, Bets!AB:AB), "")</f>
        <v/>
      </c>
      <c r="G849" s="162"/>
      <c r="H849" s="148"/>
      <c r="I849" s="161"/>
      <c r="J849" s="146" t="str">
        <f>IF(I849&lt;&gt;"", SUMIF(Bets!$F:$F, I849, Bets!AA:AA), "")</f>
        <v/>
      </c>
      <c r="K849" s="162"/>
      <c r="L849" s="148"/>
      <c r="M849" s="161"/>
      <c r="N849" s="146"/>
      <c r="O849" s="162"/>
      <c r="P849" s="148"/>
      <c r="Q849" s="161"/>
      <c r="R849" s="146"/>
      <c r="S849" s="162"/>
      <c r="T849" s="148"/>
      <c r="U849" s="161"/>
      <c r="V849" s="146"/>
      <c r="W849" s="162"/>
      <c r="X849" s="148"/>
      <c r="Y849" s="161"/>
      <c r="Z849" s="146"/>
      <c r="AA849" s="162"/>
      <c r="AB849" s="148"/>
      <c r="AC849" s="161"/>
      <c r="AD849" s="146"/>
      <c r="AE849" s="162"/>
      <c r="AF849" s="148"/>
    </row>
    <row r="850">
      <c r="A850" s="161"/>
      <c r="B850" s="146" t="str">
        <f>IF(A850&lt;&gt;"", SUMIF(Bets!$F:$F, A850, Bets!Z:Z), "")</f>
        <v/>
      </c>
      <c r="C850" s="162"/>
      <c r="D850" s="148"/>
      <c r="E850" s="161"/>
      <c r="F850" s="146" t="str">
        <f>IF(E850&lt;&gt;"", SUMIF(Bets!$F:$F, E850, Bets!AB:AB), "")</f>
        <v/>
      </c>
      <c r="G850" s="162"/>
      <c r="H850" s="148"/>
      <c r="I850" s="161"/>
      <c r="J850" s="146" t="str">
        <f>IF(I850&lt;&gt;"", SUMIF(Bets!$F:$F, I850, Bets!AA:AA), "")</f>
        <v/>
      </c>
      <c r="K850" s="162"/>
      <c r="L850" s="148"/>
      <c r="M850" s="161"/>
      <c r="N850" s="146"/>
      <c r="O850" s="162"/>
      <c r="P850" s="148"/>
      <c r="Q850" s="161"/>
      <c r="R850" s="146"/>
      <c r="S850" s="162"/>
      <c r="T850" s="148"/>
      <c r="U850" s="161"/>
      <c r="V850" s="146"/>
      <c r="W850" s="162"/>
      <c r="X850" s="148"/>
      <c r="Y850" s="161"/>
      <c r="Z850" s="146"/>
      <c r="AA850" s="162"/>
      <c r="AB850" s="148"/>
      <c r="AC850" s="161"/>
      <c r="AD850" s="146"/>
      <c r="AE850" s="162"/>
      <c r="AF850" s="148"/>
    </row>
    <row r="851">
      <c r="A851" s="161"/>
      <c r="B851" s="146" t="str">
        <f>IF(A851&lt;&gt;"", SUMIF(Bets!$F:$F, A851, Bets!Z:Z), "")</f>
        <v/>
      </c>
      <c r="C851" s="162"/>
      <c r="D851" s="148"/>
      <c r="E851" s="161"/>
      <c r="F851" s="146" t="str">
        <f>IF(E851&lt;&gt;"", SUMIF(Bets!$F:$F, E851, Bets!AB:AB), "")</f>
        <v/>
      </c>
      <c r="G851" s="162"/>
      <c r="H851" s="148"/>
      <c r="I851" s="161"/>
      <c r="J851" s="146" t="str">
        <f>IF(I851&lt;&gt;"", SUMIF(Bets!$F:$F, I851, Bets!AA:AA), "")</f>
        <v/>
      </c>
      <c r="K851" s="162"/>
      <c r="L851" s="148"/>
      <c r="M851" s="161"/>
      <c r="N851" s="146"/>
      <c r="O851" s="162"/>
      <c r="P851" s="148"/>
      <c r="Q851" s="161"/>
      <c r="R851" s="146"/>
      <c r="S851" s="162"/>
      <c r="T851" s="148"/>
      <c r="U851" s="161"/>
      <c r="V851" s="146"/>
      <c r="W851" s="162"/>
      <c r="X851" s="148"/>
      <c r="Y851" s="161"/>
      <c r="Z851" s="146"/>
      <c r="AA851" s="162"/>
      <c r="AB851" s="148"/>
      <c r="AC851" s="161"/>
      <c r="AD851" s="146"/>
      <c r="AE851" s="162"/>
      <c r="AF851" s="148"/>
    </row>
    <row r="852">
      <c r="A852" s="161"/>
      <c r="B852" s="146" t="str">
        <f>IF(A852&lt;&gt;"", SUMIF(Bets!$F:$F, A852, Bets!Z:Z), "")</f>
        <v/>
      </c>
      <c r="C852" s="162"/>
      <c r="D852" s="148"/>
      <c r="E852" s="161"/>
      <c r="F852" s="146" t="str">
        <f>IF(E852&lt;&gt;"", SUMIF(Bets!$F:$F, E852, Bets!AB:AB), "")</f>
        <v/>
      </c>
      <c r="G852" s="162"/>
      <c r="H852" s="148"/>
      <c r="I852" s="161"/>
      <c r="J852" s="146" t="str">
        <f>IF(I852&lt;&gt;"", SUMIF(Bets!$F:$F, I852, Bets!AA:AA), "")</f>
        <v/>
      </c>
      <c r="K852" s="162"/>
      <c r="L852" s="148"/>
      <c r="M852" s="161"/>
      <c r="N852" s="146"/>
      <c r="O852" s="162"/>
      <c r="P852" s="148"/>
      <c r="Q852" s="161"/>
      <c r="R852" s="146"/>
      <c r="S852" s="162"/>
      <c r="T852" s="148"/>
      <c r="U852" s="161"/>
      <c r="V852" s="146"/>
      <c r="W852" s="162"/>
      <c r="X852" s="148"/>
      <c r="Y852" s="161"/>
      <c r="Z852" s="146"/>
      <c r="AA852" s="162"/>
      <c r="AB852" s="148"/>
      <c r="AC852" s="161"/>
      <c r="AD852" s="146"/>
      <c r="AE852" s="162"/>
      <c r="AF852" s="148"/>
    </row>
    <row r="853">
      <c r="A853" s="161"/>
      <c r="B853" s="146" t="str">
        <f>IF(A853&lt;&gt;"", SUMIF(Bets!$F:$F, A853, Bets!Z:Z), "")</f>
        <v/>
      </c>
      <c r="C853" s="162"/>
      <c r="D853" s="148"/>
      <c r="E853" s="161"/>
      <c r="F853" s="146" t="str">
        <f>IF(E853&lt;&gt;"", SUMIF(Bets!$F:$F, E853, Bets!AB:AB), "")</f>
        <v/>
      </c>
      <c r="G853" s="162"/>
      <c r="H853" s="148"/>
      <c r="I853" s="161"/>
      <c r="J853" s="146" t="str">
        <f>IF(I853&lt;&gt;"", SUMIF(Bets!$F:$F, I853, Bets!AA:AA), "")</f>
        <v/>
      </c>
      <c r="K853" s="162"/>
      <c r="L853" s="148"/>
      <c r="M853" s="161"/>
      <c r="N853" s="146"/>
      <c r="O853" s="162"/>
      <c r="P853" s="148"/>
      <c r="Q853" s="161"/>
      <c r="R853" s="146"/>
      <c r="S853" s="162"/>
      <c r="T853" s="148"/>
      <c r="U853" s="161"/>
      <c r="V853" s="146"/>
      <c r="W853" s="162"/>
      <c r="X853" s="148"/>
      <c r="Y853" s="161"/>
      <c r="Z853" s="146"/>
      <c r="AA853" s="162"/>
      <c r="AB853" s="148"/>
      <c r="AC853" s="161"/>
      <c r="AD853" s="146"/>
      <c r="AE853" s="162"/>
      <c r="AF853" s="148"/>
    </row>
    <row r="854">
      <c r="A854" s="161"/>
      <c r="B854" s="146" t="str">
        <f>IF(A854&lt;&gt;"", SUMIF(Bets!$F:$F, A854, Bets!Z:Z), "")</f>
        <v/>
      </c>
      <c r="C854" s="162"/>
      <c r="D854" s="148"/>
      <c r="E854" s="161"/>
      <c r="F854" s="146" t="str">
        <f>IF(E854&lt;&gt;"", SUMIF(Bets!$F:$F, E854, Bets!AB:AB), "")</f>
        <v/>
      </c>
      <c r="G854" s="162"/>
      <c r="H854" s="148"/>
      <c r="I854" s="161"/>
      <c r="J854" s="146" t="str">
        <f>IF(I854&lt;&gt;"", SUMIF(Bets!$F:$F, I854, Bets!AA:AA), "")</f>
        <v/>
      </c>
      <c r="K854" s="162"/>
      <c r="L854" s="148"/>
      <c r="M854" s="161"/>
      <c r="N854" s="146"/>
      <c r="O854" s="162"/>
      <c r="P854" s="148"/>
      <c r="Q854" s="161"/>
      <c r="R854" s="146"/>
      <c r="S854" s="162"/>
      <c r="T854" s="148"/>
      <c r="U854" s="161"/>
      <c r="V854" s="146"/>
      <c r="W854" s="162"/>
      <c r="X854" s="148"/>
      <c r="Y854" s="161"/>
      <c r="Z854" s="146"/>
      <c r="AA854" s="162"/>
      <c r="AB854" s="148"/>
      <c r="AC854" s="161"/>
      <c r="AD854" s="146"/>
      <c r="AE854" s="162"/>
      <c r="AF854" s="148"/>
    </row>
    <row r="855">
      <c r="A855" s="161"/>
      <c r="B855" s="146" t="str">
        <f>IF(A855&lt;&gt;"", SUMIF(Bets!$F:$F, A855, Bets!Z:Z), "")</f>
        <v/>
      </c>
      <c r="C855" s="162"/>
      <c r="D855" s="148"/>
      <c r="E855" s="161"/>
      <c r="F855" s="146" t="str">
        <f>IF(E855&lt;&gt;"", SUMIF(Bets!$F:$F, E855, Bets!AB:AB), "")</f>
        <v/>
      </c>
      <c r="G855" s="162"/>
      <c r="H855" s="148"/>
      <c r="I855" s="161"/>
      <c r="J855" s="146" t="str">
        <f>IF(I855&lt;&gt;"", SUMIF(Bets!$F:$F, I855, Bets!AA:AA), "")</f>
        <v/>
      </c>
      <c r="K855" s="162"/>
      <c r="L855" s="148"/>
      <c r="M855" s="161"/>
      <c r="N855" s="146"/>
      <c r="O855" s="162"/>
      <c r="P855" s="148"/>
      <c r="Q855" s="161"/>
      <c r="R855" s="146"/>
      <c r="S855" s="162"/>
      <c r="T855" s="148"/>
      <c r="U855" s="161"/>
      <c r="V855" s="146"/>
      <c r="W855" s="162"/>
      <c r="X855" s="148"/>
      <c r="Y855" s="161"/>
      <c r="Z855" s="146"/>
      <c r="AA855" s="162"/>
      <c r="AB855" s="148"/>
      <c r="AC855" s="161"/>
      <c r="AD855" s="146"/>
      <c r="AE855" s="162"/>
      <c r="AF855" s="148"/>
    </row>
    <row r="856">
      <c r="A856" s="161"/>
      <c r="B856" s="146" t="str">
        <f>IF(A856&lt;&gt;"", SUMIF(Bets!$F:$F, A856, Bets!Z:Z), "")</f>
        <v/>
      </c>
      <c r="C856" s="162"/>
      <c r="D856" s="148"/>
      <c r="E856" s="161"/>
      <c r="F856" s="146" t="str">
        <f>IF(E856&lt;&gt;"", SUMIF(Bets!$F:$F, E856, Bets!AB:AB), "")</f>
        <v/>
      </c>
      <c r="G856" s="162"/>
      <c r="H856" s="148"/>
      <c r="I856" s="161"/>
      <c r="J856" s="146" t="str">
        <f>IF(I856&lt;&gt;"", SUMIF(Bets!$F:$F, I856, Bets!AA:AA), "")</f>
        <v/>
      </c>
      <c r="K856" s="162"/>
      <c r="L856" s="148"/>
      <c r="M856" s="161"/>
      <c r="N856" s="146"/>
      <c r="O856" s="162"/>
      <c r="P856" s="148"/>
      <c r="Q856" s="161"/>
      <c r="R856" s="146"/>
      <c r="S856" s="162"/>
      <c r="T856" s="148"/>
      <c r="U856" s="161"/>
      <c r="V856" s="146"/>
      <c r="W856" s="162"/>
      <c r="X856" s="148"/>
      <c r="Y856" s="161"/>
      <c r="Z856" s="146"/>
      <c r="AA856" s="162"/>
      <c r="AB856" s="148"/>
      <c r="AC856" s="161"/>
      <c r="AD856" s="146"/>
      <c r="AE856" s="162"/>
      <c r="AF856" s="148"/>
    </row>
    <row r="857">
      <c r="A857" s="161"/>
      <c r="B857" s="146" t="str">
        <f>IF(A857&lt;&gt;"", SUMIF(Bets!$F:$F, A857, Bets!Z:Z), "")</f>
        <v/>
      </c>
      <c r="C857" s="162"/>
      <c r="D857" s="148"/>
      <c r="E857" s="161"/>
      <c r="F857" s="146" t="str">
        <f>IF(E857&lt;&gt;"", SUMIF(Bets!$F:$F, E857, Bets!AB:AB), "")</f>
        <v/>
      </c>
      <c r="G857" s="162"/>
      <c r="H857" s="148"/>
      <c r="I857" s="161"/>
      <c r="J857" s="146" t="str">
        <f>IF(I857&lt;&gt;"", SUMIF(Bets!$F:$F, I857, Bets!AA:AA), "")</f>
        <v/>
      </c>
      <c r="K857" s="162"/>
      <c r="L857" s="148"/>
      <c r="M857" s="161"/>
      <c r="N857" s="146"/>
      <c r="O857" s="162"/>
      <c r="P857" s="148"/>
      <c r="Q857" s="161"/>
      <c r="R857" s="146"/>
      <c r="S857" s="162"/>
      <c r="T857" s="148"/>
      <c r="U857" s="161"/>
      <c r="V857" s="146"/>
      <c r="W857" s="162"/>
      <c r="X857" s="148"/>
      <c r="Y857" s="161"/>
      <c r="Z857" s="146"/>
      <c r="AA857" s="162"/>
      <c r="AB857" s="148"/>
      <c r="AC857" s="161"/>
      <c r="AD857" s="146"/>
      <c r="AE857" s="162"/>
      <c r="AF857" s="148"/>
    </row>
    <row r="858">
      <c r="A858" s="161"/>
      <c r="B858" s="146" t="str">
        <f>IF(A858&lt;&gt;"", SUMIF(Bets!$F:$F, A858, Bets!Z:Z), "")</f>
        <v/>
      </c>
      <c r="C858" s="162"/>
      <c r="D858" s="148"/>
      <c r="E858" s="161"/>
      <c r="F858" s="146" t="str">
        <f>IF(E858&lt;&gt;"", SUMIF(Bets!$F:$F, E858, Bets!AB:AB), "")</f>
        <v/>
      </c>
      <c r="G858" s="162"/>
      <c r="H858" s="148"/>
      <c r="I858" s="161"/>
      <c r="J858" s="146" t="str">
        <f>IF(I858&lt;&gt;"", SUMIF(Bets!$F:$F, I858, Bets!AA:AA), "")</f>
        <v/>
      </c>
      <c r="K858" s="162"/>
      <c r="L858" s="148"/>
      <c r="M858" s="161"/>
      <c r="N858" s="146"/>
      <c r="O858" s="162"/>
      <c r="P858" s="148"/>
      <c r="Q858" s="161"/>
      <c r="R858" s="146"/>
      <c r="S858" s="162"/>
      <c r="T858" s="148"/>
      <c r="U858" s="161"/>
      <c r="V858" s="146"/>
      <c r="W858" s="162"/>
      <c r="X858" s="148"/>
      <c r="Y858" s="161"/>
      <c r="Z858" s="146"/>
      <c r="AA858" s="162"/>
      <c r="AB858" s="148"/>
      <c r="AC858" s="161"/>
      <c r="AD858" s="146"/>
      <c r="AE858" s="162"/>
      <c r="AF858" s="148"/>
    </row>
    <row r="859">
      <c r="A859" s="161"/>
      <c r="B859" s="146" t="str">
        <f>IF(A859&lt;&gt;"", SUMIF(Bets!$F:$F, A859, Bets!Z:Z), "")</f>
        <v/>
      </c>
      <c r="C859" s="162"/>
      <c r="D859" s="148"/>
      <c r="E859" s="161"/>
      <c r="F859" s="146" t="str">
        <f>IF(E859&lt;&gt;"", SUMIF(Bets!$F:$F, E859, Bets!AB:AB), "")</f>
        <v/>
      </c>
      <c r="G859" s="162"/>
      <c r="H859" s="148"/>
      <c r="I859" s="161"/>
      <c r="J859" s="146" t="str">
        <f>IF(I859&lt;&gt;"", SUMIF(Bets!$F:$F, I859, Bets!AA:AA), "")</f>
        <v/>
      </c>
      <c r="K859" s="162"/>
      <c r="L859" s="148"/>
      <c r="M859" s="161"/>
      <c r="N859" s="146"/>
      <c r="O859" s="162"/>
      <c r="P859" s="148"/>
      <c r="Q859" s="161"/>
      <c r="R859" s="146"/>
      <c r="S859" s="162"/>
      <c r="T859" s="148"/>
      <c r="U859" s="161"/>
      <c r="V859" s="146"/>
      <c r="W859" s="162"/>
      <c r="X859" s="148"/>
      <c r="Y859" s="161"/>
      <c r="Z859" s="146"/>
      <c r="AA859" s="162"/>
      <c r="AB859" s="148"/>
      <c r="AC859" s="161"/>
      <c r="AD859" s="146"/>
      <c r="AE859" s="162"/>
      <c r="AF859" s="148"/>
    </row>
    <row r="860">
      <c r="A860" s="161"/>
      <c r="B860" s="146" t="str">
        <f>IF(A860&lt;&gt;"", SUMIF(Bets!$F:$F, A860, Bets!Z:Z), "")</f>
        <v/>
      </c>
      <c r="C860" s="162"/>
      <c r="D860" s="148"/>
      <c r="E860" s="161"/>
      <c r="F860" s="146" t="str">
        <f>IF(E860&lt;&gt;"", SUMIF(Bets!$F:$F, E860, Bets!AB:AB), "")</f>
        <v/>
      </c>
      <c r="G860" s="162"/>
      <c r="H860" s="148"/>
      <c r="I860" s="161"/>
      <c r="J860" s="146" t="str">
        <f>IF(I860&lt;&gt;"", SUMIF(Bets!$F:$F, I860, Bets!AA:AA), "")</f>
        <v/>
      </c>
      <c r="K860" s="162"/>
      <c r="L860" s="148"/>
      <c r="M860" s="161"/>
      <c r="N860" s="146"/>
      <c r="O860" s="162"/>
      <c r="P860" s="148"/>
      <c r="Q860" s="161"/>
      <c r="R860" s="146"/>
      <c r="S860" s="162"/>
      <c r="T860" s="148"/>
      <c r="U860" s="161"/>
      <c r="V860" s="146"/>
      <c r="W860" s="162"/>
      <c r="X860" s="148"/>
      <c r="Y860" s="161"/>
      <c r="Z860" s="146"/>
      <c r="AA860" s="162"/>
      <c r="AB860" s="148"/>
      <c r="AC860" s="161"/>
      <c r="AD860" s="146"/>
      <c r="AE860" s="162"/>
      <c r="AF860" s="148"/>
    </row>
    <row r="861">
      <c r="A861" s="161"/>
      <c r="B861" s="146" t="str">
        <f>IF(A861&lt;&gt;"", SUMIF(Bets!$F:$F, A861, Bets!Z:Z), "")</f>
        <v/>
      </c>
      <c r="C861" s="162"/>
      <c r="D861" s="148"/>
      <c r="E861" s="161"/>
      <c r="F861" s="146" t="str">
        <f>IF(E861&lt;&gt;"", SUMIF(Bets!$F:$F, E861, Bets!AB:AB), "")</f>
        <v/>
      </c>
      <c r="G861" s="162"/>
      <c r="H861" s="148"/>
      <c r="I861" s="161"/>
      <c r="J861" s="146" t="str">
        <f>IF(I861&lt;&gt;"", SUMIF(Bets!$F:$F, I861, Bets!AA:AA), "")</f>
        <v/>
      </c>
      <c r="K861" s="162"/>
      <c r="L861" s="148"/>
      <c r="M861" s="161"/>
      <c r="N861" s="146"/>
      <c r="O861" s="162"/>
      <c r="P861" s="148"/>
      <c r="Q861" s="161"/>
      <c r="R861" s="146"/>
      <c r="S861" s="162"/>
      <c r="T861" s="148"/>
      <c r="U861" s="161"/>
      <c r="V861" s="146"/>
      <c r="W861" s="162"/>
      <c r="X861" s="148"/>
      <c r="Y861" s="161"/>
      <c r="Z861" s="146"/>
      <c r="AA861" s="162"/>
      <c r="AB861" s="148"/>
      <c r="AC861" s="161"/>
      <c r="AD861" s="146"/>
      <c r="AE861" s="162"/>
      <c r="AF861" s="148"/>
    </row>
    <row r="862">
      <c r="A862" s="161"/>
      <c r="B862" s="146" t="str">
        <f>IF(A862&lt;&gt;"", SUMIF(Bets!$F:$F, A862, Bets!Z:Z), "")</f>
        <v/>
      </c>
      <c r="C862" s="162"/>
      <c r="D862" s="148"/>
      <c r="E862" s="161"/>
      <c r="F862" s="146" t="str">
        <f>IF(E862&lt;&gt;"", SUMIF(Bets!$F:$F, E862, Bets!AB:AB), "")</f>
        <v/>
      </c>
      <c r="G862" s="162"/>
      <c r="H862" s="148"/>
      <c r="I862" s="161"/>
      <c r="J862" s="146" t="str">
        <f>IF(I862&lt;&gt;"", SUMIF(Bets!$F:$F, I862, Bets!AA:AA), "")</f>
        <v/>
      </c>
      <c r="K862" s="162"/>
      <c r="L862" s="148"/>
      <c r="M862" s="161"/>
      <c r="N862" s="146"/>
      <c r="O862" s="162"/>
      <c r="P862" s="148"/>
      <c r="Q862" s="161"/>
      <c r="R862" s="146"/>
      <c r="S862" s="162"/>
      <c r="T862" s="148"/>
      <c r="U862" s="161"/>
      <c r="V862" s="146"/>
      <c r="W862" s="162"/>
      <c r="X862" s="148"/>
      <c r="Y862" s="161"/>
      <c r="Z862" s="146"/>
      <c r="AA862" s="162"/>
      <c r="AB862" s="148"/>
      <c r="AC862" s="161"/>
      <c r="AD862" s="146"/>
      <c r="AE862" s="162"/>
      <c r="AF862" s="148"/>
    </row>
    <row r="863">
      <c r="A863" s="161"/>
      <c r="B863" s="146" t="str">
        <f>IF(A863&lt;&gt;"", SUMIF(Bets!$F:$F, A863, Bets!Z:Z), "")</f>
        <v/>
      </c>
      <c r="C863" s="162"/>
      <c r="D863" s="148"/>
      <c r="E863" s="161"/>
      <c r="F863" s="146" t="str">
        <f>IF(E863&lt;&gt;"", SUMIF(Bets!$F:$F, E863, Bets!AB:AB), "")</f>
        <v/>
      </c>
      <c r="G863" s="162"/>
      <c r="H863" s="148"/>
      <c r="I863" s="161"/>
      <c r="J863" s="146" t="str">
        <f>IF(I863&lt;&gt;"", SUMIF(Bets!$F:$F, I863, Bets!AA:AA), "")</f>
        <v/>
      </c>
      <c r="K863" s="162"/>
      <c r="L863" s="148"/>
      <c r="M863" s="161"/>
      <c r="N863" s="146"/>
      <c r="O863" s="162"/>
      <c r="P863" s="148"/>
      <c r="Q863" s="161"/>
      <c r="R863" s="146"/>
      <c r="S863" s="162"/>
      <c r="T863" s="148"/>
      <c r="U863" s="161"/>
      <c r="V863" s="146"/>
      <c r="W863" s="162"/>
      <c r="X863" s="148"/>
      <c r="Y863" s="161"/>
      <c r="Z863" s="146"/>
      <c r="AA863" s="162"/>
      <c r="AB863" s="148"/>
      <c r="AC863" s="161"/>
      <c r="AD863" s="146"/>
      <c r="AE863" s="162"/>
      <c r="AF863" s="148"/>
    </row>
    <row r="864">
      <c r="A864" s="161"/>
      <c r="B864" s="146" t="str">
        <f>IF(A864&lt;&gt;"", SUMIF(Bets!$F:$F, A864, Bets!Z:Z), "")</f>
        <v/>
      </c>
      <c r="C864" s="162"/>
      <c r="D864" s="148"/>
      <c r="E864" s="161"/>
      <c r="F864" s="146" t="str">
        <f>IF(E864&lt;&gt;"", SUMIF(Bets!$F:$F, E864, Bets!AB:AB), "")</f>
        <v/>
      </c>
      <c r="G864" s="162"/>
      <c r="H864" s="148"/>
      <c r="I864" s="161"/>
      <c r="J864" s="146" t="str">
        <f>IF(I864&lt;&gt;"", SUMIF(Bets!$F:$F, I864, Bets!AA:AA), "")</f>
        <v/>
      </c>
      <c r="K864" s="162"/>
      <c r="L864" s="148"/>
      <c r="M864" s="161"/>
      <c r="N864" s="146"/>
      <c r="O864" s="162"/>
      <c r="P864" s="148"/>
      <c r="Q864" s="161"/>
      <c r="R864" s="146"/>
      <c r="S864" s="162"/>
      <c r="T864" s="148"/>
      <c r="U864" s="161"/>
      <c r="V864" s="146"/>
      <c r="W864" s="162"/>
      <c r="X864" s="148"/>
      <c r="Y864" s="161"/>
      <c r="Z864" s="146"/>
      <c r="AA864" s="162"/>
      <c r="AB864" s="148"/>
      <c r="AC864" s="161"/>
      <c r="AD864" s="146"/>
      <c r="AE864" s="162"/>
      <c r="AF864" s="148"/>
    </row>
    <row r="865">
      <c r="A865" s="161"/>
      <c r="B865" s="146" t="str">
        <f>IF(A865&lt;&gt;"", SUMIF(Bets!$F:$F, A865, Bets!Z:Z), "")</f>
        <v/>
      </c>
      <c r="C865" s="162"/>
      <c r="D865" s="148"/>
      <c r="E865" s="161"/>
      <c r="F865" s="146" t="str">
        <f>IF(E865&lt;&gt;"", SUMIF(Bets!$F:$F, E865, Bets!AB:AB), "")</f>
        <v/>
      </c>
      <c r="G865" s="162"/>
      <c r="H865" s="148"/>
      <c r="I865" s="161"/>
      <c r="J865" s="146" t="str">
        <f>IF(I865&lt;&gt;"", SUMIF(Bets!$F:$F, I865, Bets!AA:AA), "")</f>
        <v/>
      </c>
      <c r="K865" s="162"/>
      <c r="L865" s="148"/>
      <c r="M865" s="161"/>
      <c r="N865" s="146"/>
      <c r="O865" s="162"/>
      <c r="P865" s="148"/>
      <c r="Q865" s="161"/>
      <c r="R865" s="146"/>
      <c r="S865" s="162"/>
      <c r="T865" s="148"/>
      <c r="U865" s="161"/>
      <c r="V865" s="146"/>
      <c r="W865" s="162"/>
      <c r="X865" s="148"/>
      <c r="Y865" s="161"/>
      <c r="Z865" s="146"/>
      <c r="AA865" s="162"/>
      <c r="AB865" s="148"/>
      <c r="AC865" s="161"/>
      <c r="AD865" s="146"/>
      <c r="AE865" s="162"/>
      <c r="AF865" s="148"/>
    </row>
    <row r="866">
      <c r="A866" s="161"/>
      <c r="B866" s="146" t="str">
        <f>IF(A866&lt;&gt;"", SUMIF(Bets!$F:$F, A866, Bets!Z:Z), "")</f>
        <v/>
      </c>
      <c r="C866" s="162"/>
      <c r="D866" s="148"/>
      <c r="E866" s="161"/>
      <c r="F866" s="146" t="str">
        <f>IF(E866&lt;&gt;"", SUMIF(Bets!$F:$F, E866, Bets!AB:AB), "")</f>
        <v/>
      </c>
      <c r="G866" s="162"/>
      <c r="H866" s="148"/>
      <c r="I866" s="161"/>
      <c r="J866" s="146" t="str">
        <f>IF(I866&lt;&gt;"", SUMIF(Bets!$F:$F, I866, Bets!AA:AA), "")</f>
        <v/>
      </c>
      <c r="K866" s="162"/>
      <c r="L866" s="148"/>
      <c r="M866" s="161"/>
      <c r="N866" s="146"/>
      <c r="O866" s="162"/>
      <c r="P866" s="148"/>
      <c r="Q866" s="161"/>
      <c r="R866" s="146"/>
      <c r="S866" s="162"/>
      <c r="T866" s="148"/>
      <c r="U866" s="161"/>
      <c r="V866" s="146"/>
      <c r="W866" s="162"/>
      <c r="X866" s="148"/>
      <c r="Y866" s="161"/>
      <c r="Z866" s="146"/>
      <c r="AA866" s="162"/>
      <c r="AB866" s="148"/>
      <c r="AC866" s="161"/>
      <c r="AD866" s="146"/>
      <c r="AE866" s="162"/>
      <c r="AF866" s="148"/>
    </row>
    <row r="867">
      <c r="A867" s="161"/>
      <c r="B867" s="146" t="str">
        <f>IF(A867&lt;&gt;"", SUMIF(Bets!$F:$F, A867, Bets!Z:Z), "")</f>
        <v/>
      </c>
      <c r="C867" s="162"/>
      <c r="D867" s="148"/>
      <c r="E867" s="161"/>
      <c r="F867" s="146" t="str">
        <f>IF(E867&lt;&gt;"", SUMIF(Bets!$F:$F, E867, Bets!AB:AB), "")</f>
        <v/>
      </c>
      <c r="G867" s="162"/>
      <c r="H867" s="148"/>
      <c r="I867" s="161"/>
      <c r="J867" s="146" t="str">
        <f>IF(I867&lt;&gt;"", SUMIF(Bets!$F:$F, I867, Bets!AA:AA), "")</f>
        <v/>
      </c>
      <c r="K867" s="162"/>
      <c r="L867" s="148"/>
      <c r="M867" s="161"/>
      <c r="N867" s="146"/>
      <c r="O867" s="162"/>
      <c r="P867" s="148"/>
      <c r="Q867" s="161"/>
      <c r="R867" s="146"/>
      <c r="S867" s="162"/>
      <c r="T867" s="148"/>
      <c r="U867" s="161"/>
      <c r="V867" s="146"/>
      <c r="W867" s="162"/>
      <c r="X867" s="148"/>
      <c r="Y867" s="161"/>
      <c r="Z867" s="146"/>
      <c r="AA867" s="162"/>
      <c r="AB867" s="148"/>
      <c r="AC867" s="161"/>
      <c r="AD867" s="146"/>
      <c r="AE867" s="162"/>
      <c r="AF867" s="148"/>
    </row>
    <row r="868">
      <c r="A868" s="161"/>
      <c r="B868" s="146" t="str">
        <f>IF(A868&lt;&gt;"", SUMIF(Bets!$F:$F, A868, Bets!Z:Z), "")</f>
        <v/>
      </c>
      <c r="C868" s="162"/>
      <c r="D868" s="148"/>
      <c r="E868" s="161"/>
      <c r="F868" s="146" t="str">
        <f>IF(E868&lt;&gt;"", SUMIF(Bets!$F:$F, E868, Bets!AB:AB), "")</f>
        <v/>
      </c>
      <c r="G868" s="162"/>
      <c r="H868" s="148"/>
      <c r="I868" s="161"/>
      <c r="J868" s="146" t="str">
        <f>IF(I868&lt;&gt;"", SUMIF(Bets!$F:$F, I868, Bets!AA:AA), "")</f>
        <v/>
      </c>
      <c r="K868" s="162"/>
      <c r="L868" s="148"/>
      <c r="M868" s="161"/>
      <c r="N868" s="146"/>
      <c r="O868" s="162"/>
      <c r="P868" s="148"/>
      <c r="Q868" s="161"/>
      <c r="R868" s="146"/>
      <c r="S868" s="162"/>
      <c r="T868" s="148"/>
      <c r="U868" s="161"/>
      <c r="V868" s="146"/>
      <c r="W868" s="162"/>
      <c r="X868" s="148"/>
      <c r="Y868" s="161"/>
      <c r="Z868" s="146"/>
      <c r="AA868" s="162"/>
      <c r="AB868" s="148"/>
      <c r="AC868" s="161"/>
      <c r="AD868" s="146"/>
      <c r="AE868" s="162"/>
      <c r="AF868" s="148"/>
    </row>
    <row r="869">
      <c r="A869" s="161"/>
      <c r="B869" s="146" t="str">
        <f>IF(A869&lt;&gt;"", SUMIF(Bets!$F:$F, A869, Bets!Z:Z), "")</f>
        <v/>
      </c>
      <c r="C869" s="162"/>
      <c r="D869" s="148"/>
      <c r="E869" s="161"/>
      <c r="F869" s="146" t="str">
        <f>IF(E869&lt;&gt;"", SUMIF(Bets!$F:$F, E869, Bets!AB:AB), "")</f>
        <v/>
      </c>
      <c r="G869" s="162"/>
      <c r="H869" s="148"/>
      <c r="I869" s="161"/>
      <c r="J869" s="146" t="str">
        <f>IF(I869&lt;&gt;"", SUMIF(Bets!$F:$F, I869, Bets!AA:AA), "")</f>
        <v/>
      </c>
      <c r="K869" s="162"/>
      <c r="L869" s="148"/>
      <c r="M869" s="161"/>
      <c r="N869" s="146"/>
      <c r="O869" s="162"/>
      <c r="P869" s="148"/>
      <c r="Q869" s="161"/>
      <c r="R869" s="146"/>
      <c r="S869" s="162"/>
      <c r="T869" s="148"/>
      <c r="U869" s="161"/>
      <c r="V869" s="146"/>
      <c r="W869" s="162"/>
      <c r="X869" s="148"/>
      <c r="Y869" s="161"/>
      <c r="Z869" s="146"/>
      <c r="AA869" s="162"/>
      <c r="AB869" s="148"/>
      <c r="AC869" s="161"/>
      <c r="AD869" s="146"/>
      <c r="AE869" s="162"/>
      <c r="AF869" s="148"/>
    </row>
    <row r="870">
      <c r="A870" s="161"/>
      <c r="B870" s="146" t="str">
        <f>IF(A870&lt;&gt;"", SUMIF(Bets!$F:$F, A870, Bets!Z:Z), "")</f>
        <v/>
      </c>
      <c r="C870" s="162"/>
      <c r="D870" s="148"/>
      <c r="E870" s="161"/>
      <c r="F870" s="146" t="str">
        <f>IF(E870&lt;&gt;"", SUMIF(Bets!$F:$F, E870, Bets!AB:AB), "")</f>
        <v/>
      </c>
      <c r="G870" s="162"/>
      <c r="H870" s="148"/>
      <c r="I870" s="161"/>
      <c r="J870" s="146" t="str">
        <f>IF(I870&lt;&gt;"", SUMIF(Bets!$F:$F, I870, Bets!AA:AA), "")</f>
        <v/>
      </c>
      <c r="K870" s="162"/>
      <c r="L870" s="148"/>
      <c r="M870" s="161"/>
      <c r="N870" s="146"/>
      <c r="O870" s="162"/>
      <c r="P870" s="148"/>
      <c r="Q870" s="161"/>
      <c r="R870" s="146"/>
      <c r="S870" s="162"/>
      <c r="T870" s="148"/>
      <c r="U870" s="161"/>
      <c r="V870" s="146"/>
      <c r="W870" s="162"/>
      <c r="X870" s="148"/>
      <c r="Y870" s="161"/>
      <c r="Z870" s="146"/>
      <c r="AA870" s="162"/>
      <c r="AB870" s="148"/>
      <c r="AC870" s="161"/>
      <c r="AD870" s="146"/>
      <c r="AE870" s="162"/>
      <c r="AF870" s="148"/>
    </row>
    <row r="871">
      <c r="A871" s="161"/>
      <c r="B871" s="146" t="str">
        <f>IF(A871&lt;&gt;"", SUMIF(Bets!$F:$F, A871, Bets!Z:Z), "")</f>
        <v/>
      </c>
      <c r="C871" s="162"/>
      <c r="D871" s="148"/>
      <c r="E871" s="161"/>
      <c r="F871" s="146" t="str">
        <f>IF(E871&lt;&gt;"", SUMIF(Bets!$F:$F, E871, Bets!AB:AB), "")</f>
        <v/>
      </c>
      <c r="G871" s="162"/>
      <c r="H871" s="148"/>
      <c r="I871" s="161"/>
      <c r="J871" s="146" t="str">
        <f>IF(I871&lt;&gt;"", SUMIF(Bets!$F:$F, I871, Bets!AA:AA), "")</f>
        <v/>
      </c>
      <c r="K871" s="162"/>
      <c r="L871" s="148"/>
      <c r="M871" s="161"/>
      <c r="N871" s="146"/>
      <c r="O871" s="162"/>
      <c r="P871" s="148"/>
      <c r="Q871" s="161"/>
      <c r="R871" s="146"/>
      <c r="S871" s="162"/>
      <c r="T871" s="148"/>
      <c r="U871" s="161"/>
      <c r="V871" s="146"/>
      <c r="W871" s="162"/>
      <c r="X871" s="148"/>
      <c r="Y871" s="161"/>
      <c r="Z871" s="146"/>
      <c r="AA871" s="162"/>
      <c r="AB871" s="148"/>
      <c r="AC871" s="161"/>
      <c r="AD871" s="146"/>
      <c r="AE871" s="162"/>
      <c r="AF871" s="148"/>
    </row>
    <row r="872">
      <c r="A872" s="161"/>
      <c r="B872" s="146" t="str">
        <f>IF(A872&lt;&gt;"", SUMIF(Bets!$F:$F, A872, Bets!Z:Z), "")</f>
        <v/>
      </c>
      <c r="C872" s="162"/>
      <c r="D872" s="148"/>
      <c r="E872" s="161"/>
      <c r="F872" s="146" t="str">
        <f>IF(E872&lt;&gt;"", SUMIF(Bets!$F:$F, E872, Bets!AB:AB), "")</f>
        <v/>
      </c>
      <c r="G872" s="162"/>
      <c r="H872" s="148"/>
      <c r="I872" s="161"/>
      <c r="J872" s="146" t="str">
        <f>IF(I872&lt;&gt;"", SUMIF(Bets!$F:$F, I872, Bets!AA:AA), "")</f>
        <v/>
      </c>
      <c r="K872" s="162"/>
      <c r="L872" s="148"/>
      <c r="M872" s="161"/>
      <c r="N872" s="146"/>
      <c r="O872" s="162"/>
      <c r="P872" s="148"/>
      <c r="Q872" s="161"/>
      <c r="R872" s="146"/>
      <c r="S872" s="162"/>
      <c r="T872" s="148"/>
      <c r="U872" s="161"/>
      <c r="V872" s="146"/>
      <c r="W872" s="162"/>
      <c r="X872" s="148"/>
      <c r="Y872" s="161"/>
      <c r="Z872" s="146"/>
      <c r="AA872" s="162"/>
      <c r="AB872" s="148"/>
      <c r="AC872" s="161"/>
      <c r="AD872" s="146"/>
      <c r="AE872" s="162"/>
      <c r="AF872" s="148"/>
    </row>
    <row r="873">
      <c r="A873" s="161"/>
      <c r="B873" s="146" t="str">
        <f>IF(A873&lt;&gt;"", SUMIF(Bets!$F:$F, A873, Bets!Z:Z), "")</f>
        <v/>
      </c>
      <c r="C873" s="162"/>
      <c r="D873" s="148"/>
      <c r="E873" s="161"/>
      <c r="F873" s="146" t="str">
        <f>IF(E873&lt;&gt;"", SUMIF(Bets!$F:$F, E873, Bets!AB:AB), "")</f>
        <v/>
      </c>
      <c r="G873" s="162"/>
      <c r="H873" s="148"/>
      <c r="I873" s="161"/>
      <c r="J873" s="146" t="str">
        <f>IF(I873&lt;&gt;"", SUMIF(Bets!$F:$F, I873, Bets!AA:AA), "")</f>
        <v/>
      </c>
      <c r="K873" s="162"/>
      <c r="L873" s="148"/>
      <c r="M873" s="161"/>
      <c r="N873" s="146"/>
      <c r="O873" s="162"/>
      <c r="P873" s="148"/>
      <c r="Q873" s="161"/>
      <c r="R873" s="146"/>
      <c r="S873" s="162"/>
      <c r="T873" s="148"/>
      <c r="U873" s="161"/>
      <c r="V873" s="146"/>
      <c r="W873" s="162"/>
      <c r="X873" s="148"/>
      <c r="Y873" s="161"/>
      <c r="Z873" s="146"/>
      <c r="AA873" s="162"/>
      <c r="AB873" s="148"/>
      <c r="AC873" s="161"/>
      <c r="AD873" s="146"/>
      <c r="AE873" s="162"/>
      <c r="AF873" s="148"/>
    </row>
    <row r="874">
      <c r="A874" s="161"/>
      <c r="B874" s="146" t="str">
        <f>IF(A874&lt;&gt;"", SUMIF(Bets!$F:$F, A874, Bets!Z:Z), "")</f>
        <v/>
      </c>
      <c r="C874" s="162"/>
      <c r="D874" s="148"/>
      <c r="E874" s="161"/>
      <c r="F874" s="146" t="str">
        <f>IF(E874&lt;&gt;"", SUMIF(Bets!$F:$F, E874, Bets!AB:AB), "")</f>
        <v/>
      </c>
      <c r="G874" s="162"/>
      <c r="H874" s="148"/>
      <c r="I874" s="161"/>
      <c r="J874" s="146" t="str">
        <f>IF(I874&lt;&gt;"", SUMIF(Bets!$F:$F, I874, Bets!AA:AA), "")</f>
        <v/>
      </c>
      <c r="K874" s="162"/>
      <c r="L874" s="148"/>
      <c r="M874" s="161"/>
      <c r="N874" s="146"/>
      <c r="O874" s="162"/>
      <c r="P874" s="148"/>
      <c r="Q874" s="161"/>
      <c r="R874" s="146"/>
      <c r="S874" s="162"/>
      <c r="T874" s="148"/>
      <c r="U874" s="161"/>
      <c r="V874" s="146"/>
      <c r="W874" s="162"/>
      <c r="X874" s="148"/>
      <c r="Y874" s="161"/>
      <c r="Z874" s="146"/>
      <c r="AA874" s="162"/>
      <c r="AB874" s="148"/>
      <c r="AC874" s="161"/>
      <c r="AD874" s="146"/>
      <c r="AE874" s="162"/>
      <c r="AF874" s="148"/>
    </row>
    <row r="875">
      <c r="A875" s="161"/>
      <c r="B875" s="146" t="str">
        <f>IF(A875&lt;&gt;"", SUMIF(Bets!$F:$F, A875, Bets!Z:Z), "")</f>
        <v/>
      </c>
      <c r="C875" s="162"/>
      <c r="D875" s="148"/>
      <c r="E875" s="161"/>
      <c r="F875" s="146" t="str">
        <f>IF(E875&lt;&gt;"", SUMIF(Bets!$F:$F, E875, Bets!AB:AB), "")</f>
        <v/>
      </c>
      <c r="G875" s="162"/>
      <c r="H875" s="148"/>
      <c r="I875" s="161"/>
      <c r="J875" s="146" t="str">
        <f>IF(I875&lt;&gt;"", SUMIF(Bets!$F:$F, I875, Bets!AA:AA), "")</f>
        <v/>
      </c>
      <c r="K875" s="162"/>
      <c r="L875" s="148"/>
      <c r="M875" s="161"/>
      <c r="N875" s="146"/>
      <c r="O875" s="162"/>
      <c r="P875" s="148"/>
      <c r="Q875" s="161"/>
      <c r="R875" s="146"/>
      <c r="S875" s="162"/>
      <c r="T875" s="148"/>
      <c r="U875" s="161"/>
      <c r="V875" s="146"/>
      <c r="W875" s="162"/>
      <c r="X875" s="148"/>
      <c r="Y875" s="161"/>
      <c r="Z875" s="146"/>
      <c r="AA875" s="162"/>
      <c r="AB875" s="148"/>
      <c r="AC875" s="161"/>
      <c r="AD875" s="146"/>
      <c r="AE875" s="162"/>
      <c r="AF875" s="148"/>
    </row>
    <row r="876">
      <c r="A876" s="161"/>
      <c r="B876" s="146" t="str">
        <f>IF(A876&lt;&gt;"", SUMIF(Bets!$F:$F, A876, Bets!Z:Z), "")</f>
        <v/>
      </c>
      <c r="C876" s="162"/>
      <c r="D876" s="148"/>
      <c r="E876" s="161"/>
      <c r="F876" s="146" t="str">
        <f>IF(E876&lt;&gt;"", SUMIF(Bets!$F:$F, E876, Bets!AB:AB), "")</f>
        <v/>
      </c>
      <c r="G876" s="162"/>
      <c r="H876" s="148"/>
      <c r="I876" s="161"/>
      <c r="J876" s="146" t="str">
        <f>IF(I876&lt;&gt;"", SUMIF(Bets!$F:$F, I876, Bets!AA:AA), "")</f>
        <v/>
      </c>
      <c r="K876" s="162"/>
      <c r="L876" s="148"/>
      <c r="M876" s="161"/>
      <c r="N876" s="146"/>
      <c r="O876" s="162"/>
      <c r="P876" s="148"/>
      <c r="Q876" s="161"/>
      <c r="R876" s="146"/>
      <c r="S876" s="162"/>
      <c r="T876" s="148"/>
      <c r="U876" s="161"/>
      <c r="V876" s="146"/>
      <c r="W876" s="162"/>
      <c r="X876" s="148"/>
      <c r="Y876" s="161"/>
      <c r="Z876" s="146"/>
      <c r="AA876" s="162"/>
      <c r="AB876" s="148"/>
      <c r="AC876" s="161"/>
      <c r="AD876" s="146"/>
      <c r="AE876" s="162"/>
      <c r="AF876" s="148"/>
    </row>
    <row r="877">
      <c r="A877" s="161"/>
      <c r="B877" s="146" t="str">
        <f>IF(A877&lt;&gt;"", SUMIF(Bets!$F:$F, A877, Bets!Z:Z), "")</f>
        <v/>
      </c>
      <c r="C877" s="162"/>
      <c r="D877" s="148"/>
      <c r="E877" s="161"/>
      <c r="F877" s="146" t="str">
        <f>IF(E877&lt;&gt;"", SUMIF(Bets!$F:$F, E877, Bets!AB:AB), "")</f>
        <v/>
      </c>
      <c r="G877" s="162"/>
      <c r="H877" s="148"/>
      <c r="I877" s="161"/>
      <c r="J877" s="146" t="str">
        <f>IF(I877&lt;&gt;"", SUMIF(Bets!$F:$F, I877, Bets!AA:AA), "")</f>
        <v/>
      </c>
      <c r="K877" s="162"/>
      <c r="L877" s="148"/>
      <c r="M877" s="161"/>
      <c r="N877" s="146"/>
      <c r="O877" s="162"/>
      <c r="P877" s="148"/>
      <c r="Q877" s="161"/>
      <c r="R877" s="146"/>
      <c r="S877" s="162"/>
      <c r="T877" s="148"/>
      <c r="U877" s="161"/>
      <c r="V877" s="146"/>
      <c r="W877" s="162"/>
      <c r="X877" s="148"/>
      <c r="Y877" s="161"/>
      <c r="Z877" s="146"/>
      <c r="AA877" s="162"/>
      <c r="AB877" s="148"/>
      <c r="AC877" s="161"/>
      <c r="AD877" s="146"/>
      <c r="AE877" s="162"/>
      <c r="AF877" s="148"/>
    </row>
    <row r="878">
      <c r="A878" s="161"/>
      <c r="B878" s="146" t="str">
        <f>IF(A878&lt;&gt;"", SUMIF(Bets!$F:$F, A878, Bets!Z:Z), "")</f>
        <v/>
      </c>
      <c r="C878" s="162"/>
      <c r="D878" s="148"/>
      <c r="E878" s="161"/>
      <c r="F878" s="146" t="str">
        <f>IF(E878&lt;&gt;"", SUMIF(Bets!$F:$F, E878, Bets!AB:AB), "")</f>
        <v/>
      </c>
      <c r="G878" s="162"/>
      <c r="H878" s="148"/>
      <c r="I878" s="161"/>
      <c r="J878" s="146" t="str">
        <f>IF(I878&lt;&gt;"", SUMIF(Bets!$F:$F, I878, Bets!AA:AA), "")</f>
        <v/>
      </c>
      <c r="K878" s="162"/>
      <c r="L878" s="148"/>
      <c r="M878" s="161"/>
      <c r="N878" s="146"/>
      <c r="O878" s="162"/>
      <c r="P878" s="148"/>
      <c r="Q878" s="161"/>
      <c r="R878" s="146"/>
      <c r="S878" s="162"/>
      <c r="T878" s="148"/>
      <c r="U878" s="161"/>
      <c r="V878" s="146"/>
      <c r="W878" s="162"/>
      <c r="X878" s="148"/>
      <c r="Y878" s="161"/>
      <c r="Z878" s="146"/>
      <c r="AA878" s="162"/>
      <c r="AB878" s="148"/>
      <c r="AC878" s="161"/>
      <c r="AD878" s="146"/>
      <c r="AE878" s="162"/>
      <c r="AF878" s="148"/>
    </row>
    <row r="879">
      <c r="A879" s="161"/>
      <c r="B879" s="146" t="str">
        <f>IF(A879&lt;&gt;"", SUMIF(Bets!$F:$F, A879, Bets!Z:Z), "")</f>
        <v/>
      </c>
      <c r="C879" s="162"/>
      <c r="D879" s="148"/>
      <c r="E879" s="161"/>
      <c r="F879" s="146" t="str">
        <f>IF(E879&lt;&gt;"", SUMIF(Bets!$F:$F, E879, Bets!AB:AB), "")</f>
        <v/>
      </c>
      <c r="G879" s="162"/>
      <c r="H879" s="148"/>
      <c r="I879" s="161"/>
      <c r="J879" s="146" t="str">
        <f>IF(I879&lt;&gt;"", SUMIF(Bets!$F:$F, I879, Bets!AA:AA), "")</f>
        <v/>
      </c>
      <c r="K879" s="162"/>
      <c r="L879" s="148"/>
      <c r="M879" s="161"/>
      <c r="N879" s="146"/>
      <c r="O879" s="162"/>
      <c r="P879" s="148"/>
      <c r="Q879" s="161"/>
      <c r="R879" s="146"/>
      <c r="S879" s="162"/>
      <c r="T879" s="148"/>
      <c r="U879" s="161"/>
      <c r="V879" s="146"/>
      <c r="W879" s="162"/>
      <c r="X879" s="148"/>
      <c r="Y879" s="161"/>
      <c r="Z879" s="146"/>
      <c r="AA879" s="162"/>
      <c r="AB879" s="148"/>
      <c r="AC879" s="161"/>
      <c r="AD879" s="146"/>
      <c r="AE879" s="162"/>
      <c r="AF879" s="148"/>
    </row>
    <row r="880">
      <c r="A880" s="161"/>
      <c r="B880" s="146" t="str">
        <f>IF(A880&lt;&gt;"", SUMIF(Bets!$F:$F, A880, Bets!Z:Z), "")</f>
        <v/>
      </c>
      <c r="C880" s="162"/>
      <c r="D880" s="148"/>
      <c r="E880" s="161"/>
      <c r="F880" s="146" t="str">
        <f>IF(E880&lt;&gt;"", SUMIF(Bets!$F:$F, E880, Bets!AB:AB), "")</f>
        <v/>
      </c>
      <c r="G880" s="162"/>
      <c r="H880" s="148"/>
      <c r="I880" s="161"/>
      <c r="J880" s="146" t="str">
        <f>IF(I880&lt;&gt;"", SUMIF(Bets!$F:$F, I880, Bets!AA:AA), "")</f>
        <v/>
      </c>
      <c r="K880" s="162"/>
      <c r="L880" s="148"/>
      <c r="M880" s="161"/>
      <c r="N880" s="146"/>
      <c r="O880" s="162"/>
      <c r="P880" s="148"/>
      <c r="Q880" s="161"/>
      <c r="R880" s="146"/>
      <c r="S880" s="162"/>
      <c r="T880" s="148"/>
      <c r="U880" s="161"/>
      <c r="V880" s="146"/>
      <c r="W880" s="162"/>
      <c r="X880" s="148"/>
      <c r="Y880" s="161"/>
      <c r="Z880" s="146"/>
      <c r="AA880" s="162"/>
      <c r="AB880" s="148"/>
      <c r="AC880" s="161"/>
      <c r="AD880" s="146"/>
      <c r="AE880" s="162"/>
      <c r="AF880" s="148"/>
    </row>
    <row r="881">
      <c r="A881" s="161"/>
      <c r="B881" s="146" t="str">
        <f>IF(A881&lt;&gt;"", SUMIF(Bets!$F:$F, A881, Bets!Z:Z), "")</f>
        <v/>
      </c>
      <c r="C881" s="162"/>
      <c r="D881" s="148"/>
      <c r="E881" s="161"/>
      <c r="F881" s="146" t="str">
        <f>IF(E881&lt;&gt;"", SUMIF(Bets!$F:$F, E881, Bets!AB:AB), "")</f>
        <v/>
      </c>
      <c r="G881" s="162"/>
      <c r="H881" s="148"/>
      <c r="I881" s="161"/>
      <c r="J881" s="146" t="str">
        <f>IF(I881&lt;&gt;"", SUMIF(Bets!$F:$F, I881, Bets!AA:AA), "")</f>
        <v/>
      </c>
      <c r="K881" s="162"/>
      <c r="L881" s="148"/>
      <c r="M881" s="161"/>
      <c r="N881" s="146"/>
      <c r="O881" s="162"/>
      <c r="P881" s="148"/>
      <c r="Q881" s="161"/>
      <c r="R881" s="146"/>
      <c r="S881" s="162"/>
      <c r="T881" s="148"/>
      <c r="U881" s="161"/>
      <c r="V881" s="146"/>
      <c r="W881" s="162"/>
      <c r="X881" s="148"/>
      <c r="Y881" s="161"/>
      <c r="Z881" s="146"/>
      <c r="AA881" s="162"/>
      <c r="AB881" s="148"/>
      <c r="AC881" s="161"/>
      <c r="AD881" s="146"/>
      <c r="AE881" s="162"/>
      <c r="AF881" s="148"/>
    </row>
    <row r="882">
      <c r="A882" s="161"/>
      <c r="B882" s="146" t="str">
        <f>IF(A882&lt;&gt;"", SUMIF(Bets!$F:$F, A882, Bets!Z:Z), "")</f>
        <v/>
      </c>
      <c r="C882" s="162"/>
      <c r="D882" s="148"/>
      <c r="E882" s="161"/>
      <c r="F882" s="146" t="str">
        <f>IF(E882&lt;&gt;"", SUMIF(Bets!$F:$F, E882, Bets!AB:AB), "")</f>
        <v/>
      </c>
      <c r="G882" s="162"/>
      <c r="H882" s="148"/>
      <c r="I882" s="161"/>
      <c r="J882" s="146" t="str">
        <f>IF(I882&lt;&gt;"", SUMIF(Bets!$F:$F, I882, Bets!AA:AA), "")</f>
        <v/>
      </c>
      <c r="K882" s="162"/>
      <c r="L882" s="148"/>
      <c r="M882" s="161"/>
      <c r="N882" s="146"/>
      <c r="O882" s="162"/>
      <c r="P882" s="148"/>
      <c r="Q882" s="161"/>
      <c r="R882" s="146"/>
      <c r="S882" s="162"/>
      <c r="T882" s="148"/>
      <c r="U882" s="161"/>
      <c r="V882" s="146"/>
      <c r="W882" s="162"/>
      <c r="X882" s="148"/>
      <c r="Y882" s="161"/>
      <c r="Z882" s="146"/>
      <c r="AA882" s="162"/>
      <c r="AB882" s="148"/>
      <c r="AC882" s="161"/>
      <c r="AD882" s="146"/>
      <c r="AE882" s="162"/>
      <c r="AF882" s="148"/>
    </row>
    <row r="883">
      <c r="A883" s="161"/>
      <c r="B883" s="146" t="str">
        <f>IF(A883&lt;&gt;"", SUMIF(Bets!$F:$F, A883, Bets!Z:Z), "")</f>
        <v/>
      </c>
      <c r="C883" s="162"/>
      <c r="D883" s="148"/>
      <c r="E883" s="161"/>
      <c r="F883" s="146" t="str">
        <f>IF(E883&lt;&gt;"", SUMIF(Bets!$F:$F, E883, Bets!AB:AB), "")</f>
        <v/>
      </c>
      <c r="G883" s="162"/>
      <c r="H883" s="148"/>
      <c r="I883" s="161"/>
      <c r="J883" s="146" t="str">
        <f>IF(I883&lt;&gt;"", SUMIF(Bets!$F:$F, I883, Bets!AA:AA), "")</f>
        <v/>
      </c>
      <c r="K883" s="162"/>
      <c r="L883" s="148"/>
      <c r="M883" s="161"/>
      <c r="N883" s="146"/>
      <c r="O883" s="162"/>
      <c r="P883" s="148"/>
      <c r="Q883" s="161"/>
      <c r="R883" s="146"/>
      <c r="S883" s="162"/>
      <c r="T883" s="148"/>
      <c r="U883" s="161"/>
      <c r="V883" s="146"/>
      <c r="W883" s="162"/>
      <c r="X883" s="148"/>
      <c r="Y883" s="161"/>
      <c r="Z883" s="146"/>
      <c r="AA883" s="162"/>
      <c r="AB883" s="148"/>
      <c r="AC883" s="161"/>
      <c r="AD883" s="146"/>
      <c r="AE883" s="162"/>
      <c r="AF883" s="148"/>
    </row>
    <row r="884">
      <c r="A884" s="161"/>
      <c r="B884" s="146" t="str">
        <f>IF(A884&lt;&gt;"", SUMIF(Bets!$F:$F, A884, Bets!Z:Z), "")</f>
        <v/>
      </c>
      <c r="C884" s="162"/>
      <c r="D884" s="148"/>
      <c r="E884" s="161"/>
      <c r="F884" s="146" t="str">
        <f>IF(E884&lt;&gt;"", SUMIF(Bets!$F:$F, E884, Bets!AB:AB), "")</f>
        <v/>
      </c>
      <c r="G884" s="162"/>
      <c r="H884" s="148"/>
      <c r="I884" s="161"/>
      <c r="J884" s="146" t="str">
        <f>IF(I884&lt;&gt;"", SUMIF(Bets!$F:$F, I884, Bets!AA:AA), "")</f>
        <v/>
      </c>
      <c r="K884" s="162"/>
      <c r="L884" s="148"/>
      <c r="M884" s="161"/>
      <c r="N884" s="146"/>
      <c r="O884" s="162"/>
      <c r="P884" s="148"/>
      <c r="Q884" s="161"/>
      <c r="R884" s="146"/>
      <c r="S884" s="162"/>
      <c r="T884" s="148"/>
      <c r="U884" s="161"/>
      <c r="V884" s="146"/>
      <c r="W884" s="162"/>
      <c r="X884" s="148"/>
      <c r="Y884" s="161"/>
      <c r="Z884" s="146"/>
      <c r="AA884" s="162"/>
      <c r="AB884" s="148"/>
      <c r="AC884" s="161"/>
      <c r="AD884" s="146"/>
      <c r="AE884" s="162"/>
      <c r="AF884" s="148"/>
    </row>
    <row r="885">
      <c r="A885" s="161"/>
      <c r="B885" s="146" t="str">
        <f>IF(A885&lt;&gt;"", SUMIF(Bets!$F:$F, A885, Bets!Z:Z), "")</f>
        <v/>
      </c>
      <c r="C885" s="162"/>
      <c r="D885" s="148"/>
      <c r="E885" s="161"/>
      <c r="F885" s="146" t="str">
        <f>IF(E885&lt;&gt;"", SUMIF(Bets!$F:$F, E885, Bets!AB:AB), "")</f>
        <v/>
      </c>
      <c r="G885" s="162"/>
      <c r="H885" s="148"/>
      <c r="I885" s="161"/>
      <c r="J885" s="146" t="str">
        <f>IF(I885&lt;&gt;"", SUMIF(Bets!$F:$F, I885, Bets!AA:AA), "")</f>
        <v/>
      </c>
      <c r="K885" s="162"/>
      <c r="L885" s="148"/>
      <c r="M885" s="161"/>
      <c r="N885" s="146"/>
      <c r="O885" s="162"/>
      <c r="P885" s="148"/>
      <c r="Q885" s="161"/>
      <c r="R885" s="146"/>
      <c r="S885" s="162"/>
      <c r="T885" s="148"/>
      <c r="U885" s="161"/>
      <c r="V885" s="146"/>
      <c r="W885" s="162"/>
      <c r="X885" s="148"/>
      <c r="Y885" s="161"/>
      <c r="Z885" s="146"/>
      <c r="AA885" s="162"/>
      <c r="AB885" s="148"/>
      <c r="AC885" s="161"/>
      <c r="AD885" s="146"/>
      <c r="AE885" s="162"/>
      <c r="AF885" s="148"/>
    </row>
    <row r="886">
      <c r="A886" s="161"/>
      <c r="B886" s="146" t="str">
        <f>IF(A886&lt;&gt;"", SUMIF(Bets!$F:$F, A886, Bets!Z:Z), "")</f>
        <v/>
      </c>
      <c r="C886" s="162"/>
      <c r="D886" s="148"/>
      <c r="E886" s="161"/>
      <c r="F886" s="146" t="str">
        <f>IF(E886&lt;&gt;"", SUMIF(Bets!$F:$F, E886, Bets!AB:AB), "")</f>
        <v/>
      </c>
      <c r="G886" s="162"/>
      <c r="H886" s="148"/>
      <c r="I886" s="161"/>
      <c r="J886" s="146" t="str">
        <f>IF(I886&lt;&gt;"", SUMIF(Bets!$F:$F, I886, Bets!AA:AA), "")</f>
        <v/>
      </c>
      <c r="K886" s="162"/>
      <c r="L886" s="148"/>
      <c r="M886" s="161"/>
      <c r="N886" s="146"/>
      <c r="O886" s="162"/>
      <c r="P886" s="148"/>
      <c r="Q886" s="161"/>
      <c r="R886" s="146"/>
      <c r="S886" s="162"/>
      <c r="T886" s="148"/>
      <c r="U886" s="161"/>
      <c r="V886" s="146"/>
      <c r="W886" s="162"/>
      <c r="X886" s="148"/>
      <c r="Y886" s="161"/>
      <c r="Z886" s="146"/>
      <c r="AA886" s="162"/>
      <c r="AB886" s="148"/>
      <c r="AC886" s="161"/>
      <c r="AD886" s="146"/>
      <c r="AE886" s="162"/>
      <c r="AF886" s="148"/>
    </row>
    <row r="887">
      <c r="A887" s="161"/>
      <c r="B887" s="146" t="str">
        <f>IF(A887&lt;&gt;"", SUMIF(Bets!$F:$F, A887, Bets!Z:Z), "")</f>
        <v/>
      </c>
      <c r="C887" s="162"/>
      <c r="D887" s="148"/>
      <c r="E887" s="161"/>
      <c r="F887" s="146" t="str">
        <f>IF(E887&lt;&gt;"", SUMIF(Bets!$F:$F, E887, Bets!AB:AB), "")</f>
        <v/>
      </c>
      <c r="G887" s="162"/>
      <c r="H887" s="148"/>
      <c r="I887" s="161"/>
      <c r="J887" s="146" t="str">
        <f>IF(I887&lt;&gt;"", SUMIF(Bets!$F:$F, I887, Bets!AA:AA), "")</f>
        <v/>
      </c>
      <c r="K887" s="162"/>
      <c r="L887" s="148"/>
      <c r="M887" s="161"/>
      <c r="N887" s="146"/>
      <c r="O887" s="162"/>
      <c r="P887" s="148"/>
      <c r="Q887" s="161"/>
      <c r="R887" s="146"/>
      <c r="S887" s="162"/>
      <c r="T887" s="148"/>
      <c r="U887" s="161"/>
      <c r="V887" s="146"/>
      <c r="W887" s="162"/>
      <c r="X887" s="148"/>
      <c r="Y887" s="161"/>
      <c r="Z887" s="146"/>
      <c r="AA887" s="162"/>
      <c r="AB887" s="148"/>
      <c r="AC887" s="161"/>
      <c r="AD887" s="146"/>
      <c r="AE887" s="162"/>
      <c r="AF887" s="148"/>
    </row>
    <row r="888">
      <c r="A888" s="161"/>
      <c r="B888" s="146" t="str">
        <f>IF(A888&lt;&gt;"", SUMIF(Bets!$F:$F, A888, Bets!Z:Z), "")</f>
        <v/>
      </c>
      <c r="C888" s="162"/>
      <c r="D888" s="148"/>
      <c r="E888" s="161"/>
      <c r="F888" s="146" t="str">
        <f>IF(E888&lt;&gt;"", SUMIF(Bets!$F:$F, E888, Bets!AB:AB), "")</f>
        <v/>
      </c>
      <c r="G888" s="162"/>
      <c r="H888" s="148"/>
      <c r="I888" s="161"/>
      <c r="J888" s="146" t="str">
        <f>IF(I888&lt;&gt;"", SUMIF(Bets!$F:$F, I888, Bets!AA:AA), "")</f>
        <v/>
      </c>
      <c r="K888" s="162"/>
      <c r="L888" s="148"/>
      <c r="M888" s="161"/>
      <c r="N888" s="146"/>
      <c r="O888" s="162"/>
      <c r="P888" s="148"/>
      <c r="Q888" s="161"/>
      <c r="R888" s="146"/>
      <c r="S888" s="162"/>
      <c r="T888" s="148"/>
      <c r="U888" s="161"/>
      <c r="V888" s="146"/>
      <c r="W888" s="162"/>
      <c r="X888" s="148"/>
      <c r="Y888" s="161"/>
      <c r="Z888" s="146"/>
      <c r="AA888" s="162"/>
      <c r="AB888" s="148"/>
      <c r="AC888" s="161"/>
      <c r="AD888" s="146"/>
      <c r="AE888" s="162"/>
      <c r="AF888" s="148"/>
    </row>
    <row r="889">
      <c r="A889" s="161"/>
      <c r="B889" s="146" t="str">
        <f>IF(A889&lt;&gt;"", SUMIF(Bets!$F:$F, A889, Bets!Z:Z), "")</f>
        <v/>
      </c>
      <c r="C889" s="162"/>
      <c r="D889" s="148"/>
      <c r="E889" s="161"/>
      <c r="F889" s="146" t="str">
        <f>IF(E889&lt;&gt;"", SUMIF(Bets!$F:$F, E889, Bets!AB:AB), "")</f>
        <v/>
      </c>
      <c r="G889" s="162"/>
      <c r="H889" s="148"/>
      <c r="I889" s="161"/>
      <c r="J889" s="146" t="str">
        <f>IF(I889&lt;&gt;"", SUMIF(Bets!$F:$F, I889, Bets!AA:AA), "")</f>
        <v/>
      </c>
      <c r="K889" s="162"/>
      <c r="L889" s="148"/>
      <c r="M889" s="161"/>
      <c r="N889" s="146"/>
      <c r="O889" s="162"/>
      <c r="P889" s="148"/>
      <c r="Q889" s="161"/>
      <c r="R889" s="146"/>
      <c r="S889" s="162"/>
      <c r="T889" s="148"/>
      <c r="U889" s="161"/>
      <c r="V889" s="146"/>
      <c r="W889" s="162"/>
      <c r="X889" s="148"/>
      <c r="Y889" s="161"/>
      <c r="Z889" s="146"/>
      <c r="AA889" s="162"/>
      <c r="AB889" s="148"/>
      <c r="AC889" s="161"/>
      <c r="AD889" s="146"/>
      <c r="AE889" s="162"/>
      <c r="AF889" s="148"/>
    </row>
    <row r="890">
      <c r="A890" s="161"/>
      <c r="B890" s="146" t="str">
        <f>IF(A890&lt;&gt;"", SUMIF(Bets!$F:$F, A890, Bets!Z:Z), "")</f>
        <v/>
      </c>
      <c r="C890" s="162"/>
      <c r="D890" s="148"/>
      <c r="E890" s="161"/>
      <c r="F890" s="146" t="str">
        <f>IF(E890&lt;&gt;"", SUMIF(Bets!$F:$F, E890, Bets!AB:AB), "")</f>
        <v/>
      </c>
      <c r="G890" s="162"/>
      <c r="H890" s="148"/>
      <c r="I890" s="161"/>
      <c r="J890" s="146" t="str">
        <f>IF(I890&lt;&gt;"", SUMIF(Bets!$F:$F, I890, Bets!AA:AA), "")</f>
        <v/>
      </c>
      <c r="K890" s="162"/>
      <c r="L890" s="148"/>
      <c r="M890" s="161"/>
      <c r="N890" s="146"/>
      <c r="O890" s="162"/>
      <c r="P890" s="148"/>
      <c r="Q890" s="161"/>
      <c r="R890" s="146"/>
      <c r="S890" s="162"/>
      <c r="T890" s="148"/>
      <c r="U890" s="161"/>
      <c r="V890" s="146"/>
      <c r="W890" s="162"/>
      <c r="X890" s="148"/>
      <c r="Y890" s="161"/>
      <c r="Z890" s="146"/>
      <c r="AA890" s="162"/>
      <c r="AB890" s="148"/>
      <c r="AC890" s="161"/>
      <c r="AD890" s="146"/>
      <c r="AE890" s="162"/>
      <c r="AF890" s="148"/>
    </row>
    <row r="891">
      <c r="A891" s="161"/>
      <c r="B891" s="146" t="str">
        <f>IF(A891&lt;&gt;"", SUMIF(Bets!$F:$F, A891, Bets!Z:Z), "")</f>
        <v/>
      </c>
      <c r="C891" s="162"/>
      <c r="D891" s="148"/>
      <c r="E891" s="161"/>
      <c r="F891" s="146" t="str">
        <f>IF(E891&lt;&gt;"", SUMIF(Bets!$F:$F, E891, Bets!AB:AB), "")</f>
        <v/>
      </c>
      <c r="G891" s="162"/>
      <c r="H891" s="148"/>
      <c r="I891" s="161"/>
      <c r="J891" s="146" t="str">
        <f>IF(I891&lt;&gt;"", SUMIF(Bets!$F:$F, I891, Bets!AA:AA), "")</f>
        <v/>
      </c>
      <c r="K891" s="162"/>
      <c r="L891" s="148"/>
      <c r="M891" s="161"/>
      <c r="N891" s="146"/>
      <c r="O891" s="162"/>
      <c r="P891" s="148"/>
      <c r="Q891" s="161"/>
      <c r="R891" s="146"/>
      <c r="S891" s="162"/>
      <c r="T891" s="148"/>
      <c r="U891" s="161"/>
      <c r="V891" s="146"/>
      <c r="W891" s="162"/>
      <c r="X891" s="148"/>
      <c r="Y891" s="161"/>
      <c r="Z891" s="146"/>
      <c r="AA891" s="162"/>
      <c r="AB891" s="148"/>
      <c r="AC891" s="161"/>
      <c r="AD891" s="146"/>
      <c r="AE891" s="162"/>
      <c r="AF891" s="148"/>
    </row>
    <row r="892">
      <c r="A892" s="161"/>
      <c r="B892" s="146" t="str">
        <f>IF(A892&lt;&gt;"", SUMIF(Bets!$F:$F, A892, Bets!Z:Z), "")</f>
        <v/>
      </c>
      <c r="C892" s="162"/>
      <c r="D892" s="148"/>
      <c r="E892" s="161"/>
      <c r="F892" s="146" t="str">
        <f>IF(E892&lt;&gt;"", SUMIF(Bets!$F:$F, E892, Bets!AB:AB), "")</f>
        <v/>
      </c>
      <c r="G892" s="162"/>
      <c r="H892" s="148"/>
      <c r="I892" s="161"/>
      <c r="J892" s="146" t="str">
        <f>IF(I892&lt;&gt;"", SUMIF(Bets!$F:$F, I892, Bets!AA:AA), "")</f>
        <v/>
      </c>
      <c r="K892" s="162"/>
      <c r="L892" s="148"/>
      <c r="M892" s="161"/>
      <c r="N892" s="146"/>
      <c r="O892" s="162"/>
      <c r="P892" s="148"/>
      <c r="Q892" s="161"/>
      <c r="R892" s="146"/>
      <c r="S892" s="162"/>
      <c r="T892" s="148"/>
      <c r="U892" s="161"/>
      <c r="V892" s="146"/>
      <c r="W892" s="162"/>
      <c r="X892" s="148"/>
      <c r="Y892" s="161"/>
      <c r="Z892" s="146"/>
      <c r="AA892" s="162"/>
      <c r="AB892" s="148"/>
      <c r="AC892" s="161"/>
      <c r="AD892" s="146"/>
      <c r="AE892" s="162"/>
      <c r="AF892" s="148"/>
    </row>
    <row r="893">
      <c r="A893" s="161"/>
      <c r="B893" s="146" t="str">
        <f>IF(A893&lt;&gt;"", SUMIF(Bets!$F:$F, A893, Bets!Z:Z), "")</f>
        <v/>
      </c>
      <c r="C893" s="162"/>
      <c r="D893" s="148"/>
      <c r="E893" s="161"/>
      <c r="F893" s="146" t="str">
        <f>IF(E893&lt;&gt;"", SUMIF(Bets!$F:$F, E893, Bets!AB:AB), "")</f>
        <v/>
      </c>
      <c r="G893" s="162"/>
      <c r="H893" s="148"/>
      <c r="I893" s="161"/>
      <c r="J893" s="146" t="str">
        <f>IF(I893&lt;&gt;"", SUMIF(Bets!$F:$F, I893, Bets!AA:AA), "")</f>
        <v/>
      </c>
      <c r="K893" s="162"/>
      <c r="L893" s="148"/>
      <c r="M893" s="161"/>
      <c r="N893" s="146"/>
      <c r="O893" s="162"/>
      <c r="P893" s="148"/>
      <c r="Q893" s="161"/>
      <c r="R893" s="146"/>
      <c r="S893" s="162"/>
      <c r="T893" s="148"/>
      <c r="U893" s="161"/>
      <c r="V893" s="146"/>
      <c r="W893" s="162"/>
      <c r="X893" s="148"/>
      <c r="Y893" s="161"/>
      <c r="Z893" s="146"/>
      <c r="AA893" s="162"/>
      <c r="AB893" s="148"/>
      <c r="AC893" s="161"/>
      <c r="AD893" s="146"/>
      <c r="AE893" s="162"/>
      <c r="AF893" s="148"/>
    </row>
    <row r="894">
      <c r="A894" s="161"/>
      <c r="B894" s="146" t="str">
        <f>IF(A894&lt;&gt;"", SUMIF(Bets!$F:$F, A894, Bets!Z:Z), "")</f>
        <v/>
      </c>
      <c r="C894" s="162"/>
      <c r="D894" s="148"/>
      <c r="E894" s="161"/>
      <c r="F894" s="146" t="str">
        <f>IF(E894&lt;&gt;"", SUMIF(Bets!$F:$F, E894, Bets!AB:AB), "")</f>
        <v/>
      </c>
      <c r="G894" s="162"/>
      <c r="H894" s="148"/>
      <c r="I894" s="161"/>
      <c r="J894" s="146" t="str">
        <f>IF(I894&lt;&gt;"", SUMIF(Bets!$F:$F, I894, Bets!AA:AA), "")</f>
        <v/>
      </c>
      <c r="K894" s="162"/>
      <c r="L894" s="148"/>
      <c r="M894" s="161"/>
      <c r="N894" s="146"/>
      <c r="O894" s="162"/>
      <c r="P894" s="148"/>
      <c r="Q894" s="161"/>
      <c r="R894" s="146"/>
      <c r="S894" s="162"/>
      <c r="T894" s="148"/>
      <c r="U894" s="161"/>
      <c r="V894" s="146"/>
      <c r="W894" s="162"/>
      <c r="X894" s="148"/>
      <c r="Y894" s="161"/>
      <c r="Z894" s="146"/>
      <c r="AA894" s="162"/>
      <c r="AB894" s="148"/>
      <c r="AC894" s="161"/>
      <c r="AD894" s="146"/>
      <c r="AE894" s="162"/>
      <c r="AF894" s="148"/>
    </row>
    <row r="895">
      <c r="A895" s="161"/>
      <c r="B895" s="146" t="str">
        <f>IF(A895&lt;&gt;"", SUMIF(Bets!$F:$F, A895, Bets!Z:Z), "")</f>
        <v/>
      </c>
      <c r="C895" s="162"/>
      <c r="D895" s="148"/>
      <c r="E895" s="161"/>
      <c r="F895" s="146" t="str">
        <f>IF(E895&lt;&gt;"", SUMIF(Bets!$F:$F, E895, Bets!AB:AB), "")</f>
        <v/>
      </c>
      <c r="G895" s="162"/>
      <c r="H895" s="148"/>
      <c r="I895" s="161"/>
      <c r="J895" s="146" t="str">
        <f>IF(I895&lt;&gt;"", SUMIF(Bets!$F:$F, I895, Bets!AA:AA), "")</f>
        <v/>
      </c>
      <c r="K895" s="162"/>
      <c r="L895" s="148"/>
      <c r="M895" s="161"/>
      <c r="N895" s="146"/>
      <c r="O895" s="162"/>
      <c r="P895" s="148"/>
      <c r="Q895" s="161"/>
      <c r="R895" s="146"/>
      <c r="S895" s="162"/>
      <c r="T895" s="148"/>
      <c r="U895" s="161"/>
      <c r="V895" s="146"/>
      <c r="W895" s="162"/>
      <c r="X895" s="148"/>
      <c r="Y895" s="161"/>
      <c r="Z895" s="146"/>
      <c r="AA895" s="162"/>
      <c r="AB895" s="148"/>
      <c r="AC895" s="161"/>
      <c r="AD895" s="146"/>
      <c r="AE895" s="162"/>
      <c r="AF895" s="148"/>
    </row>
    <row r="896">
      <c r="A896" s="161"/>
      <c r="B896" s="146" t="str">
        <f>IF(A896&lt;&gt;"", SUMIF(Bets!$F:$F, A896, Bets!Z:Z), "")</f>
        <v/>
      </c>
      <c r="C896" s="162"/>
      <c r="D896" s="148"/>
      <c r="E896" s="161"/>
      <c r="F896" s="146" t="str">
        <f>IF(E896&lt;&gt;"", SUMIF(Bets!$F:$F, E896, Bets!AB:AB), "")</f>
        <v/>
      </c>
      <c r="G896" s="162"/>
      <c r="H896" s="148"/>
      <c r="I896" s="161"/>
      <c r="J896" s="146" t="str">
        <f>IF(I896&lt;&gt;"", SUMIF(Bets!$F:$F, I896, Bets!AA:AA), "")</f>
        <v/>
      </c>
      <c r="K896" s="162"/>
      <c r="L896" s="148"/>
      <c r="M896" s="161"/>
      <c r="N896" s="146"/>
      <c r="O896" s="162"/>
      <c r="P896" s="148"/>
      <c r="Q896" s="161"/>
      <c r="R896" s="146"/>
      <c r="S896" s="162"/>
      <c r="T896" s="148"/>
      <c r="U896" s="161"/>
      <c r="V896" s="146"/>
      <c r="W896" s="162"/>
      <c r="X896" s="148"/>
      <c r="Y896" s="161"/>
      <c r="Z896" s="146"/>
      <c r="AA896" s="162"/>
      <c r="AB896" s="148"/>
      <c r="AC896" s="161"/>
      <c r="AD896" s="146"/>
      <c r="AE896" s="162"/>
      <c r="AF896" s="148"/>
    </row>
    <row r="897">
      <c r="A897" s="161"/>
      <c r="B897" s="146" t="str">
        <f>IF(A897&lt;&gt;"", SUMIF(Bets!$F:$F, A897, Bets!Z:Z), "")</f>
        <v/>
      </c>
      <c r="C897" s="162"/>
      <c r="D897" s="148"/>
      <c r="E897" s="161"/>
      <c r="F897" s="146" t="str">
        <f>IF(E897&lt;&gt;"", SUMIF(Bets!$F:$F, E897, Bets!AB:AB), "")</f>
        <v/>
      </c>
      <c r="G897" s="162"/>
      <c r="H897" s="148"/>
      <c r="I897" s="161"/>
      <c r="J897" s="146" t="str">
        <f>IF(I897&lt;&gt;"", SUMIF(Bets!$F:$F, I897, Bets!AA:AA), "")</f>
        <v/>
      </c>
      <c r="K897" s="162"/>
      <c r="L897" s="148"/>
      <c r="M897" s="161"/>
      <c r="N897" s="146"/>
      <c r="O897" s="162"/>
      <c r="P897" s="148"/>
      <c r="Q897" s="161"/>
      <c r="R897" s="146"/>
      <c r="S897" s="162"/>
      <c r="T897" s="148"/>
      <c r="U897" s="161"/>
      <c r="V897" s="146"/>
      <c r="W897" s="162"/>
      <c r="X897" s="148"/>
      <c r="Y897" s="161"/>
      <c r="Z897" s="146"/>
      <c r="AA897" s="162"/>
      <c r="AB897" s="148"/>
      <c r="AC897" s="161"/>
      <c r="AD897" s="146"/>
      <c r="AE897" s="162"/>
      <c r="AF897" s="148"/>
    </row>
    <row r="898">
      <c r="A898" s="161"/>
      <c r="B898" s="146" t="str">
        <f>IF(A898&lt;&gt;"", SUMIF(Bets!$F:$F, A898, Bets!Z:Z), "")</f>
        <v/>
      </c>
      <c r="C898" s="162"/>
      <c r="D898" s="148"/>
      <c r="E898" s="161"/>
      <c r="F898" s="146" t="str">
        <f>IF(E898&lt;&gt;"", SUMIF(Bets!$F:$F, E898, Bets!AB:AB), "")</f>
        <v/>
      </c>
      <c r="G898" s="162"/>
      <c r="H898" s="148"/>
      <c r="I898" s="161"/>
      <c r="J898" s="146" t="str">
        <f>IF(I898&lt;&gt;"", SUMIF(Bets!$F:$F, I898, Bets!AA:AA), "")</f>
        <v/>
      </c>
      <c r="K898" s="162"/>
      <c r="L898" s="148"/>
      <c r="M898" s="161"/>
      <c r="N898" s="146"/>
      <c r="O898" s="162"/>
      <c r="P898" s="148"/>
      <c r="Q898" s="161"/>
      <c r="R898" s="146"/>
      <c r="S898" s="162"/>
      <c r="T898" s="148"/>
      <c r="U898" s="161"/>
      <c r="V898" s="146"/>
      <c r="W898" s="162"/>
      <c r="X898" s="148"/>
      <c r="Y898" s="161"/>
      <c r="Z898" s="146"/>
      <c r="AA898" s="162"/>
      <c r="AB898" s="148"/>
      <c r="AC898" s="161"/>
      <c r="AD898" s="146"/>
      <c r="AE898" s="162"/>
      <c r="AF898" s="148"/>
    </row>
    <row r="899">
      <c r="A899" s="161"/>
      <c r="B899" s="146" t="str">
        <f>IF(A899&lt;&gt;"", SUMIF(Bets!$F:$F, A899, Bets!Z:Z), "")</f>
        <v/>
      </c>
      <c r="C899" s="162"/>
      <c r="D899" s="148"/>
      <c r="E899" s="161"/>
      <c r="F899" s="146" t="str">
        <f>IF(E899&lt;&gt;"", SUMIF(Bets!$F:$F, E899, Bets!AB:AB), "")</f>
        <v/>
      </c>
      <c r="G899" s="162"/>
      <c r="H899" s="148"/>
      <c r="I899" s="161"/>
      <c r="J899" s="146" t="str">
        <f>IF(I899&lt;&gt;"", SUMIF(Bets!$F:$F, I899, Bets!AA:AA), "")</f>
        <v/>
      </c>
      <c r="K899" s="162"/>
      <c r="L899" s="148"/>
      <c r="M899" s="161"/>
      <c r="N899" s="146"/>
      <c r="O899" s="162"/>
      <c r="P899" s="148"/>
      <c r="Q899" s="161"/>
      <c r="R899" s="146"/>
      <c r="S899" s="162"/>
      <c r="T899" s="148"/>
      <c r="U899" s="161"/>
      <c r="V899" s="146"/>
      <c r="W899" s="162"/>
      <c r="X899" s="148"/>
      <c r="Y899" s="161"/>
      <c r="Z899" s="146"/>
      <c r="AA899" s="162"/>
      <c r="AB899" s="148"/>
      <c r="AC899" s="161"/>
      <c r="AD899" s="146"/>
      <c r="AE899" s="162"/>
      <c r="AF899" s="148"/>
    </row>
    <row r="900">
      <c r="A900" s="161"/>
      <c r="B900" s="146" t="str">
        <f>IF(A900&lt;&gt;"", SUMIF(Bets!$F:$F, A900, Bets!Z:Z), "")</f>
        <v/>
      </c>
      <c r="C900" s="162"/>
      <c r="D900" s="148"/>
      <c r="E900" s="161"/>
      <c r="F900" s="146" t="str">
        <f>IF(E900&lt;&gt;"", SUMIF(Bets!$F:$F, E900, Bets!AB:AB), "")</f>
        <v/>
      </c>
      <c r="G900" s="162"/>
      <c r="H900" s="148"/>
      <c r="I900" s="161"/>
      <c r="J900" s="146" t="str">
        <f>IF(I900&lt;&gt;"", SUMIF(Bets!$F:$F, I900, Bets!AA:AA), "")</f>
        <v/>
      </c>
      <c r="K900" s="162"/>
      <c r="L900" s="148"/>
      <c r="M900" s="161"/>
      <c r="N900" s="146"/>
      <c r="O900" s="162"/>
      <c r="P900" s="148"/>
      <c r="Q900" s="161"/>
      <c r="R900" s="146"/>
      <c r="S900" s="162"/>
      <c r="T900" s="148"/>
      <c r="U900" s="161"/>
      <c r="V900" s="146"/>
      <c r="W900" s="162"/>
      <c r="X900" s="148"/>
      <c r="Y900" s="161"/>
      <c r="Z900" s="146"/>
      <c r="AA900" s="162"/>
      <c r="AB900" s="148"/>
      <c r="AC900" s="161"/>
      <c r="AD900" s="146"/>
      <c r="AE900" s="162"/>
      <c r="AF900" s="148"/>
    </row>
    <row r="901">
      <c r="A901" s="161"/>
      <c r="B901" s="146" t="str">
        <f>IF(A901&lt;&gt;"", SUMIF(Bets!$F:$F, A901, Bets!Z:Z), "")</f>
        <v/>
      </c>
      <c r="C901" s="162"/>
      <c r="D901" s="148"/>
      <c r="E901" s="161"/>
      <c r="F901" s="146" t="str">
        <f>IF(E901&lt;&gt;"", SUMIF(Bets!$F:$F, E901, Bets!AB:AB), "")</f>
        <v/>
      </c>
      <c r="G901" s="162"/>
      <c r="H901" s="148"/>
      <c r="I901" s="161"/>
      <c r="J901" s="146" t="str">
        <f>IF(I901&lt;&gt;"", SUMIF(Bets!$F:$F, I901, Bets!AA:AA), "")</f>
        <v/>
      </c>
      <c r="K901" s="162"/>
      <c r="L901" s="148"/>
      <c r="M901" s="161"/>
      <c r="N901" s="146"/>
      <c r="O901" s="162"/>
      <c r="P901" s="148"/>
      <c r="Q901" s="161"/>
      <c r="R901" s="146"/>
      <c r="S901" s="162"/>
      <c r="T901" s="148"/>
      <c r="U901" s="161"/>
      <c r="V901" s="146"/>
      <c r="W901" s="162"/>
      <c r="X901" s="148"/>
      <c r="Y901" s="161"/>
      <c r="Z901" s="146"/>
      <c r="AA901" s="162"/>
      <c r="AB901" s="148"/>
      <c r="AC901" s="161"/>
      <c r="AD901" s="146"/>
      <c r="AE901" s="162"/>
      <c r="AF901" s="148"/>
    </row>
    <row r="902">
      <c r="A902" s="161"/>
      <c r="B902" s="146" t="str">
        <f>IF(A902&lt;&gt;"", SUMIF(Bets!$F:$F, A902, Bets!Z:Z), "")</f>
        <v/>
      </c>
      <c r="C902" s="162"/>
      <c r="D902" s="148"/>
      <c r="E902" s="161"/>
      <c r="F902" s="146" t="str">
        <f>IF(E902&lt;&gt;"", SUMIF(Bets!$F:$F, E902, Bets!AB:AB), "")</f>
        <v/>
      </c>
      <c r="G902" s="162"/>
      <c r="H902" s="148"/>
      <c r="I902" s="161"/>
      <c r="J902" s="146" t="str">
        <f>IF(I902&lt;&gt;"", SUMIF(Bets!$F:$F, I902, Bets!AA:AA), "")</f>
        <v/>
      </c>
      <c r="K902" s="162"/>
      <c r="L902" s="148"/>
      <c r="M902" s="161"/>
      <c r="N902" s="146"/>
      <c r="O902" s="162"/>
      <c r="P902" s="148"/>
      <c r="Q902" s="161"/>
      <c r="R902" s="146"/>
      <c r="S902" s="162"/>
      <c r="T902" s="148"/>
      <c r="U902" s="161"/>
      <c r="V902" s="146"/>
      <c r="W902" s="162"/>
      <c r="X902" s="148"/>
      <c r="Y902" s="161"/>
      <c r="Z902" s="146"/>
      <c r="AA902" s="162"/>
      <c r="AB902" s="148"/>
      <c r="AC902" s="161"/>
      <c r="AD902" s="146"/>
      <c r="AE902" s="162"/>
      <c r="AF902" s="148"/>
    </row>
    <row r="903">
      <c r="A903" s="161"/>
      <c r="B903" s="146" t="str">
        <f>IF(A903&lt;&gt;"", SUMIF(Bets!$F:$F, A903, Bets!Z:Z), "")</f>
        <v/>
      </c>
      <c r="C903" s="162"/>
      <c r="D903" s="148"/>
      <c r="E903" s="161"/>
      <c r="F903" s="146" t="str">
        <f>IF(E903&lt;&gt;"", SUMIF(Bets!$F:$F, E903, Bets!AB:AB), "")</f>
        <v/>
      </c>
      <c r="G903" s="162"/>
      <c r="H903" s="148"/>
      <c r="I903" s="161"/>
      <c r="J903" s="146" t="str">
        <f>IF(I903&lt;&gt;"", SUMIF(Bets!$F:$F, I903, Bets!AA:AA), "")</f>
        <v/>
      </c>
      <c r="K903" s="162"/>
      <c r="L903" s="148"/>
      <c r="M903" s="161"/>
      <c r="N903" s="146"/>
      <c r="O903" s="162"/>
      <c r="P903" s="148"/>
      <c r="Q903" s="161"/>
      <c r="R903" s="146"/>
      <c r="S903" s="162"/>
      <c r="T903" s="148"/>
      <c r="U903" s="161"/>
      <c r="V903" s="146"/>
      <c r="W903" s="162"/>
      <c r="X903" s="148"/>
      <c r="Y903" s="161"/>
      <c r="Z903" s="146"/>
      <c r="AA903" s="162"/>
      <c r="AB903" s="148"/>
      <c r="AC903" s="161"/>
      <c r="AD903" s="146"/>
      <c r="AE903" s="162"/>
      <c r="AF903" s="148"/>
    </row>
    <row r="904">
      <c r="A904" s="161"/>
      <c r="B904" s="146" t="str">
        <f>IF(A904&lt;&gt;"", SUMIF(Bets!$F:$F, A904, Bets!Z:Z), "")</f>
        <v/>
      </c>
      <c r="C904" s="162"/>
      <c r="D904" s="148"/>
      <c r="E904" s="161"/>
      <c r="F904" s="146" t="str">
        <f>IF(E904&lt;&gt;"", SUMIF(Bets!$F:$F, E904, Bets!AB:AB), "")</f>
        <v/>
      </c>
      <c r="G904" s="162"/>
      <c r="H904" s="148"/>
      <c r="I904" s="161"/>
      <c r="J904" s="146" t="str">
        <f>IF(I904&lt;&gt;"", SUMIF(Bets!$F:$F, I904, Bets!AA:AA), "")</f>
        <v/>
      </c>
      <c r="K904" s="162"/>
      <c r="L904" s="148"/>
      <c r="M904" s="161"/>
      <c r="N904" s="146"/>
      <c r="O904" s="162"/>
      <c r="P904" s="148"/>
      <c r="Q904" s="161"/>
      <c r="R904" s="146"/>
      <c r="S904" s="162"/>
      <c r="T904" s="148"/>
      <c r="U904" s="161"/>
      <c r="V904" s="146"/>
      <c r="W904" s="162"/>
      <c r="X904" s="148"/>
      <c r="Y904" s="161"/>
      <c r="Z904" s="146"/>
      <c r="AA904" s="162"/>
      <c r="AB904" s="148"/>
      <c r="AC904" s="161"/>
      <c r="AD904" s="146"/>
      <c r="AE904" s="162"/>
      <c r="AF904" s="148"/>
    </row>
    <row r="905">
      <c r="A905" s="161"/>
      <c r="B905" s="146" t="str">
        <f>IF(A905&lt;&gt;"", SUMIF(Bets!$F:$F, A905, Bets!Z:Z), "")</f>
        <v/>
      </c>
      <c r="C905" s="162"/>
      <c r="D905" s="148"/>
      <c r="E905" s="161"/>
      <c r="F905" s="146" t="str">
        <f>IF(E905&lt;&gt;"", SUMIF(Bets!$F:$F, E905, Bets!AB:AB), "")</f>
        <v/>
      </c>
      <c r="G905" s="162"/>
      <c r="H905" s="148"/>
      <c r="I905" s="161"/>
      <c r="J905" s="146" t="str">
        <f>IF(I905&lt;&gt;"", SUMIF(Bets!$F:$F, I905, Bets!AA:AA), "")</f>
        <v/>
      </c>
      <c r="K905" s="162"/>
      <c r="L905" s="148"/>
      <c r="M905" s="161"/>
      <c r="N905" s="146"/>
      <c r="O905" s="162"/>
      <c r="P905" s="148"/>
      <c r="Q905" s="161"/>
      <c r="R905" s="146"/>
      <c r="S905" s="162"/>
      <c r="T905" s="148"/>
      <c r="U905" s="161"/>
      <c r="V905" s="146"/>
      <c r="W905" s="162"/>
      <c r="X905" s="148"/>
      <c r="Y905" s="161"/>
      <c r="Z905" s="146"/>
      <c r="AA905" s="162"/>
      <c r="AB905" s="148"/>
      <c r="AC905" s="161"/>
      <c r="AD905" s="146"/>
      <c r="AE905" s="162"/>
      <c r="AF905" s="148"/>
    </row>
    <row r="906">
      <c r="A906" s="161"/>
      <c r="B906" s="146" t="str">
        <f>IF(A906&lt;&gt;"", SUMIF(Bets!$F:$F, A906, Bets!Z:Z), "")</f>
        <v/>
      </c>
      <c r="C906" s="162"/>
      <c r="D906" s="148"/>
      <c r="E906" s="161"/>
      <c r="F906" s="146" t="str">
        <f>IF(E906&lt;&gt;"", SUMIF(Bets!$F:$F, E906, Bets!AB:AB), "")</f>
        <v/>
      </c>
      <c r="G906" s="162"/>
      <c r="H906" s="148"/>
      <c r="I906" s="161"/>
      <c r="J906" s="146" t="str">
        <f>IF(I906&lt;&gt;"", SUMIF(Bets!$F:$F, I906, Bets!AA:AA), "")</f>
        <v/>
      </c>
      <c r="K906" s="162"/>
      <c r="L906" s="148"/>
      <c r="M906" s="161"/>
      <c r="N906" s="146"/>
      <c r="O906" s="162"/>
      <c r="P906" s="148"/>
      <c r="Q906" s="161"/>
      <c r="R906" s="146"/>
      <c r="S906" s="162"/>
      <c r="T906" s="148"/>
      <c r="U906" s="161"/>
      <c r="V906" s="146"/>
      <c r="W906" s="162"/>
      <c r="X906" s="148"/>
      <c r="Y906" s="161"/>
      <c r="Z906" s="146"/>
      <c r="AA906" s="162"/>
      <c r="AB906" s="148"/>
      <c r="AC906" s="161"/>
      <c r="AD906" s="146"/>
      <c r="AE906" s="162"/>
      <c r="AF906" s="148"/>
    </row>
    <row r="907">
      <c r="A907" s="161"/>
      <c r="B907" s="146" t="str">
        <f>IF(A907&lt;&gt;"", SUMIF(Bets!$F:$F, A907, Bets!Z:Z), "")</f>
        <v/>
      </c>
      <c r="C907" s="162"/>
      <c r="D907" s="148"/>
      <c r="E907" s="161"/>
      <c r="F907" s="146" t="str">
        <f>IF(E907&lt;&gt;"", SUMIF(Bets!$F:$F, E907, Bets!AB:AB), "")</f>
        <v/>
      </c>
      <c r="G907" s="162"/>
      <c r="H907" s="148"/>
      <c r="I907" s="161"/>
      <c r="J907" s="146" t="str">
        <f>IF(I907&lt;&gt;"", SUMIF(Bets!$F:$F, I907, Bets!AA:AA), "")</f>
        <v/>
      </c>
      <c r="K907" s="162"/>
      <c r="L907" s="148"/>
      <c r="M907" s="161"/>
      <c r="N907" s="146"/>
      <c r="O907" s="162"/>
      <c r="P907" s="148"/>
      <c r="Q907" s="161"/>
      <c r="R907" s="146"/>
      <c r="S907" s="162"/>
      <c r="T907" s="148"/>
      <c r="U907" s="161"/>
      <c r="V907" s="146"/>
      <c r="W907" s="162"/>
      <c r="X907" s="148"/>
      <c r="Y907" s="161"/>
      <c r="Z907" s="146"/>
      <c r="AA907" s="162"/>
      <c r="AB907" s="148"/>
      <c r="AC907" s="161"/>
      <c r="AD907" s="146"/>
      <c r="AE907" s="162"/>
      <c r="AF907" s="148"/>
    </row>
    <row r="908">
      <c r="A908" s="161"/>
      <c r="B908" s="146" t="str">
        <f>IF(A908&lt;&gt;"", SUMIF(Bets!$F:$F, A908, Bets!Z:Z), "")</f>
        <v/>
      </c>
      <c r="C908" s="162"/>
      <c r="D908" s="148"/>
      <c r="E908" s="161"/>
      <c r="F908" s="146" t="str">
        <f>IF(E908&lt;&gt;"", SUMIF(Bets!$F:$F, E908, Bets!AB:AB), "")</f>
        <v/>
      </c>
      <c r="G908" s="162"/>
      <c r="H908" s="148"/>
      <c r="I908" s="161"/>
      <c r="J908" s="146" t="str">
        <f>IF(I908&lt;&gt;"", SUMIF(Bets!$F:$F, I908, Bets!AA:AA), "")</f>
        <v/>
      </c>
      <c r="K908" s="162"/>
      <c r="L908" s="148"/>
      <c r="M908" s="161"/>
      <c r="N908" s="146"/>
      <c r="O908" s="162"/>
      <c r="P908" s="148"/>
      <c r="Q908" s="161"/>
      <c r="R908" s="146"/>
      <c r="S908" s="162"/>
      <c r="T908" s="148"/>
      <c r="U908" s="161"/>
      <c r="V908" s="146"/>
      <c r="W908" s="162"/>
      <c r="X908" s="148"/>
      <c r="Y908" s="161"/>
      <c r="Z908" s="146"/>
      <c r="AA908" s="162"/>
      <c r="AB908" s="148"/>
      <c r="AC908" s="161"/>
      <c r="AD908" s="146"/>
      <c r="AE908" s="162"/>
      <c r="AF908" s="148"/>
    </row>
    <row r="909">
      <c r="A909" s="161"/>
      <c r="B909" s="146" t="str">
        <f>IF(A909&lt;&gt;"", SUMIF(Bets!$F:$F, A909, Bets!Z:Z), "")</f>
        <v/>
      </c>
      <c r="C909" s="162"/>
      <c r="D909" s="148"/>
      <c r="E909" s="161"/>
      <c r="F909" s="146" t="str">
        <f>IF(E909&lt;&gt;"", SUMIF(Bets!$F:$F, E909, Bets!AB:AB), "")</f>
        <v/>
      </c>
      <c r="G909" s="162"/>
      <c r="H909" s="148"/>
      <c r="I909" s="161"/>
      <c r="J909" s="146" t="str">
        <f>IF(I909&lt;&gt;"", SUMIF(Bets!$F:$F, I909, Bets!AA:AA), "")</f>
        <v/>
      </c>
      <c r="K909" s="162"/>
      <c r="L909" s="148"/>
      <c r="M909" s="161"/>
      <c r="N909" s="146"/>
      <c r="O909" s="162"/>
      <c r="P909" s="148"/>
      <c r="Q909" s="161"/>
      <c r="R909" s="146"/>
      <c r="S909" s="162"/>
      <c r="T909" s="148"/>
      <c r="U909" s="161"/>
      <c r="V909" s="146"/>
      <c r="W909" s="162"/>
      <c r="X909" s="148"/>
      <c r="Y909" s="161"/>
      <c r="Z909" s="146"/>
      <c r="AA909" s="162"/>
      <c r="AB909" s="148"/>
      <c r="AC909" s="161"/>
      <c r="AD909" s="146"/>
      <c r="AE909" s="162"/>
      <c r="AF909" s="148"/>
    </row>
    <row r="910">
      <c r="A910" s="161"/>
      <c r="B910" s="146" t="str">
        <f>IF(A910&lt;&gt;"", SUMIF(Bets!$F:$F, A910, Bets!Z:Z), "")</f>
        <v/>
      </c>
      <c r="C910" s="162"/>
      <c r="D910" s="148"/>
      <c r="E910" s="161"/>
      <c r="F910" s="146" t="str">
        <f>IF(E910&lt;&gt;"", SUMIF(Bets!$F:$F, E910, Bets!AB:AB), "")</f>
        <v/>
      </c>
      <c r="G910" s="162"/>
      <c r="H910" s="148"/>
      <c r="I910" s="161"/>
      <c r="J910" s="146" t="str">
        <f>IF(I910&lt;&gt;"", SUMIF(Bets!$F:$F, I910, Bets!AA:AA), "")</f>
        <v/>
      </c>
      <c r="K910" s="162"/>
      <c r="L910" s="148"/>
      <c r="M910" s="161"/>
      <c r="N910" s="146"/>
      <c r="O910" s="162"/>
      <c r="P910" s="148"/>
      <c r="Q910" s="161"/>
      <c r="R910" s="146"/>
      <c r="S910" s="162"/>
      <c r="T910" s="148"/>
      <c r="U910" s="161"/>
      <c r="V910" s="146"/>
      <c r="W910" s="162"/>
      <c r="X910" s="148"/>
      <c r="Y910" s="161"/>
      <c r="Z910" s="146"/>
      <c r="AA910" s="162"/>
      <c r="AB910" s="148"/>
      <c r="AC910" s="161"/>
      <c r="AD910" s="146"/>
      <c r="AE910" s="162"/>
      <c r="AF910" s="148"/>
    </row>
    <row r="911">
      <c r="A911" s="161"/>
      <c r="B911" s="146" t="str">
        <f>IF(A911&lt;&gt;"", SUMIF(Bets!$F:$F, A911, Bets!Z:Z), "")</f>
        <v/>
      </c>
      <c r="C911" s="162"/>
      <c r="D911" s="148"/>
      <c r="E911" s="161"/>
      <c r="F911" s="146" t="str">
        <f>IF(E911&lt;&gt;"", SUMIF(Bets!$F:$F, E911, Bets!AB:AB), "")</f>
        <v/>
      </c>
      <c r="G911" s="162"/>
      <c r="H911" s="148"/>
      <c r="I911" s="161"/>
      <c r="J911" s="146" t="str">
        <f>IF(I911&lt;&gt;"", SUMIF(Bets!$F:$F, I911, Bets!AA:AA), "")</f>
        <v/>
      </c>
      <c r="K911" s="162"/>
      <c r="L911" s="148"/>
      <c r="M911" s="161"/>
      <c r="N911" s="146"/>
      <c r="O911" s="162"/>
      <c r="P911" s="148"/>
      <c r="Q911" s="161"/>
      <c r="R911" s="146"/>
      <c r="S911" s="162"/>
      <c r="T911" s="148"/>
      <c r="U911" s="161"/>
      <c r="V911" s="146"/>
      <c r="W911" s="162"/>
      <c r="X911" s="148"/>
      <c r="Y911" s="161"/>
      <c r="Z911" s="146"/>
      <c r="AA911" s="162"/>
      <c r="AB911" s="148"/>
      <c r="AC911" s="161"/>
      <c r="AD911" s="146"/>
      <c r="AE911" s="162"/>
      <c r="AF911" s="148"/>
    </row>
    <row r="912">
      <c r="A912" s="161"/>
      <c r="B912" s="146" t="str">
        <f>IF(A912&lt;&gt;"", SUMIF(Bets!$F:$F, A912, Bets!Z:Z), "")</f>
        <v/>
      </c>
      <c r="C912" s="162"/>
      <c r="D912" s="148"/>
      <c r="E912" s="161"/>
      <c r="F912" s="146" t="str">
        <f>IF(E912&lt;&gt;"", SUMIF(Bets!$F:$F, E912, Bets!AB:AB), "")</f>
        <v/>
      </c>
      <c r="G912" s="162"/>
      <c r="H912" s="148"/>
      <c r="I912" s="161"/>
      <c r="J912" s="146" t="str">
        <f>IF(I912&lt;&gt;"", SUMIF(Bets!$F:$F, I912, Bets!AA:AA), "")</f>
        <v/>
      </c>
      <c r="K912" s="162"/>
      <c r="L912" s="148"/>
      <c r="M912" s="161"/>
      <c r="N912" s="146"/>
      <c r="O912" s="162"/>
      <c r="P912" s="148"/>
      <c r="Q912" s="161"/>
      <c r="R912" s="146"/>
      <c r="S912" s="162"/>
      <c r="T912" s="148"/>
      <c r="U912" s="161"/>
      <c r="V912" s="146"/>
      <c r="W912" s="162"/>
      <c r="X912" s="148"/>
      <c r="Y912" s="161"/>
      <c r="Z912" s="146"/>
      <c r="AA912" s="162"/>
      <c r="AB912" s="148"/>
      <c r="AC912" s="161"/>
      <c r="AD912" s="146"/>
      <c r="AE912" s="162"/>
      <c r="AF912" s="148"/>
    </row>
    <row r="913">
      <c r="A913" s="161"/>
      <c r="B913" s="146" t="str">
        <f>IF(A913&lt;&gt;"", SUMIF(Bets!$F:$F, A913, Bets!Z:Z), "")</f>
        <v/>
      </c>
      <c r="C913" s="162"/>
      <c r="D913" s="148"/>
      <c r="E913" s="161"/>
      <c r="F913" s="146" t="str">
        <f>IF(E913&lt;&gt;"", SUMIF(Bets!$F:$F, E913, Bets!AB:AB), "")</f>
        <v/>
      </c>
      <c r="G913" s="162"/>
      <c r="H913" s="148"/>
      <c r="I913" s="161"/>
      <c r="J913" s="146" t="str">
        <f>IF(I913&lt;&gt;"", SUMIF(Bets!$F:$F, I913, Bets!AA:AA), "")</f>
        <v/>
      </c>
      <c r="K913" s="162"/>
      <c r="L913" s="148"/>
      <c r="M913" s="161"/>
      <c r="N913" s="146"/>
      <c r="O913" s="162"/>
      <c r="P913" s="148"/>
      <c r="Q913" s="161"/>
      <c r="R913" s="146"/>
      <c r="S913" s="162"/>
      <c r="T913" s="148"/>
      <c r="U913" s="161"/>
      <c r="V913" s="146"/>
      <c r="W913" s="162"/>
      <c r="X913" s="148"/>
      <c r="Y913" s="161"/>
      <c r="Z913" s="146"/>
      <c r="AA913" s="162"/>
      <c r="AB913" s="148"/>
      <c r="AC913" s="161"/>
      <c r="AD913" s="146"/>
      <c r="AE913" s="162"/>
      <c r="AF913" s="148"/>
    </row>
    <row r="914">
      <c r="A914" s="161"/>
      <c r="B914" s="146" t="str">
        <f>IF(A914&lt;&gt;"", SUMIF(Bets!$F:$F, A914, Bets!Z:Z), "")</f>
        <v/>
      </c>
      <c r="C914" s="162"/>
      <c r="D914" s="148"/>
      <c r="E914" s="161"/>
      <c r="F914" s="146" t="str">
        <f>IF(E914&lt;&gt;"", SUMIF(Bets!$F:$F, E914, Bets!AB:AB), "")</f>
        <v/>
      </c>
      <c r="G914" s="162"/>
      <c r="H914" s="148"/>
      <c r="I914" s="161"/>
      <c r="J914" s="146" t="str">
        <f>IF(I914&lt;&gt;"", SUMIF(Bets!$F:$F, I914, Bets!AA:AA), "")</f>
        <v/>
      </c>
      <c r="K914" s="162"/>
      <c r="L914" s="148"/>
      <c r="M914" s="161"/>
      <c r="N914" s="146"/>
      <c r="O914" s="162"/>
      <c r="P914" s="148"/>
      <c r="Q914" s="161"/>
      <c r="R914" s="146"/>
      <c r="S914" s="162"/>
      <c r="T914" s="148"/>
      <c r="U914" s="161"/>
      <c r="V914" s="146"/>
      <c r="W914" s="162"/>
      <c r="X914" s="148"/>
      <c r="Y914" s="161"/>
      <c r="Z914" s="146"/>
      <c r="AA914" s="162"/>
      <c r="AB914" s="148"/>
      <c r="AC914" s="161"/>
      <c r="AD914" s="146"/>
      <c r="AE914" s="162"/>
      <c r="AF914" s="148"/>
    </row>
    <row r="915">
      <c r="A915" s="161"/>
      <c r="B915" s="146" t="str">
        <f>IF(A915&lt;&gt;"", SUMIF(Bets!$F:$F, A915, Bets!Z:Z), "")</f>
        <v/>
      </c>
      <c r="C915" s="162"/>
      <c r="D915" s="148"/>
      <c r="E915" s="161"/>
      <c r="F915" s="146" t="str">
        <f>IF(E915&lt;&gt;"", SUMIF(Bets!$F:$F, E915, Bets!AB:AB), "")</f>
        <v/>
      </c>
      <c r="G915" s="162"/>
      <c r="H915" s="148"/>
      <c r="I915" s="161"/>
      <c r="J915" s="146" t="str">
        <f>IF(I915&lt;&gt;"", SUMIF(Bets!$F:$F, I915, Bets!AA:AA), "")</f>
        <v/>
      </c>
      <c r="K915" s="162"/>
      <c r="L915" s="148"/>
      <c r="M915" s="161"/>
      <c r="N915" s="146"/>
      <c r="O915" s="162"/>
      <c r="P915" s="148"/>
      <c r="Q915" s="161"/>
      <c r="R915" s="146"/>
      <c r="S915" s="162"/>
      <c r="T915" s="148"/>
      <c r="U915" s="161"/>
      <c r="V915" s="146"/>
      <c r="W915" s="162"/>
      <c r="X915" s="148"/>
      <c r="Y915" s="161"/>
      <c r="Z915" s="146"/>
      <c r="AA915" s="162"/>
      <c r="AB915" s="148"/>
      <c r="AC915" s="161"/>
      <c r="AD915" s="146"/>
      <c r="AE915" s="162"/>
      <c r="AF915" s="148"/>
    </row>
    <row r="916">
      <c r="A916" s="161"/>
      <c r="B916" s="146" t="str">
        <f>IF(A916&lt;&gt;"", SUMIF(Bets!$F:$F, A916, Bets!Z:Z), "")</f>
        <v/>
      </c>
      <c r="C916" s="162"/>
      <c r="D916" s="148"/>
      <c r="E916" s="161"/>
      <c r="F916" s="146" t="str">
        <f>IF(E916&lt;&gt;"", SUMIF(Bets!$F:$F, E916, Bets!AB:AB), "")</f>
        <v/>
      </c>
      <c r="G916" s="162"/>
      <c r="H916" s="148"/>
      <c r="I916" s="161"/>
      <c r="J916" s="146" t="str">
        <f>IF(I916&lt;&gt;"", SUMIF(Bets!$F:$F, I916, Bets!AA:AA), "")</f>
        <v/>
      </c>
      <c r="K916" s="162"/>
      <c r="L916" s="148"/>
      <c r="M916" s="161"/>
      <c r="N916" s="146"/>
      <c r="O916" s="162"/>
      <c r="P916" s="148"/>
      <c r="Q916" s="161"/>
      <c r="R916" s="146"/>
      <c r="S916" s="162"/>
      <c r="T916" s="148"/>
      <c r="U916" s="161"/>
      <c r="V916" s="146"/>
      <c r="W916" s="162"/>
      <c r="X916" s="148"/>
      <c r="Y916" s="161"/>
      <c r="Z916" s="146"/>
      <c r="AA916" s="162"/>
      <c r="AB916" s="148"/>
      <c r="AC916" s="161"/>
      <c r="AD916" s="146"/>
      <c r="AE916" s="162"/>
      <c r="AF916" s="148"/>
    </row>
    <row r="917">
      <c r="A917" s="161"/>
      <c r="B917" s="146" t="str">
        <f>IF(A917&lt;&gt;"", SUMIF(Bets!$F:$F, A917, Bets!Z:Z), "")</f>
        <v/>
      </c>
      <c r="C917" s="162"/>
      <c r="D917" s="148"/>
      <c r="E917" s="161"/>
      <c r="F917" s="146" t="str">
        <f>IF(E917&lt;&gt;"", SUMIF(Bets!$F:$F, E917, Bets!AB:AB), "")</f>
        <v/>
      </c>
      <c r="G917" s="162"/>
      <c r="H917" s="148"/>
      <c r="I917" s="161"/>
      <c r="J917" s="146" t="str">
        <f>IF(I917&lt;&gt;"", SUMIF(Bets!$F:$F, I917, Bets!AA:AA), "")</f>
        <v/>
      </c>
      <c r="K917" s="162"/>
      <c r="L917" s="148"/>
      <c r="M917" s="161"/>
      <c r="N917" s="146"/>
      <c r="O917" s="162"/>
      <c r="P917" s="148"/>
      <c r="Q917" s="161"/>
      <c r="R917" s="146"/>
      <c r="S917" s="162"/>
      <c r="T917" s="148"/>
      <c r="U917" s="161"/>
      <c r="V917" s="146"/>
      <c r="W917" s="162"/>
      <c r="X917" s="148"/>
      <c r="Y917" s="161"/>
      <c r="Z917" s="146"/>
      <c r="AA917" s="162"/>
      <c r="AB917" s="148"/>
      <c r="AC917" s="161"/>
      <c r="AD917" s="146"/>
      <c r="AE917" s="162"/>
      <c r="AF917" s="148"/>
    </row>
    <row r="918">
      <c r="A918" s="161"/>
      <c r="B918" s="146" t="str">
        <f>IF(A918&lt;&gt;"", SUMIF(Bets!$F:$F, A918, Bets!Z:Z), "")</f>
        <v/>
      </c>
      <c r="C918" s="162"/>
      <c r="D918" s="148"/>
      <c r="E918" s="161"/>
      <c r="F918" s="146" t="str">
        <f>IF(E918&lt;&gt;"", SUMIF(Bets!$F:$F, E918, Bets!AB:AB), "")</f>
        <v/>
      </c>
      <c r="G918" s="162"/>
      <c r="H918" s="148"/>
      <c r="I918" s="161"/>
      <c r="J918" s="146" t="str">
        <f>IF(I918&lt;&gt;"", SUMIF(Bets!$F:$F, I918, Bets!AA:AA), "")</f>
        <v/>
      </c>
      <c r="K918" s="162"/>
      <c r="L918" s="148"/>
      <c r="M918" s="161"/>
      <c r="N918" s="146"/>
      <c r="O918" s="162"/>
      <c r="P918" s="148"/>
      <c r="Q918" s="161"/>
      <c r="R918" s="146"/>
      <c r="S918" s="162"/>
      <c r="T918" s="148"/>
      <c r="U918" s="161"/>
      <c r="V918" s="146"/>
      <c r="W918" s="162"/>
      <c r="X918" s="148"/>
      <c r="Y918" s="161"/>
      <c r="Z918" s="146"/>
      <c r="AA918" s="162"/>
      <c r="AB918" s="148"/>
      <c r="AC918" s="161"/>
      <c r="AD918" s="146"/>
      <c r="AE918" s="162"/>
      <c r="AF918" s="148"/>
    </row>
    <row r="919">
      <c r="A919" s="161"/>
      <c r="B919" s="146" t="str">
        <f>IF(A919&lt;&gt;"", SUMIF(Bets!$F:$F, A919, Bets!Z:Z), "")</f>
        <v/>
      </c>
      <c r="C919" s="162"/>
      <c r="D919" s="148"/>
      <c r="E919" s="161"/>
      <c r="F919" s="146" t="str">
        <f>IF(E919&lt;&gt;"", SUMIF(Bets!$F:$F, E919, Bets!AB:AB), "")</f>
        <v/>
      </c>
      <c r="G919" s="162"/>
      <c r="H919" s="148"/>
      <c r="I919" s="161"/>
      <c r="J919" s="146" t="str">
        <f>IF(I919&lt;&gt;"", SUMIF(Bets!$F:$F, I919, Bets!AA:AA), "")</f>
        <v/>
      </c>
      <c r="K919" s="162"/>
      <c r="L919" s="148"/>
      <c r="M919" s="161"/>
      <c r="N919" s="146"/>
      <c r="O919" s="162"/>
      <c r="P919" s="148"/>
      <c r="Q919" s="161"/>
      <c r="R919" s="146"/>
      <c r="S919" s="162"/>
      <c r="T919" s="148"/>
      <c r="U919" s="161"/>
      <c r="V919" s="146"/>
      <c r="W919" s="162"/>
      <c r="X919" s="148"/>
      <c r="Y919" s="161"/>
      <c r="Z919" s="146"/>
      <c r="AA919" s="162"/>
      <c r="AB919" s="148"/>
      <c r="AC919" s="161"/>
      <c r="AD919" s="146"/>
      <c r="AE919" s="162"/>
      <c r="AF919" s="148"/>
    </row>
    <row r="920">
      <c r="A920" s="161"/>
      <c r="B920" s="146" t="str">
        <f>IF(A920&lt;&gt;"", SUMIF(Bets!$F:$F, A920, Bets!Z:Z), "")</f>
        <v/>
      </c>
      <c r="C920" s="162"/>
      <c r="D920" s="148"/>
      <c r="E920" s="161"/>
      <c r="F920" s="146" t="str">
        <f>IF(E920&lt;&gt;"", SUMIF(Bets!$F:$F, E920, Bets!AB:AB), "")</f>
        <v/>
      </c>
      <c r="G920" s="162"/>
      <c r="H920" s="148"/>
      <c r="I920" s="161"/>
      <c r="J920" s="146" t="str">
        <f>IF(I920&lt;&gt;"", SUMIF(Bets!$F:$F, I920, Bets!AA:AA), "")</f>
        <v/>
      </c>
      <c r="K920" s="162"/>
      <c r="L920" s="148"/>
      <c r="M920" s="161"/>
      <c r="N920" s="146"/>
      <c r="O920" s="162"/>
      <c r="P920" s="148"/>
      <c r="Q920" s="161"/>
      <c r="R920" s="146"/>
      <c r="S920" s="162"/>
      <c r="T920" s="148"/>
      <c r="U920" s="161"/>
      <c r="V920" s="146"/>
      <c r="W920" s="162"/>
      <c r="X920" s="148"/>
      <c r="Y920" s="161"/>
      <c r="Z920" s="146"/>
      <c r="AA920" s="162"/>
      <c r="AB920" s="148"/>
      <c r="AC920" s="161"/>
      <c r="AD920" s="146"/>
      <c r="AE920" s="162"/>
      <c r="AF920" s="148"/>
    </row>
    <row r="921">
      <c r="A921" s="161"/>
      <c r="B921" s="146" t="str">
        <f>IF(A921&lt;&gt;"", SUMIF(Bets!$F:$F, A921, Bets!Z:Z), "")</f>
        <v/>
      </c>
      <c r="C921" s="162"/>
      <c r="D921" s="148"/>
      <c r="E921" s="161"/>
      <c r="F921" s="146" t="str">
        <f>IF(E921&lt;&gt;"", SUMIF(Bets!$F:$F, E921, Bets!AB:AB), "")</f>
        <v/>
      </c>
      <c r="G921" s="162"/>
      <c r="H921" s="148"/>
      <c r="I921" s="161"/>
      <c r="J921" s="146" t="str">
        <f>IF(I921&lt;&gt;"", SUMIF(Bets!$F:$F, I921, Bets!AA:AA), "")</f>
        <v/>
      </c>
      <c r="K921" s="162"/>
      <c r="L921" s="148"/>
      <c r="M921" s="161"/>
      <c r="N921" s="146"/>
      <c r="O921" s="162"/>
      <c r="P921" s="148"/>
      <c r="Q921" s="161"/>
      <c r="R921" s="146"/>
      <c r="S921" s="162"/>
      <c r="T921" s="148"/>
      <c r="U921" s="161"/>
      <c r="V921" s="146"/>
      <c r="W921" s="162"/>
      <c r="X921" s="148"/>
      <c r="Y921" s="161"/>
      <c r="Z921" s="146"/>
      <c r="AA921" s="162"/>
      <c r="AB921" s="148"/>
      <c r="AC921" s="161"/>
      <c r="AD921" s="146"/>
      <c r="AE921" s="162"/>
      <c r="AF921" s="148"/>
    </row>
    <row r="922">
      <c r="A922" s="161"/>
      <c r="B922" s="146" t="str">
        <f>IF(A922&lt;&gt;"", SUMIF(Bets!$F:$F, A922, Bets!Z:Z), "")</f>
        <v/>
      </c>
      <c r="C922" s="162"/>
      <c r="D922" s="148"/>
      <c r="E922" s="161"/>
      <c r="F922" s="146" t="str">
        <f>IF(E922&lt;&gt;"", SUMIF(Bets!$F:$F, E922, Bets!AB:AB), "")</f>
        <v/>
      </c>
      <c r="G922" s="162"/>
      <c r="H922" s="148"/>
      <c r="I922" s="161"/>
      <c r="J922" s="146" t="str">
        <f>IF(I922&lt;&gt;"", SUMIF(Bets!$F:$F, I922, Bets!AA:AA), "")</f>
        <v/>
      </c>
      <c r="K922" s="162"/>
      <c r="L922" s="148"/>
      <c r="M922" s="161"/>
      <c r="N922" s="146"/>
      <c r="O922" s="162"/>
      <c r="P922" s="148"/>
      <c r="Q922" s="161"/>
      <c r="R922" s="146"/>
      <c r="S922" s="162"/>
      <c r="T922" s="148"/>
      <c r="U922" s="161"/>
      <c r="V922" s="146"/>
      <c r="W922" s="162"/>
      <c r="X922" s="148"/>
      <c r="Y922" s="161"/>
      <c r="Z922" s="146"/>
      <c r="AA922" s="162"/>
      <c r="AB922" s="148"/>
      <c r="AC922" s="161"/>
      <c r="AD922" s="146"/>
      <c r="AE922" s="162"/>
      <c r="AF922" s="148"/>
    </row>
    <row r="923">
      <c r="A923" s="161"/>
      <c r="B923" s="146" t="str">
        <f>IF(A923&lt;&gt;"", SUMIF(Bets!$F:$F, A923, Bets!Z:Z), "")</f>
        <v/>
      </c>
      <c r="C923" s="162"/>
      <c r="D923" s="148"/>
      <c r="E923" s="161"/>
      <c r="F923" s="146" t="str">
        <f>IF(E923&lt;&gt;"", SUMIF(Bets!$F:$F, E923, Bets!AB:AB), "")</f>
        <v/>
      </c>
      <c r="G923" s="162"/>
      <c r="H923" s="148"/>
      <c r="I923" s="161"/>
      <c r="J923" s="146" t="str">
        <f>IF(I923&lt;&gt;"", SUMIF(Bets!$F:$F, I923, Bets!AA:AA), "")</f>
        <v/>
      </c>
      <c r="K923" s="162"/>
      <c r="L923" s="148"/>
      <c r="M923" s="161"/>
      <c r="N923" s="146"/>
      <c r="O923" s="162"/>
      <c r="P923" s="148"/>
      <c r="Q923" s="161"/>
      <c r="R923" s="146"/>
      <c r="S923" s="162"/>
      <c r="T923" s="148"/>
      <c r="U923" s="161"/>
      <c r="V923" s="146"/>
      <c r="W923" s="162"/>
      <c r="X923" s="148"/>
      <c r="Y923" s="161"/>
      <c r="Z923" s="146"/>
      <c r="AA923" s="162"/>
      <c r="AB923" s="148"/>
      <c r="AC923" s="161"/>
      <c r="AD923" s="146"/>
      <c r="AE923" s="162"/>
      <c r="AF923" s="148"/>
    </row>
    <row r="924">
      <c r="A924" s="161"/>
      <c r="B924" s="146" t="str">
        <f>IF(A924&lt;&gt;"", SUMIF(Bets!$F:$F, A924, Bets!Z:Z), "")</f>
        <v/>
      </c>
      <c r="C924" s="162"/>
      <c r="D924" s="148"/>
      <c r="E924" s="161"/>
      <c r="F924" s="146" t="str">
        <f>IF(E924&lt;&gt;"", SUMIF(Bets!$F:$F, E924, Bets!AB:AB), "")</f>
        <v/>
      </c>
      <c r="G924" s="162"/>
      <c r="H924" s="148"/>
      <c r="I924" s="161"/>
      <c r="J924" s="146" t="str">
        <f>IF(I924&lt;&gt;"", SUMIF(Bets!$F:$F, I924, Bets!AA:AA), "")</f>
        <v/>
      </c>
      <c r="K924" s="162"/>
      <c r="L924" s="148"/>
      <c r="M924" s="161"/>
      <c r="N924" s="146"/>
      <c r="O924" s="162"/>
      <c r="P924" s="148"/>
      <c r="Q924" s="161"/>
      <c r="R924" s="146"/>
      <c r="S924" s="162"/>
      <c r="T924" s="148"/>
      <c r="U924" s="161"/>
      <c r="V924" s="146"/>
      <c r="W924" s="162"/>
      <c r="X924" s="148"/>
      <c r="Y924" s="161"/>
      <c r="Z924" s="146"/>
      <c r="AA924" s="162"/>
      <c r="AB924" s="148"/>
      <c r="AC924" s="161"/>
      <c r="AD924" s="146"/>
      <c r="AE924" s="162"/>
      <c r="AF924" s="148"/>
    </row>
    <row r="925">
      <c r="A925" s="161"/>
      <c r="B925" s="146" t="str">
        <f>IF(A925&lt;&gt;"", SUMIF(Bets!$F:$F, A925, Bets!Z:Z), "")</f>
        <v/>
      </c>
      <c r="C925" s="162"/>
      <c r="D925" s="148"/>
      <c r="E925" s="161"/>
      <c r="F925" s="146" t="str">
        <f>IF(E925&lt;&gt;"", SUMIF(Bets!$F:$F, E925, Bets!AB:AB), "")</f>
        <v/>
      </c>
      <c r="G925" s="162"/>
      <c r="H925" s="148"/>
      <c r="I925" s="161"/>
      <c r="J925" s="146" t="str">
        <f>IF(I925&lt;&gt;"", SUMIF(Bets!$F:$F, I925, Bets!AA:AA), "")</f>
        <v/>
      </c>
      <c r="K925" s="162"/>
      <c r="L925" s="148"/>
      <c r="M925" s="161"/>
      <c r="N925" s="146"/>
      <c r="O925" s="162"/>
      <c r="P925" s="148"/>
      <c r="Q925" s="161"/>
      <c r="R925" s="146"/>
      <c r="S925" s="162"/>
      <c r="T925" s="148"/>
      <c r="U925" s="161"/>
      <c r="V925" s="146"/>
      <c r="W925" s="162"/>
      <c r="X925" s="148"/>
      <c r="Y925" s="161"/>
      <c r="Z925" s="146"/>
      <c r="AA925" s="162"/>
      <c r="AB925" s="148"/>
      <c r="AC925" s="161"/>
      <c r="AD925" s="146"/>
      <c r="AE925" s="162"/>
      <c r="AF925" s="148"/>
    </row>
    <row r="926">
      <c r="A926" s="161"/>
      <c r="B926" s="146" t="str">
        <f>IF(A926&lt;&gt;"", SUMIF(Bets!$F:$F, A926, Bets!Z:Z), "")</f>
        <v/>
      </c>
      <c r="C926" s="162"/>
      <c r="D926" s="148"/>
      <c r="E926" s="161"/>
      <c r="F926" s="146" t="str">
        <f>IF(E926&lt;&gt;"", SUMIF(Bets!$F:$F, E926, Bets!AB:AB), "")</f>
        <v/>
      </c>
      <c r="G926" s="162"/>
      <c r="H926" s="148"/>
      <c r="I926" s="161"/>
      <c r="J926" s="146" t="str">
        <f>IF(I926&lt;&gt;"", SUMIF(Bets!$F:$F, I926, Bets!AA:AA), "")</f>
        <v/>
      </c>
      <c r="K926" s="162"/>
      <c r="L926" s="148"/>
      <c r="M926" s="161"/>
      <c r="N926" s="146"/>
      <c r="O926" s="162"/>
      <c r="P926" s="148"/>
      <c r="Q926" s="161"/>
      <c r="R926" s="146"/>
      <c r="S926" s="162"/>
      <c r="T926" s="148"/>
      <c r="U926" s="161"/>
      <c r="V926" s="146"/>
      <c r="W926" s="162"/>
      <c r="X926" s="148"/>
      <c r="Y926" s="161"/>
      <c r="Z926" s="146"/>
      <c r="AA926" s="162"/>
      <c r="AB926" s="148"/>
      <c r="AC926" s="161"/>
      <c r="AD926" s="146"/>
      <c r="AE926" s="162"/>
      <c r="AF926" s="148"/>
    </row>
    <row r="927">
      <c r="A927" s="161"/>
      <c r="B927" s="146" t="str">
        <f>IF(A927&lt;&gt;"", SUMIF(Bets!$F:$F, A927, Bets!Z:Z), "")</f>
        <v/>
      </c>
      <c r="C927" s="162"/>
      <c r="D927" s="148"/>
      <c r="E927" s="161"/>
      <c r="F927" s="146" t="str">
        <f>IF(E927&lt;&gt;"", SUMIF(Bets!$F:$F, E927, Bets!AB:AB), "")</f>
        <v/>
      </c>
      <c r="G927" s="162"/>
      <c r="H927" s="148"/>
      <c r="I927" s="161"/>
      <c r="J927" s="146" t="str">
        <f>IF(I927&lt;&gt;"", SUMIF(Bets!$F:$F, I927, Bets!AA:AA), "")</f>
        <v/>
      </c>
      <c r="K927" s="162"/>
      <c r="L927" s="148"/>
      <c r="M927" s="161"/>
      <c r="N927" s="146"/>
      <c r="O927" s="162"/>
      <c r="P927" s="148"/>
      <c r="Q927" s="161"/>
      <c r="R927" s="146"/>
      <c r="S927" s="162"/>
      <c r="T927" s="148"/>
      <c r="U927" s="161"/>
      <c r="V927" s="146"/>
      <c r="W927" s="162"/>
      <c r="X927" s="148"/>
      <c r="Y927" s="161"/>
      <c r="Z927" s="146"/>
      <c r="AA927" s="162"/>
      <c r="AB927" s="148"/>
      <c r="AC927" s="161"/>
      <c r="AD927" s="146"/>
      <c r="AE927" s="162"/>
      <c r="AF927" s="148"/>
    </row>
    <row r="928">
      <c r="A928" s="161"/>
      <c r="B928" s="146" t="str">
        <f>IF(A928&lt;&gt;"", SUMIF(Bets!$F:$F, A928, Bets!Z:Z), "")</f>
        <v/>
      </c>
      <c r="C928" s="162"/>
      <c r="D928" s="148"/>
      <c r="E928" s="161"/>
      <c r="F928" s="146" t="str">
        <f>IF(E928&lt;&gt;"", SUMIF(Bets!$F:$F, E928, Bets!AB:AB), "")</f>
        <v/>
      </c>
      <c r="G928" s="162"/>
      <c r="H928" s="148"/>
      <c r="I928" s="161"/>
      <c r="J928" s="146" t="str">
        <f>IF(I928&lt;&gt;"", SUMIF(Bets!$F:$F, I928, Bets!AA:AA), "")</f>
        <v/>
      </c>
      <c r="K928" s="162"/>
      <c r="L928" s="148"/>
      <c r="M928" s="161"/>
      <c r="N928" s="146"/>
      <c r="O928" s="162"/>
      <c r="P928" s="148"/>
      <c r="Q928" s="161"/>
      <c r="R928" s="146"/>
      <c r="S928" s="162"/>
      <c r="T928" s="148"/>
      <c r="U928" s="161"/>
      <c r="V928" s="146"/>
      <c r="W928" s="162"/>
      <c r="X928" s="148"/>
      <c r="Y928" s="161"/>
      <c r="Z928" s="146"/>
      <c r="AA928" s="162"/>
      <c r="AB928" s="148"/>
      <c r="AC928" s="161"/>
      <c r="AD928" s="146"/>
      <c r="AE928" s="162"/>
      <c r="AF928" s="148"/>
    </row>
    <row r="929">
      <c r="A929" s="161"/>
      <c r="B929" s="146" t="str">
        <f>IF(A929&lt;&gt;"", SUMIF(Bets!$F:$F, A929, Bets!Z:Z), "")</f>
        <v/>
      </c>
      <c r="C929" s="162"/>
      <c r="D929" s="148"/>
      <c r="E929" s="161"/>
      <c r="F929" s="146" t="str">
        <f>IF(E929&lt;&gt;"", SUMIF(Bets!$F:$F, E929, Bets!AB:AB), "")</f>
        <v/>
      </c>
      <c r="G929" s="162"/>
      <c r="H929" s="148"/>
      <c r="I929" s="161"/>
      <c r="J929" s="146" t="str">
        <f>IF(I929&lt;&gt;"", SUMIF(Bets!$F:$F, I929, Bets!AA:AA), "")</f>
        <v/>
      </c>
      <c r="K929" s="162"/>
      <c r="L929" s="148"/>
      <c r="M929" s="161"/>
      <c r="N929" s="146"/>
      <c r="O929" s="162"/>
      <c r="P929" s="148"/>
      <c r="Q929" s="161"/>
      <c r="R929" s="146"/>
      <c r="S929" s="162"/>
      <c r="T929" s="148"/>
      <c r="U929" s="161"/>
      <c r="V929" s="146"/>
      <c r="W929" s="162"/>
      <c r="X929" s="148"/>
      <c r="Y929" s="161"/>
      <c r="Z929" s="146"/>
      <c r="AA929" s="162"/>
      <c r="AB929" s="148"/>
      <c r="AC929" s="161"/>
      <c r="AD929" s="146"/>
      <c r="AE929" s="162"/>
      <c r="AF929" s="148"/>
    </row>
    <row r="930">
      <c r="A930" s="161"/>
      <c r="B930" s="146" t="str">
        <f>IF(A930&lt;&gt;"", SUMIF(Bets!$F:$F, A930, Bets!Z:Z), "")</f>
        <v/>
      </c>
      <c r="C930" s="162"/>
      <c r="D930" s="148"/>
      <c r="E930" s="161"/>
      <c r="F930" s="146" t="str">
        <f>IF(E930&lt;&gt;"", SUMIF(Bets!$F:$F, E930, Bets!AB:AB), "")</f>
        <v/>
      </c>
      <c r="G930" s="162"/>
      <c r="H930" s="148"/>
      <c r="I930" s="161"/>
      <c r="J930" s="146" t="str">
        <f>IF(I930&lt;&gt;"", SUMIF(Bets!$F:$F, I930, Bets!AA:AA), "")</f>
        <v/>
      </c>
      <c r="K930" s="162"/>
      <c r="L930" s="148"/>
      <c r="M930" s="161"/>
      <c r="N930" s="146"/>
      <c r="O930" s="162"/>
      <c r="P930" s="148"/>
      <c r="Q930" s="161"/>
      <c r="R930" s="146"/>
      <c r="S930" s="162"/>
      <c r="T930" s="148"/>
      <c r="U930" s="161"/>
      <c r="V930" s="146"/>
      <c r="W930" s="162"/>
      <c r="X930" s="148"/>
      <c r="Y930" s="161"/>
      <c r="Z930" s="146"/>
      <c r="AA930" s="162"/>
      <c r="AB930" s="148"/>
      <c r="AC930" s="161"/>
      <c r="AD930" s="146"/>
      <c r="AE930" s="162"/>
      <c r="AF930" s="148"/>
    </row>
    <row r="931">
      <c r="A931" s="161"/>
      <c r="B931" s="146" t="str">
        <f>IF(A931&lt;&gt;"", SUMIF(Bets!$F:$F, A931, Bets!Z:Z), "")</f>
        <v/>
      </c>
      <c r="C931" s="162"/>
      <c r="D931" s="148"/>
      <c r="E931" s="161"/>
      <c r="F931" s="146" t="str">
        <f>IF(E931&lt;&gt;"", SUMIF(Bets!$F:$F, E931, Bets!AB:AB), "")</f>
        <v/>
      </c>
      <c r="G931" s="162"/>
      <c r="H931" s="148"/>
      <c r="I931" s="161"/>
      <c r="J931" s="146" t="str">
        <f>IF(I931&lt;&gt;"", SUMIF(Bets!$F:$F, I931, Bets!AA:AA), "")</f>
        <v/>
      </c>
      <c r="K931" s="162"/>
      <c r="L931" s="148"/>
      <c r="M931" s="161"/>
      <c r="N931" s="146"/>
      <c r="O931" s="162"/>
      <c r="P931" s="148"/>
      <c r="Q931" s="161"/>
      <c r="R931" s="146"/>
      <c r="S931" s="162"/>
      <c r="T931" s="148"/>
      <c r="U931" s="161"/>
      <c r="V931" s="146"/>
      <c r="W931" s="162"/>
      <c r="X931" s="148"/>
      <c r="Y931" s="161"/>
      <c r="Z931" s="146"/>
      <c r="AA931" s="162"/>
      <c r="AB931" s="148"/>
      <c r="AC931" s="161"/>
      <c r="AD931" s="146"/>
      <c r="AE931" s="162"/>
      <c r="AF931" s="148"/>
    </row>
    <row r="932">
      <c r="A932" s="161"/>
      <c r="B932" s="146" t="str">
        <f>IF(A932&lt;&gt;"", SUMIF(Bets!$F:$F, A932, Bets!Z:Z), "")</f>
        <v/>
      </c>
      <c r="C932" s="162"/>
      <c r="D932" s="148"/>
      <c r="E932" s="161"/>
      <c r="F932" s="146" t="str">
        <f>IF(E932&lt;&gt;"", SUMIF(Bets!$F:$F, E932, Bets!AB:AB), "")</f>
        <v/>
      </c>
      <c r="G932" s="162"/>
      <c r="H932" s="148"/>
      <c r="I932" s="161"/>
      <c r="J932" s="146" t="str">
        <f>IF(I932&lt;&gt;"", SUMIF(Bets!$F:$F, I932, Bets!AA:AA), "")</f>
        <v/>
      </c>
      <c r="K932" s="162"/>
      <c r="L932" s="148"/>
      <c r="M932" s="161"/>
      <c r="N932" s="146"/>
      <c r="O932" s="162"/>
      <c r="P932" s="148"/>
      <c r="Q932" s="161"/>
      <c r="R932" s="146"/>
      <c r="S932" s="162"/>
      <c r="T932" s="148"/>
      <c r="U932" s="161"/>
      <c r="V932" s="146"/>
      <c r="W932" s="162"/>
      <c r="X932" s="148"/>
      <c r="Y932" s="161"/>
      <c r="Z932" s="146"/>
      <c r="AA932" s="162"/>
      <c r="AB932" s="148"/>
      <c r="AC932" s="161"/>
      <c r="AD932" s="146"/>
      <c r="AE932" s="162"/>
      <c r="AF932" s="148"/>
    </row>
    <row r="933">
      <c r="A933" s="161"/>
      <c r="B933" s="146" t="str">
        <f>IF(A933&lt;&gt;"", SUMIF(Bets!$F:$F, A933, Bets!Z:Z), "")</f>
        <v/>
      </c>
      <c r="C933" s="162"/>
      <c r="D933" s="148"/>
      <c r="E933" s="161"/>
      <c r="F933" s="146" t="str">
        <f>IF(E933&lt;&gt;"", SUMIF(Bets!$F:$F, E933, Bets!AB:AB), "")</f>
        <v/>
      </c>
      <c r="G933" s="162"/>
      <c r="H933" s="148"/>
      <c r="I933" s="161"/>
      <c r="J933" s="146" t="str">
        <f>IF(I933&lt;&gt;"", SUMIF(Bets!$F:$F, I933, Bets!AA:AA), "")</f>
        <v/>
      </c>
      <c r="K933" s="162"/>
      <c r="L933" s="148"/>
      <c r="M933" s="161"/>
      <c r="N933" s="146"/>
      <c r="O933" s="162"/>
      <c r="P933" s="148"/>
      <c r="Q933" s="161"/>
      <c r="R933" s="146"/>
      <c r="S933" s="162"/>
      <c r="T933" s="148"/>
      <c r="U933" s="161"/>
      <c r="V933" s="146"/>
      <c r="W933" s="162"/>
      <c r="X933" s="148"/>
      <c r="Y933" s="161"/>
      <c r="Z933" s="146"/>
      <c r="AA933" s="162"/>
      <c r="AB933" s="148"/>
      <c r="AC933" s="161"/>
      <c r="AD933" s="146"/>
      <c r="AE933" s="162"/>
      <c r="AF933" s="148"/>
    </row>
    <row r="934">
      <c r="A934" s="161"/>
      <c r="B934" s="146" t="str">
        <f>IF(A934&lt;&gt;"", SUMIF(Bets!$F:$F, A934, Bets!Z:Z), "")</f>
        <v/>
      </c>
      <c r="C934" s="162"/>
      <c r="D934" s="148"/>
      <c r="E934" s="161"/>
      <c r="F934" s="146" t="str">
        <f>IF(E934&lt;&gt;"", SUMIF(Bets!$F:$F, E934, Bets!AB:AB), "")</f>
        <v/>
      </c>
      <c r="G934" s="162"/>
      <c r="H934" s="148"/>
      <c r="I934" s="161"/>
      <c r="J934" s="146" t="str">
        <f>IF(I934&lt;&gt;"", SUMIF(Bets!$F:$F, I934, Bets!AA:AA), "")</f>
        <v/>
      </c>
      <c r="K934" s="162"/>
      <c r="L934" s="148"/>
      <c r="M934" s="161"/>
      <c r="N934" s="146"/>
      <c r="O934" s="162"/>
      <c r="P934" s="148"/>
      <c r="Q934" s="161"/>
      <c r="R934" s="146"/>
      <c r="S934" s="162"/>
      <c r="T934" s="148"/>
      <c r="U934" s="161"/>
      <c r="V934" s="146"/>
      <c r="W934" s="162"/>
      <c r="X934" s="148"/>
      <c r="Y934" s="161"/>
      <c r="Z934" s="146"/>
      <c r="AA934" s="162"/>
      <c r="AB934" s="148"/>
      <c r="AC934" s="161"/>
      <c r="AD934" s="146"/>
      <c r="AE934" s="162"/>
      <c r="AF934" s="148"/>
    </row>
    <row r="935">
      <c r="A935" s="161"/>
      <c r="B935" s="146" t="str">
        <f>IF(A935&lt;&gt;"", SUMIF(Bets!$F:$F, A935, Bets!Z:Z), "")</f>
        <v/>
      </c>
      <c r="C935" s="162"/>
      <c r="D935" s="148"/>
      <c r="E935" s="161"/>
      <c r="F935" s="146" t="str">
        <f>IF(E935&lt;&gt;"", SUMIF(Bets!$F:$F, E935, Bets!AB:AB), "")</f>
        <v/>
      </c>
      <c r="G935" s="162"/>
      <c r="H935" s="148"/>
      <c r="I935" s="161"/>
      <c r="J935" s="146" t="str">
        <f>IF(I935&lt;&gt;"", SUMIF(Bets!$F:$F, I935, Bets!AA:AA), "")</f>
        <v/>
      </c>
      <c r="K935" s="162"/>
      <c r="L935" s="148"/>
      <c r="M935" s="161"/>
      <c r="N935" s="146"/>
      <c r="O935" s="162"/>
      <c r="P935" s="148"/>
      <c r="Q935" s="161"/>
      <c r="R935" s="146"/>
      <c r="S935" s="162"/>
      <c r="T935" s="148"/>
      <c r="U935" s="161"/>
      <c r="V935" s="146"/>
      <c r="W935" s="162"/>
      <c r="X935" s="148"/>
      <c r="Y935" s="161"/>
      <c r="Z935" s="146"/>
      <c r="AA935" s="162"/>
      <c r="AB935" s="148"/>
      <c r="AC935" s="161"/>
      <c r="AD935" s="146"/>
      <c r="AE935" s="162"/>
      <c r="AF935" s="148"/>
    </row>
    <row r="936">
      <c r="A936" s="161"/>
      <c r="B936" s="146" t="str">
        <f>IF(A936&lt;&gt;"", SUMIF(Bets!$F:$F, A936, Bets!Z:Z), "")</f>
        <v/>
      </c>
      <c r="C936" s="162"/>
      <c r="D936" s="148"/>
      <c r="E936" s="161"/>
      <c r="F936" s="146" t="str">
        <f>IF(E936&lt;&gt;"", SUMIF(Bets!$F:$F, E936, Bets!AB:AB), "")</f>
        <v/>
      </c>
      <c r="G936" s="162"/>
      <c r="H936" s="148"/>
      <c r="I936" s="161"/>
      <c r="J936" s="146" t="str">
        <f>IF(I936&lt;&gt;"", SUMIF(Bets!$F:$F, I936, Bets!AA:AA), "")</f>
        <v/>
      </c>
      <c r="K936" s="162"/>
      <c r="L936" s="148"/>
      <c r="M936" s="161"/>
      <c r="N936" s="146"/>
      <c r="O936" s="162"/>
      <c r="P936" s="148"/>
      <c r="Q936" s="161"/>
      <c r="R936" s="146"/>
      <c r="S936" s="162"/>
      <c r="T936" s="148"/>
      <c r="U936" s="161"/>
      <c r="V936" s="146"/>
      <c r="W936" s="162"/>
      <c r="X936" s="148"/>
      <c r="Y936" s="161"/>
      <c r="Z936" s="146"/>
      <c r="AA936" s="162"/>
      <c r="AB936" s="148"/>
      <c r="AC936" s="161"/>
      <c r="AD936" s="146"/>
      <c r="AE936" s="162"/>
      <c r="AF936" s="148"/>
    </row>
    <row r="937">
      <c r="A937" s="161"/>
      <c r="B937" s="146" t="str">
        <f>IF(A937&lt;&gt;"", SUMIF(Bets!$F:$F, A937, Bets!Z:Z), "")</f>
        <v/>
      </c>
      <c r="C937" s="162"/>
      <c r="D937" s="148"/>
      <c r="E937" s="161"/>
      <c r="F937" s="146" t="str">
        <f>IF(E937&lt;&gt;"", SUMIF(Bets!$F:$F, E937, Bets!AB:AB), "")</f>
        <v/>
      </c>
      <c r="G937" s="162"/>
      <c r="H937" s="148"/>
      <c r="I937" s="161"/>
      <c r="J937" s="146" t="str">
        <f>IF(I937&lt;&gt;"", SUMIF(Bets!$F:$F, I937, Bets!AA:AA), "")</f>
        <v/>
      </c>
      <c r="K937" s="162"/>
      <c r="L937" s="148"/>
      <c r="M937" s="161"/>
      <c r="N937" s="146"/>
      <c r="O937" s="162"/>
      <c r="P937" s="148"/>
      <c r="Q937" s="161"/>
      <c r="R937" s="146"/>
      <c r="S937" s="162"/>
      <c r="T937" s="148"/>
      <c r="U937" s="161"/>
      <c r="V937" s="146"/>
      <c r="W937" s="162"/>
      <c r="X937" s="148"/>
      <c r="Y937" s="161"/>
      <c r="Z937" s="146"/>
      <c r="AA937" s="162"/>
      <c r="AB937" s="148"/>
      <c r="AC937" s="161"/>
      <c r="AD937" s="146"/>
      <c r="AE937" s="162"/>
      <c r="AF937" s="148"/>
    </row>
    <row r="938">
      <c r="A938" s="161"/>
      <c r="B938" s="146" t="str">
        <f>IF(A938&lt;&gt;"", SUMIF(Bets!$F:$F, A938, Bets!Z:Z), "")</f>
        <v/>
      </c>
      <c r="C938" s="162"/>
      <c r="D938" s="148"/>
      <c r="E938" s="161"/>
      <c r="F938" s="146" t="str">
        <f>IF(E938&lt;&gt;"", SUMIF(Bets!$F:$F, E938, Bets!AB:AB), "")</f>
        <v/>
      </c>
      <c r="G938" s="162"/>
      <c r="H938" s="148"/>
      <c r="I938" s="161"/>
      <c r="J938" s="146" t="str">
        <f>IF(I938&lt;&gt;"", SUMIF(Bets!$F:$F, I938, Bets!AA:AA), "")</f>
        <v/>
      </c>
      <c r="K938" s="162"/>
      <c r="L938" s="148"/>
      <c r="M938" s="161"/>
      <c r="N938" s="146"/>
      <c r="O938" s="162"/>
      <c r="P938" s="148"/>
      <c r="Q938" s="161"/>
      <c r="R938" s="146"/>
      <c r="S938" s="162"/>
      <c r="T938" s="148"/>
      <c r="U938" s="161"/>
      <c r="V938" s="146"/>
      <c r="W938" s="162"/>
      <c r="X938" s="148"/>
      <c r="Y938" s="161"/>
      <c r="Z938" s="146"/>
      <c r="AA938" s="162"/>
      <c r="AB938" s="148"/>
      <c r="AC938" s="161"/>
      <c r="AD938" s="146"/>
      <c r="AE938" s="162"/>
      <c r="AF938" s="148"/>
    </row>
    <row r="939">
      <c r="A939" s="161"/>
      <c r="B939" s="146" t="str">
        <f>IF(A939&lt;&gt;"", SUMIF(Bets!$F:$F, A939, Bets!Z:Z), "")</f>
        <v/>
      </c>
      <c r="C939" s="162"/>
      <c r="D939" s="148"/>
      <c r="E939" s="161"/>
      <c r="F939" s="146" t="str">
        <f>IF(E939&lt;&gt;"", SUMIF(Bets!$F:$F, E939, Bets!AB:AB), "")</f>
        <v/>
      </c>
      <c r="G939" s="162"/>
      <c r="H939" s="148"/>
      <c r="I939" s="161"/>
      <c r="J939" s="146" t="str">
        <f>IF(I939&lt;&gt;"", SUMIF(Bets!$F:$F, I939, Bets!AA:AA), "")</f>
        <v/>
      </c>
      <c r="K939" s="162"/>
      <c r="L939" s="148"/>
      <c r="M939" s="161"/>
      <c r="N939" s="146"/>
      <c r="O939" s="162"/>
      <c r="P939" s="148"/>
      <c r="Q939" s="161"/>
      <c r="R939" s="146"/>
      <c r="S939" s="162"/>
      <c r="T939" s="148"/>
      <c r="U939" s="161"/>
      <c r="V939" s="146"/>
      <c r="W939" s="162"/>
      <c r="X939" s="148"/>
      <c r="Y939" s="161"/>
      <c r="Z939" s="146"/>
      <c r="AA939" s="162"/>
      <c r="AB939" s="148"/>
      <c r="AC939" s="161"/>
      <c r="AD939" s="146"/>
      <c r="AE939" s="162"/>
      <c r="AF939" s="148"/>
    </row>
    <row r="940">
      <c r="A940" s="161"/>
      <c r="B940" s="146" t="str">
        <f>IF(A940&lt;&gt;"", SUMIF(Bets!$F:$F, A940, Bets!Z:Z), "")</f>
        <v/>
      </c>
      <c r="C940" s="162"/>
      <c r="D940" s="148"/>
      <c r="E940" s="161"/>
      <c r="F940" s="146" t="str">
        <f>IF(E940&lt;&gt;"", SUMIF(Bets!$F:$F, E940, Bets!AB:AB), "")</f>
        <v/>
      </c>
      <c r="G940" s="162"/>
      <c r="H940" s="148"/>
      <c r="I940" s="161"/>
      <c r="J940" s="146" t="str">
        <f>IF(I940&lt;&gt;"", SUMIF(Bets!$F:$F, I940, Bets!AA:AA), "")</f>
        <v/>
      </c>
      <c r="K940" s="162"/>
      <c r="L940" s="148"/>
      <c r="M940" s="161"/>
      <c r="N940" s="146"/>
      <c r="O940" s="162"/>
      <c r="P940" s="148"/>
      <c r="Q940" s="161"/>
      <c r="R940" s="146"/>
      <c r="S940" s="162"/>
      <c r="T940" s="148"/>
      <c r="U940" s="161"/>
      <c r="V940" s="146"/>
      <c r="W940" s="162"/>
      <c r="X940" s="148"/>
      <c r="Y940" s="161"/>
      <c r="Z940" s="146"/>
      <c r="AA940" s="162"/>
      <c r="AB940" s="148"/>
      <c r="AC940" s="161"/>
      <c r="AD940" s="146"/>
      <c r="AE940" s="162"/>
      <c r="AF940" s="148"/>
    </row>
    <row r="941">
      <c r="A941" s="161"/>
      <c r="B941" s="146" t="str">
        <f>IF(A941&lt;&gt;"", SUMIF(Bets!$F:$F, A941, Bets!Z:Z), "")</f>
        <v/>
      </c>
      <c r="C941" s="162"/>
      <c r="D941" s="148"/>
      <c r="E941" s="161"/>
      <c r="F941" s="146" t="str">
        <f>IF(E941&lt;&gt;"", SUMIF(Bets!$F:$F, E941, Bets!AB:AB), "")</f>
        <v/>
      </c>
      <c r="G941" s="162"/>
      <c r="H941" s="148"/>
      <c r="I941" s="161"/>
      <c r="J941" s="146" t="str">
        <f>IF(I941&lt;&gt;"", SUMIF(Bets!$F:$F, I941, Bets!AA:AA), "")</f>
        <v/>
      </c>
      <c r="K941" s="162"/>
      <c r="L941" s="148"/>
      <c r="M941" s="161"/>
      <c r="N941" s="146"/>
      <c r="O941" s="162"/>
      <c r="P941" s="148"/>
      <c r="Q941" s="161"/>
      <c r="R941" s="146"/>
      <c r="S941" s="162"/>
      <c r="T941" s="148"/>
      <c r="U941" s="161"/>
      <c r="V941" s="146"/>
      <c r="W941" s="162"/>
      <c r="X941" s="148"/>
      <c r="Y941" s="161"/>
      <c r="Z941" s="146"/>
      <c r="AA941" s="162"/>
      <c r="AB941" s="148"/>
      <c r="AC941" s="161"/>
      <c r="AD941" s="146"/>
      <c r="AE941" s="162"/>
      <c r="AF941" s="148"/>
    </row>
    <row r="942">
      <c r="A942" s="161"/>
      <c r="B942" s="146" t="str">
        <f>IF(A942&lt;&gt;"", SUMIF(Bets!$F:$F, A942, Bets!Z:Z), "")</f>
        <v/>
      </c>
      <c r="C942" s="162"/>
      <c r="D942" s="148"/>
      <c r="E942" s="161"/>
      <c r="F942" s="146" t="str">
        <f>IF(E942&lt;&gt;"", SUMIF(Bets!$F:$F, E942, Bets!AB:AB), "")</f>
        <v/>
      </c>
      <c r="G942" s="162"/>
      <c r="H942" s="148"/>
      <c r="I942" s="161"/>
      <c r="J942" s="146" t="str">
        <f>IF(I942&lt;&gt;"", SUMIF(Bets!$F:$F, I942, Bets!AA:AA), "")</f>
        <v/>
      </c>
      <c r="K942" s="162"/>
      <c r="L942" s="148"/>
      <c r="M942" s="161"/>
      <c r="N942" s="146"/>
      <c r="O942" s="162"/>
      <c r="P942" s="148"/>
      <c r="Q942" s="161"/>
      <c r="R942" s="146"/>
      <c r="S942" s="162"/>
      <c r="T942" s="148"/>
      <c r="U942" s="161"/>
      <c r="V942" s="146"/>
      <c r="W942" s="162"/>
      <c r="X942" s="148"/>
      <c r="Y942" s="161"/>
      <c r="Z942" s="146"/>
      <c r="AA942" s="162"/>
      <c r="AB942" s="148"/>
      <c r="AC942" s="161"/>
      <c r="AD942" s="146"/>
      <c r="AE942" s="162"/>
      <c r="AF942" s="148"/>
    </row>
    <row r="943">
      <c r="A943" s="161"/>
      <c r="B943" s="146" t="str">
        <f>IF(A943&lt;&gt;"", SUMIF(Bets!$F:$F, A943, Bets!Z:Z), "")</f>
        <v/>
      </c>
      <c r="C943" s="162"/>
      <c r="D943" s="148"/>
      <c r="E943" s="161"/>
      <c r="F943" s="146" t="str">
        <f>IF(E943&lt;&gt;"", SUMIF(Bets!$F:$F, E943, Bets!AB:AB), "")</f>
        <v/>
      </c>
      <c r="G943" s="162"/>
      <c r="H943" s="148"/>
      <c r="I943" s="161"/>
      <c r="J943" s="146" t="str">
        <f>IF(I943&lt;&gt;"", SUMIF(Bets!$F:$F, I943, Bets!AA:AA), "")</f>
        <v/>
      </c>
      <c r="K943" s="162"/>
      <c r="L943" s="148"/>
      <c r="M943" s="161"/>
      <c r="N943" s="146"/>
      <c r="O943" s="162"/>
      <c r="P943" s="148"/>
      <c r="Q943" s="161"/>
      <c r="R943" s="146"/>
      <c r="S943" s="162"/>
      <c r="T943" s="148"/>
      <c r="U943" s="161"/>
      <c r="V943" s="146"/>
      <c r="W943" s="162"/>
      <c r="X943" s="148"/>
      <c r="Y943" s="161"/>
      <c r="Z943" s="146"/>
      <c r="AA943" s="162"/>
      <c r="AB943" s="148"/>
      <c r="AC943" s="161"/>
      <c r="AD943" s="146"/>
      <c r="AE943" s="162"/>
      <c r="AF943" s="148"/>
    </row>
    <row r="944">
      <c r="A944" s="161"/>
      <c r="B944" s="146" t="str">
        <f>IF(A944&lt;&gt;"", SUMIF(Bets!$F:$F, A944, Bets!Z:Z), "")</f>
        <v/>
      </c>
      <c r="C944" s="162"/>
      <c r="D944" s="148"/>
      <c r="E944" s="161"/>
      <c r="F944" s="146" t="str">
        <f>IF(E944&lt;&gt;"", SUMIF(Bets!$F:$F, E944, Bets!AB:AB), "")</f>
        <v/>
      </c>
      <c r="G944" s="162"/>
      <c r="H944" s="148"/>
      <c r="I944" s="161"/>
      <c r="J944" s="146" t="str">
        <f>IF(I944&lt;&gt;"", SUMIF(Bets!$F:$F, I944, Bets!AA:AA), "")</f>
        <v/>
      </c>
      <c r="K944" s="162"/>
      <c r="L944" s="148"/>
      <c r="M944" s="161"/>
      <c r="N944" s="146"/>
      <c r="O944" s="162"/>
      <c r="P944" s="148"/>
      <c r="Q944" s="161"/>
      <c r="R944" s="146"/>
      <c r="S944" s="162"/>
      <c r="T944" s="148"/>
      <c r="U944" s="161"/>
      <c r="V944" s="146"/>
      <c r="W944" s="162"/>
      <c r="X944" s="148"/>
      <c r="Y944" s="161"/>
      <c r="Z944" s="146"/>
      <c r="AA944" s="162"/>
      <c r="AB944" s="148"/>
      <c r="AC944" s="161"/>
      <c r="AD944" s="146"/>
      <c r="AE944" s="162"/>
      <c r="AF944" s="148"/>
    </row>
    <row r="945">
      <c r="A945" s="161"/>
      <c r="B945" s="146" t="str">
        <f>IF(A945&lt;&gt;"", SUMIF(Bets!$F:$F, A945, Bets!Z:Z), "")</f>
        <v/>
      </c>
      <c r="C945" s="162"/>
      <c r="D945" s="148"/>
      <c r="E945" s="161"/>
      <c r="F945" s="146" t="str">
        <f>IF(E945&lt;&gt;"", SUMIF(Bets!$F:$F, E945, Bets!AB:AB), "")</f>
        <v/>
      </c>
      <c r="G945" s="162"/>
      <c r="H945" s="148"/>
      <c r="I945" s="161"/>
      <c r="J945" s="146" t="str">
        <f>IF(I945&lt;&gt;"", SUMIF(Bets!$F:$F, I945, Bets!AA:AA), "")</f>
        <v/>
      </c>
      <c r="K945" s="162"/>
      <c r="L945" s="148"/>
      <c r="M945" s="161"/>
      <c r="N945" s="146"/>
      <c r="O945" s="162"/>
      <c r="P945" s="148"/>
      <c r="Q945" s="161"/>
      <c r="R945" s="146"/>
      <c r="S945" s="162"/>
      <c r="T945" s="148"/>
      <c r="U945" s="161"/>
      <c r="V945" s="146"/>
      <c r="W945" s="162"/>
      <c r="X945" s="148"/>
      <c r="Y945" s="161"/>
      <c r="Z945" s="146"/>
      <c r="AA945" s="162"/>
      <c r="AB945" s="148"/>
      <c r="AC945" s="161"/>
      <c r="AD945" s="146"/>
      <c r="AE945" s="162"/>
      <c r="AF945" s="148"/>
    </row>
    <row r="946">
      <c r="A946" s="161"/>
      <c r="B946" s="146" t="str">
        <f>IF(A946&lt;&gt;"", SUMIF(Bets!$F:$F, A946, Bets!Z:Z), "")</f>
        <v/>
      </c>
      <c r="C946" s="162"/>
      <c r="D946" s="148"/>
      <c r="E946" s="161"/>
      <c r="F946" s="146" t="str">
        <f>IF(E946&lt;&gt;"", SUMIF(Bets!$F:$F, E946, Bets!AB:AB), "")</f>
        <v/>
      </c>
      <c r="G946" s="162"/>
      <c r="H946" s="148"/>
      <c r="I946" s="161"/>
      <c r="J946" s="146" t="str">
        <f>IF(I946&lt;&gt;"", SUMIF(Bets!$F:$F, I946, Bets!AA:AA), "")</f>
        <v/>
      </c>
      <c r="K946" s="162"/>
      <c r="L946" s="148"/>
      <c r="M946" s="161"/>
      <c r="N946" s="146"/>
      <c r="O946" s="162"/>
      <c r="P946" s="148"/>
      <c r="Q946" s="161"/>
      <c r="R946" s="146"/>
      <c r="S946" s="162"/>
      <c r="T946" s="148"/>
      <c r="U946" s="161"/>
      <c r="V946" s="146"/>
      <c r="W946" s="162"/>
      <c r="X946" s="148"/>
      <c r="Y946" s="161"/>
      <c r="Z946" s="146"/>
      <c r="AA946" s="162"/>
      <c r="AB946" s="148"/>
      <c r="AC946" s="161"/>
      <c r="AD946" s="146"/>
      <c r="AE946" s="162"/>
      <c r="AF946" s="148"/>
    </row>
    <row r="947">
      <c r="A947" s="161"/>
      <c r="B947" s="146" t="str">
        <f>IF(A947&lt;&gt;"", SUMIF(Bets!$F:$F, A947, Bets!Z:Z), "")</f>
        <v/>
      </c>
      <c r="C947" s="162"/>
      <c r="D947" s="148"/>
      <c r="E947" s="161"/>
      <c r="F947" s="146" t="str">
        <f>IF(E947&lt;&gt;"", SUMIF(Bets!$F:$F, E947, Bets!AB:AB), "")</f>
        <v/>
      </c>
      <c r="G947" s="162"/>
      <c r="H947" s="148"/>
      <c r="I947" s="161"/>
      <c r="J947" s="146" t="str">
        <f>IF(I947&lt;&gt;"", SUMIF(Bets!$F:$F, I947, Bets!AA:AA), "")</f>
        <v/>
      </c>
      <c r="K947" s="162"/>
      <c r="L947" s="148"/>
      <c r="M947" s="161"/>
      <c r="N947" s="146"/>
      <c r="O947" s="162"/>
      <c r="P947" s="148"/>
      <c r="Q947" s="161"/>
      <c r="R947" s="146"/>
      <c r="S947" s="162"/>
      <c r="T947" s="148"/>
      <c r="U947" s="161"/>
      <c r="V947" s="146"/>
      <c r="W947" s="162"/>
      <c r="X947" s="148"/>
      <c r="Y947" s="161"/>
      <c r="Z947" s="146"/>
      <c r="AA947" s="162"/>
      <c r="AB947" s="148"/>
      <c r="AC947" s="161"/>
      <c r="AD947" s="146"/>
      <c r="AE947" s="162"/>
      <c r="AF947" s="148"/>
    </row>
    <row r="948">
      <c r="A948" s="161"/>
      <c r="B948" s="146" t="str">
        <f>IF(A948&lt;&gt;"", SUMIF(Bets!$F:$F, A948, Bets!Z:Z), "")</f>
        <v/>
      </c>
      <c r="C948" s="162"/>
      <c r="D948" s="148"/>
      <c r="E948" s="161"/>
      <c r="F948" s="146" t="str">
        <f>IF(E948&lt;&gt;"", SUMIF(Bets!$F:$F, E948, Bets!AB:AB), "")</f>
        <v/>
      </c>
      <c r="G948" s="162"/>
      <c r="H948" s="148"/>
      <c r="I948" s="161"/>
      <c r="J948" s="146" t="str">
        <f>IF(I948&lt;&gt;"", SUMIF(Bets!$F:$F, I948, Bets!AA:AA), "")</f>
        <v/>
      </c>
      <c r="K948" s="162"/>
      <c r="L948" s="148"/>
      <c r="M948" s="161"/>
      <c r="N948" s="146"/>
      <c r="O948" s="162"/>
      <c r="P948" s="148"/>
      <c r="Q948" s="161"/>
      <c r="R948" s="146"/>
      <c r="S948" s="162"/>
      <c r="T948" s="148"/>
      <c r="U948" s="161"/>
      <c r="V948" s="146"/>
      <c r="W948" s="162"/>
      <c r="X948" s="148"/>
      <c r="Y948" s="161"/>
      <c r="Z948" s="146"/>
      <c r="AA948" s="162"/>
      <c r="AB948" s="148"/>
      <c r="AC948" s="161"/>
      <c r="AD948" s="146"/>
      <c r="AE948" s="162"/>
      <c r="AF948" s="148"/>
    </row>
    <row r="949">
      <c r="A949" s="161"/>
      <c r="B949" s="146" t="str">
        <f>IF(A949&lt;&gt;"", SUMIF(Bets!$F:$F, A949, Bets!Z:Z), "")</f>
        <v/>
      </c>
      <c r="C949" s="162"/>
      <c r="D949" s="148"/>
      <c r="E949" s="161"/>
      <c r="F949" s="146" t="str">
        <f>IF(E949&lt;&gt;"", SUMIF(Bets!$F:$F, E949, Bets!AB:AB), "")</f>
        <v/>
      </c>
      <c r="G949" s="162"/>
      <c r="H949" s="148"/>
      <c r="I949" s="161"/>
      <c r="J949" s="146" t="str">
        <f>IF(I949&lt;&gt;"", SUMIF(Bets!$F:$F, I949, Bets!AA:AA), "")</f>
        <v/>
      </c>
      <c r="K949" s="162"/>
      <c r="L949" s="148"/>
      <c r="M949" s="161"/>
      <c r="N949" s="146"/>
      <c r="O949" s="162"/>
      <c r="P949" s="148"/>
      <c r="Q949" s="161"/>
      <c r="R949" s="146"/>
      <c r="S949" s="162"/>
      <c r="T949" s="148"/>
      <c r="U949" s="161"/>
      <c r="V949" s="146"/>
      <c r="W949" s="162"/>
      <c r="X949" s="148"/>
      <c r="Y949" s="161"/>
      <c r="Z949" s="146"/>
      <c r="AA949" s="162"/>
      <c r="AB949" s="148"/>
      <c r="AC949" s="161"/>
      <c r="AD949" s="146"/>
      <c r="AE949" s="162"/>
      <c r="AF949" s="148"/>
    </row>
    <row r="950">
      <c r="A950" s="161"/>
      <c r="B950" s="146" t="str">
        <f>IF(A950&lt;&gt;"", SUMIF(Bets!$F:$F, A950, Bets!Z:Z), "")</f>
        <v/>
      </c>
      <c r="C950" s="162"/>
      <c r="D950" s="148"/>
      <c r="E950" s="161"/>
      <c r="F950" s="146" t="str">
        <f>IF(E950&lt;&gt;"", SUMIF(Bets!$F:$F, E950, Bets!AB:AB), "")</f>
        <v/>
      </c>
      <c r="G950" s="162"/>
      <c r="H950" s="148"/>
      <c r="I950" s="161"/>
      <c r="J950" s="146" t="str">
        <f>IF(I950&lt;&gt;"", SUMIF(Bets!$F:$F, I950, Bets!AA:AA), "")</f>
        <v/>
      </c>
      <c r="K950" s="162"/>
      <c r="L950" s="148"/>
      <c r="M950" s="161"/>
      <c r="N950" s="146"/>
      <c r="O950" s="162"/>
      <c r="P950" s="148"/>
      <c r="Q950" s="161"/>
      <c r="R950" s="146"/>
      <c r="S950" s="162"/>
      <c r="T950" s="148"/>
      <c r="U950" s="161"/>
      <c r="V950" s="146"/>
      <c r="W950" s="162"/>
      <c r="X950" s="148"/>
      <c r="Y950" s="161"/>
      <c r="Z950" s="146"/>
      <c r="AA950" s="162"/>
      <c r="AB950" s="148"/>
      <c r="AC950" s="161"/>
      <c r="AD950" s="146"/>
      <c r="AE950" s="162"/>
      <c r="AF950" s="148"/>
    </row>
    <row r="951">
      <c r="A951" s="161"/>
      <c r="B951" s="146" t="str">
        <f>IF(A951&lt;&gt;"", SUMIF(Bets!$F:$F, A951, Bets!Z:Z), "")</f>
        <v/>
      </c>
      <c r="C951" s="162"/>
      <c r="D951" s="148"/>
      <c r="E951" s="161"/>
      <c r="F951" s="146" t="str">
        <f>IF(E951&lt;&gt;"", SUMIF(Bets!$F:$F, E951, Bets!AB:AB), "")</f>
        <v/>
      </c>
      <c r="G951" s="162"/>
      <c r="H951" s="148"/>
      <c r="I951" s="161"/>
      <c r="J951" s="146" t="str">
        <f>IF(I951&lt;&gt;"", SUMIF(Bets!$F:$F, I951, Bets!AA:AA), "")</f>
        <v/>
      </c>
      <c r="K951" s="162"/>
      <c r="L951" s="148"/>
      <c r="M951" s="161"/>
      <c r="N951" s="146"/>
      <c r="O951" s="162"/>
      <c r="P951" s="148"/>
      <c r="Q951" s="161"/>
      <c r="R951" s="146"/>
      <c r="S951" s="162"/>
      <c r="T951" s="148"/>
      <c r="U951" s="161"/>
      <c r="V951" s="146"/>
      <c r="W951" s="162"/>
      <c r="X951" s="148"/>
      <c r="Y951" s="161"/>
      <c r="Z951" s="146"/>
      <c r="AA951" s="162"/>
      <c r="AB951" s="148"/>
      <c r="AC951" s="161"/>
      <c r="AD951" s="146"/>
      <c r="AE951" s="162"/>
      <c r="AF951" s="148"/>
    </row>
    <row r="952">
      <c r="A952" s="161"/>
      <c r="B952" s="146" t="str">
        <f>IF(A952&lt;&gt;"", SUMIF(Bets!$F:$F, A952, Bets!Z:Z), "")</f>
        <v/>
      </c>
      <c r="C952" s="162"/>
      <c r="D952" s="148"/>
      <c r="E952" s="161"/>
      <c r="F952" s="146" t="str">
        <f>IF(E952&lt;&gt;"", SUMIF(Bets!$F:$F, E952, Bets!AB:AB), "")</f>
        <v/>
      </c>
      <c r="G952" s="162"/>
      <c r="H952" s="148"/>
      <c r="I952" s="161"/>
      <c r="J952" s="146" t="str">
        <f>IF(I952&lt;&gt;"", SUMIF(Bets!$F:$F, I952, Bets!AA:AA), "")</f>
        <v/>
      </c>
      <c r="K952" s="162"/>
      <c r="L952" s="148"/>
      <c r="M952" s="161"/>
      <c r="N952" s="146"/>
      <c r="O952" s="162"/>
      <c r="P952" s="148"/>
      <c r="Q952" s="161"/>
      <c r="R952" s="146"/>
      <c r="S952" s="162"/>
      <c r="T952" s="148"/>
      <c r="U952" s="161"/>
      <c r="V952" s="146"/>
      <c r="W952" s="162"/>
      <c r="X952" s="148"/>
      <c r="Y952" s="161"/>
      <c r="Z952" s="146"/>
      <c r="AA952" s="162"/>
      <c r="AB952" s="148"/>
      <c r="AC952" s="161"/>
      <c r="AD952" s="146"/>
      <c r="AE952" s="162"/>
      <c r="AF952" s="148"/>
    </row>
    <row r="953">
      <c r="A953" s="161"/>
      <c r="B953" s="146" t="str">
        <f>IF(A953&lt;&gt;"", SUMIF(Bets!$F:$F, A953, Bets!Z:Z), "")</f>
        <v/>
      </c>
      <c r="C953" s="162"/>
      <c r="D953" s="148"/>
      <c r="E953" s="161"/>
      <c r="F953" s="146" t="str">
        <f>IF(E953&lt;&gt;"", SUMIF(Bets!$F:$F, E953, Bets!AB:AB), "")</f>
        <v/>
      </c>
      <c r="G953" s="162"/>
      <c r="H953" s="148"/>
      <c r="I953" s="161"/>
      <c r="J953" s="146" t="str">
        <f>IF(I953&lt;&gt;"", SUMIF(Bets!$F:$F, I953, Bets!AA:AA), "")</f>
        <v/>
      </c>
      <c r="K953" s="162"/>
      <c r="L953" s="148"/>
      <c r="M953" s="161"/>
      <c r="N953" s="146"/>
      <c r="O953" s="162"/>
      <c r="P953" s="148"/>
      <c r="Q953" s="161"/>
      <c r="R953" s="146"/>
      <c r="S953" s="162"/>
      <c r="T953" s="148"/>
      <c r="U953" s="161"/>
      <c r="V953" s="146"/>
      <c r="W953" s="162"/>
      <c r="X953" s="148"/>
      <c r="Y953" s="161"/>
      <c r="Z953" s="146"/>
      <c r="AA953" s="162"/>
      <c r="AB953" s="148"/>
      <c r="AC953" s="161"/>
      <c r="AD953" s="146"/>
      <c r="AE953" s="162"/>
      <c r="AF953" s="148"/>
    </row>
    <row r="954">
      <c r="A954" s="161"/>
      <c r="B954" s="146" t="str">
        <f>IF(A954&lt;&gt;"", SUMIF(Bets!$F:$F, A954, Bets!Z:Z), "")</f>
        <v/>
      </c>
      <c r="C954" s="162"/>
      <c r="D954" s="148"/>
      <c r="E954" s="161"/>
      <c r="F954" s="146" t="str">
        <f>IF(E954&lt;&gt;"", SUMIF(Bets!$F:$F, E954, Bets!AB:AB), "")</f>
        <v/>
      </c>
      <c r="G954" s="162"/>
      <c r="H954" s="148"/>
      <c r="I954" s="161"/>
      <c r="J954" s="146" t="str">
        <f>IF(I954&lt;&gt;"", SUMIF(Bets!$F:$F, I954, Bets!AA:AA), "")</f>
        <v/>
      </c>
      <c r="K954" s="162"/>
      <c r="L954" s="148"/>
      <c r="M954" s="161"/>
      <c r="N954" s="146"/>
      <c r="O954" s="162"/>
      <c r="P954" s="148"/>
      <c r="Q954" s="161"/>
      <c r="R954" s="146"/>
      <c r="S954" s="162"/>
      <c r="T954" s="148"/>
      <c r="U954" s="161"/>
      <c r="V954" s="146"/>
      <c r="W954" s="162"/>
      <c r="X954" s="148"/>
      <c r="Y954" s="161"/>
      <c r="Z954" s="146"/>
      <c r="AA954" s="162"/>
      <c r="AB954" s="148"/>
      <c r="AC954" s="161"/>
      <c r="AD954" s="146"/>
      <c r="AE954" s="162"/>
      <c r="AF954" s="148"/>
    </row>
    <row r="955">
      <c r="A955" s="161"/>
      <c r="B955" s="146" t="str">
        <f>IF(A955&lt;&gt;"", SUMIF(Bets!$F:$F, A955, Bets!Z:Z), "")</f>
        <v/>
      </c>
      <c r="C955" s="162"/>
      <c r="D955" s="148"/>
      <c r="E955" s="161"/>
      <c r="F955" s="146" t="str">
        <f>IF(E955&lt;&gt;"", SUMIF(Bets!$F:$F, E955, Bets!AB:AB), "")</f>
        <v/>
      </c>
      <c r="G955" s="162"/>
      <c r="H955" s="148"/>
      <c r="I955" s="161"/>
      <c r="J955" s="146" t="str">
        <f>IF(I955&lt;&gt;"", SUMIF(Bets!$F:$F, I955, Bets!AA:AA), "")</f>
        <v/>
      </c>
      <c r="K955" s="162"/>
      <c r="L955" s="148"/>
      <c r="M955" s="161"/>
      <c r="N955" s="146"/>
      <c r="O955" s="162"/>
      <c r="P955" s="148"/>
      <c r="Q955" s="161"/>
      <c r="R955" s="146"/>
      <c r="S955" s="162"/>
      <c r="T955" s="148"/>
      <c r="U955" s="161"/>
      <c r="V955" s="146"/>
      <c r="W955" s="162"/>
      <c r="X955" s="148"/>
      <c r="Y955" s="161"/>
      <c r="Z955" s="146"/>
      <c r="AA955" s="162"/>
      <c r="AB955" s="148"/>
      <c r="AC955" s="161"/>
      <c r="AD955" s="146"/>
      <c r="AE955" s="162"/>
      <c r="AF955" s="148"/>
    </row>
    <row r="956">
      <c r="A956" s="161"/>
      <c r="B956" s="146" t="str">
        <f>IF(A956&lt;&gt;"", SUMIF(Bets!$F:$F, A956, Bets!Z:Z), "")</f>
        <v/>
      </c>
      <c r="C956" s="162"/>
      <c r="D956" s="148"/>
      <c r="E956" s="161"/>
      <c r="F956" s="146" t="str">
        <f>IF(E956&lt;&gt;"", SUMIF(Bets!$F:$F, E956, Bets!AB:AB), "")</f>
        <v/>
      </c>
      <c r="G956" s="162"/>
      <c r="H956" s="148"/>
      <c r="I956" s="161"/>
      <c r="J956" s="146" t="str">
        <f>IF(I956&lt;&gt;"", SUMIF(Bets!$F:$F, I956, Bets!AA:AA), "")</f>
        <v/>
      </c>
      <c r="K956" s="162"/>
      <c r="L956" s="148"/>
      <c r="M956" s="161"/>
      <c r="N956" s="146"/>
      <c r="O956" s="162"/>
      <c r="P956" s="148"/>
      <c r="Q956" s="161"/>
      <c r="R956" s="146"/>
      <c r="S956" s="162"/>
      <c r="T956" s="148"/>
      <c r="U956" s="161"/>
      <c r="V956" s="146"/>
      <c r="W956" s="162"/>
      <c r="X956" s="148"/>
      <c r="Y956" s="161"/>
      <c r="Z956" s="146"/>
      <c r="AA956" s="162"/>
      <c r="AB956" s="148"/>
      <c r="AC956" s="161"/>
      <c r="AD956" s="146"/>
      <c r="AE956" s="162"/>
      <c r="AF956" s="148"/>
    </row>
    <row r="957">
      <c r="A957" s="161"/>
      <c r="B957" s="146" t="str">
        <f>IF(A957&lt;&gt;"", SUMIF(Bets!$F:$F, A957, Bets!Z:Z), "")</f>
        <v/>
      </c>
      <c r="C957" s="162"/>
      <c r="D957" s="148"/>
      <c r="E957" s="161"/>
      <c r="F957" s="146" t="str">
        <f>IF(E957&lt;&gt;"", SUMIF(Bets!$F:$F, E957, Bets!AB:AB), "")</f>
        <v/>
      </c>
      <c r="G957" s="162"/>
      <c r="H957" s="148"/>
      <c r="I957" s="161"/>
      <c r="J957" s="146" t="str">
        <f>IF(I957&lt;&gt;"", SUMIF(Bets!$F:$F, I957, Bets!AA:AA), "")</f>
        <v/>
      </c>
      <c r="K957" s="162"/>
      <c r="L957" s="148"/>
      <c r="M957" s="161"/>
      <c r="N957" s="146"/>
      <c r="O957" s="162"/>
      <c r="P957" s="148"/>
      <c r="Q957" s="161"/>
      <c r="R957" s="146"/>
      <c r="S957" s="162"/>
      <c r="T957" s="148"/>
      <c r="U957" s="161"/>
      <c r="V957" s="146"/>
      <c r="W957" s="162"/>
      <c r="X957" s="148"/>
      <c r="Y957" s="161"/>
      <c r="Z957" s="146"/>
      <c r="AA957" s="162"/>
      <c r="AB957" s="148"/>
      <c r="AC957" s="161"/>
      <c r="AD957" s="146"/>
      <c r="AE957" s="162"/>
      <c r="AF957" s="148"/>
    </row>
    <row r="958">
      <c r="A958" s="161"/>
      <c r="B958" s="146" t="str">
        <f>IF(A958&lt;&gt;"", SUMIF(Bets!$F:$F, A958, Bets!Z:Z), "")</f>
        <v/>
      </c>
      <c r="C958" s="162"/>
      <c r="D958" s="148"/>
      <c r="E958" s="161"/>
      <c r="F958" s="146" t="str">
        <f>IF(E958&lt;&gt;"", SUMIF(Bets!$F:$F, E958, Bets!AB:AB), "")</f>
        <v/>
      </c>
      <c r="G958" s="162"/>
      <c r="H958" s="148"/>
      <c r="I958" s="161"/>
      <c r="J958" s="146" t="str">
        <f>IF(I958&lt;&gt;"", SUMIF(Bets!$F:$F, I958, Bets!AA:AA), "")</f>
        <v/>
      </c>
      <c r="K958" s="162"/>
      <c r="L958" s="148"/>
      <c r="M958" s="161"/>
      <c r="N958" s="146"/>
      <c r="O958" s="162"/>
      <c r="P958" s="148"/>
      <c r="Q958" s="161"/>
      <c r="R958" s="146"/>
      <c r="S958" s="162"/>
      <c r="T958" s="148"/>
      <c r="U958" s="161"/>
      <c r="V958" s="146"/>
      <c r="W958" s="162"/>
      <c r="X958" s="148"/>
      <c r="Y958" s="161"/>
      <c r="Z958" s="146"/>
      <c r="AA958" s="162"/>
      <c r="AB958" s="148"/>
      <c r="AC958" s="161"/>
      <c r="AD958" s="146"/>
      <c r="AE958" s="162"/>
      <c r="AF958" s="148"/>
    </row>
    <row r="959">
      <c r="A959" s="161"/>
      <c r="B959" s="146" t="str">
        <f>IF(A959&lt;&gt;"", SUMIF(Bets!$F:$F, A959, Bets!Z:Z), "")</f>
        <v/>
      </c>
      <c r="C959" s="162"/>
      <c r="D959" s="148"/>
      <c r="E959" s="161"/>
      <c r="F959" s="146" t="str">
        <f>IF(E959&lt;&gt;"", SUMIF(Bets!$F:$F, E959, Bets!AB:AB), "")</f>
        <v/>
      </c>
      <c r="G959" s="162"/>
      <c r="H959" s="148"/>
      <c r="I959" s="161"/>
      <c r="J959" s="146" t="str">
        <f>IF(I959&lt;&gt;"", SUMIF(Bets!$F:$F, I959, Bets!AA:AA), "")</f>
        <v/>
      </c>
      <c r="K959" s="162"/>
      <c r="L959" s="148"/>
      <c r="M959" s="161"/>
      <c r="N959" s="146"/>
      <c r="O959" s="162"/>
      <c r="P959" s="148"/>
      <c r="Q959" s="161"/>
      <c r="R959" s="146"/>
      <c r="S959" s="162"/>
      <c r="T959" s="148"/>
      <c r="U959" s="161"/>
      <c r="V959" s="146"/>
      <c r="W959" s="162"/>
      <c r="X959" s="148"/>
      <c r="Y959" s="161"/>
      <c r="Z959" s="146"/>
      <c r="AA959" s="162"/>
      <c r="AB959" s="148"/>
      <c r="AC959" s="161"/>
      <c r="AD959" s="146"/>
      <c r="AE959" s="162"/>
      <c r="AF959" s="148"/>
    </row>
    <row r="960">
      <c r="A960" s="161"/>
      <c r="B960" s="146" t="str">
        <f>IF(A960&lt;&gt;"", SUMIF(Bets!$F:$F, A960, Bets!Z:Z), "")</f>
        <v/>
      </c>
      <c r="C960" s="162"/>
      <c r="D960" s="148"/>
      <c r="E960" s="161"/>
      <c r="F960" s="146" t="str">
        <f>IF(E960&lt;&gt;"", SUMIF(Bets!$F:$F, E960, Bets!AB:AB), "")</f>
        <v/>
      </c>
      <c r="G960" s="162"/>
      <c r="H960" s="148"/>
      <c r="I960" s="161"/>
      <c r="J960" s="146" t="str">
        <f>IF(I960&lt;&gt;"", SUMIF(Bets!$F:$F, I960, Bets!AA:AA), "")</f>
        <v/>
      </c>
      <c r="K960" s="162"/>
      <c r="L960" s="148"/>
      <c r="M960" s="161"/>
      <c r="N960" s="146"/>
      <c r="O960" s="162"/>
      <c r="P960" s="148"/>
      <c r="Q960" s="161"/>
      <c r="R960" s="146"/>
      <c r="S960" s="162"/>
      <c r="T960" s="148"/>
      <c r="U960" s="161"/>
      <c r="V960" s="146"/>
      <c r="W960" s="162"/>
      <c r="X960" s="148"/>
      <c r="Y960" s="161"/>
      <c r="Z960" s="146"/>
      <c r="AA960" s="162"/>
      <c r="AB960" s="148"/>
      <c r="AC960" s="161"/>
      <c r="AD960" s="146"/>
      <c r="AE960" s="162"/>
      <c r="AF960" s="148"/>
    </row>
    <row r="961">
      <c r="A961" s="161"/>
      <c r="B961" s="146" t="str">
        <f>IF(A961&lt;&gt;"", SUMIF(Bets!$F:$F, A961, Bets!Z:Z), "")</f>
        <v/>
      </c>
      <c r="C961" s="162"/>
      <c r="D961" s="148"/>
      <c r="E961" s="161"/>
      <c r="F961" s="146" t="str">
        <f>IF(E961&lt;&gt;"", SUMIF(Bets!$F:$F, E961, Bets!AB:AB), "")</f>
        <v/>
      </c>
      <c r="G961" s="162"/>
      <c r="H961" s="148"/>
      <c r="I961" s="161"/>
      <c r="J961" s="146" t="str">
        <f>IF(I961&lt;&gt;"", SUMIF(Bets!$F:$F, I961, Bets!AA:AA), "")</f>
        <v/>
      </c>
      <c r="K961" s="162"/>
      <c r="L961" s="148"/>
      <c r="M961" s="161"/>
      <c r="N961" s="146"/>
      <c r="O961" s="162"/>
      <c r="P961" s="148"/>
      <c r="Q961" s="161"/>
      <c r="R961" s="146"/>
      <c r="S961" s="162"/>
      <c r="T961" s="148"/>
      <c r="U961" s="161"/>
      <c r="V961" s="146"/>
      <c r="W961" s="162"/>
      <c r="X961" s="148"/>
      <c r="Y961" s="161"/>
      <c r="Z961" s="146"/>
      <c r="AA961" s="162"/>
      <c r="AB961" s="148"/>
      <c r="AC961" s="161"/>
      <c r="AD961" s="146"/>
      <c r="AE961" s="162"/>
      <c r="AF961" s="148"/>
    </row>
    <row r="962">
      <c r="A962" s="161"/>
      <c r="B962" s="146" t="str">
        <f>IF(A962&lt;&gt;"", SUMIF(Bets!$F:$F, A962, Bets!Z:Z), "")</f>
        <v/>
      </c>
      <c r="C962" s="162"/>
      <c r="D962" s="148"/>
      <c r="E962" s="161"/>
      <c r="F962" s="146" t="str">
        <f>IF(E962&lt;&gt;"", SUMIF(Bets!$F:$F, E962, Bets!AB:AB), "")</f>
        <v/>
      </c>
      <c r="G962" s="162"/>
      <c r="H962" s="148"/>
      <c r="I962" s="161"/>
      <c r="J962" s="146" t="str">
        <f>IF(I962&lt;&gt;"", SUMIF(Bets!$F:$F, I962, Bets!AA:AA), "")</f>
        <v/>
      </c>
      <c r="K962" s="162"/>
      <c r="L962" s="148"/>
      <c r="M962" s="161"/>
      <c r="N962" s="146"/>
      <c r="O962" s="162"/>
      <c r="P962" s="148"/>
      <c r="Q962" s="161"/>
      <c r="R962" s="146"/>
      <c r="S962" s="162"/>
      <c r="T962" s="148"/>
      <c r="U962" s="161"/>
      <c r="V962" s="146"/>
      <c r="W962" s="162"/>
      <c r="X962" s="148"/>
      <c r="Y962" s="161"/>
      <c r="Z962" s="146"/>
      <c r="AA962" s="162"/>
      <c r="AB962" s="148"/>
      <c r="AC962" s="161"/>
      <c r="AD962" s="146"/>
      <c r="AE962" s="162"/>
      <c r="AF962" s="148"/>
    </row>
    <row r="963">
      <c r="A963" s="161"/>
      <c r="B963" s="146" t="str">
        <f>IF(A963&lt;&gt;"", SUMIF(Bets!$F:$F, A963, Bets!Z:Z), "")</f>
        <v/>
      </c>
      <c r="C963" s="162"/>
      <c r="D963" s="148"/>
      <c r="E963" s="161"/>
      <c r="F963" s="146" t="str">
        <f>IF(E963&lt;&gt;"", SUMIF(Bets!$F:$F, E963, Bets!AB:AB), "")</f>
        <v/>
      </c>
      <c r="G963" s="162"/>
      <c r="H963" s="148"/>
      <c r="I963" s="161"/>
      <c r="J963" s="146" t="str">
        <f>IF(I963&lt;&gt;"", SUMIF(Bets!$F:$F, I963, Bets!AA:AA), "")</f>
        <v/>
      </c>
      <c r="K963" s="162"/>
      <c r="L963" s="148"/>
      <c r="M963" s="161"/>
      <c r="N963" s="146"/>
      <c r="O963" s="162"/>
      <c r="P963" s="148"/>
      <c r="Q963" s="161"/>
      <c r="R963" s="146"/>
      <c r="S963" s="162"/>
      <c r="T963" s="148"/>
      <c r="U963" s="161"/>
      <c r="V963" s="146"/>
      <c r="W963" s="162"/>
      <c r="X963" s="148"/>
      <c r="Y963" s="161"/>
      <c r="Z963" s="146"/>
      <c r="AA963" s="162"/>
      <c r="AB963" s="148"/>
      <c r="AC963" s="161"/>
      <c r="AD963" s="146"/>
      <c r="AE963" s="162"/>
      <c r="AF963" s="148"/>
    </row>
    <row r="964">
      <c r="A964" s="161"/>
      <c r="B964" s="146" t="str">
        <f>IF(A964&lt;&gt;"", SUMIF(Bets!$F:$F, A964, Bets!Z:Z), "")</f>
        <v/>
      </c>
      <c r="C964" s="162"/>
      <c r="D964" s="148"/>
      <c r="E964" s="161"/>
      <c r="F964" s="146" t="str">
        <f>IF(E964&lt;&gt;"", SUMIF(Bets!$F:$F, E964, Bets!AB:AB), "")</f>
        <v/>
      </c>
      <c r="G964" s="162"/>
      <c r="H964" s="148"/>
      <c r="I964" s="161"/>
      <c r="J964" s="146" t="str">
        <f>IF(I964&lt;&gt;"", SUMIF(Bets!$F:$F, I964, Bets!AA:AA), "")</f>
        <v/>
      </c>
      <c r="K964" s="162"/>
      <c r="L964" s="148"/>
      <c r="M964" s="161"/>
      <c r="N964" s="146"/>
      <c r="O964" s="162"/>
      <c r="P964" s="148"/>
      <c r="Q964" s="161"/>
      <c r="R964" s="146"/>
      <c r="S964" s="162"/>
      <c r="T964" s="148"/>
      <c r="U964" s="161"/>
      <c r="V964" s="146"/>
      <c r="W964" s="162"/>
      <c r="X964" s="148"/>
      <c r="Y964" s="161"/>
      <c r="Z964" s="146"/>
      <c r="AA964" s="162"/>
      <c r="AB964" s="148"/>
      <c r="AC964" s="161"/>
      <c r="AD964" s="146"/>
      <c r="AE964" s="162"/>
      <c r="AF964" s="148"/>
    </row>
    <row r="965">
      <c r="A965" s="161"/>
      <c r="B965" s="146" t="str">
        <f>IF(A965&lt;&gt;"", SUMIF(Bets!$F:$F, A965, Bets!Z:Z), "")</f>
        <v/>
      </c>
      <c r="C965" s="162"/>
      <c r="D965" s="148"/>
      <c r="E965" s="161"/>
      <c r="F965" s="146" t="str">
        <f>IF(E965&lt;&gt;"", SUMIF(Bets!$F:$F, E965, Bets!AB:AB), "")</f>
        <v/>
      </c>
      <c r="G965" s="162"/>
      <c r="H965" s="148"/>
      <c r="I965" s="161"/>
      <c r="J965" s="146" t="str">
        <f>IF(I965&lt;&gt;"", SUMIF(Bets!$F:$F, I965, Bets!AA:AA), "")</f>
        <v/>
      </c>
      <c r="K965" s="162"/>
      <c r="L965" s="148"/>
      <c r="M965" s="161"/>
      <c r="N965" s="146"/>
      <c r="O965" s="162"/>
      <c r="P965" s="148"/>
      <c r="Q965" s="161"/>
      <c r="R965" s="146"/>
      <c r="S965" s="162"/>
      <c r="T965" s="148"/>
      <c r="U965" s="161"/>
      <c r="V965" s="146"/>
      <c r="W965" s="162"/>
      <c r="X965" s="148"/>
      <c r="Y965" s="161"/>
      <c r="Z965" s="146"/>
      <c r="AA965" s="162"/>
      <c r="AB965" s="148"/>
      <c r="AC965" s="161"/>
      <c r="AD965" s="146"/>
      <c r="AE965" s="162"/>
      <c r="AF965" s="148"/>
    </row>
    <row r="966">
      <c r="A966" s="161"/>
      <c r="B966" s="146" t="str">
        <f>IF(A966&lt;&gt;"", SUMIF(Bets!$F:$F, A966, Bets!Z:Z), "")</f>
        <v/>
      </c>
      <c r="C966" s="162"/>
      <c r="D966" s="148"/>
      <c r="E966" s="161"/>
      <c r="F966" s="146" t="str">
        <f>IF(E966&lt;&gt;"", SUMIF(Bets!$F:$F, E966, Bets!AB:AB), "")</f>
        <v/>
      </c>
      <c r="G966" s="162"/>
      <c r="H966" s="148"/>
      <c r="I966" s="161"/>
      <c r="J966" s="146" t="str">
        <f>IF(I966&lt;&gt;"", SUMIF(Bets!$F:$F, I966, Bets!AA:AA), "")</f>
        <v/>
      </c>
      <c r="K966" s="162"/>
      <c r="L966" s="148"/>
      <c r="M966" s="161"/>
      <c r="N966" s="146"/>
      <c r="O966" s="162"/>
      <c r="P966" s="148"/>
      <c r="Q966" s="161"/>
      <c r="R966" s="146"/>
      <c r="S966" s="162"/>
      <c r="T966" s="148"/>
      <c r="U966" s="161"/>
      <c r="V966" s="146"/>
      <c r="W966" s="162"/>
      <c r="X966" s="148"/>
      <c r="Y966" s="161"/>
      <c r="Z966" s="146"/>
      <c r="AA966" s="162"/>
      <c r="AB966" s="148"/>
      <c r="AC966" s="161"/>
      <c r="AD966" s="146"/>
      <c r="AE966" s="162"/>
      <c r="AF966" s="148"/>
    </row>
    <row r="967">
      <c r="A967" s="161"/>
      <c r="B967" s="146" t="str">
        <f>IF(A967&lt;&gt;"", SUMIF(Bets!$F:$F, A967, Bets!Z:Z), "")</f>
        <v/>
      </c>
      <c r="C967" s="162"/>
      <c r="D967" s="148"/>
      <c r="E967" s="161"/>
      <c r="F967" s="146" t="str">
        <f>IF(E967&lt;&gt;"", SUMIF(Bets!$F:$F, E967, Bets!AB:AB), "")</f>
        <v/>
      </c>
      <c r="G967" s="162"/>
      <c r="H967" s="148"/>
      <c r="I967" s="161"/>
      <c r="J967" s="146" t="str">
        <f>IF(I967&lt;&gt;"", SUMIF(Bets!$F:$F, I967, Bets!AA:AA), "")</f>
        <v/>
      </c>
      <c r="K967" s="162"/>
      <c r="L967" s="148"/>
      <c r="M967" s="161"/>
      <c r="N967" s="146"/>
      <c r="O967" s="162"/>
      <c r="P967" s="148"/>
      <c r="Q967" s="161"/>
      <c r="R967" s="146"/>
      <c r="S967" s="162"/>
      <c r="T967" s="148"/>
      <c r="U967" s="161"/>
      <c r="V967" s="146"/>
      <c r="W967" s="162"/>
      <c r="X967" s="148"/>
      <c r="Y967" s="161"/>
      <c r="Z967" s="146"/>
      <c r="AA967" s="162"/>
      <c r="AB967" s="148"/>
      <c r="AC967" s="161"/>
      <c r="AD967" s="146"/>
      <c r="AE967" s="162"/>
      <c r="AF967" s="148"/>
    </row>
    <row r="968">
      <c r="A968" s="161"/>
      <c r="B968" s="146" t="str">
        <f>IF(A968&lt;&gt;"", SUMIF(Bets!$F:$F, A968, Bets!Z:Z), "")</f>
        <v/>
      </c>
      <c r="C968" s="162"/>
      <c r="D968" s="148"/>
      <c r="E968" s="161"/>
      <c r="F968" s="146" t="str">
        <f>IF(E968&lt;&gt;"", SUMIF(Bets!$F:$F, E968, Bets!AB:AB), "")</f>
        <v/>
      </c>
      <c r="G968" s="162"/>
      <c r="H968" s="148"/>
      <c r="I968" s="161"/>
      <c r="J968" s="146" t="str">
        <f>IF(I968&lt;&gt;"", SUMIF(Bets!$F:$F, I968, Bets!AA:AA), "")</f>
        <v/>
      </c>
      <c r="K968" s="162"/>
      <c r="L968" s="148"/>
      <c r="M968" s="161"/>
      <c r="N968" s="146"/>
      <c r="O968" s="162"/>
      <c r="P968" s="148"/>
      <c r="Q968" s="161"/>
      <c r="R968" s="146"/>
      <c r="S968" s="162"/>
      <c r="T968" s="148"/>
      <c r="U968" s="161"/>
      <c r="V968" s="146"/>
      <c r="W968" s="162"/>
      <c r="X968" s="148"/>
      <c r="Y968" s="161"/>
      <c r="Z968" s="146"/>
      <c r="AA968" s="162"/>
      <c r="AB968" s="148"/>
      <c r="AC968" s="161"/>
      <c r="AD968" s="146"/>
      <c r="AE968" s="162"/>
      <c r="AF968" s="148"/>
    </row>
    <row r="969">
      <c r="A969" s="161"/>
      <c r="B969" s="146" t="str">
        <f>IF(A969&lt;&gt;"", SUMIF(Bets!$F:$F, A969, Bets!Z:Z), "")</f>
        <v/>
      </c>
      <c r="C969" s="162"/>
      <c r="D969" s="148"/>
      <c r="E969" s="161"/>
      <c r="F969" s="146" t="str">
        <f>IF(E969&lt;&gt;"", SUMIF(Bets!$F:$F, E969, Bets!AB:AB), "")</f>
        <v/>
      </c>
      <c r="G969" s="162"/>
      <c r="H969" s="148"/>
      <c r="I969" s="161"/>
      <c r="J969" s="146" t="str">
        <f>IF(I969&lt;&gt;"", SUMIF(Bets!$F:$F, I969, Bets!AA:AA), "")</f>
        <v/>
      </c>
      <c r="K969" s="162"/>
      <c r="L969" s="148"/>
      <c r="M969" s="161"/>
      <c r="N969" s="146"/>
      <c r="O969" s="162"/>
      <c r="P969" s="148"/>
      <c r="Q969" s="161"/>
      <c r="R969" s="146"/>
      <c r="S969" s="162"/>
      <c r="T969" s="148"/>
      <c r="U969" s="161"/>
      <c r="V969" s="146"/>
      <c r="W969" s="162"/>
      <c r="X969" s="148"/>
      <c r="Y969" s="161"/>
      <c r="Z969" s="146"/>
      <c r="AA969" s="162"/>
      <c r="AB969" s="148"/>
      <c r="AC969" s="161"/>
      <c r="AD969" s="146"/>
      <c r="AE969" s="162"/>
      <c r="AF969" s="148"/>
    </row>
    <row r="970">
      <c r="A970" s="161"/>
      <c r="B970" s="146" t="str">
        <f>IF(A970&lt;&gt;"", SUMIF(Bets!$F:$F, A970, Bets!Z:Z), "")</f>
        <v/>
      </c>
      <c r="C970" s="162"/>
      <c r="D970" s="148"/>
      <c r="E970" s="161"/>
      <c r="F970" s="146" t="str">
        <f>IF(E970&lt;&gt;"", SUMIF(Bets!$F:$F, E970, Bets!AB:AB), "")</f>
        <v/>
      </c>
      <c r="G970" s="162"/>
      <c r="H970" s="148"/>
      <c r="I970" s="161"/>
      <c r="J970" s="146" t="str">
        <f>IF(I970&lt;&gt;"", SUMIF(Bets!$F:$F, I970, Bets!AA:AA), "")</f>
        <v/>
      </c>
      <c r="K970" s="162"/>
      <c r="L970" s="148"/>
      <c r="M970" s="161"/>
      <c r="N970" s="146"/>
      <c r="O970" s="162"/>
      <c r="P970" s="148"/>
      <c r="Q970" s="161"/>
      <c r="R970" s="146"/>
      <c r="S970" s="162"/>
      <c r="T970" s="148"/>
      <c r="U970" s="161"/>
      <c r="V970" s="146"/>
      <c r="W970" s="162"/>
      <c r="X970" s="148"/>
      <c r="Y970" s="161"/>
      <c r="Z970" s="146"/>
      <c r="AA970" s="162"/>
      <c r="AB970" s="148"/>
      <c r="AC970" s="161"/>
      <c r="AD970" s="146"/>
      <c r="AE970" s="162"/>
      <c r="AF970" s="148"/>
    </row>
    <row r="971">
      <c r="A971" s="161"/>
      <c r="B971" s="146" t="str">
        <f>IF(A971&lt;&gt;"", SUMIF(Bets!$F:$F, A971, Bets!Z:Z), "")</f>
        <v/>
      </c>
      <c r="C971" s="162"/>
      <c r="D971" s="148"/>
      <c r="E971" s="161"/>
      <c r="F971" s="146" t="str">
        <f>IF(E971&lt;&gt;"", SUMIF(Bets!$F:$F, E971, Bets!AB:AB), "")</f>
        <v/>
      </c>
      <c r="G971" s="162"/>
      <c r="H971" s="148"/>
      <c r="I971" s="161"/>
      <c r="J971" s="146" t="str">
        <f>IF(I971&lt;&gt;"", SUMIF(Bets!$F:$F, I971, Bets!AA:AA), "")</f>
        <v/>
      </c>
      <c r="K971" s="162"/>
      <c r="L971" s="148"/>
      <c r="M971" s="161"/>
      <c r="N971" s="146"/>
      <c r="O971" s="162"/>
      <c r="P971" s="148"/>
      <c r="Q971" s="161"/>
      <c r="R971" s="146"/>
      <c r="S971" s="162"/>
      <c r="T971" s="148"/>
      <c r="U971" s="161"/>
      <c r="V971" s="146"/>
      <c r="W971" s="162"/>
      <c r="X971" s="148"/>
      <c r="Y971" s="161"/>
      <c r="Z971" s="146"/>
      <c r="AA971" s="162"/>
      <c r="AB971" s="148"/>
      <c r="AC971" s="161"/>
      <c r="AD971" s="146"/>
      <c r="AE971" s="162"/>
      <c r="AF971" s="148"/>
    </row>
    <row r="972">
      <c r="A972" s="161"/>
      <c r="B972" s="146" t="str">
        <f>IF(A972&lt;&gt;"", SUMIF(Bets!$F:$F, A972, Bets!Z:Z), "")</f>
        <v/>
      </c>
      <c r="C972" s="162"/>
      <c r="D972" s="148"/>
      <c r="E972" s="161"/>
      <c r="F972" s="146" t="str">
        <f>IF(E972&lt;&gt;"", SUMIF(Bets!$F:$F, E972, Bets!AB:AB), "")</f>
        <v/>
      </c>
      <c r="G972" s="162"/>
      <c r="H972" s="148"/>
      <c r="I972" s="161"/>
      <c r="J972" s="146" t="str">
        <f>IF(I972&lt;&gt;"", SUMIF(Bets!$F:$F, I972, Bets!AA:AA), "")</f>
        <v/>
      </c>
      <c r="K972" s="162"/>
      <c r="L972" s="148"/>
      <c r="M972" s="161"/>
      <c r="N972" s="146"/>
      <c r="O972" s="162"/>
      <c r="P972" s="148"/>
      <c r="Q972" s="161"/>
      <c r="R972" s="146"/>
      <c r="S972" s="162"/>
      <c r="T972" s="148"/>
      <c r="U972" s="161"/>
      <c r="V972" s="146"/>
      <c r="W972" s="162"/>
      <c r="X972" s="148"/>
      <c r="Y972" s="161"/>
      <c r="Z972" s="146"/>
      <c r="AA972" s="162"/>
      <c r="AB972" s="148"/>
      <c r="AC972" s="161"/>
      <c r="AD972" s="146"/>
      <c r="AE972" s="162"/>
      <c r="AF972" s="148"/>
    </row>
    <row r="973">
      <c r="A973" s="161"/>
      <c r="B973" s="146" t="str">
        <f>IF(A973&lt;&gt;"", SUMIF(Bets!$F:$F, A973, Bets!Z:Z), "")</f>
        <v/>
      </c>
      <c r="C973" s="162"/>
      <c r="D973" s="148"/>
      <c r="E973" s="161"/>
      <c r="F973" s="146" t="str">
        <f>IF(E973&lt;&gt;"", SUMIF(Bets!$F:$F, E973, Bets!AB:AB), "")</f>
        <v/>
      </c>
      <c r="G973" s="162"/>
      <c r="H973" s="148"/>
      <c r="I973" s="161"/>
      <c r="J973" s="146" t="str">
        <f>IF(I973&lt;&gt;"", SUMIF(Bets!$F:$F, I973, Bets!AA:AA), "")</f>
        <v/>
      </c>
      <c r="K973" s="162"/>
      <c r="L973" s="148"/>
      <c r="M973" s="161"/>
      <c r="N973" s="146"/>
      <c r="O973" s="162"/>
      <c r="P973" s="148"/>
      <c r="Q973" s="161"/>
      <c r="R973" s="146"/>
      <c r="S973" s="162"/>
      <c r="T973" s="148"/>
      <c r="U973" s="161"/>
      <c r="V973" s="146"/>
      <c r="W973" s="162"/>
      <c r="X973" s="148"/>
      <c r="Y973" s="161"/>
      <c r="Z973" s="146"/>
      <c r="AA973" s="162"/>
      <c r="AB973" s="148"/>
      <c r="AC973" s="161"/>
      <c r="AD973" s="146"/>
      <c r="AE973" s="162"/>
      <c r="AF973" s="148"/>
    </row>
    <row r="974">
      <c r="A974" s="161"/>
      <c r="B974" s="146" t="str">
        <f>IF(A974&lt;&gt;"", SUMIF(Bets!$F:$F, A974, Bets!Z:Z), "")</f>
        <v/>
      </c>
      <c r="C974" s="162"/>
      <c r="D974" s="148"/>
      <c r="E974" s="161"/>
      <c r="F974" s="146" t="str">
        <f>IF(E974&lt;&gt;"", SUMIF(Bets!$F:$F, E974, Bets!AB:AB), "")</f>
        <v/>
      </c>
      <c r="G974" s="162"/>
      <c r="H974" s="148"/>
      <c r="I974" s="161"/>
      <c r="J974" s="146" t="str">
        <f>IF(I974&lt;&gt;"", SUMIF(Bets!$F:$F, I974, Bets!AA:AA), "")</f>
        <v/>
      </c>
      <c r="K974" s="162"/>
      <c r="L974" s="148"/>
      <c r="M974" s="161"/>
      <c r="N974" s="146"/>
      <c r="O974" s="162"/>
      <c r="P974" s="148"/>
      <c r="Q974" s="161"/>
      <c r="R974" s="146"/>
      <c r="S974" s="162"/>
      <c r="T974" s="148"/>
      <c r="U974" s="161"/>
      <c r="V974" s="146"/>
      <c r="W974" s="162"/>
      <c r="X974" s="148"/>
      <c r="Y974" s="161"/>
      <c r="Z974" s="146"/>
      <c r="AA974" s="162"/>
      <c r="AB974" s="148"/>
      <c r="AC974" s="161"/>
      <c r="AD974" s="146"/>
      <c r="AE974" s="162"/>
      <c r="AF974" s="148"/>
    </row>
    <row r="975">
      <c r="A975" s="161"/>
      <c r="B975" s="146" t="str">
        <f>IF(A975&lt;&gt;"", SUMIF(Bets!$F:$F, A975, Bets!Z:Z), "")</f>
        <v/>
      </c>
      <c r="C975" s="162"/>
      <c r="D975" s="148"/>
      <c r="E975" s="161"/>
      <c r="F975" s="146" t="str">
        <f>IF(E975&lt;&gt;"", SUMIF(Bets!$F:$F, E975, Bets!AB:AB), "")</f>
        <v/>
      </c>
      <c r="G975" s="162"/>
      <c r="H975" s="148"/>
      <c r="I975" s="161"/>
      <c r="J975" s="146" t="str">
        <f>IF(I975&lt;&gt;"", SUMIF(Bets!$F:$F, I975, Bets!AA:AA), "")</f>
        <v/>
      </c>
      <c r="K975" s="162"/>
      <c r="L975" s="148"/>
      <c r="M975" s="161"/>
      <c r="N975" s="146"/>
      <c r="O975" s="162"/>
      <c r="P975" s="148"/>
      <c r="Q975" s="161"/>
      <c r="R975" s="146"/>
      <c r="S975" s="162"/>
      <c r="T975" s="148"/>
      <c r="U975" s="161"/>
      <c r="V975" s="146"/>
      <c r="W975" s="162"/>
      <c r="X975" s="148"/>
      <c r="Y975" s="161"/>
      <c r="Z975" s="146"/>
      <c r="AA975" s="162"/>
      <c r="AB975" s="148"/>
      <c r="AC975" s="161"/>
      <c r="AD975" s="146"/>
      <c r="AE975" s="162"/>
      <c r="AF975" s="148"/>
    </row>
    <row r="976">
      <c r="A976" s="161"/>
      <c r="B976" s="146" t="str">
        <f>IF(A976&lt;&gt;"", SUMIF(Bets!$F:$F, A976, Bets!Z:Z), "")</f>
        <v/>
      </c>
      <c r="C976" s="162"/>
      <c r="D976" s="148"/>
      <c r="E976" s="161"/>
      <c r="F976" s="146" t="str">
        <f>IF(E976&lt;&gt;"", SUMIF(Bets!$F:$F, E976, Bets!AB:AB), "")</f>
        <v/>
      </c>
      <c r="G976" s="162"/>
      <c r="H976" s="148"/>
      <c r="I976" s="161"/>
      <c r="J976" s="146" t="str">
        <f>IF(I976&lt;&gt;"", SUMIF(Bets!$F:$F, I976, Bets!AA:AA), "")</f>
        <v/>
      </c>
      <c r="K976" s="162"/>
      <c r="L976" s="148"/>
      <c r="M976" s="161"/>
      <c r="N976" s="146"/>
      <c r="O976" s="162"/>
      <c r="P976" s="148"/>
      <c r="Q976" s="161"/>
      <c r="R976" s="146"/>
      <c r="S976" s="162"/>
      <c r="T976" s="148"/>
      <c r="U976" s="161"/>
      <c r="V976" s="146"/>
      <c r="W976" s="162"/>
      <c r="X976" s="148"/>
      <c r="Y976" s="161"/>
      <c r="Z976" s="146"/>
      <c r="AA976" s="162"/>
      <c r="AB976" s="148"/>
      <c r="AC976" s="161"/>
      <c r="AD976" s="146"/>
      <c r="AE976" s="162"/>
      <c r="AF976" s="148"/>
    </row>
    <row r="977">
      <c r="A977" s="161"/>
      <c r="B977" s="146" t="str">
        <f>IF(A977&lt;&gt;"", SUMIF(Bets!$F:$F, A977, Bets!Z:Z), "")</f>
        <v/>
      </c>
      <c r="C977" s="162"/>
      <c r="D977" s="148"/>
      <c r="E977" s="161"/>
      <c r="F977" s="146" t="str">
        <f>IF(E977&lt;&gt;"", SUMIF(Bets!$F:$F, E977, Bets!AB:AB), "")</f>
        <v/>
      </c>
      <c r="G977" s="162"/>
      <c r="H977" s="148"/>
      <c r="I977" s="161"/>
      <c r="J977" s="146" t="str">
        <f>IF(I977&lt;&gt;"", SUMIF(Bets!$F:$F, I977, Bets!AA:AA), "")</f>
        <v/>
      </c>
      <c r="K977" s="162"/>
      <c r="L977" s="148"/>
      <c r="M977" s="161"/>
      <c r="N977" s="146"/>
      <c r="O977" s="162"/>
      <c r="P977" s="148"/>
      <c r="Q977" s="161"/>
      <c r="R977" s="146"/>
      <c r="S977" s="162"/>
      <c r="T977" s="148"/>
      <c r="U977" s="161"/>
      <c r="V977" s="146"/>
      <c r="W977" s="162"/>
      <c r="X977" s="148"/>
      <c r="Y977" s="161"/>
      <c r="Z977" s="146"/>
      <c r="AA977" s="162"/>
      <c r="AB977" s="148"/>
      <c r="AC977" s="161"/>
      <c r="AD977" s="146"/>
      <c r="AE977" s="162"/>
      <c r="AF977" s="148"/>
    </row>
    <row r="978">
      <c r="A978" s="161"/>
      <c r="B978" s="146" t="str">
        <f>IF(A978&lt;&gt;"", SUMIF(Bets!$F:$F, A978, Bets!Z:Z), "")</f>
        <v/>
      </c>
      <c r="C978" s="162"/>
      <c r="D978" s="148"/>
      <c r="E978" s="161"/>
      <c r="F978" s="146" t="str">
        <f>IF(E978&lt;&gt;"", SUMIF(Bets!$F:$F, E978, Bets!AB:AB), "")</f>
        <v/>
      </c>
      <c r="G978" s="162"/>
      <c r="H978" s="148"/>
      <c r="I978" s="161"/>
      <c r="J978" s="146" t="str">
        <f>IF(I978&lt;&gt;"", SUMIF(Bets!$F:$F, I978, Bets!AA:AA), "")</f>
        <v/>
      </c>
      <c r="K978" s="162"/>
      <c r="L978" s="148"/>
      <c r="M978" s="161"/>
      <c r="N978" s="146"/>
      <c r="O978" s="162"/>
      <c r="P978" s="148"/>
      <c r="Q978" s="161"/>
      <c r="R978" s="146"/>
      <c r="S978" s="162"/>
      <c r="T978" s="148"/>
      <c r="U978" s="161"/>
      <c r="V978" s="146"/>
      <c r="W978" s="162"/>
      <c r="X978" s="148"/>
      <c r="Y978" s="161"/>
      <c r="Z978" s="146"/>
      <c r="AA978" s="162"/>
      <c r="AB978" s="148"/>
      <c r="AC978" s="161"/>
      <c r="AD978" s="146"/>
      <c r="AE978" s="162"/>
      <c r="AF978" s="148"/>
    </row>
    <row r="979">
      <c r="A979" s="161"/>
      <c r="B979" s="146" t="str">
        <f>IF(A979&lt;&gt;"", SUMIF(Bets!$F:$F, A979, Bets!Z:Z), "")</f>
        <v/>
      </c>
      <c r="C979" s="162"/>
      <c r="D979" s="148"/>
      <c r="E979" s="161"/>
      <c r="F979" s="146" t="str">
        <f>IF(E979&lt;&gt;"", SUMIF(Bets!$F:$F, E979, Bets!AB:AB), "")</f>
        <v/>
      </c>
      <c r="G979" s="162"/>
      <c r="H979" s="148"/>
      <c r="I979" s="161"/>
      <c r="J979" s="146" t="str">
        <f>IF(I979&lt;&gt;"", SUMIF(Bets!$F:$F, I979, Bets!AA:AA), "")</f>
        <v/>
      </c>
      <c r="K979" s="162"/>
      <c r="L979" s="148"/>
      <c r="M979" s="161"/>
      <c r="N979" s="146"/>
      <c r="O979" s="162"/>
      <c r="P979" s="148"/>
      <c r="Q979" s="161"/>
      <c r="R979" s="146"/>
      <c r="S979" s="162"/>
      <c r="T979" s="148"/>
      <c r="U979" s="161"/>
      <c r="V979" s="146"/>
      <c r="W979" s="162"/>
      <c r="X979" s="148"/>
      <c r="Y979" s="161"/>
      <c r="Z979" s="146"/>
      <c r="AA979" s="162"/>
      <c r="AB979" s="148"/>
      <c r="AC979" s="161"/>
      <c r="AD979" s="146"/>
      <c r="AE979" s="162"/>
      <c r="AF979" s="148"/>
    </row>
    <row r="980">
      <c r="A980" s="161"/>
      <c r="B980" s="146" t="str">
        <f>IF(A980&lt;&gt;"", SUMIF(Bets!$F:$F, A980, Bets!Z:Z), "")</f>
        <v/>
      </c>
      <c r="C980" s="162"/>
      <c r="D980" s="148"/>
      <c r="E980" s="161"/>
      <c r="F980" s="146" t="str">
        <f>IF(E980&lt;&gt;"", SUMIF(Bets!$F:$F, E980, Bets!AB:AB), "")</f>
        <v/>
      </c>
      <c r="G980" s="162"/>
      <c r="H980" s="148"/>
      <c r="I980" s="161"/>
      <c r="J980" s="146" t="str">
        <f>IF(I980&lt;&gt;"", SUMIF(Bets!$F:$F, I980, Bets!AA:AA), "")</f>
        <v/>
      </c>
      <c r="K980" s="162"/>
      <c r="L980" s="148"/>
      <c r="M980" s="161"/>
      <c r="N980" s="146"/>
      <c r="O980" s="162"/>
      <c r="P980" s="148"/>
      <c r="Q980" s="161"/>
      <c r="R980" s="146"/>
      <c r="S980" s="162"/>
      <c r="T980" s="148"/>
      <c r="U980" s="161"/>
      <c r="V980" s="146"/>
      <c r="W980" s="162"/>
      <c r="X980" s="148"/>
      <c r="Y980" s="161"/>
      <c r="Z980" s="146"/>
      <c r="AA980" s="162"/>
      <c r="AB980" s="148"/>
      <c r="AC980" s="161"/>
      <c r="AD980" s="146"/>
      <c r="AE980" s="162"/>
      <c r="AF980" s="148"/>
    </row>
    <row r="981">
      <c r="A981" s="161"/>
      <c r="B981" s="146" t="str">
        <f>IF(A981&lt;&gt;"", SUMIF(Bets!$F:$F, A981, Bets!Z:Z), "")</f>
        <v/>
      </c>
      <c r="C981" s="162"/>
      <c r="D981" s="148"/>
      <c r="E981" s="161"/>
      <c r="F981" s="146" t="str">
        <f>IF(E981&lt;&gt;"", SUMIF(Bets!$F:$F, E981, Bets!AB:AB), "")</f>
        <v/>
      </c>
      <c r="G981" s="162"/>
      <c r="H981" s="148"/>
      <c r="I981" s="161"/>
      <c r="J981" s="146" t="str">
        <f>IF(I981&lt;&gt;"", SUMIF(Bets!$F:$F, I981, Bets!AA:AA), "")</f>
        <v/>
      </c>
      <c r="K981" s="162"/>
      <c r="L981" s="148"/>
      <c r="M981" s="161"/>
      <c r="N981" s="146"/>
      <c r="O981" s="162"/>
      <c r="P981" s="148"/>
      <c r="Q981" s="161"/>
      <c r="R981" s="146"/>
      <c r="S981" s="162"/>
      <c r="T981" s="148"/>
      <c r="U981" s="161"/>
      <c r="V981" s="146"/>
      <c r="W981" s="162"/>
      <c r="X981" s="148"/>
      <c r="Y981" s="161"/>
      <c r="Z981" s="146"/>
      <c r="AA981" s="162"/>
      <c r="AB981" s="148"/>
      <c r="AC981" s="161"/>
      <c r="AD981" s="146"/>
      <c r="AE981" s="162"/>
      <c r="AF981" s="148"/>
    </row>
    <row r="982">
      <c r="A982" s="161"/>
      <c r="B982" s="146" t="str">
        <f>IF(A982&lt;&gt;"", SUMIF(Bets!$F:$F, A982, Bets!Z:Z), "")</f>
        <v/>
      </c>
      <c r="C982" s="162"/>
      <c r="D982" s="148"/>
      <c r="E982" s="161"/>
      <c r="F982" s="146" t="str">
        <f>IF(E982&lt;&gt;"", SUMIF(Bets!$F:$F, E982, Bets!AB:AB), "")</f>
        <v/>
      </c>
      <c r="G982" s="162"/>
      <c r="H982" s="148"/>
      <c r="I982" s="161"/>
      <c r="J982" s="146" t="str">
        <f>IF(I982&lt;&gt;"", SUMIF(Bets!$F:$F, I982, Bets!AA:AA), "")</f>
        <v/>
      </c>
      <c r="K982" s="162"/>
      <c r="L982" s="148"/>
      <c r="M982" s="161"/>
      <c r="N982" s="146"/>
      <c r="O982" s="162"/>
      <c r="P982" s="148"/>
      <c r="Q982" s="161"/>
      <c r="R982" s="146"/>
      <c r="S982" s="162"/>
      <c r="T982" s="148"/>
      <c r="U982" s="161"/>
      <c r="V982" s="146"/>
      <c r="W982" s="162"/>
      <c r="X982" s="148"/>
      <c r="Y982" s="161"/>
      <c r="Z982" s="146"/>
      <c r="AA982" s="162"/>
      <c r="AB982" s="148"/>
      <c r="AC982" s="161"/>
      <c r="AD982" s="146"/>
      <c r="AE982" s="162"/>
      <c r="AF982" s="148"/>
    </row>
    <row r="983">
      <c r="A983" s="161"/>
      <c r="B983" s="146" t="str">
        <f>IF(A983&lt;&gt;"", SUMIF(Bets!$F:$F, A983, Bets!Z:Z), "")</f>
        <v/>
      </c>
      <c r="C983" s="162"/>
      <c r="D983" s="148"/>
      <c r="E983" s="161"/>
      <c r="F983" s="146" t="str">
        <f>IF(E983&lt;&gt;"", SUMIF(Bets!$F:$F, E983, Bets!AB:AB), "")</f>
        <v/>
      </c>
      <c r="G983" s="162"/>
      <c r="H983" s="148"/>
      <c r="I983" s="161"/>
      <c r="J983" s="146" t="str">
        <f>IF(I983&lt;&gt;"", SUMIF(Bets!$F:$F, I983, Bets!AA:AA), "")</f>
        <v/>
      </c>
      <c r="K983" s="162"/>
      <c r="L983" s="148"/>
      <c r="M983" s="161"/>
      <c r="N983" s="146"/>
      <c r="O983" s="162"/>
      <c r="P983" s="148"/>
      <c r="Q983" s="161"/>
      <c r="R983" s="146"/>
      <c r="S983" s="162"/>
      <c r="T983" s="148"/>
      <c r="U983" s="161"/>
      <c r="V983" s="146"/>
      <c r="W983" s="162"/>
      <c r="X983" s="148"/>
      <c r="Y983" s="161"/>
      <c r="Z983" s="146"/>
      <c r="AA983" s="162"/>
      <c r="AB983" s="148"/>
      <c r="AC983" s="161"/>
      <c r="AD983" s="146"/>
      <c r="AE983" s="162"/>
      <c r="AF983" s="148"/>
    </row>
    <row r="984">
      <c r="A984" s="161"/>
      <c r="B984" s="146" t="str">
        <f>IF(A984&lt;&gt;"", SUMIF(Bets!$F:$F, A984, Bets!Z:Z), "")</f>
        <v/>
      </c>
      <c r="C984" s="162"/>
      <c r="D984" s="148"/>
      <c r="E984" s="161"/>
      <c r="F984" s="146" t="str">
        <f>IF(E984&lt;&gt;"", SUMIF(Bets!$F:$F, E984, Bets!AB:AB), "")</f>
        <v/>
      </c>
      <c r="G984" s="162"/>
      <c r="H984" s="148"/>
      <c r="I984" s="161"/>
      <c r="J984" s="146" t="str">
        <f>IF(I984&lt;&gt;"", SUMIF(Bets!$F:$F, I984, Bets!AA:AA), "")</f>
        <v/>
      </c>
      <c r="K984" s="162"/>
      <c r="L984" s="148"/>
      <c r="M984" s="161"/>
      <c r="N984" s="146"/>
      <c r="O984" s="162"/>
      <c r="P984" s="148"/>
      <c r="Q984" s="161"/>
      <c r="R984" s="146"/>
      <c r="S984" s="162"/>
      <c r="T984" s="148"/>
      <c r="U984" s="161"/>
      <c r="V984" s="146"/>
      <c r="W984" s="162"/>
      <c r="X984" s="148"/>
      <c r="Y984" s="161"/>
      <c r="Z984" s="146"/>
      <c r="AA984" s="162"/>
      <c r="AB984" s="148"/>
      <c r="AC984" s="161"/>
      <c r="AD984" s="146"/>
      <c r="AE984" s="162"/>
      <c r="AF984" s="148"/>
    </row>
    <row r="985">
      <c r="A985" s="161"/>
      <c r="B985" s="146" t="str">
        <f>IF(A985&lt;&gt;"", SUMIF(Bets!$F:$F, A985, Bets!Z:Z), "")</f>
        <v/>
      </c>
      <c r="C985" s="162"/>
      <c r="D985" s="148"/>
      <c r="E985" s="161"/>
      <c r="F985" s="146" t="str">
        <f>IF(E985&lt;&gt;"", SUMIF(Bets!$F:$F, E985, Bets!AB:AB), "")</f>
        <v/>
      </c>
      <c r="G985" s="162"/>
      <c r="H985" s="148"/>
      <c r="I985" s="161"/>
      <c r="J985" s="146" t="str">
        <f>IF(I985&lt;&gt;"", SUMIF(Bets!$F:$F, I985, Bets!AA:AA), "")</f>
        <v/>
      </c>
      <c r="K985" s="162"/>
      <c r="L985" s="148"/>
      <c r="M985" s="161"/>
      <c r="N985" s="146"/>
      <c r="O985" s="162"/>
      <c r="P985" s="148"/>
      <c r="Q985" s="161"/>
      <c r="R985" s="146"/>
      <c r="S985" s="162"/>
      <c r="T985" s="148"/>
      <c r="U985" s="161"/>
      <c r="V985" s="146"/>
      <c r="W985" s="162"/>
      <c r="X985" s="148"/>
      <c r="Y985" s="161"/>
      <c r="Z985" s="146"/>
      <c r="AA985" s="162"/>
      <c r="AB985" s="148"/>
      <c r="AC985" s="161"/>
      <c r="AD985" s="146"/>
      <c r="AE985" s="162"/>
      <c r="AF985" s="148"/>
    </row>
    <row r="986">
      <c r="A986" s="161"/>
      <c r="B986" s="146" t="str">
        <f>IF(A986&lt;&gt;"", SUMIF(Bets!$F:$F, A986, Bets!Z:Z), "")</f>
        <v/>
      </c>
      <c r="C986" s="162"/>
      <c r="D986" s="148"/>
      <c r="E986" s="161"/>
      <c r="F986" s="146" t="str">
        <f>IF(E986&lt;&gt;"", SUMIF(Bets!$F:$F, E986, Bets!AB:AB), "")</f>
        <v/>
      </c>
      <c r="G986" s="162"/>
      <c r="H986" s="148"/>
      <c r="I986" s="161"/>
      <c r="J986" s="146" t="str">
        <f>IF(I986&lt;&gt;"", SUMIF(Bets!$F:$F, I986, Bets!AA:AA), "")</f>
        <v/>
      </c>
      <c r="K986" s="162"/>
      <c r="L986" s="148"/>
      <c r="M986" s="161"/>
      <c r="N986" s="146"/>
      <c r="O986" s="162"/>
      <c r="P986" s="148"/>
      <c r="Q986" s="161"/>
      <c r="R986" s="146"/>
      <c r="S986" s="162"/>
      <c r="T986" s="148"/>
      <c r="U986" s="161"/>
      <c r="V986" s="146"/>
      <c r="W986" s="162"/>
      <c r="X986" s="148"/>
      <c r="Y986" s="161"/>
      <c r="Z986" s="146"/>
      <c r="AA986" s="162"/>
      <c r="AB986" s="148"/>
      <c r="AC986" s="161"/>
      <c r="AD986" s="146"/>
      <c r="AE986" s="162"/>
      <c r="AF986" s="148"/>
    </row>
    <row r="987">
      <c r="A987" s="161"/>
      <c r="B987" s="146" t="str">
        <f>IF(A987&lt;&gt;"", SUMIF(Bets!$F:$F, A987, Bets!Z:Z), "")</f>
        <v/>
      </c>
      <c r="C987" s="162"/>
      <c r="D987" s="148"/>
      <c r="E987" s="161"/>
      <c r="F987" s="146" t="str">
        <f>IF(E987&lt;&gt;"", SUMIF(Bets!$F:$F, E987, Bets!AB:AB), "")</f>
        <v/>
      </c>
      <c r="G987" s="162"/>
      <c r="H987" s="148"/>
      <c r="I987" s="161"/>
      <c r="J987" s="146" t="str">
        <f>IF(I987&lt;&gt;"", SUMIF(Bets!$F:$F, I987, Bets!AA:AA), "")</f>
        <v/>
      </c>
      <c r="K987" s="162"/>
      <c r="L987" s="148"/>
      <c r="M987" s="161"/>
      <c r="N987" s="146"/>
      <c r="O987" s="162"/>
      <c r="P987" s="148"/>
      <c r="Q987" s="161"/>
      <c r="R987" s="146"/>
      <c r="S987" s="162"/>
      <c r="T987" s="148"/>
      <c r="U987" s="161"/>
      <c r="V987" s="146"/>
      <c r="W987" s="162"/>
      <c r="X987" s="148"/>
      <c r="Y987" s="161"/>
      <c r="Z987" s="146"/>
      <c r="AA987" s="162"/>
      <c r="AB987" s="148"/>
      <c r="AC987" s="161"/>
      <c r="AD987" s="146"/>
      <c r="AE987" s="162"/>
      <c r="AF987" s="148"/>
    </row>
    <row r="988">
      <c r="A988" s="161"/>
      <c r="B988" s="146" t="str">
        <f>IF(A988&lt;&gt;"", SUMIF(Bets!$F:$F, A988, Bets!Z:Z), "")</f>
        <v/>
      </c>
      <c r="C988" s="162"/>
      <c r="D988" s="148"/>
      <c r="E988" s="161"/>
      <c r="F988" s="146" t="str">
        <f>IF(E988&lt;&gt;"", SUMIF(Bets!$F:$F, E988, Bets!AB:AB), "")</f>
        <v/>
      </c>
      <c r="G988" s="162"/>
      <c r="H988" s="148"/>
      <c r="I988" s="161"/>
      <c r="J988" s="146" t="str">
        <f>IF(I988&lt;&gt;"", SUMIF(Bets!$F:$F, I988, Bets!AA:AA), "")</f>
        <v/>
      </c>
      <c r="K988" s="162"/>
      <c r="L988" s="148"/>
      <c r="M988" s="161"/>
      <c r="N988" s="146"/>
      <c r="O988" s="162"/>
      <c r="P988" s="148"/>
      <c r="Q988" s="161"/>
      <c r="R988" s="146"/>
      <c r="S988" s="162"/>
      <c r="T988" s="148"/>
      <c r="U988" s="161"/>
      <c r="V988" s="146"/>
      <c r="W988" s="162"/>
      <c r="X988" s="148"/>
      <c r="Y988" s="161"/>
      <c r="Z988" s="146"/>
      <c r="AA988" s="162"/>
      <c r="AB988" s="148"/>
      <c r="AC988" s="161"/>
      <c r="AD988" s="146"/>
      <c r="AE988" s="162"/>
      <c r="AF988" s="148"/>
    </row>
    <row r="989">
      <c r="A989" s="161"/>
      <c r="B989" s="146" t="str">
        <f>IF(A989&lt;&gt;"", SUMIF(Bets!$F:$F, A989, Bets!Z:Z), "")</f>
        <v/>
      </c>
      <c r="C989" s="162"/>
      <c r="D989" s="148"/>
      <c r="E989" s="161"/>
      <c r="F989" s="146" t="str">
        <f>IF(E989&lt;&gt;"", SUMIF(Bets!$F:$F, E989, Bets!AB:AB), "")</f>
        <v/>
      </c>
      <c r="G989" s="162"/>
      <c r="H989" s="148"/>
      <c r="I989" s="161"/>
      <c r="J989" s="146" t="str">
        <f>IF(I989&lt;&gt;"", SUMIF(Bets!$F:$F, I989, Bets!AA:AA), "")</f>
        <v/>
      </c>
      <c r="K989" s="162"/>
      <c r="L989" s="148"/>
      <c r="M989" s="161"/>
      <c r="N989" s="146"/>
      <c r="O989" s="162"/>
      <c r="P989" s="148"/>
      <c r="Q989" s="161"/>
      <c r="R989" s="146"/>
      <c r="S989" s="162"/>
      <c r="T989" s="148"/>
      <c r="U989" s="161"/>
      <c r="V989" s="146"/>
      <c r="W989" s="162"/>
      <c r="X989" s="148"/>
      <c r="Y989" s="161"/>
      <c r="Z989" s="146"/>
      <c r="AA989" s="162"/>
      <c r="AB989" s="148"/>
      <c r="AC989" s="161"/>
      <c r="AD989" s="146"/>
      <c r="AE989" s="162"/>
      <c r="AF989" s="148"/>
    </row>
    <row r="990">
      <c r="A990" s="161"/>
      <c r="B990" s="146" t="str">
        <f>IF(A990&lt;&gt;"", SUMIF(Bets!$F:$F, A990, Bets!Z:Z), "")</f>
        <v/>
      </c>
      <c r="C990" s="162"/>
      <c r="D990" s="148"/>
      <c r="E990" s="161"/>
      <c r="F990" s="146" t="str">
        <f>IF(E990&lt;&gt;"", SUMIF(Bets!$F:$F, E990, Bets!AB:AB), "")</f>
        <v/>
      </c>
      <c r="G990" s="162"/>
      <c r="H990" s="148"/>
      <c r="I990" s="161"/>
      <c r="J990" s="146" t="str">
        <f>IF(I990&lt;&gt;"", SUMIF(Bets!$F:$F, I990, Bets!AA:AA), "")</f>
        <v/>
      </c>
      <c r="K990" s="162"/>
      <c r="L990" s="148"/>
      <c r="M990" s="161"/>
      <c r="N990" s="146"/>
      <c r="O990" s="162"/>
      <c r="P990" s="148"/>
      <c r="Q990" s="161"/>
      <c r="R990" s="146"/>
      <c r="S990" s="162"/>
      <c r="T990" s="148"/>
      <c r="U990" s="161"/>
      <c r="V990" s="146"/>
      <c r="W990" s="162"/>
      <c r="X990" s="148"/>
      <c r="Y990" s="161"/>
      <c r="Z990" s="146"/>
      <c r="AA990" s="162"/>
      <c r="AB990" s="148"/>
      <c r="AC990" s="161"/>
      <c r="AD990" s="146"/>
      <c r="AE990" s="162"/>
      <c r="AF990" s="148"/>
    </row>
    <row r="991">
      <c r="A991" s="161"/>
      <c r="B991" s="146" t="str">
        <f>IF(A991&lt;&gt;"", SUMIF(Bets!$F:$F, A991, Bets!Z:Z), "")</f>
        <v/>
      </c>
      <c r="C991" s="162"/>
      <c r="D991" s="148"/>
      <c r="E991" s="161"/>
      <c r="F991" s="146" t="str">
        <f>IF(E991&lt;&gt;"", SUMIF(Bets!$F:$F, E991, Bets!AB:AB), "")</f>
        <v/>
      </c>
      <c r="G991" s="162"/>
      <c r="H991" s="148"/>
      <c r="I991" s="161"/>
      <c r="J991" s="146" t="str">
        <f>IF(I991&lt;&gt;"", SUMIF(Bets!$F:$F, I991, Bets!AA:AA), "")</f>
        <v/>
      </c>
      <c r="K991" s="162"/>
      <c r="L991" s="148"/>
      <c r="M991" s="161"/>
      <c r="N991" s="146"/>
      <c r="O991" s="162"/>
      <c r="P991" s="148"/>
      <c r="Q991" s="161"/>
      <c r="R991" s="146"/>
      <c r="S991" s="162"/>
      <c r="T991" s="148"/>
      <c r="U991" s="161"/>
      <c r="V991" s="146"/>
      <c r="W991" s="162"/>
      <c r="X991" s="148"/>
      <c r="Y991" s="161"/>
      <c r="Z991" s="146"/>
      <c r="AA991" s="162"/>
      <c r="AB991" s="148"/>
      <c r="AC991" s="161"/>
      <c r="AD991" s="146"/>
      <c r="AE991" s="162"/>
      <c r="AF991" s="148"/>
    </row>
    <row r="992">
      <c r="A992" s="161"/>
      <c r="B992" s="146" t="str">
        <f>IF(A992&lt;&gt;"", SUMIF(Bets!$F:$F, A992, Bets!Z:Z), "")</f>
        <v/>
      </c>
      <c r="C992" s="162"/>
      <c r="D992" s="148"/>
      <c r="E992" s="161"/>
      <c r="F992" s="146" t="str">
        <f>IF(E992&lt;&gt;"", SUMIF(Bets!$F:$F, E992, Bets!AB:AB), "")</f>
        <v/>
      </c>
      <c r="G992" s="162"/>
      <c r="H992" s="148"/>
      <c r="I992" s="161"/>
      <c r="J992" s="146" t="str">
        <f>IF(I992&lt;&gt;"", SUMIF(Bets!$F:$F, I992, Bets!AA:AA), "")</f>
        <v/>
      </c>
      <c r="K992" s="162"/>
      <c r="L992" s="148"/>
      <c r="M992" s="161"/>
      <c r="N992" s="146"/>
      <c r="O992" s="162"/>
      <c r="P992" s="148"/>
      <c r="Q992" s="161"/>
      <c r="R992" s="146"/>
      <c r="S992" s="162"/>
      <c r="T992" s="148"/>
      <c r="U992" s="161"/>
      <c r="V992" s="146"/>
      <c r="W992" s="162"/>
      <c r="X992" s="148"/>
      <c r="Y992" s="161"/>
      <c r="Z992" s="146"/>
      <c r="AA992" s="162"/>
      <c r="AB992" s="148"/>
      <c r="AC992" s="161"/>
      <c r="AD992" s="146"/>
      <c r="AE992" s="162"/>
      <c r="AF992" s="148"/>
    </row>
    <row r="993">
      <c r="A993" s="161"/>
      <c r="B993" s="146" t="str">
        <f>IF(A993&lt;&gt;"", SUMIF(Bets!$F:$F, A993, Bets!Z:Z), "")</f>
        <v/>
      </c>
      <c r="C993" s="162"/>
      <c r="D993" s="148"/>
      <c r="E993" s="161"/>
      <c r="F993" s="146" t="str">
        <f>IF(E993&lt;&gt;"", SUMIF(Bets!$F:$F, E993, Bets!AB:AB), "")</f>
        <v/>
      </c>
      <c r="G993" s="162"/>
      <c r="H993" s="148"/>
      <c r="I993" s="161"/>
      <c r="J993" s="146" t="str">
        <f>IF(I993&lt;&gt;"", SUMIF(Bets!$F:$F, I993, Bets!AA:AA), "")</f>
        <v/>
      </c>
      <c r="K993" s="162"/>
      <c r="L993" s="148"/>
      <c r="M993" s="161"/>
      <c r="N993" s="146"/>
      <c r="O993" s="162"/>
      <c r="P993" s="148"/>
      <c r="Q993" s="161"/>
      <c r="R993" s="146"/>
      <c r="S993" s="162"/>
      <c r="T993" s="148"/>
      <c r="U993" s="161"/>
      <c r="V993" s="146"/>
      <c r="W993" s="162"/>
      <c r="X993" s="148"/>
      <c r="Y993" s="161"/>
      <c r="Z993" s="146"/>
      <c r="AA993" s="162"/>
      <c r="AB993" s="148"/>
      <c r="AC993" s="161"/>
      <c r="AD993" s="146"/>
      <c r="AE993" s="162"/>
      <c r="AF993" s="148"/>
    </row>
    <row r="994">
      <c r="A994" s="161"/>
      <c r="B994" s="146" t="str">
        <f>IF(A994&lt;&gt;"", SUMIF(Bets!$F:$F, A994, Bets!Z:Z), "")</f>
        <v/>
      </c>
      <c r="C994" s="162"/>
      <c r="D994" s="148"/>
      <c r="E994" s="161"/>
      <c r="F994" s="146" t="str">
        <f>IF(E994&lt;&gt;"", SUMIF(Bets!$F:$F, E994, Bets!AB:AB), "")</f>
        <v/>
      </c>
      <c r="G994" s="162"/>
      <c r="H994" s="148"/>
      <c r="I994" s="161"/>
      <c r="J994" s="146" t="str">
        <f>IF(I994&lt;&gt;"", SUMIF(Bets!$F:$F, I994, Bets!AA:AA), "")</f>
        <v/>
      </c>
      <c r="K994" s="162"/>
      <c r="L994" s="148"/>
      <c r="M994" s="161"/>
      <c r="N994" s="146"/>
      <c r="O994" s="162"/>
      <c r="P994" s="148"/>
      <c r="Q994" s="161"/>
      <c r="R994" s="146"/>
      <c r="S994" s="162"/>
      <c r="T994" s="148"/>
      <c r="U994" s="161"/>
      <c r="V994" s="146"/>
      <c r="W994" s="162"/>
      <c r="X994" s="148"/>
      <c r="Y994" s="161"/>
      <c r="Z994" s="146"/>
      <c r="AA994" s="162"/>
      <c r="AB994" s="148"/>
      <c r="AC994" s="161"/>
      <c r="AD994" s="146"/>
      <c r="AE994" s="162"/>
      <c r="AF994" s="148"/>
    </row>
    <row r="995">
      <c r="A995" s="161"/>
      <c r="B995" s="146" t="str">
        <f>IF(A995&lt;&gt;"", SUMIF(Bets!$F:$F, A995, Bets!Z:Z), "")</f>
        <v/>
      </c>
      <c r="C995" s="162"/>
      <c r="D995" s="148"/>
      <c r="E995" s="161"/>
      <c r="F995" s="146" t="str">
        <f>IF(E995&lt;&gt;"", SUMIF(Bets!$F:$F, E995, Bets!AB:AB), "")</f>
        <v/>
      </c>
      <c r="G995" s="162"/>
      <c r="H995" s="148"/>
      <c r="I995" s="161"/>
      <c r="J995" s="146" t="str">
        <f>IF(I995&lt;&gt;"", SUMIF(Bets!$F:$F, I995, Bets!AA:AA), "")</f>
        <v/>
      </c>
      <c r="K995" s="162"/>
      <c r="L995" s="148"/>
      <c r="M995" s="161"/>
      <c r="N995" s="146"/>
      <c r="O995" s="162"/>
      <c r="P995" s="148"/>
      <c r="Q995" s="161"/>
      <c r="R995" s="146"/>
      <c r="S995" s="162"/>
      <c r="T995" s="148"/>
      <c r="U995" s="161"/>
      <c r="V995" s="146"/>
      <c r="W995" s="162"/>
      <c r="X995" s="148"/>
      <c r="Y995" s="161"/>
      <c r="Z995" s="146"/>
      <c r="AA995" s="162"/>
      <c r="AB995" s="148"/>
      <c r="AC995" s="161"/>
      <c r="AD995" s="146"/>
      <c r="AE995" s="162"/>
      <c r="AF995" s="148"/>
    </row>
    <row r="996">
      <c r="A996" s="161"/>
      <c r="B996" s="146" t="str">
        <f>IF(A996&lt;&gt;"", SUMIF(Bets!$F:$F, A996, Bets!Z:Z), "")</f>
        <v/>
      </c>
      <c r="C996" s="162"/>
      <c r="D996" s="148"/>
      <c r="E996" s="161"/>
      <c r="F996" s="146" t="str">
        <f>IF(E996&lt;&gt;"", SUMIF(Bets!$F:$F, E996, Bets!AB:AB), "")</f>
        <v/>
      </c>
      <c r="G996" s="162"/>
      <c r="H996" s="148"/>
      <c r="I996" s="161"/>
      <c r="J996" s="146" t="str">
        <f>IF(I996&lt;&gt;"", SUMIF(Bets!$F:$F, I996, Bets!AA:AA), "")</f>
        <v/>
      </c>
      <c r="K996" s="162"/>
      <c r="L996" s="148"/>
      <c r="M996" s="161"/>
      <c r="N996" s="146"/>
      <c r="O996" s="162"/>
      <c r="P996" s="148"/>
      <c r="Q996" s="161"/>
      <c r="R996" s="146"/>
      <c r="S996" s="162"/>
      <c r="T996" s="148"/>
      <c r="U996" s="161"/>
      <c r="V996" s="146"/>
      <c r="W996" s="162"/>
      <c r="X996" s="148"/>
      <c r="Y996" s="161"/>
      <c r="Z996" s="146"/>
      <c r="AA996" s="162"/>
      <c r="AB996" s="148"/>
      <c r="AC996" s="161"/>
      <c r="AD996" s="146"/>
      <c r="AE996" s="162"/>
      <c r="AF996" s="148"/>
    </row>
  </sheetData>
  <mergeCells count="8">
    <mergeCell ref="A1:A2"/>
    <mergeCell ref="E1:E2"/>
    <mergeCell ref="I1:I2"/>
    <mergeCell ref="M1:M2"/>
    <mergeCell ref="Q1:Q2"/>
    <mergeCell ref="U1:U2"/>
    <mergeCell ref="Y1:Y2"/>
    <mergeCell ref="AC1:AC2"/>
  </mergeCells>
  <conditionalFormatting sqref="B5:B996 F5:F996 J5:J996 N5:N996 R5:R996 V5:V996 Z5:Z996 AD5:AD996">
    <cfRule type="cellIs" dxfId="1" priority="1" operator="greaterThan">
      <formula>0</formula>
    </cfRule>
  </conditionalFormatting>
  <conditionalFormatting sqref="B5:B996 F5:F996 J5:J996 N5:N996 R5:R996 V5:V996 Z5:Z996 AD5:AD996">
    <cfRule type="cellIs" dxfId="2" priority="2" operator="equal">
      <formula>0</formula>
    </cfRule>
  </conditionalFormatting>
  <conditionalFormatting sqref="B5:B996 F5:F996 J5:J996 N5:N996 R5:R996 V5:V996 Z5:Z996 AD5:AD996">
    <cfRule type="cellIs" dxfId="3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.63"/>
    <col customWidth="1" min="3" max="3" width="2.25"/>
    <col customWidth="1" min="4" max="4" width="45.13"/>
  </cols>
  <sheetData>
    <row r="1">
      <c r="A1" s="164" t="s">
        <v>2264</v>
      </c>
      <c r="B1" s="165" t="s">
        <v>2265</v>
      </c>
      <c r="C1" s="166"/>
      <c r="D1" s="167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>
      <c r="A2" s="168"/>
      <c r="B2" s="162"/>
      <c r="C2" s="168"/>
      <c r="D2" s="168"/>
      <c r="E2" s="168"/>
      <c r="F2" s="147" t="s">
        <v>6</v>
      </c>
      <c r="G2" s="147" t="s">
        <v>2266</v>
      </c>
      <c r="H2" s="147" t="s">
        <v>2267</v>
      </c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>
      <c r="A3" s="168"/>
      <c r="B3" s="162">
        <f>IFERROR(__xludf.DUMMYFUNCTION("IFERROR(FILTER(Bets!$V$5:$X1691, SEARCH($B$1, Bets!$X$5:$X1691) &gt; 0), """")"),19.0)</f>
        <v>19</v>
      </c>
      <c r="C3" s="168" t="str">
        <f>IFERROR(__xludf.DUMMYFUNCTION("""COMPUTED_VALUE"""),"/")</f>
        <v>/</v>
      </c>
      <c r="D3" s="168" t="str">
        <f>IFERROR(__xludf.DUMMYFUNCTION("""COMPUTED_VALUE"""),"25+ P. Freiermuth rec yds")</f>
        <v>25+ P. Freiermuth rec yds</v>
      </c>
      <c r="E3" s="168"/>
      <c r="F3" s="168">
        <f>COUNTIF(Bets!P:P, TRUE)</f>
        <v>311</v>
      </c>
      <c r="G3" s="168">
        <f>COUNTIF(#REF!, TRUE)</f>
        <v>0</v>
      </c>
      <c r="H3" s="169" t="str">
        <f>F3/G3</f>
        <v>#DIV/0!</v>
      </c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>
      <c r="A4" s="168"/>
      <c r="B4" s="162" t="str">
        <f>IFERROR(__xludf.DUMMYFUNCTION("""COMPUTED_VALUE"""),"✅")</f>
        <v>✅</v>
      </c>
      <c r="C4" s="168" t="str">
        <f>IFERROR(__xludf.DUMMYFUNCTION("""COMPUTED_VALUE"""),"/")</f>
        <v>/</v>
      </c>
      <c r="D4" s="168" t="str">
        <f>IFERROR(__xludf.DUMMYFUNCTION("""COMPUTED_VALUE"""),"3+ P. Freiermuth rec")</f>
        <v>3+ P. Freiermuth rec</v>
      </c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>
      <c r="A5" s="168"/>
      <c r="B5" s="162"/>
      <c r="C5" s="168"/>
      <c r="D5" s="168"/>
      <c r="E5" s="168"/>
      <c r="F5" s="164"/>
      <c r="G5" s="164"/>
      <c r="H5" s="169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>
      <c r="A6" s="168"/>
      <c r="B6" s="162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>
      <c r="A7" s="168"/>
      <c r="B7" s="162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>
      <c r="A8" s="168"/>
      <c r="B8" s="162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>
      <c r="A9" s="168"/>
      <c r="B9" s="162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>
      <c r="A10" s="168"/>
      <c r="B10" s="162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>
      <c r="A11" s="168"/>
      <c r="B11" s="162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>
      <c r="A12" s="168"/>
      <c r="B12" s="162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>
      <c r="A13" s="168"/>
      <c r="B13" s="162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>
      <c r="A14" s="168"/>
      <c r="B14" s="162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>
      <c r="A15" s="168"/>
      <c r="B15" s="162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>
      <c r="A16" s="168"/>
      <c r="B16" s="162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>
      <c r="A17" s="168"/>
      <c r="B17" s="162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>
      <c r="A18" s="168"/>
      <c r="B18" s="162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>
      <c r="A19" s="168"/>
      <c r="B19" s="162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>
      <c r="A20" s="168"/>
      <c r="B20" s="162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>
      <c r="A21" s="168"/>
      <c r="B21" s="162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>
      <c r="A22" s="168"/>
      <c r="B22" s="162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>
      <c r="A23" s="168"/>
      <c r="B23" s="162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>
      <c r="A24" s="168"/>
      <c r="B24" s="162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>
      <c r="A25" s="168"/>
      <c r="B25" s="162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>
      <c r="A26" s="168"/>
      <c r="B26" s="162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>
      <c r="A27" s="168"/>
      <c r="B27" s="162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>
      <c r="A28" s="168"/>
      <c r="B28" s="162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>
      <c r="A29" s="168"/>
      <c r="B29" s="162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>
      <c r="A30" s="168"/>
      <c r="B30" s="162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>
      <c r="A31" s="168"/>
      <c r="B31" s="162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>
      <c r="A32" s="168"/>
      <c r="B32" s="162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>
      <c r="A33" s="168"/>
      <c r="B33" s="162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>
      <c r="A34" s="168"/>
      <c r="B34" s="162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>
      <c r="A35" s="168"/>
      <c r="B35" s="162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>
      <c r="A36" s="168"/>
      <c r="B36" s="162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>
      <c r="A37" s="168"/>
      <c r="B37" s="162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>
      <c r="A38" s="168"/>
      <c r="B38" s="162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>
      <c r="A39" s="168"/>
      <c r="B39" s="162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>
      <c r="A40" s="168"/>
      <c r="B40" s="162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>
      <c r="A41" s="168"/>
      <c r="B41" s="162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>
      <c r="A42" s="168"/>
      <c r="B42" s="162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>
      <c r="A43" s="168"/>
      <c r="B43" s="162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>
      <c r="A44" s="168"/>
      <c r="B44" s="162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>
      <c r="A45" s="168"/>
      <c r="B45" s="162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>
      <c r="A46" s="168"/>
      <c r="B46" s="162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>
      <c r="A47" s="168"/>
      <c r="B47" s="162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>
      <c r="A48" s="168"/>
      <c r="B48" s="162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>
      <c r="A49" s="168"/>
      <c r="B49" s="162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>
      <c r="A50" s="168"/>
      <c r="B50" s="162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>
      <c r="A51" s="168"/>
      <c r="B51" s="162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>
      <c r="A52" s="168"/>
      <c r="B52" s="162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>
      <c r="A53" s="168"/>
      <c r="B53" s="162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>
      <c r="A54" s="168"/>
      <c r="B54" s="162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>
      <c r="A55" s="168"/>
      <c r="B55" s="162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>
      <c r="A56" s="168"/>
      <c r="B56" s="162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>
      <c r="A57" s="168"/>
      <c r="B57" s="162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>
      <c r="A58" s="168"/>
      <c r="B58" s="162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>
      <c r="A59" s="168"/>
      <c r="B59" s="162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>
      <c r="A60" s="168"/>
      <c r="B60" s="162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>
      <c r="A61" s="168"/>
      <c r="B61" s="162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>
      <c r="A62" s="168"/>
      <c r="B62" s="162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>
      <c r="A63" s="168"/>
      <c r="B63" s="162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>
      <c r="A64" s="168"/>
      <c r="B64" s="162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>
      <c r="A65" s="168"/>
      <c r="B65" s="162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>
      <c r="A66" s="168"/>
      <c r="B66" s="162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>
      <c r="A67" s="168"/>
      <c r="B67" s="162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>
      <c r="A68" s="168"/>
      <c r="B68" s="162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>
      <c r="A69" s="168"/>
      <c r="B69" s="162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>
      <c r="A70" s="168"/>
      <c r="B70" s="162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>
      <c r="A71" s="168"/>
      <c r="B71" s="162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>
      <c r="A72" s="168"/>
      <c r="B72" s="162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>
      <c r="A73" s="168"/>
      <c r="B73" s="162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>
      <c r="A74" s="168"/>
      <c r="B74" s="162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>
      <c r="A75" s="168"/>
      <c r="B75" s="162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>
      <c r="A76" s="168"/>
      <c r="B76" s="162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>
      <c r="A77" s="168"/>
      <c r="B77" s="162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>
      <c r="A78" s="168"/>
      <c r="B78" s="162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>
      <c r="A79" s="168"/>
      <c r="B79" s="162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>
      <c r="A80" s="168"/>
      <c r="B80" s="162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>
      <c r="A81" s="168"/>
      <c r="B81" s="162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>
      <c r="A82" s="168"/>
      <c r="B82" s="162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>
      <c r="A83" s="168"/>
      <c r="B83" s="162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>
      <c r="A84" s="168"/>
      <c r="B84" s="162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>
      <c r="A85" s="168"/>
      <c r="B85" s="162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>
      <c r="A86" s="168"/>
      <c r="B86" s="162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>
      <c r="A87" s="168"/>
      <c r="B87" s="162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>
      <c r="A88" s="168"/>
      <c r="B88" s="162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>
      <c r="A89" s="168"/>
      <c r="B89" s="162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>
      <c r="A90" s="168"/>
      <c r="B90" s="162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>
      <c r="A91" s="168"/>
      <c r="B91" s="162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>
      <c r="A92" s="168"/>
      <c r="B92" s="162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>
      <c r="A93" s="168"/>
      <c r="B93" s="162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>
      <c r="A94" s="168"/>
      <c r="B94" s="162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>
      <c r="A95" s="168"/>
      <c r="B95" s="162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>
      <c r="A96" s="168"/>
      <c r="B96" s="162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>
      <c r="A97" s="168"/>
      <c r="B97" s="162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>
      <c r="A98" s="168"/>
      <c r="B98" s="162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>
      <c r="A99" s="168"/>
      <c r="B99" s="162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>
      <c r="A100" s="168"/>
      <c r="B100" s="162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>
      <c r="A101" s="168"/>
      <c r="B101" s="162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>
      <c r="A102" s="168"/>
      <c r="B102" s="162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>
      <c r="A103" s="168"/>
      <c r="B103" s="162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>
      <c r="A104" s="168"/>
      <c r="B104" s="162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>
      <c r="A105" s="168"/>
      <c r="B105" s="162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>
      <c r="A106" s="168"/>
      <c r="B106" s="162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>
      <c r="A107" s="168"/>
      <c r="B107" s="162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>
      <c r="A108" s="168"/>
      <c r="B108" s="162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>
      <c r="A109" s="168"/>
      <c r="B109" s="162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>
      <c r="A110" s="168"/>
      <c r="B110" s="162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>
      <c r="A111" s="168"/>
      <c r="B111" s="162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>
      <c r="A112" s="168"/>
      <c r="B112" s="162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>
      <c r="A113" s="168"/>
      <c r="B113" s="162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>
      <c r="A114" s="168"/>
      <c r="B114" s="162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>
      <c r="A115" s="168"/>
      <c r="B115" s="162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>
      <c r="A116" s="168"/>
      <c r="B116" s="162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>
      <c r="A117" s="168"/>
      <c r="B117" s="162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>
      <c r="A118" s="168"/>
      <c r="B118" s="162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>
      <c r="A119" s="168"/>
      <c r="B119" s="162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>
      <c r="A120" s="168"/>
      <c r="B120" s="162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>
      <c r="A121" s="168"/>
      <c r="B121" s="162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>
      <c r="A122" s="168"/>
      <c r="B122" s="162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>
      <c r="A123" s="168"/>
      <c r="B123" s="162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>
      <c r="A124" s="168"/>
      <c r="B124" s="162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>
      <c r="A125" s="168"/>
      <c r="B125" s="162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>
      <c r="A126" s="168"/>
      <c r="B126" s="162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>
      <c r="A127" s="168"/>
      <c r="B127" s="162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>
      <c r="A128" s="168"/>
      <c r="B128" s="162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>
      <c r="A129" s="168"/>
      <c r="B129" s="162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>
      <c r="A130" s="168"/>
      <c r="B130" s="162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>
      <c r="A131" s="168"/>
      <c r="B131" s="162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>
      <c r="A132" s="168"/>
      <c r="B132" s="162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>
      <c r="A133" s="168"/>
      <c r="B133" s="162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>
      <c r="A134" s="168"/>
      <c r="B134" s="162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>
      <c r="A135" s="168"/>
      <c r="B135" s="162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>
      <c r="A136" s="168"/>
      <c r="B136" s="162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>
      <c r="A137" s="168"/>
      <c r="B137" s="162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>
      <c r="A138" s="168"/>
      <c r="B138" s="162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>
      <c r="A139" s="168"/>
      <c r="B139" s="162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>
      <c r="A140" s="168"/>
      <c r="B140" s="162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>
      <c r="A141" s="168"/>
      <c r="B141" s="162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>
      <c r="A142" s="168"/>
      <c r="B142" s="162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>
      <c r="A143" s="168"/>
      <c r="B143" s="162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>
      <c r="A144" s="168"/>
      <c r="B144" s="162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>
      <c r="A145" s="168"/>
      <c r="B145" s="162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>
      <c r="A146" s="168"/>
      <c r="B146" s="162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>
      <c r="A147" s="168"/>
      <c r="B147" s="162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>
      <c r="A148" s="168"/>
      <c r="B148" s="162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>
      <c r="A149" s="168"/>
      <c r="B149" s="162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>
      <c r="A150" s="168"/>
      <c r="B150" s="162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>
      <c r="A151" s="168"/>
      <c r="B151" s="162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>
      <c r="A152" s="168"/>
      <c r="B152" s="162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>
      <c r="A153" s="168"/>
      <c r="B153" s="162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>
      <c r="A154" s="168"/>
      <c r="B154" s="162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>
      <c r="A155" s="168"/>
      <c r="B155" s="162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>
      <c r="A156" s="168"/>
      <c r="B156" s="162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>
      <c r="A157" s="168"/>
      <c r="B157" s="162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>
      <c r="A158" s="168"/>
      <c r="B158" s="162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>
      <c r="A159" s="168"/>
      <c r="B159" s="162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>
      <c r="A160" s="168"/>
      <c r="B160" s="162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>
      <c r="A161" s="168"/>
      <c r="B161" s="162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>
      <c r="A162" s="168"/>
      <c r="B162" s="162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>
      <c r="A163" s="168"/>
      <c r="B163" s="162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>
      <c r="A164" s="168"/>
      <c r="B164" s="162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>
      <c r="A165" s="168"/>
      <c r="B165" s="162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>
      <c r="A166" s="168"/>
      <c r="B166" s="162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>
      <c r="A167" s="168"/>
      <c r="B167" s="162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>
      <c r="A168" s="168"/>
      <c r="B168" s="162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>
      <c r="A169" s="168"/>
      <c r="B169" s="162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>
      <c r="A170" s="168"/>
      <c r="B170" s="162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>
      <c r="A171" s="168"/>
      <c r="B171" s="162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>
      <c r="A172" s="168"/>
      <c r="B172" s="162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>
      <c r="A173" s="168"/>
      <c r="B173" s="162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>
      <c r="A174" s="168"/>
      <c r="B174" s="162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>
      <c r="A175" s="168"/>
      <c r="B175" s="162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>
      <c r="A176" s="168"/>
      <c r="B176" s="162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>
      <c r="A177" s="168"/>
      <c r="B177" s="162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>
      <c r="A178" s="168"/>
      <c r="B178" s="162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>
      <c r="A179" s="168"/>
      <c r="B179" s="162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>
      <c r="A180" s="168"/>
      <c r="B180" s="162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>
      <c r="A181" s="168"/>
      <c r="B181" s="162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>
      <c r="A182" s="168"/>
      <c r="B182" s="162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>
      <c r="A183" s="168"/>
      <c r="B183" s="162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>
      <c r="A184" s="168"/>
      <c r="B184" s="162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>
      <c r="A185" s="168"/>
      <c r="B185" s="162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>
      <c r="A186" s="168"/>
      <c r="B186" s="162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>
      <c r="A187" s="168"/>
      <c r="B187" s="162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>
      <c r="A188" s="168"/>
      <c r="B188" s="162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>
      <c r="A189" s="168"/>
      <c r="B189" s="162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>
      <c r="A190" s="168"/>
      <c r="B190" s="162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>
      <c r="A191" s="168"/>
      <c r="B191" s="162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>
      <c r="A192" s="168"/>
      <c r="B192" s="162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>
      <c r="A193" s="168"/>
      <c r="B193" s="162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>
      <c r="A194" s="168"/>
      <c r="B194" s="162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>
      <c r="A195" s="168"/>
      <c r="B195" s="162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>
      <c r="A196" s="168"/>
      <c r="B196" s="162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>
      <c r="A197" s="168"/>
      <c r="B197" s="162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>
      <c r="A198" s="168"/>
      <c r="B198" s="162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>
      <c r="A199" s="168"/>
      <c r="B199" s="162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>
      <c r="A200" s="168"/>
      <c r="B200" s="162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>
      <c r="A201" s="168"/>
      <c r="B201" s="162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>
      <c r="A202" s="168"/>
      <c r="B202" s="162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>
      <c r="A203" s="168"/>
      <c r="B203" s="162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>
      <c r="A204" s="168"/>
      <c r="B204" s="162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>
      <c r="A205" s="168"/>
      <c r="B205" s="162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>
      <c r="A206" s="168"/>
      <c r="B206" s="162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>
      <c r="A207" s="168"/>
      <c r="B207" s="162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>
      <c r="A208" s="168"/>
      <c r="B208" s="162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>
      <c r="A209" s="168"/>
      <c r="B209" s="162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>
      <c r="A210" s="168"/>
      <c r="B210" s="162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>
      <c r="A211" s="168"/>
      <c r="B211" s="162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>
      <c r="A212" s="168"/>
      <c r="B212" s="162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>
      <c r="A213" s="168"/>
      <c r="B213" s="162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>
      <c r="A214" s="168"/>
      <c r="B214" s="162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>
      <c r="A215" s="168"/>
      <c r="B215" s="162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>
      <c r="A216" s="168"/>
      <c r="B216" s="162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>
      <c r="A217" s="168"/>
      <c r="B217" s="162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>
      <c r="A218" s="168"/>
      <c r="B218" s="162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>
      <c r="A219" s="168"/>
      <c r="B219" s="162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>
      <c r="A220" s="168"/>
      <c r="B220" s="162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>
      <c r="A221" s="168"/>
      <c r="B221" s="162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>
      <c r="A222" s="168"/>
      <c r="B222" s="162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>
      <c r="A223" s="168"/>
      <c r="B223" s="162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>
      <c r="A224" s="168"/>
      <c r="B224" s="162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>
      <c r="A225" s="168"/>
      <c r="B225" s="162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>
      <c r="A226" s="168"/>
      <c r="B226" s="162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</row>
    <row r="227">
      <c r="A227" s="168"/>
      <c r="B227" s="162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</row>
    <row r="228">
      <c r="A228" s="168"/>
      <c r="B228" s="162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</row>
    <row r="229">
      <c r="A229" s="168"/>
      <c r="B229" s="162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</row>
    <row r="230">
      <c r="A230" s="168"/>
      <c r="B230" s="162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</row>
    <row r="231">
      <c r="A231" s="168"/>
      <c r="B231" s="162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</row>
    <row r="232">
      <c r="A232" s="168"/>
      <c r="B232" s="162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</row>
    <row r="233">
      <c r="A233" s="168"/>
      <c r="B233" s="162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</row>
    <row r="234">
      <c r="A234" s="168"/>
      <c r="B234" s="162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</row>
    <row r="235">
      <c r="A235" s="168"/>
      <c r="B235" s="162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</row>
    <row r="236">
      <c r="A236" s="168"/>
      <c r="B236" s="162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</row>
    <row r="237">
      <c r="A237" s="168"/>
      <c r="B237" s="162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</row>
    <row r="238">
      <c r="A238" s="168"/>
      <c r="B238" s="162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</row>
    <row r="239">
      <c r="A239" s="168"/>
      <c r="B239" s="162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</row>
    <row r="240">
      <c r="A240" s="168"/>
      <c r="B240" s="162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</row>
    <row r="241">
      <c r="A241" s="168"/>
      <c r="B241" s="162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</row>
    <row r="242">
      <c r="A242" s="168"/>
      <c r="B242" s="162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</row>
    <row r="243">
      <c r="A243" s="168"/>
      <c r="B243" s="162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</row>
    <row r="244">
      <c r="A244" s="168"/>
      <c r="B244" s="162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</row>
    <row r="245">
      <c r="A245" s="168"/>
      <c r="B245" s="162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</row>
    <row r="246">
      <c r="A246" s="168"/>
      <c r="B246" s="162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</row>
    <row r="247">
      <c r="A247" s="168"/>
      <c r="B247" s="162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</row>
    <row r="248">
      <c r="A248" s="168"/>
      <c r="B248" s="162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</row>
    <row r="249">
      <c r="A249" s="168"/>
      <c r="B249" s="162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</row>
    <row r="250">
      <c r="A250" s="168"/>
      <c r="B250" s="162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</row>
    <row r="251">
      <c r="A251" s="168"/>
      <c r="B251" s="162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</row>
    <row r="252">
      <c r="A252" s="168"/>
      <c r="B252" s="162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</row>
    <row r="253">
      <c r="A253" s="168"/>
      <c r="B253" s="162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</row>
    <row r="254">
      <c r="A254" s="168"/>
      <c r="B254" s="162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</row>
    <row r="255">
      <c r="A255" s="168"/>
      <c r="B255" s="162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</row>
    <row r="256">
      <c r="A256" s="168"/>
      <c r="B256" s="162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</row>
    <row r="257">
      <c r="A257" s="168"/>
      <c r="B257" s="162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</row>
    <row r="258">
      <c r="A258" s="168"/>
      <c r="B258" s="162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</row>
    <row r="259">
      <c r="A259" s="168"/>
      <c r="B259" s="162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</row>
    <row r="260">
      <c r="A260" s="168"/>
      <c r="B260" s="162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</row>
    <row r="261">
      <c r="A261" s="168"/>
      <c r="B261" s="162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</row>
    <row r="262">
      <c r="A262" s="168"/>
      <c r="B262" s="162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>
      <c r="A263" s="168"/>
      <c r="B263" s="162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>
      <c r="A264" s="168"/>
      <c r="B264" s="162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</row>
    <row r="265">
      <c r="A265" s="168"/>
      <c r="B265" s="162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</row>
    <row r="266">
      <c r="A266" s="168"/>
      <c r="B266" s="162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</row>
    <row r="267">
      <c r="A267" s="168"/>
      <c r="B267" s="162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</row>
    <row r="268">
      <c r="A268" s="168"/>
      <c r="B268" s="162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</row>
    <row r="269">
      <c r="A269" s="168"/>
      <c r="B269" s="162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</row>
    <row r="270">
      <c r="A270" s="168"/>
      <c r="B270" s="162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</row>
    <row r="271">
      <c r="A271" s="168"/>
      <c r="B271" s="162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</row>
    <row r="272">
      <c r="A272" s="168"/>
      <c r="B272" s="162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</row>
    <row r="273">
      <c r="A273" s="168"/>
      <c r="B273" s="162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</row>
    <row r="274">
      <c r="A274" s="168"/>
      <c r="B274" s="162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</row>
    <row r="275">
      <c r="A275" s="168"/>
      <c r="B275" s="162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</row>
    <row r="276">
      <c r="A276" s="168"/>
      <c r="B276" s="162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</row>
    <row r="277">
      <c r="A277" s="168"/>
      <c r="B277" s="162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</row>
    <row r="278">
      <c r="A278" s="168"/>
      <c r="B278" s="162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</row>
    <row r="279">
      <c r="A279" s="168"/>
      <c r="B279" s="162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</row>
    <row r="280">
      <c r="A280" s="168"/>
      <c r="B280" s="162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</row>
    <row r="281">
      <c r="A281" s="168"/>
      <c r="B281" s="162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</row>
    <row r="282">
      <c r="A282" s="168"/>
      <c r="B282" s="162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</row>
    <row r="283">
      <c r="A283" s="168"/>
      <c r="B283" s="162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</row>
    <row r="284">
      <c r="A284" s="168"/>
      <c r="B284" s="162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</row>
    <row r="285">
      <c r="A285" s="168"/>
      <c r="B285" s="162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</row>
    <row r="286">
      <c r="A286" s="168"/>
      <c r="B286" s="162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</row>
    <row r="287">
      <c r="A287" s="168"/>
      <c r="B287" s="162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</row>
    <row r="288">
      <c r="A288" s="168"/>
      <c r="B288" s="162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</row>
    <row r="289">
      <c r="A289" s="168"/>
      <c r="B289" s="162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</row>
    <row r="290">
      <c r="A290" s="168"/>
      <c r="B290" s="162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</row>
    <row r="291">
      <c r="A291" s="168"/>
      <c r="B291" s="162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</row>
    <row r="292">
      <c r="A292" s="168"/>
      <c r="B292" s="162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</row>
    <row r="293">
      <c r="A293" s="168"/>
      <c r="B293" s="162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</row>
    <row r="294">
      <c r="A294" s="168"/>
      <c r="B294" s="162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</row>
    <row r="295">
      <c r="A295" s="168"/>
      <c r="B295" s="162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</row>
    <row r="296">
      <c r="A296" s="168"/>
      <c r="B296" s="162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</row>
    <row r="297">
      <c r="A297" s="168"/>
      <c r="B297" s="162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</row>
    <row r="298">
      <c r="A298" s="168"/>
      <c r="B298" s="162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</row>
    <row r="299">
      <c r="A299" s="168"/>
      <c r="B299" s="162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</row>
    <row r="300">
      <c r="A300" s="168"/>
      <c r="B300" s="162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</row>
    <row r="301">
      <c r="A301" s="168"/>
      <c r="B301" s="162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</row>
    <row r="302">
      <c r="A302" s="168"/>
      <c r="B302" s="162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</row>
    <row r="303">
      <c r="A303" s="168"/>
      <c r="B303" s="162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</row>
    <row r="304">
      <c r="A304" s="168"/>
      <c r="B304" s="162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</row>
    <row r="305">
      <c r="A305" s="168"/>
      <c r="B305" s="162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</row>
    <row r="306">
      <c r="A306" s="168"/>
      <c r="B306" s="162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</row>
    <row r="307">
      <c r="A307" s="168"/>
      <c r="B307" s="162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</row>
    <row r="308">
      <c r="A308" s="168"/>
      <c r="B308" s="162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</row>
    <row r="309">
      <c r="A309" s="168"/>
      <c r="B309" s="162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</row>
    <row r="310">
      <c r="A310" s="168"/>
      <c r="B310" s="162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</row>
    <row r="311">
      <c r="A311" s="168"/>
      <c r="B311" s="162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</row>
    <row r="312">
      <c r="A312" s="168"/>
      <c r="B312" s="162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>
      <c r="A313" s="168"/>
      <c r="B313" s="162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>
      <c r="A314" s="168"/>
      <c r="B314" s="162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>
      <c r="A315" s="168"/>
      <c r="B315" s="162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>
      <c r="A316" s="168"/>
      <c r="B316" s="162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>
      <c r="A317" s="168"/>
      <c r="B317" s="162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>
      <c r="A318" s="168"/>
      <c r="B318" s="162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>
      <c r="A319" s="168"/>
      <c r="B319" s="162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>
      <c r="A320" s="168"/>
      <c r="B320" s="162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>
      <c r="A321" s="168"/>
      <c r="B321" s="162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>
      <c r="A322" s="168"/>
      <c r="B322" s="162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>
      <c r="A323" s="168"/>
      <c r="B323" s="162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>
      <c r="A324" s="168"/>
      <c r="B324" s="162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>
      <c r="A325" s="168"/>
      <c r="B325" s="162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>
      <c r="A326" s="168"/>
      <c r="B326" s="162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>
      <c r="A327" s="168"/>
      <c r="B327" s="162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>
      <c r="A328" s="168"/>
      <c r="B328" s="162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>
      <c r="A329" s="168"/>
      <c r="B329" s="162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>
      <c r="A330" s="168"/>
      <c r="B330" s="162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>
      <c r="A331" s="168"/>
      <c r="B331" s="162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>
      <c r="A332" s="168"/>
      <c r="B332" s="162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>
      <c r="A333" s="168"/>
      <c r="B333" s="162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>
      <c r="A334" s="168"/>
      <c r="B334" s="162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>
      <c r="A335" s="168"/>
      <c r="B335" s="162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>
      <c r="A336" s="168"/>
      <c r="B336" s="162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>
      <c r="A337" s="168"/>
      <c r="B337" s="162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>
      <c r="A338" s="168"/>
      <c r="B338" s="162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>
      <c r="A339" s="168"/>
      <c r="B339" s="162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>
      <c r="A340" s="168"/>
      <c r="B340" s="162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>
      <c r="A341" s="168"/>
      <c r="B341" s="162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>
      <c r="A342" s="168"/>
      <c r="B342" s="162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>
      <c r="A343" s="168"/>
      <c r="B343" s="162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>
      <c r="A344" s="168"/>
      <c r="B344" s="162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>
      <c r="A345" s="168"/>
      <c r="B345" s="162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>
      <c r="A346" s="168"/>
      <c r="B346" s="162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>
      <c r="A347" s="168"/>
      <c r="B347" s="162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>
      <c r="A348" s="168"/>
      <c r="B348" s="162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>
      <c r="A349" s="168"/>
      <c r="B349" s="162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>
      <c r="A350" s="168"/>
      <c r="B350" s="162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>
      <c r="A351" s="168"/>
      <c r="B351" s="162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>
      <c r="A352" s="168"/>
      <c r="B352" s="162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>
      <c r="A353" s="168"/>
      <c r="B353" s="162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>
      <c r="A354" s="168"/>
      <c r="B354" s="162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>
      <c r="A355" s="168"/>
      <c r="B355" s="162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>
      <c r="A356" s="168"/>
      <c r="B356" s="162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>
      <c r="A357" s="168"/>
      <c r="B357" s="162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>
      <c r="A358" s="168"/>
      <c r="B358" s="162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>
      <c r="A359" s="168"/>
      <c r="B359" s="162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>
      <c r="A360" s="168"/>
      <c r="B360" s="162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>
      <c r="A361" s="168"/>
      <c r="B361" s="162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>
      <c r="A362" s="168"/>
      <c r="B362" s="162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>
      <c r="A363" s="168"/>
      <c r="B363" s="162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>
      <c r="A364" s="168"/>
      <c r="B364" s="162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>
      <c r="A365" s="168"/>
      <c r="B365" s="162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>
      <c r="A366" s="168"/>
      <c r="B366" s="162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>
      <c r="A367" s="168"/>
      <c r="B367" s="162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>
      <c r="A368" s="168"/>
      <c r="B368" s="162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>
      <c r="A369" s="168"/>
      <c r="B369" s="162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>
      <c r="A370" s="168"/>
      <c r="B370" s="162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>
      <c r="A371" s="168"/>
      <c r="B371" s="162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>
      <c r="A372" s="168"/>
      <c r="B372" s="162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>
      <c r="A373" s="168"/>
      <c r="B373" s="162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>
      <c r="A374" s="168"/>
      <c r="B374" s="162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>
      <c r="A375" s="168"/>
      <c r="B375" s="162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>
      <c r="A376" s="168"/>
      <c r="B376" s="162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>
      <c r="A377" s="168"/>
      <c r="B377" s="162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>
      <c r="A378" s="168"/>
      <c r="B378" s="162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>
      <c r="A379" s="168"/>
      <c r="B379" s="162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>
      <c r="A380" s="168"/>
      <c r="B380" s="162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>
      <c r="A381" s="168"/>
      <c r="B381" s="162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>
      <c r="A382" s="168"/>
      <c r="B382" s="162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>
      <c r="A383" s="168"/>
      <c r="B383" s="162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>
      <c r="A384" s="168"/>
      <c r="B384" s="162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>
      <c r="A385" s="168"/>
      <c r="B385" s="162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>
      <c r="A386" s="168"/>
      <c r="B386" s="162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>
      <c r="A387" s="168"/>
      <c r="B387" s="162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>
      <c r="A388" s="168"/>
      <c r="B388" s="162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>
      <c r="A389" s="168"/>
      <c r="B389" s="162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>
      <c r="A390" s="168"/>
      <c r="B390" s="162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>
      <c r="A391" s="168"/>
      <c r="B391" s="162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>
      <c r="A392" s="168"/>
      <c r="B392" s="162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>
      <c r="A393" s="168"/>
      <c r="B393" s="162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>
      <c r="A394" s="168"/>
      <c r="B394" s="162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>
      <c r="A395" s="168"/>
      <c r="B395" s="162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>
      <c r="A396" s="168"/>
      <c r="B396" s="162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>
      <c r="A397" s="168"/>
      <c r="B397" s="162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>
      <c r="A398" s="168"/>
      <c r="B398" s="162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>
      <c r="A399" s="168"/>
      <c r="B399" s="162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>
      <c r="A400" s="168"/>
      <c r="B400" s="162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>
      <c r="A401" s="168"/>
      <c r="B401" s="162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>
      <c r="A402" s="168"/>
      <c r="B402" s="162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>
      <c r="A403" s="168"/>
      <c r="B403" s="162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>
      <c r="A404" s="168"/>
      <c r="B404" s="162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>
      <c r="A405" s="168"/>
      <c r="B405" s="162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>
      <c r="A406" s="168"/>
      <c r="B406" s="162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>
      <c r="A407" s="168"/>
      <c r="B407" s="162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>
      <c r="A408" s="168"/>
      <c r="B408" s="162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>
      <c r="A409" s="168"/>
      <c r="B409" s="162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>
      <c r="A410" s="168"/>
      <c r="B410" s="162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>
      <c r="A411" s="168"/>
      <c r="B411" s="162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>
      <c r="A412" s="168"/>
      <c r="B412" s="162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>
      <c r="A413" s="168"/>
      <c r="B413" s="162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>
      <c r="A414" s="168"/>
      <c r="B414" s="162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>
      <c r="A415" s="168"/>
      <c r="B415" s="162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>
      <c r="A416" s="168"/>
      <c r="B416" s="162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>
      <c r="A417" s="168"/>
      <c r="B417" s="162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>
      <c r="A418" s="168"/>
      <c r="B418" s="162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>
      <c r="A419" s="168"/>
      <c r="B419" s="162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>
      <c r="A420" s="168"/>
      <c r="B420" s="162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>
      <c r="A421" s="168"/>
      <c r="B421" s="162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>
      <c r="A422" s="168"/>
      <c r="B422" s="162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>
      <c r="A423" s="168"/>
      <c r="B423" s="162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>
      <c r="A424" s="168"/>
      <c r="B424" s="162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>
      <c r="A425" s="168"/>
      <c r="B425" s="162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>
      <c r="A426" s="168"/>
      <c r="B426" s="162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>
      <c r="A427" s="168"/>
      <c r="B427" s="162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>
      <c r="A428" s="168"/>
      <c r="B428" s="162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>
      <c r="A429" s="168"/>
      <c r="B429" s="162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>
      <c r="A430" s="168"/>
      <c r="B430" s="162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>
      <c r="A431" s="168"/>
      <c r="B431" s="162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>
      <c r="A432" s="168"/>
      <c r="B432" s="162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>
      <c r="A433" s="168"/>
      <c r="B433" s="162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>
      <c r="A434" s="168"/>
      <c r="B434" s="162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>
      <c r="A435" s="168"/>
      <c r="B435" s="162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>
      <c r="A436" s="168"/>
      <c r="B436" s="162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>
      <c r="A437" s="168"/>
      <c r="B437" s="162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>
      <c r="A438" s="168"/>
      <c r="B438" s="162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>
      <c r="A439" s="168"/>
      <c r="B439" s="162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>
      <c r="A440" s="168"/>
      <c r="B440" s="162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>
      <c r="A441" s="168"/>
      <c r="B441" s="162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>
      <c r="A442" s="168"/>
      <c r="B442" s="162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>
      <c r="A443" s="168"/>
      <c r="B443" s="162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>
      <c r="A444" s="168"/>
      <c r="B444" s="162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>
      <c r="A445" s="168"/>
      <c r="B445" s="162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>
      <c r="A446" s="168"/>
      <c r="B446" s="162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>
      <c r="A447" s="168"/>
      <c r="B447" s="162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>
      <c r="A448" s="168"/>
      <c r="B448" s="162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>
      <c r="A449" s="168"/>
      <c r="B449" s="162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>
      <c r="A450" s="168"/>
      <c r="B450" s="162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>
      <c r="A451" s="168"/>
      <c r="B451" s="162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>
      <c r="A452" s="168"/>
      <c r="B452" s="162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>
      <c r="A453" s="168"/>
      <c r="B453" s="162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>
      <c r="A454" s="168"/>
      <c r="B454" s="162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>
      <c r="A455" s="168"/>
      <c r="B455" s="162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>
      <c r="A456" s="168"/>
      <c r="B456" s="162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>
      <c r="A457" s="168"/>
      <c r="B457" s="162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>
      <c r="A458" s="168"/>
      <c r="B458" s="162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>
      <c r="A459" s="168"/>
      <c r="B459" s="162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>
      <c r="A460" s="168"/>
      <c r="B460" s="162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>
      <c r="A461" s="168"/>
      <c r="B461" s="162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>
      <c r="A462" s="168"/>
      <c r="B462" s="162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>
      <c r="A463" s="168"/>
      <c r="B463" s="162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>
      <c r="A464" s="168"/>
      <c r="B464" s="162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>
      <c r="A465" s="168"/>
      <c r="B465" s="162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>
      <c r="A466" s="168"/>
      <c r="B466" s="162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>
      <c r="A467" s="168"/>
      <c r="B467" s="162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>
      <c r="A468" s="168"/>
      <c r="B468" s="162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>
      <c r="A469" s="168"/>
      <c r="B469" s="162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>
      <c r="A470" s="168"/>
      <c r="B470" s="162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>
      <c r="A471" s="168"/>
      <c r="B471" s="162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>
      <c r="A472" s="168"/>
      <c r="B472" s="162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>
      <c r="A473" s="168"/>
      <c r="B473" s="162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>
      <c r="A474" s="168"/>
      <c r="B474" s="162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>
      <c r="A475" s="168"/>
      <c r="B475" s="162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>
      <c r="A476" s="168"/>
      <c r="B476" s="162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>
      <c r="A477" s="168"/>
      <c r="B477" s="162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>
      <c r="A478" s="168"/>
      <c r="B478" s="162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>
      <c r="A479" s="168"/>
      <c r="B479" s="162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>
      <c r="A480" s="168"/>
      <c r="B480" s="162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>
      <c r="A481" s="168"/>
      <c r="B481" s="162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>
      <c r="A482" s="168"/>
      <c r="B482" s="162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>
      <c r="A483" s="168"/>
      <c r="B483" s="162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>
      <c r="A484" s="168"/>
      <c r="B484" s="162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>
      <c r="A485" s="168"/>
      <c r="B485" s="162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>
      <c r="A486" s="168"/>
      <c r="B486" s="162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>
      <c r="A487" s="168"/>
      <c r="B487" s="162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>
      <c r="A488" s="168"/>
      <c r="B488" s="162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>
      <c r="A489" s="168"/>
      <c r="B489" s="162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>
      <c r="A490" s="168"/>
      <c r="B490" s="162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>
      <c r="A491" s="168"/>
      <c r="B491" s="162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>
      <c r="A492" s="168"/>
      <c r="B492" s="162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>
      <c r="A493" s="168"/>
      <c r="B493" s="162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>
      <c r="A494" s="168"/>
      <c r="B494" s="162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>
      <c r="A495" s="168"/>
      <c r="B495" s="162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>
      <c r="A496" s="168"/>
      <c r="B496" s="162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>
      <c r="A497" s="168"/>
      <c r="B497" s="162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>
      <c r="A498" s="168"/>
      <c r="B498" s="162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>
      <c r="A499" s="168"/>
      <c r="B499" s="162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>
      <c r="A500" s="168"/>
      <c r="B500" s="162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>
      <c r="A501" s="168"/>
      <c r="B501" s="162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>
      <c r="A502" s="168"/>
      <c r="B502" s="162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>
      <c r="A503" s="168"/>
      <c r="B503" s="162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>
      <c r="A504" s="168"/>
      <c r="B504" s="162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>
      <c r="A505" s="168"/>
      <c r="B505" s="162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>
      <c r="A506" s="168"/>
      <c r="B506" s="162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>
      <c r="A507" s="168"/>
      <c r="B507" s="162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>
      <c r="A508" s="168"/>
      <c r="B508" s="162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>
      <c r="A509" s="168"/>
      <c r="B509" s="162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>
      <c r="A510" s="168"/>
      <c r="B510" s="162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>
      <c r="A511" s="168"/>
      <c r="B511" s="162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>
      <c r="A512" s="168"/>
      <c r="B512" s="162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>
      <c r="A513" s="168"/>
      <c r="B513" s="162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>
      <c r="A514" s="168"/>
      <c r="B514" s="162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>
      <c r="A515" s="168"/>
      <c r="B515" s="162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>
      <c r="A516" s="168"/>
      <c r="B516" s="162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>
      <c r="A517" s="168"/>
      <c r="B517" s="162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>
      <c r="A518" s="168"/>
      <c r="B518" s="162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>
      <c r="A519" s="168"/>
      <c r="B519" s="162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>
      <c r="A520" s="168"/>
      <c r="B520" s="162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>
      <c r="A521" s="168"/>
      <c r="B521" s="162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>
      <c r="A522" s="168"/>
      <c r="B522" s="162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>
      <c r="A523" s="168"/>
      <c r="B523" s="162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>
      <c r="A524" s="168"/>
      <c r="B524" s="162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>
      <c r="A525" s="168"/>
      <c r="B525" s="162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>
      <c r="A526" s="168"/>
      <c r="B526" s="162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>
      <c r="A527" s="168"/>
      <c r="B527" s="162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>
      <c r="A528" s="168"/>
      <c r="B528" s="162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>
      <c r="A529" s="168"/>
      <c r="B529" s="162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>
      <c r="A530" s="168"/>
      <c r="B530" s="162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>
      <c r="A531" s="168"/>
      <c r="B531" s="162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>
      <c r="A532" s="168"/>
      <c r="B532" s="162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>
      <c r="A533" s="168"/>
      <c r="B533" s="162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>
      <c r="A534" s="168"/>
      <c r="B534" s="162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>
      <c r="A535" s="168"/>
      <c r="B535" s="162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>
      <c r="A536" s="168"/>
      <c r="B536" s="162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>
      <c r="A537" s="168"/>
      <c r="B537" s="162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>
      <c r="A538" s="168"/>
      <c r="B538" s="162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>
      <c r="A539" s="168"/>
      <c r="B539" s="162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>
      <c r="A540" s="168"/>
      <c r="B540" s="162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>
      <c r="A541" s="168"/>
      <c r="B541" s="162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>
      <c r="A542" s="168"/>
      <c r="B542" s="162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>
      <c r="A543" s="168"/>
      <c r="B543" s="162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>
      <c r="A544" s="168"/>
      <c r="B544" s="162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>
      <c r="A545" s="168"/>
      <c r="B545" s="162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>
      <c r="A546" s="168"/>
      <c r="B546" s="162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>
      <c r="A547" s="168"/>
      <c r="B547" s="162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>
      <c r="A548" s="168"/>
      <c r="B548" s="162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>
      <c r="A549" s="168"/>
      <c r="B549" s="162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>
      <c r="A550" s="168"/>
      <c r="B550" s="162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>
      <c r="A551" s="168"/>
      <c r="B551" s="162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>
      <c r="A552" s="168"/>
      <c r="B552" s="162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>
      <c r="A553" s="168"/>
      <c r="B553" s="162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>
      <c r="A554" s="168"/>
      <c r="B554" s="162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>
      <c r="A555" s="168"/>
      <c r="B555" s="162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>
      <c r="A556" s="168"/>
      <c r="B556" s="162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>
      <c r="A557" s="168"/>
      <c r="B557" s="162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>
      <c r="A558" s="168"/>
      <c r="B558" s="162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>
      <c r="A559" s="168"/>
      <c r="B559" s="162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>
      <c r="A560" s="168"/>
      <c r="B560" s="162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>
      <c r="A561" s="168"/>
      <c r="B561" s="162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>
      <c r="A562" s="168"/>
      <c r="B562" s="162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>
      <c r="A563" s="168"/>
      <c r="B563" s="162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>
      <c r="A564" s="168"/>
      <c r="B564" s="162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>
      <c r="A565" s="168"/>
      <c r="B565" s="162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>
      <c r="A566" s="168"/>
      <c r="B566" s="162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>
      <c r="A567" s="168"/>
      <c r="B567" s="162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>
      <c r="A568" s="168"/>
      <c r="B568" s="162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>
      <c r="A569" s="168"/>
      <c r="B569" s="162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>
      <c r="A570" s="168"/>
      <c r="B570" s="162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>
      <c r="A571" s="168"/>
      <c r="B571" s="162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>
      <c r="A572" s="168"/>
      <c r="B572" s="162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>
      <c r="A573" s="168"/>
      <c r="B573" s="162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>
      <c r="A574" s="168"/>
      <c r="B574" s="162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>
      <c r="A575" s="168"/>
      <c r="B575" s="162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>
      <c r="A576" s="168"/>
      <c r="B576" s="162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>
      <c r="A577" s="168"/>
      <c r="B577" s="162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>
      <c r="A578" s="168"/>
      <c r="B578" s="162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>
      <c r="A579" s="168"/>
      <c r="B579" s="162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>
      <c r="A580" s="168"/>
      <c r="B580" s="162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>
      <c r="A581" s="168"/>
      <c r="B581" s="162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>
      <c r="A582" s="168"/>
      <c r="B582" s="162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>
      <c r="A583" s="168"/>
      <c r="B583" s="162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>
      <c r="A584" s="168"/>
      <c r="B584" s="162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>
      <c r="A585" s="168"/>
      <c r="B585" s="162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>
      <c r="A586" s="168"/>
      <c r="B586" s="162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>
      <c r="A587" s="168"/>
      <c r="B587" s="162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>
      <c r="A588" s="168"/>
      <c r="B588" s="162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>
      <c r="A589" s="168"/>
      <c r="B589" s="162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>
      <c r="A590" s="168"/>
      <c r="B590" s="162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>
      <c r="A591" s="168"/>
      <c r="B591" s="162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>
      <c r="A592" s="168"/>
      <c r="B592" s="162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>
      <c r="A593" s="168"/>
      <c r="B593" s="162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>
      <c r="A594" s="168"/>
      <c r="B594" s="162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>
      <c r="A595" s="168"/>
      <c r="B595" s="162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>
      <c r="A596" s="168"/>
      <c r="B596" s="162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>
      <c r="A597" s="168"/>
      <c r="B597" s="162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>
      <c r="A598" s="168"/>
      <c r="B598" s="162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>
      <c r="A599" s="168"/>
      <c r="B599" s="162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>
      <c r="A600" s="168"/>
      <c r="B600" s="162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>
      <c r="A601" s="168"/>
      <c r="B601" s="162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>
      <c r="A602" s="168"/>
      <c r="B602" s="162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>
      <c r="A603" s="168"/>
      <c r="B603" s="162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>
      <c r="A604" s="168"/>
      <c r="B604" s="162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>
      <c r="A605" s="168"/>
      <c r="B605" s="162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>
      <c r="A606" s="168"/>
      <c r="B606" s="162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>
      <c r="A607" s="168"/>
      <c r="B607" s="162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>
      <c r="A608" s="168"/>
      <c r="B608" s="162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>
      <c r="A609" s="168"/>
      <c r="B609" s="162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>
      <c r="A610" s="168"/>
      <c r="B610" s="162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>
      <c r="A611" s="168"/>
      <c r="B611" s="162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>
      <c r="A612" s="168"/>
      <c r="B612" s="162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>
      <c r="A613" s="168"/>
      <c r="B613" s="162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>
      <c r="A614" s="168"/>
      <c r="B614" s="162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>
      <c r="A615" s="168"/>
      <c r="B615" s="162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>
      <c r="A616" s="168"/>
      <c r="B616" s="162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>
      <c r="A617" s="168"/>
      <c r="B617" s="162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>
      <c r="A618" s="168"/>
      <c r="B618" s="162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>
      <c r="A619" s="168"/>
      <c r="B619" s="162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>
      <c r="A620" s="168"/>
      <c r="B620" s="162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>
      <c r="A621" s="168"/>
      <c r="B621" s="162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>
      <c r="A622" s="168"/>
      <c r="B622" s="162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>
      <c r="A623" s="168"/>
      <c r="B623" s="162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>
      <c r="A624" s="168"/>
      <c r="B624" s="162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>
      <c r="A625" s="168"/>
      <c r="B625" s="162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>
      <c r="A626" s="168"/>
      <c r="B626" s="162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>
      <c r="A627" s="168"/>
      <c r="B627" s="162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>
      <c r="A628" s="168"/>
      <c r="B628" s="162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>
      <c r="A629" s="168"/>
      <c r="B629" s="162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>
      <c r="A630" s="168"/>
      <c r="B630" s="162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>
      <c r="A631" s="168"/>
      <c r="B631" s="162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>
      <c r="A632" s="168"/>
      <c r="B632" s="162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>
      <c r="A633" s="168"/>
      <c r="B633" s="162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>
      <c r="A634" s="168"/>
      <c r="B634" s="162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>
      <c r="A635" s="168"/>
      <c r="B635" s="162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>
      <c r="A636" s="168"/>
      <c r="B636" s="162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>
      <c r="A637" s="168"/>
      <c r="B637" s="162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>
      <c r="A638" s="168"/>
      <c r="B638" s="162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>
      <c r="A639" s="168"/>
      <c r="B639" s="162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>
      <c r="A640" s="168"/>
      <c r="B640" s="162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>
      <c r="A641" s="168"/>
      <c r="B641" s="162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>
      <c r="A642" s="168"/>
      <c r="B642" s="162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>
      <c r="A643" s="168"/>
      <c r="B643" s="162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>
      <c r="A644" s="168"/>
      <c r="B644" s="162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>
      <c r="A645" s="168"/>
      <c r="B645" s="162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>
      <c r="A646" s="168"/>
      <c r="B646" s="162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>
      <c r="A647" s="168"/>
      <c r="B647" s="162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>
      <c r="A648" s="168"/>
      <c r="B648" s="162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>
      <c r="A649" s="168"/>
      <c r="B649" s="162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>
      <c r="A650" s="168"/>
      <c r="B650" s="162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>
      <c r="A651" s="168"/>
      <c r="B651" s="162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>
      <c r="A652" s="168"/>
      <c r="B652" s="162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>
      <c r="A653" s="168"/>
      <c r="B653" s="162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>
      <c r="A654" s="168"/>
      <c r="B654" s="162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>
      <c r="A655" s="168"/>
      <c r="B655" s="162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>
      <c r="A656" s="168"/>
      <c r="B656" s="162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>
      <c r="A657" s="168"/>
      <c r="B657" s="162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>
      <c r="A658" s="168"/>
      <c r="B658" s="162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>
      <c r="A659" s="168"/>
      <c r="B659" s="162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>
      <c r="A660" s="168"/>
      <c r="B660" s="162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>
      <c r="A661" s="168"/>
      <c r="B661" s="162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>
      <c r="A662" s="168"/>
      <c r="B662" s="162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>
      <c r="A663" s="168"/>
      <c r="B663" s="162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>
      <c r="A664" s="168"/>
      <c r="B664" s="162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>
      <c r="A665" s="168"/>
      <c r="B665" s="162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>
      <c r="A666" s="168"/>
      <c r="B666" s="162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>
      <c r="A667" s="168"/>
      <c r="B667" s="162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>
      <c r="A668" s="168"/>
      <c r="B668" s="162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>
      <c r="A669" s="168"/>
      <c r="B669" s="162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>
      <c r="A670" s="168"/>
      <c r="B670" s="162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>
      <c r="A671" s="168"/>
      <c r="B671" s="162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>
      <c r="A672" s="168"/>
      <c r="B672" s="162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>
      <c r="A673" s="168"/>
      <c r="B673" s="162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>
      <c r="A674" s="168"/>
      <c r="B674" s="162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>
      <c r="A675" s="168"/>
      <c r="B675" s="162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>
      <c r="A676" s="168"/>
      <c r="B676" s="162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>
      <c r="A677" s="168"/>
      <c r="B677" s="162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>
      <c r="A678" s="168"/>
      <c r="B678" s="162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>
      <c r="A679" s="168"/>
      <c r="B679" s="162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>
      <c r="A680" s="168"/>
      <c r="B680" s="162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>
      <c r="A681" s="168"/>
      <c r="B681" s="162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>
      <c r="A682" s="168"/>
      <c r="B682" s="162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>
      <c r="A683" s="168"/>
      <c r="B683" s="162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>
      <c r="A684" s="168"/>
      <c r="B684" s="162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>
      <c r="A685" s="168"/>
      <c r="B685" s="162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>
      <c r="A686" s="168"/>
      <c r="B686" s="162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>
      <c r="A687" s="168"/>
      <c r="B687" s="162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>
      <c r="A688" s="168"/>
      <c r="B688" s="162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>
      <c r="A689" s="168"/>
      <c r="B689" s="162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>
      <c r="A690" s="168"/>
      <c r="B690" s="162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>
      <c r="A691" s="168"/>
      <c r="B691" s="162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>
      <c r="A692" s="168"/>
      <c r="B692" s="162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>
      <c r="A693" s="168"/>
      <c r="B693" s="162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>
      <c r="A694" s="168"/>
      <c r="B694" s="162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>
      <c r="A695" s="168"/>
      <c r="B695" s="162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>
      <c r="A696" s="168"/>
      <c r="B696" s="162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>
      <c r="A697" s="168"/>
      <c r="B697" s="162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>
      <c r="A698" s="168"/>
      <c r="B698" s="162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>
      <c r="A699" s="168"/>
      <c r="B699" s="162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>
      <c r="A700" s="168"/>
      <c r="B700" s="162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>
      <c r="A701" s="168"/>
      <c r="B701" s="162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>
      <c r="A702" s="168"/>
      <c r="B702" s="162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>
      <c r="A703" s="168"/>
      <c r="B703" s="162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>
      <c r="A704" s="168"/>
      <c r="B704" s="162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>
      <c r="A705" s="168"/>
      <c r="B705" s="162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>
      <c r="A706" s="168"/>
      <c r="B706" s="162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>
      <c r="A707" s="168"/>
      <c r="B707" s="162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>
      <c r="A708" s="168"/>
      <c r="B708" s="162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>
      <c r="A709" s="168"/>
      <c r="B709" s="162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>
      <c r="A710" s="168"/>
      <c r="B710" s="162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>
      <c r="A711" s="168"/>
      <c r="B711" s="162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>
      <c r="A712" s="168"/>
      <c r="B712" s="162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>
      <c r="A713" s="168"/>
      <c r="B713" s="162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>
      <c r="A714" s="168"/>
      <c r="B714" s="162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>
      <c r="A715" s="168"/>
      <c r="B715" s="162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>
      <c r="A716" s="168"/>
      <c r="B716" s="162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>
      <c r="A717" s="168"/>
      <c r="B717" s="162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>
      <c r="A718" s="168"/>
      <c r="B718" s="162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>
      <c r="A719" s="168"/>
      <c r="B719" s="162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>
      <c r="A720" s="168"/>
      <c r="B720" s="162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>
      <c r="A721" s="168"/>
      <c r="B721" s="162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>
      <c r="A722" s="168"/>
      <c r="B722" s="162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>
      <c r="A723" s="168"/>
      <c r="B723" s="162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>
      <c r="A724" s="168"/>
      <c r="B724" s="162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>
      <c r="A725" s="168"/>
      <c r="B725" s="162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>
      <c r="A726" s="168"/>
      <c r="B726" s="162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>
      <c r="A727" s="168"/>
      <c r="B727" s="162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>
      <c r="A728" s="168"/>
      <c r="B728" s="162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>
      <c r="A729" s="168"/>
      <c r="B729" s="162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>
      <c r="A730" s="168"/>
      <c r="B730" s="162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>
      <c r="A731" s="168"/>
      <c r="B731" s="162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>
      <c r="A732" s="168"/>
      <c r="B732" s="162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>
      <c r="A733" s="168"/>
      <c r="B733" s="162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>
      <c r="A734" s="168"/>
      <c r="B734" s="162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>
      <c r="A735" s="168"/>
      <c r="B735" s="162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>
      <c r="A736" s="168"/>
      <c r="B736" s="162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>
      <c r="A737" s="168"/>
      <c r="B737" s="162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>
      <c r="A738" s="168"/>
      <c r="B738" s="162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>
      <c r="A739" s="168"/>
      <c r="B739" s="162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>
      <c r="A740" s="168"/>
      <c r="B740" s="162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>
      <c r="A741" s="168"/>
      <c r="B741" s="162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>
      <c r="A742" s="168"/>
      <c r="B742" s="162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>
      <c r="A743" s="168"/>
      <c r="B743" s="162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>
      <c r="A744" s="168"/>
      <c r="B744" s="162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>
      <c r="A745" s="168"/>
      <c r="B745" s="162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>
      <c r="A746" s="168"/>
      <c r="B746" s="162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>
      <c r="A747" s="168"/>
      <c r="B747" s="162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>
      <c r="A748" s="168"/>
      <c r="B748" s="162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>
      <c r="A749" s="168"/>
      <c r="B749" s="162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>
      <c r="A750" s="168"/>
      <c r="B750" s="162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>
      <c r="A751" s="168"/>
      <c r="B751" s="162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>
      <c r="A752" s="168"/>
      <c r="B752" s="162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>
      <c r="A753" s="168"/>
      <c r="B753" s="162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>
      <c r="A754" s="168"/>
      <c r="B754" s="162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>
      <c r="A755" s="168"/>
      <c r="B755" s="162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>
      <c r="A756" s="168"/>
      <c r="B756" s="162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>
      <c r="A757" s="168"/>
      <c r="B757" s="162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>
      <c r="A758" s="168"/>
      <c r="B758" s="162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>
      <c r="A759" s="168"/>
      <c r="B759" s="162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>
      <c r="A760" s="168"/>
      <c r="B760" s="162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>
      <c r="A761" s="168"/>
      <c r="B761" s="162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>
      <c r="A762" s="168"/>
      <c r="B762" s="162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>
      <c r="A763" s="168"/>
      <c r="B763" s="162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>
      <c r="A764" s="168"/>
      <c r="B764" s="162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>
      <c r="A765" s="168"/>
      <c r="B765" s="162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>
      <c r="A766" s="168"/>
      <c r="B766" s="162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>
      <c r="A767" s="168"/>
      <c r="B767" s="162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>
      <c r="A768" s="168"/>
      <c r="B768" s="162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>
      <c r="A769" s="168"/>
      <c r="B769" s="162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>
      <c r="A770" s="168"/>
      <c r="B770" s="162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>
      <c r="A771" s="168"/>
      <c r="B771" s="162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>
      <c r="A772" s="168"/>
      <c r="B772" s="162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>
      <c r="A773" s="168"/>
      <c r="B773" s="162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>
      <c r="A774" s="168"/>
      <c r="B774" s="162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>
      <c r="A775" s="168"/>
      <c r="B775" s="162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>
      <c r="A776" s="168"/>
      <c r="B776" s="162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>
      <c r="A777" s="168"/>
      <c r="B777" s="162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>
      <c r="A778" s="168"/>
      <c r="B778" s="162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>
      <c r="A779" s="168"/>
      <c r="B779" s="162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>
      <c r="A780" s="168"/>
      <c r="B780" s="162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>
      <c r="A781" s="168"/>
      <c r="B781" s="162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>
      <c r="A782" s="168"/>
      <c r="B782" s="162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>
      <c r="A783" s="168"/>
      <c r="B783" s="162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>
      <c r="A784" s="168"/>
      <c r="B784" s="162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>
      <c r="A785" s="168"/>
      <c r="B785" s="162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>
      <c r="A786" s="168"/>
      <c r="B786" s="162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>
      <c r="A787" s="168"/>
      <c r="B787" s="162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>
      <c r="A788" s="168"/>
      <c r="B788" s="162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>
      <c r="A789" s="168"/>
      <c r="B789" s="162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>
      <c r="A790" s="168"/>
      <c r="B790" s="162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>
      <c r="A791" s="168"/>
      <c r="B791" s="162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>
      <c r="A792" s="168"/>
      <c r="B792" s="162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>
      <c r="A793" s="168"/>
      <c r="B793" s="162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>
      <c r="A794" s="168"/>
      <c r="B794" s="162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>
      <c r="A795" s="168"/>
      <c r="B795" s="162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>
      <c r="A796" s="168"/>
      <c r="B796" s="162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>
      <c r="A797" s="168"/>
      <c r="B797" s="162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>
      <c r="A798" s="168"/>
      <c r="B798" s="162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>
      <c r="A799" s="168"/>
      <c r="B799" s="162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>
      <c r="A800" s="168"/>
      <c r="B800" s="162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>
      <c r="A801" s="168"/>
      <c r="B801" s="162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>
      <c r="A802" s="168"/>
      <c r="B802" s="162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>
      <c r="A803" s="168"/>
      <c r="B803" s="162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>
      <c r="A804" s="168"/>
      <c r="B804" s="162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>
      <c r="A805" s="168"/>
      <c r="B805" s="162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>
      <c r="A806" s="168"/>
      <c r="B806" s="162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>
      <c r="A807" s="168"/>
      <c r="B807" s="162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>
      <c r="A808" s="168"/>
      <c r="B808" s="162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>
      <c r="A809" s="168"/>
      <c r="B809" s="162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>
      <c r="A810" s="168"/>
      <c r="B810" s="162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>
      <c r="A811" s="168"/>
      <c r="B811" s="162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>
      <c r="A812" s="168"/>
      <c r="B812" s="162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>
      <c r="A813" s="168"/>
      <c r="B813" s="162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>
      <c r="A814" s="168"/>
      <c r="B814" s="162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>
      <c r="A815" s="168"/>
      <c r="B815" s="162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>
      <c r="A816" s="168"/>
      <c r="B816" s="162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>
      <c r="A817" s="168"/>
      <c r="B817" s="162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>
      <c r="A818" s="168"/>
      <c r="B818" s="162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>
      <c r="A819" s="168"/>
      <c r="B819" s="162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>
      <c r="A820" s="168"/>
      <c r="B820" s="162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>
      <c r="A821" s="168"/>
      <c r="B821" s="162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>
      <c r="A822" s="168"/>
      <c r="B822" s="162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>
      <c r="A823" s="168"/>
      <c r="B823" s="162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>
      <c r="A824" s="168"/>
      <c r="B824" s="162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>
      <c r="A825" s="168"/>
      <c r="B825" s="162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>
      <c r="A826" s="168"/>
      <c r="B826" s="162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>
      <c r="A827" s="168"/>
      <c r="B827" s="162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>
      <c r="A828" s="168"/>
      <c r="B828" s="162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>
      <c r="A829" s="168"/>
      <c r="B829" s="162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>
      <c r="A830" s="168"/>
      <c r="B830" s="162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>
      <c r="A831" s="168"/>
      <c r="B831" s="162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>
      <c r="A832" s="168"/>
      <c r="B832" s="162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>
      <c r="A833" s="168"/>
      <c r="B833" s="162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>
      <c r="A834" s="168"/>
      <c r="B834" s="162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>
      <c r="A835" s="168"/>
      <c r="B835" s="162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>
      <c r="A836" s="168"/>
      <c r="B836" s="162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>
      <c r="A837" s="168"/>
      <c r="B837" s="162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>
      <c r="A838" s="168"/>
      <c r="B838" s="162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>
      <c r="A839" s="168"/>
      <c r="B839" s="162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>
      <c r="A840" s="168"/>
      <c r="B840" s="162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>
      <c r="A841" s="168"/>
      <c r="B841" s="162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>
      <c r="A842" s="168"/>
      <c r="B842" s="162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>
      <c r="A843" s="168"/>
      <c r="B843" s="162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>
      <c r="A844" s="168"/>
      <c r="B844" s="162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>
      <c r="A845" s="168"/>
      <c r="B845" s="162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>
      <c r="A846" s="168"/>
      <c r="B846" s="162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>
      <c r="A847" s="168"/>
      <c r="B847" s="162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>
      <c r="A848" s="168"/>
      <c r="B848" s="162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>
      <c r="A849" s="168"/>
      <c r="B849" s="162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>
      <c r="A850" s="168"/>
      <c r="B850" s="162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>
      <c r="A851" s="168"/>
      <c r="B851" s="162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>
      <c r="A852" s="168"/>
      <c r="B852" s="162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>
      <c r="A853" s="168"/>
      <c r="B853" s="162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>
      <c r="A854" s="168"/>
      <c r="B854" s="162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>
      <c r="A855" s="168"/>
      <c r="B855" s="162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>
      <c r="A856" s="168"/>
      <c r="B856" s="162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>
      <c r="A857" s="168"/>
      <c r="B857" s="162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>
      <c r="A858" s="168"/>
      <c r="B858" s="162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>
      <c r="A859" s="168"/>
      <c r="B859" s="162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>
      <c r="A860" s="168"/>
      <c r="B860" s="162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>
      <c r="A861" s="168"/>
      <c r="B861" s="162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>
      <c r="A862" s="168"/>
      <c r="B862" s="162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>
      <c r="A863" s="168"/>
      <c r="B863" s="162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>
      <c r="A864" s="168"/>
      <c r="B864" s="162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>
      <c r="A865" s="168"/>
      <c r="B865" s="162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>
      <c r="A866" s="168"/>
      <c r="B866" s="162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>
      <c r="A867" s="168"/>
      <c r="B867" s="162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>
      <c r="A868" s="168"/>
      <c r="B868" s="162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>
      <c r="A869" s="168"/>
      <c r="B869" s="162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>
      <c r="A870" s="168"/>
      <c r="B870" s="162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>
      <c r="A871" s="168"/>
      <c r="B871" s="162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>
      <c r="A872" s="168"/>
      <c r="B872" s="162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>
      <c r="A873" s="168"/>
      <c r="B873" s="162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>
      <c r="A874" s="168"/>
      <c r="B874" s="162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>
      <c r="A875" s="168"/>
      <c r="B875" s="162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>
      <c r="A876" s="168"/>
      <c r="B876" s="162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>
      <c r="A877" s="168"/>
      <c r="B877" s="162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>
      <c r="A878" s="168"/>
      <c r="B878" s="162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>
      <c r="A879" s="168"/>
      <c r="B879" s="162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>
      <c r="A880" s="168"/>
      <c r="B880" s="162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>
      <c r="A881" s="168"/>
      <c r="B881" s="162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>
      <c r="A882" s="168"/>
      <c r="B882" s="162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>
      <c r="A883" s="168"/>
      <c r="B883" s="162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>
      <c r="A884" s="168"/>
      <c r="B884" s="162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>
      <c r="A885" s="168"/>
      <c r="B885" s="162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>
      <c r="A886" s="168"/>
      <c r="B886" s="162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>
      <c r="A887" s="168"/>
      <c r="B887" s="162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>
      <c r="A888" s="168"/>
      <c r="B888" s="162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>
      <c r="A889" s="168"/>
      <c r="B889" s="162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>
      <c r="A890" s="168"/>
      <c r="B890" s="162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>
      <c r="A891" s="168"/>
      <c r="B891" s="162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>
      <c r="A892" s="168"/>
      <c r="B892" s="162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>
      <c r="A893" s="168"/>
      <c r="B893" s="162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>
      <c r="A894" s="168"/>
      <c r="B894" s="162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>
      <c r="A895" s="168"/>
      <c r="B895" s="162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>
      <c r="A896" s="168"/>
      <c r="B896" s="162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>
      <c r="A897" s="168"/>
      <c r="B897" s="162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>
      <c r="A898" s="168"/>
      <c r="B898" s="162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>
      <c r="A899" s="168"/>
      <c r="B899" s="162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>
      <c r="A900" s="168"/>
      <c r="B900" s="162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>
      <c r="A901" s="168"/>
      <c r="B901" s="162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>
      <c r="A902" s="168"/>
      <c r="B902" s="162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>
      <c r="A903" s="168"/>
      <c r="B903" s="162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>
      <c r="A904" s="168"/>
      <c r="B904" s="162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>
      <c r="A905" s="168"/>
      <c r="B905" s="162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>
      <c r="A906" s="168"/>
      <c r="B906" s="162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>
      <c r="A907" s="168"/>
      <c r="B907" s="162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>
      <c r="A908" s="168"/>
      <c r="B908" s="162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>
      <c r="A909" s="168"/>
      <c r="B909" s="162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>
      <c r="A910" s="168"/>
      <c r="B910" s="162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>
      <c r="A911" s="168"/>
      <c r="B911" s="162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>
      <c r="A912" s="168"/>
      <c r="B912" s="162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>
      <c r="A913" s="168"/>
      <c r="B913" s="162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>
      <c r="A914" s="168"/>
      <c r="B914" s="162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>
      <c r="A915" s="168"/>
      <c r="B915" s="162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>
      <c r="A916" s="168"/>
      <c r="B916" s="162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>
      <c r="A917" s="168"/>
      <c r="B917" s="162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>
      <c r="A918" s="168"/>
      <c r="B918" s="162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>
      <c r="A919" s="168"/>
      <c r="B919" s="162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>
      <c r="A920" s="168"/>
      <c r="B920" s="162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>
      <c r="A921" s="168"/>
      <c r="B921" s="162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>
      <c r="A922" s="168"/>
      <c r="B922" s="162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>
      <c r="A923" s="168"/>
      <c r="B923" s="162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>
      <c r="A924" s="168"/>
      <c r="B924" s="162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>
      <c r="A925" s="168"/>
      <c r="B925" s="162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>
      <c r="A926" s="168"/>
      <c r="B926" s="162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>
      <c r="A927" s="168"/>
      <c r="B927" s="162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>
      <c r="A928" s="168"/>
      <c r="B928" s="162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>
      <c r="A929" s="168"/>
      <c r="B929" s="162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>
      <c r="A930" s="168"/>
      <c r="B930" s="162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>
      <c r="A931" s="168"/>
      <c r="B931" s="162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>
      <c r="A932" s="168"/>
      <c r="B932" s="162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>
      <c r="A933" s="168"/>
      <c r="B933" s="162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>
      <c r="A934" s="168"/>
      <c r="B934" s="162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>
      <c r="A935" s="168"/>
      <c r="B935" s="162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>
      <c r="A936" s="168"/>
      <c r="B936" s="162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>
      <c r="A937" s="168"/>
      <c r="B937" s="162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>
      <c r="A938" s="168"/>
      <c r="B938" s="162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>
      <c r="A939" s="168"/>
      <c r="B939" s="162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>
      <c r="A940" s="168"/>
      <c r="B940" s="162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>
      <c r="A941" s="168"/>
      <c r="B941" s="162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>
      <c r="A942" s="168"/>
      <c r="B942" s="162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>
      <c r="A943" s="168"/>
      <c r="B943" s="162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>
      <c r="A944" s="168"/>
      <c r="B944" s="162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>
      <c r="A945" s="168"/>
      <c r="B945" s="162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>
      <c r="A946" s="168"/>
      <c r="B946" s="162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>
      <c r="A947" s="168"/>
      <c r="B947" s="162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>
      <c r="A948" s="168"/>
      <c r="B948" s="162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>
      <c r="A949" s="168"/>
      <c r="B949" s="162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>
      <c r="A950" s="168"/>
      <c r="B950" s="162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>
      <c r="A951" s="168"/>
      <c r="B951" s="162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>
      <c r="A952" s="168"/>
      <c r="B952" s="162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>
      <c r="A953" s="168"/>
      <c r="B953" s="162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>
      <c r="A954" s="168"/>
      <c r="B954" s="162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>
      <c r="A955" s="168"/>
      <c r="B955" s="162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>
      <c r="A956" s="168"/>
      <c r="B956" s="162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>
      <c r="A957" s="168"/>
      <c r="B957" s="162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>
      <c r="A958" s="168"/>
      <c r="B958" s="162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>
      <c r="A959" s="168"/>
      <c r="B959" s="162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>
      <c r="A960" s="168"/>
      <c r="B960" s="162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>
      <c r="A961" s="168"/>
      <c r="B961" s="162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>
      <c r="A962" s="168"/>
      <c r="B962" s="162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>
      <c r="A963" s="168"/>
      <c r="B963" s="162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>
      <c r="A964" s="168"/>
      <c r="B964" s="162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>
      <c r="A965" s="168"/>
      <c r="B965" s="162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>
      <c r="A966" s="168"/>
      <c r="B966" s="162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>
      <c r="A967" s="168"/>
      <c r="B967" s="162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>
      <c r="A968" s="168"/>
      <c r="B968" s="162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>
      <c r="A969" s="168"/>
      <c r="B969" s="162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>
      <c r="A970" s="168"/>
      <c r="B970" s="162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>
      <c r="A971" s="168"/>
      <c r="B971" s="162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>
      <c r="A972" s="168"/>
      <c r="B972" s="162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>
      <c r="A973" s="168"/>
      <c r="B973" s="162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>
      <c r="A974" s="168"/>
      <c r="B974" s="162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>
      <c r="A975" s="168"/>
      <c r="B975" s="162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>
      <c r="A976" s="168"/>
      <c r="B976" s="162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>
      <c r="A977" s="168"/>
      <c r="B977" s="162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>
      <c r="A978" s="168"/>
      <c r="B978" s="162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>
      <c r="A979" s="168"/>
      <c r="B979" s="162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>
      <c r="A980" s="168"/>
      <c r="B980" s="162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>
      <c r="A981" s="168"/>
      <c r="B981" s="162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>
      <c r="A982" s="168"/>
      <c r="B982" s="162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>
      <c r="A983" s="168"/>
      <c r="B983" s="162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>
      <c r="A984" s="168"/>
      <c r="B984" s="162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>
      <c r="A985" s="168"/>
      <c r="B985" s="162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>
      <c r="A986" s="168"/>
      <c r="B986" s="162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>
      <c r="A987" s="168"/>
      <c r="B987" s="162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>
      <c r="A988" s="168"/>
      <c r="B988" s="162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>
      <c r="A989" s="168"/>
      <c r="B989" s="162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>
      <c r="A990" s="168"/>
      <c r="B990" s="162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>
      <c r="A991" s="168"/>
      <c r="B991" s="162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>
      <c r="A992" s="168"/>
      <c r="B992" s="162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>
      <c r="A993" s="168"/>
      <c r="B993" s="162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>
      <c r="A994" s="168"/>
      <c r="B994" s="162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>
      <c r="A995" s="168"/>
      <c r="B995" s="162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>
      <c r="A996" s="168"/>
      <c r="B996" s="162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  <row r="997">
      <c r="A997" s="168"/>
      <c r="B997" s="162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</row>
    <row r="998">
      <c r="A998" s="168"/>
      <c r="B998" s="162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</row>
    <row r="999">
      <c r="A999" s="168"/>
      <c r="B999" s="162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</row>
    <row r="1000">
      <c r="A1000" s="168"/>
      <c r="B1000" s="162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</row>
    <row r="1001">
      <c r="A1001" s="168"/>
      <c r="B1001" s="162"/>
      <c r="C1001" s="168"/>
      <c r="D1001" s="168"/>
      <c r="E1001" s="168"/>
      <c r="F1001" s="168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8"/>
      <c r="V1001" s="168"/>
      <c r="W1001" s="168"/>
      <c r="X1001" s="168"/>
      <c r="Y1001" s="168"/>
      <c r="Z1001" s="168"/>
    </row>
    <row r="1002">
      <c r="A1002" s="168"/>
      <c r="B1002" s="162"/>
      <c r="C1002" s="168"/>
      <c r="D1002" s="168"/>
      <c r="E1002" s="168"/>
      <c r="F1002" s="168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8"/>
      <c r="V1002" s="168"/>
      <c r="W1002" s="168"/>
      <c r="X1002" s="168"/>
      <c r="Y1002" s="168"/>
      <c r="Z1002" s="168"/>
    </row>
    <row r="1003">
      <c r="A1003" s="168"/>
      <c r="B1003" s="162"/>
      <c r="C1003" s="168"/>
      <c r="D1003" s="168"/>
      <c r="E1003" s="168"/>
      <c r="F1003" s="168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8"/>
      <c r="V1003" s="168"/>
      <c r="W1003" s="168"/>
      <c r="X1003" s="168"/>
      <c r="Y1003" s="168"/>
      <c r="Z1003" s="168"/>
    </row>
    <row r="1004">
      <c r="A1004" s="168"/>
      <c r="B1004" s="162"/>
      <c r="C1004" s="168"/>
      <c r="D1004" s="168"/>
      <c r="E1004" s="168"/>
      <c r="F1004" s="168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8"/>
      <c r="V1004" s="168"/>
      <c r="W1004" s="168"/>
      <c r="X1004" s="168"/>
      <c r="Y1004" s="168"/>
      <c r="Z1004" s="168"/>
    </row>
    <row r="1005">
      <c r="A1005" s="168"/>
      <c r="B1005" s="162"/>
      <c r="C1005" s="168"/>
      <c r="D1005" s="168"/>
      <c r="E1005" s="168"/>
      <c r="F1005" s="168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8"/>
      <c r="V1005" s="168"/>
      <c r="W1005" s="168"/>
      <c r="X1005" s="168"/>
      <c r="Y1005" s="168"/>
      <c r="Z1005" s="168"/>
    </row>
    <row r="1006">
      <c r="A1006" s="168"/>
      <c r="B1006" s="162"/>
      <c r="C1006" s="168"/>
      <c r="D1006" s="168"/>
      <c r="E1006" s="168"/>
      <c r="F1006" s="168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8"/>
      <c r="V1006" s="168"/>
      <c r="W1006" s="168"/>
      <c r="X1006" s="168"/>
      <c r="Y1006" s="168"/>
      <c r="Z1006" s="168"/>
    </row>
    <row r="1007">
      <c r="A1007" s="168"/>
      <c r="B1007" s="162"/>
      <c r="C1007" s="168"/>
      <c r="D1007" s="168"/>
      <c r="E1007" s="168"/>
      <c r="F1007" s="168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8"/>
      <c r="V1007" s="168"/>
      <c r="W1007" s="168"/>
      <c r="X1007" s="168"/>
      <c r="Y1007" s="168"/>
      <c r="Z1007" s="168"/>
    </row>
    <row r="1008">
      <c r="A1008" s="168"/>
      <c r="B1008" s="162"/>
      <c r="C1008" s="168"/>
      <c r="D1008" s="168"/>
      <c r="E1008" s="168"/>
      <c r="F1008" s="168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8"/>
      <c r="V1008" s="168"/>
      <c r="W1008" s="168"/>
      <c r="X1008" s="168"/>
      <c r="Y1008" s="168"/>
      <c r="Z1008" s="168"/>
    </row>
    <row r="1009">
      <c r="A1009" s="168"/>
      <c r="B1009" s="162"/>
      <c r="C1009" s="168"/>
      <c r="D1009" s="168"/>
      <c r="E1009" s="168"/>
      <c r="F1009" s="168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8"/>
      <c r="V1009" s="168"/>
      <c r="W1009" s="168"/>
      <c r="X1009" s="168"/>
      <c r="Y1009" s="168"/>
      <c r="Z1009" s="168"/>
    </row>
    <row r="1010">
      <c r="A1010" s="168"/>
      <c r="B1010" s="162"/>
      <c r="C1010" s="168"/>
      <c r="D1010" s="168"/>
      <c r="E1010" s="168"/>
      <c r="F1010" s="168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8"/>
      <c r="V1010" s="168"/>
      <c r="W1010" s="168"/>
      <c r="X1010" s="168"/>
      <c r="Y1010" s="168"/>
      <c r="Z1010" s="168"/>
    </row>
    <row r="1011">
      <c r="A1011" s="168"/>
      <c r="B1011" s="162"/>
      <c r="C1011" s="168"/>
      <c r="D1011" s="168"/>
      <c r="E1011" s="168"/>
      <c r="F1011" s="168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8"/>
      <c r="V1011" s="168"/>
      <c r="W1011" s="168"/>
      <c r="X1011" s="168"/>
      <c r="Y1011" s="168"/>
      <c r="Z1011" s="168"/>
    </row>
    <row r="1012">
      <c r="A1012" s="168"/>
      <c r="B1012" s="162"/>
      <c r="C1012" s="168"/>
      <c r="D1012" s="168"/>
      <c r="E1012" s="168"/>
      <c r="F1012" s="168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8"/>
      <c r="V1012" s="168"/>
      <c r="W1012" s="168"/>
      <c r="X1012" s="168"/>
      <c r="Y1012" s="168"/>
      <c r="Z1012" s="168"/>
    </row>
    <row r="1013">
      <c r="A1013" s="168"/>
      <c r="B1013" s="162"/>
      <c r="C1013" s="168"/>
      <c r="D1013" s="168"/>
      <c r="E1013" s="168"/>
      <c r="F1013" s="168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8"/>
      <c r="V1013" s="168"/>
      <c r="W1013" s="168"/>
      <c r="X1013" s="168"/>
      <c r="Y1013" s="168"/>
      <c r="Z1013" s="168"/>
    </row>
    <row r="1014">
      <c r="A1014" s="168"/>
      <c r="B1014" s="162"/>
      <c r="C1014" s="168"/>
      <c r="D1014" s="168"/>
      <c r="E1014" s="168"/>
      <c r="F1014" s="168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8"/>
      <c r="V1014" s="168"/>
      <c r="W1014" s="168"/>
      <c r="X1014" s="168"/>
      <c r="Y1014" s="168"/>
      <c r="Z1014" s="168"/>
    </row>
    <row r="1015">
      <c r="A1015" s="168"/>
      <c r="B1015" s="162"/>
      <c r="C1015" s="168"/>
      <c r="D1015" s="168"/>
      <c r="E1015" s="168"/>
      <c r="F1015" s="168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8"/>
      <c r="V1015" s="168"/>
      <c r="W1015" s="168"/>
      <c r="X1015" s="168"/>
      <c r="Y1015" s="168"/>
      <c r="Z1015" s="168"/>
    </row>
    <row r="1016">
      <c r="A1016" s="168"/>
      <c r="B1016" s="162"/>
      <c r="C1016" s="168"/>
      <c r="D1016" s="168"/>
      <c r="E1016" s="168"/>
      <c r="F1016" s="168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8"/>
      <c r="V1016" s="168"/>
      <c r="W1016" s="168"/>
      <c r="X1016" s="168"/>
      <c r="Y1016" s="168"/>
      <c r="Z1016" s="168"/>
    </row>
    <row r="1017">
      <c r="A1017" s="168"/>
      <c r="B1017" s="162"/>
      <c r="C1017" s="168"/>
      <c r="D1017" s="168"/>
      <c r="E1017" s="168"/>
      <c r="F1017" s="168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8"/>
      <c r="V1017" s="168"/>
      <c r="W1017" s="168"/>
      <c r="X1017" s="168"/>
      <c r="Y1017" s="168"/>
      <c r="Z1017" s="168"/>
    </row>
    <row r="1018">
      <c r="A1018" s="168"/>
      <c r="B1018" s="162"/>
      <c r="C1018" s="168"/>
      <c r="D1018" s="168"/>
      <c r="E1018" s="168"/>
      <c r="F1018" s="168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8"/>
      <c r="V1018" s="168"/>
      <c r="W1018" s="168"/>
      <c r="X1018" s="168"/>
      <c r="Y1018" s="168"/>
      <c r="Z1018" s="168"/>
    </row>
    <row r="1019">
      <c r="A1019" s="168"/>
      <c r="B1019" s="162"/>
      <c r="C1019" s="168"/>
      <c r="D1019" s="168"/>
      <c r="E1019" s="168"/>
      <c r="F1019" s="168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8"/>
      <c r="V1019" s="168"/>
      <c r="W1019" s="168"/>
      <c r="X1019" s="168"/>
      <c r="Y1019" s="168"/>
      <c r="Z1019" s="168"/>
    </row>
    <row r="1020">
      <c r="A1020" s="168"/>
      <c r="B1020" s="162"/>
      <c r="C1020" s="168"/>
      <c r="D1020" s="168"/>
      <c r="E1020" s="168"/>
      <c r="F1020" s="168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8"/>
      <c r="V1020" s="168"/>
      <c r="W1020" s="168"/>
      <c r="X1020" s="168"/>
      <c r="Y1020" s="168"/>
      <c r="Z1020" s="168"/>
    </row>
    <row r="1021">
      <c r="A1021" s="168"/>
      <c r="B1021" s="162"/>
      <c r="C1021" s="168"/>
      <c r="D1021" s="168"/>
      <c r="E1021" s="168"/>
      <c r="F1021" s="168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8"/>
      <c r="V1021" s="168"/>
      <c r="W1021" s="168"/>
      <c r="X1021" s="168"/>
      <c r="Y1021" s="168"/>
      <c r="Z1021" s="168"/>
    </row>
    <row r="1022">
      <c r="A1022" s="168"/>
      <c r="B1022" s="162"/>
      <c r="C1022" s="168"/>
      <c r="D1022" s="168"/>
      <c r="E1022" s="168"/>
      <c r="F1022" s="168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8"/>
      <c r="V1022" s="168"/>
      <c r="W1022" s="168"/>
      <c r="X1022" s="168"/>
      <c r="Y1022" s="168"/>
      <c r="Z1022" s="168"/>
    </row>
    <row r="1023">
      <c r="A1023" s="168"/>
      <c r="B1023" s="162"/>
      <c r="C1023" s="168"/>
      <c r="D1023" s="168"/>
      <c r="E1023" s="168"/>
      <c r="F1023" s="168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8"/>
      <c r="V1023" s="168"/>
      <c r="W1023" s="168"/>
      <c r="X1023" s="168"/>
      <c r="Y1023" s="168"/>
      <c r="Z1023" s="168"/>
    </row>
    <row r="1024">
      <c r="A1024" s="168"/>
      <c r="B1024" s="162"/>
      <c r="C1024" s="168"/>
      <c r="D1024" s="168"/>
      <c r="E1024" s="168"/>
      <c r="F1024" s="168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8"/>
      <c r="V1024" s="168"/>
      <c r="W1024" s="168"/>
      <c r="X1024" s="168"/>
      <c r="Y1024" s="168"/>
      <c r="Z1024" s="168"/>
    </row>
    <row r="1025">
      <c r="A1025" s="168"/>
      <c r="B1025" s="162"/>
      <c r="C1025" s="168"/>
      <c r="D1025" s="168"/>
      <c r="E1025" s="168"/>
      <c r="F1025" s="168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8"/>
      <c r="V1025" s="168"/>
      <c r="W1025" s="168"/>
      <c r="X1025" s="168"/>
      <c r="Y1025" s="168"/>
      <c r="Z1025" s="168"/>
    </row>
    <row r="1026">
      <c r="A1026" s="168"/>
      <c r="B1026" s="162"/>
      <c r="C1026" s="168"/>
      <c r="D1026" s="168"/>
      <c r="E1026" s="168"/>
      <c r="F1026" s="168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8"/>
      <c r="V1026" s="168"/>
      <c r="W1026" s="168"/>
      <c r="X1026" s="168"/>
      <c r="Y1026" s="168"/>
      <c r="Z1026" s="168"/>
    </row>
    <row r="1027">
      <c r="A1027" s="168"/>
      <c r="B1027" s="162"/>
      <c r="C1027" s="168"/>
      <c r="D1027" s="168"/>
      <c r="E1027" s="168"/>
      <c r="F1027" s="168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8"/>
      <c r="V1027" s="168"/>
      <c r="W1027" s="168"/>
      <c r="X1027" s="168"/>
      <c r="Y1027" s="168"/>
      <c r="Z1027" s="168"/>
    </row>
    <row r="1028">
      <c r="A1028" s="168"/>
      <c r="B1028" s="162"/>
      <c r="C1028" s="168"/>
      <c r="D1028" s="168"/>
      <c r="E1028" s="168"/>
      <c r="F1028" s="168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8"/>
      <c r="V1028" s="168"/>
      <c r="W1028" s="168"/>
      <c r="X1028" s="168"/>
      <c r="Y1028" s="168"/>
      <c r="Z1028" s="168"/>
    </row>
    <row r="1029">
      <c r="A1029" s="168"/>
      <c r="B1029" s="162"/>
      <c r="C1029" s="168"/>
      <c r="D1029" s="168"/>
      <c r="E1029" s="168"/>
      <c r="F1029" s="168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8"/>
      <c r="V1029" s="168"/>
      <c r="W1029" s="168"/>
      <c r="X1029" s="168"/>
      <c r="Y1029" s="168"/>
      <c r="Z1029" s="168"/>
    </row>
    <row r="1030">
      <c r="A1030" s="168"/>
      <c r="B1030" s="162"/>
      <c r="C1030" s="168"/>
      <c r="D1030" s="168"/>
      <c r="E1030" s="168"/>
      <c r="F1030" s="168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8"/>
      <c r="V1030" s="168"/>
      <c r="W1030" s="168"/>
      <c r="X1030" s="168"/>
      <c r="Y1030" s="168"/>
      <c r="Z1030" s="168"/>
    </row>
    <row r="1031">
      <c r="A1031" s="168"/>
      <c r="B1031" s="162"/>
      <c r="C1031" s="168"/>
      <c r="D1031" s="168"/>
      <c r="E1031" s="168"/>
      <c r="F1031" s="168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8"/>
      <c r="V1031" s="168"/>
      <c r="W1031" s="168"/>
      <c r="X1031" s="168"/>
      <c r="Y1031" s="168"/>
      <c r="Z1031" s="168"/>
    </row>
    <row r="1032">
      <c r="A1032" s="168"/>
      <c r="B1032" s="162"/>
      <c r="C1032" s="168"/>
      <c r="D1032" s="168"/>
      <c r="E1032" s="168"/>
      <c r="F1032" s="168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8"/>
      <c r="V1032" s="168"/>
      <c r="W1032" s="168"/>
      <c r="X1032" s="168"/>
      <c r="Y1032" s="168"/>
      <c r="Z1032" s="168"/>
    </row>
    <row r="1033">
      <c r="A1033" s="168"/>
      <c r="B1033" s="162"/>
      <c r="C1033" s="168"/>
      <c r="D1033" s="168"/>
      <c r="E1033" s="168"/>
      <c r="F1033" s="168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8"/>
      <c r="V1033" s="168"/>
      <c r="W1033" s="168"/>
      <c r="X1033" s="168"/>
      <c r="Y1033" s="168"/>
      <c r="Z1033" s="168"/>
    </row>
    <row r="1034">
      <c r="A1034" s="168"/>
      <c r="B1034" s="162"/>
      <c r="C1034" s="168"/>
      <c r="D1034" s="168"/>
      <c r="E1034" s="168"/>
      <c r="F1034" s="168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8"/>
      <c r="V1034" s="168"/>
      <c r="W1034" s="168"/>
      <c r="X1034" s="168"/>
      <c r="Y1034" s="168"/>
      <c r="Z1034" s="168"/>
    </row>
    <row r="1035">
      <c r="A1035" s="168"/>
      <c r="B1035" s="162"/>
      <c r="C1035" s="168"/>
      <c r="D1035" s="168"/>
      <c r="E1035" s="168"/>
      <c r="F1035" s="168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8"/>
      <c r="V1035" s="168"/>
      <c r="W1035" s="168"/>
      <c r="X1035" s="168"/>
      <c r="Y1035" s="168"/>
      <c r="Z1035" s="168"/>
    </row>
    <row r="1036">
      <c r="A1036" s="168"/>
      <c r="B1036" s="162"/>
      <c r="C1036" s="168"/>
      <c r="D1036" s="168"/>
      <c r="E1036" s="168"/>
      <c r="F1036" s="168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8"/>
      <c r="V1036" s="168"/>
      <c r="W1036" s="168"/>
      <c r="X1036" s="168"/>
      <c r="Y1036" s="168"/>
      <c r="Z1036" s="168"/>
    </row>
    <row r="1037">
      <c r="A1037" s="168"/>
      <c r="B1037" s="162"/>
      <c r="C1037" s="168"/>
      <c r="D1037" s="168"/>
      <c r="E1037" s="168"/>
      <c r="F1037" s="168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8"/>
      <c r="V1037" s="168"/>
      <c r="W1037" s="168"/>
      <c r="X1037" s="168"/>
      <c r="Y1037" s="168"/>
      <c r="Z1037" s="168"/>
    </row>
    <row r="1038">
      <c r="A1038" s="168"/>
      <c r="B1038" s="162"/>
      <c r="C1038" s="168"/>
      <c r="D1038" s="168"/>
      <c r="E1038" s="168"/>
      <c r="F1038" s="168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8"/>
      <c r="V1038" s="168"/>
      <c r="W1038" s="168"/>
      <c r="X1038" s="168"/>
      <c r="Y1038" s="168"/>
      <c r="Z1038" s="168"/>
    </row>
    <row r="1039">
      <c r="A1039" s="168"/>
      <c r="B1039" s="162"/>
      <c r="C1039" s="168"/>
      <c r="D1039" s="168"/>
      <c r="E1039" s="168"/>
      <c r="F1039" s="168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8"/>
      <c r="V1039" s="168"/>
      <c r="W1039" s="168"/>
      <c r="X1039" s="168"/>
      <c r="Y1039" s="168"/>
      <c r="Z1039" s="168"/>
    </row>
    <row r="1040">
      <c r="A1040" s="168"/>
      <c r="B1040" s="162"/>
      <c r="C1040" s="168"/>
      <c r="D1040" s="168"/>
      <c r="E1040" s="168"/>
      <c r="F1040" s="168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8"/>
      <c r="V1040" s="168"/>
      <c r="W1040" s="168"/>
      <c r="X1040" s="168"/>
      <c r="Y1040" s="168"/>
      <c r="Z1040" s="168"/>
    </row>
    <row r="1041">
      <c r="A1041" s="168"/>
      <c r="B1041" s="162"/>
      <c r="C1041" s="168"/>
      <c r="D1041" s="168"/>
      <c r="E1041" s="168"/>
      <c r="F1041" s="168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8"/>
      <c r="V1041" s="168"/>
      <c r="W1041" s="168"/>
      <c r="X1041" s="168"/>
      <c r="Y1041" s="168"/>
      <c r="Z1041" s="168"/>
    </row>
    <row r="1042">
      <c r="A1042" s="168"/>
      <c r="B1042" s="162"/>
      <c r="C1042" s="168"/>
      <c r="D1042" s="168"/>
      <c r="E1042" s="168"/>
      <c r="F1042" s="168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8"/>
      <c r="V1042" s="168"/>
      <c r="W1042" s="168"/>
      <c r="X1042" s="168"/>
      <c r="Y1042" s="168"/>
      <c r="Z1042" s="168"/>
    </row>
    <row r="1043">
      <c r="A1043" s="168"/>
      <c r="B1043" s="162"/>
      <c r="C1043" s="168"/>
      <c r="D1043" s="168"/>
      <c r="E1043" s="168"/>
      <c r="F1043" s="168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8"/>
      <c r="V1043" s="168"/>
      <c r="W1043" s="168"/>
      <c r="X1043" s="168"/>
      <c r="Y1043" s="168"/>
      <c r="Z1043" s="168"/>
    </row>
    <row r="1044">
      <c r="A1044" s="168"/>
      <c r="B1044" s="162"/>
      <c r="C1044" s="168"/>
      <c r="D1044" s="168"/>
      <c r="E1044" s="168"/>
      <c r="F1044" s="168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8"/>
      <c r="V1044" s="168"/>
      <c r="W1044" s="168"/>
      <c r="X1044" s="168"/>
      <c r="Y1044" s="168"/>
      <c r="Z1044" s="168"/>
    </row>
    <row r="1045">
      <c r="A1045" s="168"/>
      <c r="B1045" s="162"/>
      <c r="C1045" s="168"/>
      <c r="D1045" s="168"/>
      <c r="E1045" s="168"/>
      <c r="F1045" s="168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8"/>
      <c r="V1045" s="168"/>
      <c r="W1045" s="168"/>
      <c r="X1045" s="168"/>
      <c r="Y1045" s="168"/>
      <c r="Z1045" s="168"/>
    </row>
    <row r="1046">
      <c r="A1046" s="168"/>
      <c r="B1046" s="162"/>
      <c r="C1046" s="168"/>
      <c r="D1046" s="168"/>
      <c r="E1046" s="168"/>
      <c r="F1046" s="168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8"/>
      <c r="V1046" s="168"/>
      <c r="W1046" s="168"/>
      <c r="X1046" s="168"/>
      <c r="Y1046" s="168"/>
      <c r="Z1046" s="168"/>
    </row>
    <row r="1047">
      <c r="A1047" s="168"/>
      <c r="B1047" s="162"/>
      <c r="C1047" s="168"/>
      <c r="D1047" s="168"/>
      <c r="E1047" s="168"/>
      <c r="F1047" s="168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8"/>
      <c r="V1047" s="168"/>
      <c r="W1047" s="168"/>
      <c r="X1047" s="168"/>
      <c r="Y1047" s="168"/>
      <c r="Z1047" s="168"/>
    </row>
    <row r="1048">
      <c r="A1048" s="168"/>
      <c r="B1048" s="162"/>
      <c r="C1048" s="168"/>
      <c r="D1048" s="168"/>
      <c r="E1048" s="168"/>
      <c r="F1048" s="168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8"/>
      <c r="V1048" s="168"/>
      <c r="W1048" s="168"/>
      <c r="X1048" s="168"/>
      <c r="Y1048" s="168"/>
      <c r="Z1048" s="168"/>
    </row>
    <row r="1049">
      <c r="A1049" s="168"/>
      <c r="B1049" s="162"/>
      <c r="C1049" s="168"/>
      <c r="D1049" s="168"/>
      <c r="E1049" s="168"/>
      <c r="F1049" s="168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8"/>
      <c r="V1049" s="168"/>
      <c r="W1049" s="168"/>
      <c r="X1049" s="168"/>
      <c r="Y1049" s="168"/>
      <c r="Z1049" s="168"/>
    </row>
    <row r="1050">
      <c r="A1050" s="168"/>
      <c r="B1050" s="162"/>
      <c r="C1050" s="168"/>
      <c r="D1050" s="168"/>
      <c r="E1050" s="168"/>
      <c r="F1050" s="168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8"/>
      <c r="V1050" s="168"/>
      <c r="W1050" s="168"/>
      <c r="X1050" s="168"/>
      <c r="Y1050" s="168"/>
      <c r="Z1050" s="168"/>
    </row>
    <row r="1051">
      <c r="A1051" s="168"/>
      <c r="B1051" s="162"/>
      <c r="C1051" s="168"/>
      <c r="D1051" s="168"/>
      <c r="E1051" s="168"/>
      <c r="F1051" s="168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8"/>
      <c r="V1051" s="168"/>
      <c r="W1051" s="168"/>
      <c r="X1051" s="168"/>
      <c r="Y1051" s="168"/>
      <c r="Z1051" s="168"/>
    </row>
    <row r="1052">
      <c r="A1052" s="168"/>
      <c r="B1052" s="162"/>
      <c r="C1052" s="168"/>
      <c r="D1052" s="168"/>
      <c r="E1052" s="168"/>
      <c r="F1052" s="168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8"/>
      <c r="V1052" s="168"/>
      <c r="W1052" s="168"/>
      <c r="X1052" s="168"/>
      <c r="Y1052" s="168"/>
      <c r="Z1052" s="168"/>
    </row>
    <row r="1053">
      <c r="A1053" s="168"/>
      <c r="B1053" s="162"/>
      <c r="C1053" s="168"/>
      <c r="D1053" s="168"/>
      <c r="E1053" s="168"/>
      <c r="F1053" s="168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8"/>
      <c r="V1053" s="168"/>
      <c r="W1053" s="168"/>
      <c r="X1053" s="168"/>
      <c r="Y1053" s="168"/>
      <c r="Z1053" s="168"/>
    </row>
    <row r="1054">
      <c r="A1054" s="168"/>
      <c r="B1054" s="162"/>
      <c r="C1054" s="168"/>
      <c r="D1054" s="168"/>
      <c r="E1054" s="168"/>
      <c r="F1054" s="168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8"/>
      <c r="V1054" s="168"/>
      <c r="W1054" s="168"/>
      <c r="X1054" s="168"/>
      <c r="Y1054" s="168"/>
      <c r="Z1054" s="168"/>
    </row>
    <row r="1055">
      <c r="A1055" s="168"/>
      <c r="B1055" s="162"/>
      <c r="C1055" s="168"/>
      <c r="D1055" s="168"/>
      <c r="E1055" s="168"/>
      <c r="F1055" s="168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8"/>
      <c r="V1055" s="168"/>
      <c r="W1055" s="168"/>
      <c r="X1055" s="168"/>
      <c r="Y1055" s="168"/>
      <c r="Z1055" s="168"/>
    </row>
    <row r="1056">
      <c r="A1056" s="168"/>
      <c r="B1056" s="162"/>
      <c r="C1056" s="168"/>
      <c r="D1056" s="168"/>
      <c r="E1056" s="168"/>
      <c r="F1056" s="168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8"/>
      <c r="V1056" s="168"/>
      <c r="W1056" s="168"/>
      <c r="X1056" s="168"/>
      <c r="Y1056" s="168"/>
      <c r="Z1056" s="168"/>
    </row>
    <row r="1057">
      <c r="A1057" s="168"/>
      <c r="B1057" s="162"/>
      <c r="C1057" s="168"/>
      <c r="D1057" s="168"/>
      <c r="E1057" s="168"/>
      <c r="F1057" s="168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8"/>
      <c r="V1057" s="168"/>
      <c r="W1057" s="168"/>
      <c r="X1057" s="168"/>
      <c r="Y1057" s="168"/>
      <c r="Z1057" s="168"/>
    </row>
    <row r="1058">
      <c r="A1058" s="168"/>
      <c r="B1058" s="162"/>
      <c r="C1058" s="168"/>
      <c r="D1058" s="168"/>
      <c r="E1058" s="168"/>
      <c r="F1058" s="168"/>
      <c r="G1058" s="168"/>
      <c r="H1058" s="168"/>
      <c r="I1058" s="168"/>
      <c r="J1058" s="168"/>
      <c r="K1058" s="168"/>
      <c r="L1058" s="168"/>
      <c r="M1058" s="168"/>
      <c r="N1058" s="168"/>
      <c r="O1058" s="168"/>
      <c r="P1058" s="168"/>
      <c r="Q1058" s="168"/>
      <c r="R1058" s="168"/>
      <c r="S1058" s="168"/>
      <c r="T1058" s="168"/>
      <c r="U1058" s="168"/>
      <c r="V1058" s="168"/>
      <c r="W1058" s="168"/>
      <c r="X1058" s="168"/>
      <c r="Y1058" s="168"/>
      <c r="Z1058" s="168"/>
    </row>
    <row r="1059">
      <c r="A1059" s="168"/>
      <c r="B1059" s="162"/>
      <c r="C1059" s="168"/>
      <c r="D1059" s="168"/>
      <c r="E1059" s="168"/>
      <c r="F1059" s="168"/>
      <c r="G1059" s="168"/>
      <c r="H1059" s="168"/>
      <c r="I1059" s="168"/>
      <c r="J1059" s="168"/>
      <c r="K1059" s="168"/>
      <c r="L1059" s="168"/>
      <c r="M1059" s="168"/>
      <c r="N1059" s="168"/>
      <c r="O1059" s="168"/>
      <c r="P1059" s="168"/>
      <c r="Q1059" s="168"/>
      <c r="R1059" s="168"/>
      <c r="S1059" s="168"/>
      <c r="T1059" s="168"/>
      <c r="U1059" s="168"/>
      <c r="V1059" s="168"/>
      <c r="W1059" s="168"/>
      <c r="X1059" s="168"/>
      <c r="Y1059" s="168"/>
      <c r="Z1059" s="168"/>
    </row>
    <row r="1060">
      <c r="A1060" s="168"/>
      <c r="B1060" s="162"/>
      <c r="C1060" s="168"/>
      <c r="D1060" s="168"/>
      <c r="E1060" s="168"/>
      <c r="F1060" s="168"/>
      <c r="G1060" s="168"/>
      <c r="H1060" s="168"/>
      <c r="I1060" s="168"/>
      <c r="J1060" s="168"/>
      <c r="K1060" s="168"/>
      <c r="L1060" s="168"/>
      <c r="M1060" s="168"/>
      <c r="N1060" s="168"/>
      <c r="O1060" s="168"/>
      <c r="P1060" s="168"/>
      <c r="Q1060" s="168"/>
      <c r="R1060" s="168"/>
      <c r="S1060" s="168"/>
      <c r="T1060" s="168"/>
      <c r="U1060" s="168"/>
      <c r="V1060" s="168"/>
      <c r="W1060" s="168"/>
      <c r="X1060" s="168"/>
      <c r="Y1060" s="168"/>
      <c r="Z1060" s="168"/>
    </row>
    <row r="1061">
      <c r="A1061" s="168"/>
      <c r="B1061" s="162"/>
      <c r="C1061" s="168"/>
      <c r="D1061" s="168"/>
      <c r="E1061" s="168"/>
      <c r="F1061" s="168"/>
      <c r="G1061" s="168"/>
      <c r="H1061" s="168"/>
      <c r="I1061" s="168"/>
      <c r="J1061" s="168"/>
      <c r="K1061" s="168"/>
      <c r="L1061" s="168"/>
      <c r="M1061" s="168"/>
      <c r="N1061" s="168"/>
      <c r="O1061" s="168"/>
      <c r="P1061" s="168"/>
      <c r="Q1061" s="168"/>
      <c r="R1061" s="168"/>
      <c r="S1061" s="168"/>
      <c r="T1061" s="168"/>
      <c r="U1061" s="168"/>
      <c r="V1061" s="168"/>
      <c r="W1061" s="168"/>
      <c r="X1061" s="168"/>
      <c r="Y1061" s="168"/>
      <c r="Z1061" s="168"/>
    </row>
    <row r="1062">
      <c r="A1062" s="168"/>
      <c r="B1062" s="162"/>
      <c r="C1062" s="168"/>
      <c r="D1062" s="168"/>
      <c r="E1062" s="168"/>
      <c r="F1062" s="168"/>
      <c r="G1062" s="168"/>
      <c r="H1062" s="168"/>
      <c r="I1062" s="168"/>
      <c r="J1062" s="168"/>
      <c r="K1062" s="168"/>
      <c r="L1062" s="168"/>
      <c r="M1062" s="168"/>
      <c r="N1062" s="168"/>
      <c r="O1062" s="168"/>
      <c r="P1062" s="168"/>
      <c r="Q1062" s="168"/>
      <c r="R1062" s="168"/>
      <c r="S1062" s="168"/>
      <c r="T1062" s="168"/>
      <c r="U1062" s="168"/>
      <c r="V1062" s="168"/>
      <c r="W1062" s="168"/>
      <c r="X1062" s="168"/>
      <c r="Y1062" s="168"/>
      <c r="Z1062" s="168"/>
    </row>
    <row r="1063">
      <c r="A1063" s="168"/>
      <c r="B1063" s="162"/>
      <c r="C1063" s="168"/>
      <c r="D1063" s="168"/>
      <c r="E1063" s="168"/>
      <c r="F1063" s="168"/>
      <c r="G1063" s="168"/>
      <c r="H1063" s="168"/>
      <c r="I1063" s="168"/>
      <c r="J1063" s="168"/>
      <c r="K1063" s="168"/>
      <c r="L1063" s="168"/>
      <c r="M1063" s="168"/>
      <c r="N1063" s="168"/>
      <c r="O1063" s="168"/>
      <c r="P1063" s="168"/>
      <c r="Q1063" s="168"/>
      <c r="R1063" s="168"/>
      <c r="S1063" s="168"/>
      <c r="T1063" s="168"/>
      <c r="U1063" s="168"/>
      <c r="V1063" s="168"/>
      <c r="W1063" s="168"/>
      <c r="X1063" s="168"/>
      <c r="Y1063" s="168"/>
      <c r="Z1063" s="168"/>
    </row>
    <row r="1064">
      <c r="A1064" s="168"/>
      <c r="B1064" s="162"/>
      <c r="C1064" s="168"/>
      <c r="D1064" s="168"/>
      <c r="E1064" s="168"/>
      <c r="F1064" s="168"/>
      <c r="G1064" s="168"/>
      <c r="H1064" s="168"/>
      <c r="I1064" s="168"/>
      <c r="J1064" s="168"/>
      <c r="K1064" s="168"/>
      <c r="L1064" s="168"/>
      <c r="M1064" s="168"/>
      <c r="N1064" s="168"/>
      <c r="O1064" s="168"/>
      <c r="P1064" s="168"/>
      <c r="Q1064" s="168"/>
      <c r="R1064" s="168"/>
      <c r="S1064" s="168"/>
      <c r="T1064" s="168"/>
      <c r="U1064" s="168"/>
      <c r="V1064" s="168"/>
      <c r="W1064" s="168"/>
      <c r="X1064" s="168"/>
      <c r="Y1064" s="168"/>
      <c r="Z1064" s="168"/>
    </row>
    <row r="1065">
      <c r="A1065" s="168"/>
      <c r="B1065" s="162"/>
      <c r="C1065" s="168"/>
      <c r="D1065" s="168"/>
      <c r="E1065" s="168"/>
      <c r="F1065" s="168"/>
      <c r="G1065" s="168"/>
      <c r="H1065" s="168"/>
      <c r="I1065" s="168"/>
      <c r="J1065" s="168"/>
      <c r="K1065" s="168"/>
      <c r="L1065" s="168"/>
      <c r="M1065" s="168"/>
      <c r="N1065" s="168"/>
      <c r="O1065" s="168"/>
      <c r="P1065" s="168"/>
      <c r="Q1065" s="168"/>
      <c r="R1065" s="168"/>
      <c r="S1065" s="168"/>
      <c r="T1065" s="168"/>
      <c r="U1065" s="168"/>
      <c r="V1065" s="168"/>
      <c r="W1065" s="168"/>
      <c r="X1065" s="168"/>
      <c r="Y1065" s="168"/>
      <c r="Z1065" s="168"/>
    </row>
    <row r="1066">
      <c r="A1066" s="168"/>
      <c r="B1066" s="162"/>
      <c r="C1066" s="168"/>
      <c r="D1066" s="168"/>
      <c r="E1066" s="168"/>
      <c r="F1066" s="168"/>
      <c r="G1066" s="168"/>
      <c r="H1066" s="168"/>
      <c r="I1066" s="168"/>
      <c r="J1066" s="168"/>
      <c r="K1066" s="168"/>
      <c r="L1066" s="168"/>
      <c r="M1066" s="168"/>
      <c r="N1066" s="168"/>
      <c r="O1066" s="168"/>
      <c r="P1066" s="168"/>
      <c r="Q1066" s="168"/>
      <c r="R1066" s="168"/>
      <c r="S1066" s="168"/>
      <c r="T1066" s="168"/>
      <c r="U1066" s="168"/>
      <c r="V1066" s="168"/>
      <c r="W1066" s="168"/>
      <c r="X1066" s="168"/>
      <c r="Y1066" s="168"/>
      <c r="Z1066" s="168"/>
    </row>
    <row r="1067">
      <c r="A1067" s="168"/>
      <c r="B1067" s="162"/>
      <c r="C1067" s="168"/>
      <c r="D1067" s="168"/>
      <c r="E1067" s="168"/>
      <c r="F1067" s="168"/>
      <c r="G1067" s="168"/>
      <c r="H1067" s="168"/>
      <c r="I1067" s="168"/>
      <c r="J1067" s="168"/>
      <c r="K1067" s="168"/>
      <c r="L1067" s="168"/>
      <c r="M1067" s="168"/>
      <c r="N1067" s="168"/>
      <c r="O1067" s="168"/>
      <c r="P1067" s="168"/>
      <c r="Q1067" s="168"/>
      <c r="R1067" s="168"/>
      <c r="S1067" s="168"/>
      <c r="T1067" s="168"/>
      <c r="U1067" s="168"/>
      <c r="V1067" s="168"/>
      <c r="W1067" s="168"/>
      <c r="X1067" s="168"/>
      <c r="Y1067" s="168"/>
      <c r="Z1067" s="168"/>
    </row>
    <row r="1068">
      <c r="A1068" s="168"/>
      <c r="B1068" s="162"/>
      <c r="C1068" s="168"/>
      <c r="D1068" s="168"/>
      <c r="E1068" s="168"/>
      <c r="F1068" s="168"/>
      <c r="G1068" s="168"/>
      <c r="H1068" s="168"/>
      <c r="I1068" s="168"/>
      <c r="J1068" s="168"/>
      <c r="K1068" s="168"/>
      <c r="L1068" s="168"/>
      <c r="M1068" s="168"/>
      <c r="N1068" s="168"/>
      <c r="O1068" s="168"/>
      <c r="P1068" s="168"/>
      <c r="Q1068" s="168"/>
      <c r="R1068" s="168"/>
      <c r="S1068" s="168"/>
      <c r="T1068" s="168"/>
      <c r="U1068" s="168"/>
      <c r="V1068" s="168"/>
      <c r="W1068" s="168"/>
      <c r="X1068" s="168"/>
      <c r="Y1068" s="168"/>
      <c r="Z1068" s="168"/>
    </row>
    <row r="1069">
      <c r="A1069" s="168"/>
      <c r="B1069" s="162"/>
      <c r="C1069" s="168"/>
      <c r="D1069" s="168"/>
      <c r="E1069" s="168"/>
      <c r="F1069" s="168"/>
      <c r="G1069" s="168"/>
      <c r="H1069" s="168"/>
      <c r="I1069" s="168"/>
      <c r="J1069" s="168"/>
      <c r="K1069" s="168"/>
      <c r="L1069" s="168"/>
      <c r="M1069" s="168"/>
      <c r="N1069" s="168"/>
      <c r="O1069" s="168"/>
      <c r="P1069" s="168"/>
      <c r="Q1069" s="168"/>
      <c r="R1069" s="168"/>
      <c r="S1069" s="168"/>
      <c r="T1069" s="168"/>
      <c r="U1069" s="168"/>
      <c r="V1069" s="168"/>
      <c r="W1069" s="168"/>
      <c r="X1069" s="168"/>
      <c r="Y1069" s="168"/>
      <c r="Z1069" s="168"/>
    </row>
    <row r="1070">
      <c r="A1070" s="168"/>
      <c r="B1070" s="162"/>
      <c r="C1070" s="168"/>
      <c r="D1070" s="168"/>
      <c r="E1070" s="168"/>
      <c r="F1070" s="168"/>
      <c r="G1070" s="168"/>
      <c r="H1070" s="168"/>
      <c r="I1070" s="168"/>
      <c r="J1070" s="168"/>
      <c r="K1070" s="168"/>
      <c r="L1070" s="168"/>
      <c r="M1070" s="168"/>
      <c r="N1070" s="168"/>
      <c r="O1070" s="168"/>
      <c r="P1070" s="168"/>
      <c r="Q1070" s="168"/>
      <c r="R1070" s="168"/>
      <c r="S1070" s="168"/>
      <c r="T1070" s="168"/>
      <c r="U1070" s="168"/>
      <c r="V1070" s="168"/>
      <c r="W1070" s="168"/>
      <c r="X1070" s="168"/>
      <c r="Y1070" s="168"/>
      <c r="Z1070" s="168"/>
    </row>
    <row r="1071">
      <c r="A1071" s="168"/>
      <c r="B1071" s="162"/>
      <c r="C1071" s="168"/>
      <c r="D1071" s="168"/>
      <c r="E1071" s="168"/>
      <c r="F1071" s="168"/>
      <c r="G1071" s="168"/>
      <c r="H1071" s="168"/>
      <c r="I1071" s="168"/>
      <c r="J1071" s="168"/>
      <c r="K1071" s="168"/>
      <c r="L1071" s="168"/>
      <c r="M1071" s="168"/>
      <c r="N1071" s="168"/>
      <c r="O1071" s="168"/>
      <c r="P1071" s="168"/>
      <c r="Q1071" s="168"/>
      <c r="R1071" s="168"/>
      <c r="S1071" s="168"/>
      <c r="T1071" s="168"/>
      <c r="U1071" s="168"/>
      <c r="V1071" s="168"/>
      <c r="W1071" s="168"/>
      <c r="X1071" s="168"/>
      <c r="Y1071" s="168"/>
      <c r="Z1071" s="168"/>
    </row>
    <row r="1072">
      <c r="A1072" s="168"/>
      <c r="B1072" s="162"/>
      <c r="C1072" s="168"/>
      <c r="D1072" s="168"/>
      <c r="E1072" s="168"/>
      <c r="F1072" s="168"/>
      <c r="G1072" s="168"/>
      <c r="H1072" s="168"/>
      <c r="I1072" s="168"/>
      <c r="J1072" s="168"/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8"/>
      <c r="V1072" s="168"/>
      <c r="W1072" s="168"/>
      <c r="X1072" s="168"/>
      <c r="Y1072" s="168"/>
      <c r="Z1072" s="168"/>
    </row>
    <row r="1073">
      <c r="A1073" s="168"/>
      <c r="B1073" s="162"/>
      <c r="C1073" s="168"/>
      <c r="D1073" s="168"/>
      <c r="E1073" s="168"/>
      <c r="F1073" s="168"/>
      <c r="G1073" s="168"/>
      <c r="H1073" s="168"/>
      <c r="I1073" s="168"/>
      <c r="J1073" s="168"/>
      <c r="K1073" s="168"/>
      <c r="L1073" s="168"/>
      <c r="M1073" s="168"/>
      <c r="N1073" s="168"/>
      <c r="O1073" s="168"/>
      <c r="P1073" s="168"/>
      <c r="Q1073" s="168"/>
      <c r="R1073" s="168"/>
      <c r="S1073" s="168"/>
      <c r="T1073" s="168"/>
      <c r="U1073" s="168"/>
      <c r="V1073" s="168"/>
      <c r="W1073" s="168"/>
      <c r="X1073" s="168"/>
      <c r="Y1073" s="168"/>
      <c r="Z1073" s="168"/>
    </row>
    <row r="1074">
      <c r="A1074" s="168"/>
      <c r="B1074" s="162"/>
      <c r="C1074" s="168"/>
      <c r="D1074" s="168"/>
      <c r="E1074" s="168"/>
      <c r="F1074" s="168"/>
      <c r="G1074" s="168"/>
      <c r="H1074" s="168"/>
      <c r="I1074" s="168"/>
      <c r="J1074" s="168"/>
      <c r="K1074" s="168"/>
      <c r="L1074" s="168"/>
      <c r="M1074" s="168"/>
      <c r="N1074" s="168"/>
      <c r="O1074" s="168"/>
      <c r="P1074" s="168"/>
      <c r="Q1074" s="168"/>
      <c r="R1074" s="168"/>
      <c r="S1074" s="168"/>
      <c r="T1074" s="168"/>
      <c r="U1074" s="168"/>
      <c r="V1074" s="168"/>
      <c r="W1074" s="168"/>
      <c r="X1074" s="168"/>
      <c r="Y1074" s="168"/>
      <c r="Z1074" s="168"/>
    </row>
    <row r="1075">
      <c r="A1075" s="168"/>
      <c r="B1075" s="162"/>
      <c r="C1075" s="168"/>
      <c r="D1075" s="168"/>
      <c r="E1075" s="168"/>
      <c r="F1075" s="168"/>
      <c r="G1075" s="168"/>
      <c r="H1075" s="168"/>
      <c r="I1075" s="168"/>
      <c r="J1075" s="168"/>
      <c r="K1075" s="168"/>
      <c r="L1075" s="168"/>
      <c r="M1075" s="168"/>
      <c r="N1075" s="168"/>
      <c r="O1075" s="168"/>
      <c r="P1075" s="168"/>
      <c r="Q1075" s="168"/>
      <c r="R1075" s="168"/>
      <c r="S1075" s="168"/>
      <c r="T1075" s="168"/>
      <c r="U1075" s="168"/>
      <c r="V1075" s="168"/>
      <c r="W1075" s="168"/>
      <c r="X1075" s="168"/>
      <c r="Y1075" s="168"/>
      <c r="Z1075" s="168"/>
    </row>
    <row r="1076">
      <c r="A1076" s="168"/>
      <c r="B1076" s="162"/>
      <c r="C1076" s="168"/>
      <c r="D1076" s="168"/>
      <c r="E1076" s="168"/>
      <c r="F1076" s="168"/>
      <c r="G1076" s="168"/>
      <c r="H1076" s="168"/>
      <c r="I1076" s="168"/>
      <c r="J1076" s="168"/>
      <c r="K1076" s="168"/>
      <c r="L1076" s="168"/>
      <c r="M1076" s="168"/>
      <c r="N1076" s="168"/>
      <c r="O1076" s="168"/>
      <c r="P1076" s="168"/>
      <c r="Q1076" s="168"/>
      <c r="R1076" s="168"/>
      <c r="S1076" s="168"/>
      <c r="T1076" s="168"/>
      <c r="U1076" s="168"/>
      <c r="V1076" s="168"/>
      <c r="W1076" s="168"/>
      <c r="X1076" s="168"/>
      <c r="Y1076" s="168"/>
      <c r="Z1076" s="168"/>
    </row>
    <row r="1077">
      <c r="A1077" s="168"/>
      <c r="B1077" s="162"/>
      <c r="C1077" s="168"/>
      <c r="D1077" s="168"/>
      <c r="E1077" s="168"/>
      <c r="F1077" s="168"/>
      <c r="G1077" s="168"/>
      <c r="H1077" s="168"/>
      <c r="I1077" s="168"/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8"/>
      <c r="V1077" s="168"/>
      <c r="W1077" s="168"/>
      <c r="X1077" s="168"/>
      <c r="Y1077" s="168"/>
      <c r="Z1077" s="168"/>
    </row>
    <row r="1078">
      <c r="A1078" s="168"/>
      <c r="B1078" s="162"/>
      <c r="C1078" s="168"/>
      <c r="D1078" s="168"/>
      <c r="E1078" s="168"/>
      <c r="F1078" s="168"/>
      <c r="G1078" s="168"/>
      <c r="H1078" s="168"/>
      <c r="I1078" s="168"/>
      <c r="J1078" s="168"/>
      <c r="K1078" s="168"/>
      <c r="L1078" s="168"/>
      <c r="M1078" s="168"/>
      <c r="N1078" s="168"/>
      <c r="O1078" s="168"/>
      <c r="P1078" s="168"/>
      <c r="Q1078" s="168"/>
      <c r="R1078" s="168"/>
      <c r="S1078" s="168"/>
      <c r="T1078" s="168"/>
      <c r="U1078" s="168"/>
      <c r="V1078" s="168"/>
      <c r="W1078" s="168"/>
      <c r="X1078" s="168"/>
      <c r="Y1078" s="168"/>
      <c r="Z1078" s="168"/>
    </row>
    <row r="1079">
      <c r="A1079" s="168"/>
      <c r="B1079" s="162"/>
      <c r="C1079" s="168"/>
      <c r="D1079" s="168"/>
      <c r="E1079" s="168"/>
      <c r="F1079" s="168"/>
      <c r="G1079" s="168"/>
      <c r="H1079" s="168"/>
      <c r="I1079" s="168"/>
      <c r="J1079" s="168"/>
      <c r="K1079" s="168"/>
      <c r="L1079" s="168"/>
      <c r="M1079" s="168"/>
      <c r="N1079" s="168"/>
      <c r="O1079" s="168"/>
      <c r="P1079" s="168"/>
      <c r="Q1079" s="168"/>
      <c r="R1079" s="168"/>
      <c r="S1079" s="168"/>
      <c r="T1079" s="168"/>
      <c r="U1079" s="168"/>
      <c r="V1079" s="168"/>
      <c r="W1079" s="168"/>
      <c r="X1079" s="168"/>
      <c r="Y1079" s="168"/>
      <c r="Z1079" s="168"/>
    </row>
    <row r="1080">
      <c r="A1080" s="168"/>
      <c r="B1080" s="162"/>
      <c r="C1080" s="168"/>
      <c r="D1080" s="168"/>
      <c r="E1080" s="168"/>
      <c r="F1080" s="168"/>
      <c r="G1080" s="168"/>
      <c r="H1080" s="168"/>
      <c r="I1080" s="168"/>
      <c r="J1080" s="168"/>
      <c r="K1080" s="168"/>
      <c r="L1080" s="168"/>
      <c r="M1080" s="168"/>
      <c r="N1080" s="168"/>
      <c r="O1080" s="168"/>
      <c r="P1080" s="168"/>
      <c r="Q1080" s="168"/>
      <c r="R1080" s="168"/>
      <c r="S1080" s="168"/>
      <c r="T1080" s="168"/>
      <c r="U1080" s="168"/>
      <c r="V1080" s="168"/>
      <c r="W1080" s="168"/>
      <c r="X1080" s="168"/>
      <c r="Y1080" s="168"/>
      <c r="Z1080" s="168"/>
    </row>
    <row r="1081">
      <c r="A1081" s="168"/>
      <c r="B1081" s="162"/>
      <c r="C1081" s="168"/>
      <c r="D1081" s="168"/>
      <c r="E1081" s="168"/>
      <c r="F1081" s="168"/>
      <c r="G1081" s="168"/>
      <c r="H1081" s="168"/>
      <c r="I1081" s="168"/>
      <c r="J1081" s="168"/>
      <c r="K1081" s="168"/>
      <c r="L1081" s="168"/>
      <c r="M1081" s="168"/>
      <c r="N1081" s="168"/>
      <c r="O1081" s="168"/>
      <c r="P1081" s="168"/>
      <c r="Q1081" s="168"/>
      <c r="R1081" s="168"/>
      <c r="S1081" s="168"/>
      <c r="T1081" s="168"/>
      <c r="U1081" s="168"/>
      <c r="V1081" s="168"/>
      <c r="W1081" s="168"/>
      <c r="X1081" s="168"/>
      <c r="Y1081" s="168"/>
      <c r="Z1081" s="168"/>
    </row>
    <row r="1082">
      <c r="A1082" s="168"/>
      <c r="B1082" s="162"/>
      <c r="C1082" s="168"/>
      <c r="D1082" s="168"/>
      <c r="E1082" s="168"/>
      <c r="F1082" s="168"/>
      <c r="G1082" s="168"/>
      <c r="H1082" s="168"/>
      <c r="I1082" s="168"/>
      <c r="J1082" s="168"/>
      <c r="K1082" s="168"/>
      <c r="L1082" s="168"/>
      <c r="M1082" s="168"/>
      <c r="N1082" s="168"/>
      <c r="O1082" s="168"/>
      <c r="P1082" s="168"/>
      <c r="Q1082" s="168"/>
      <c r="R1082" s="168"/>
      <c r="S1082" s="168"/>
      <c r="T1082" s="168"/>
      <c r="U1082" s="168"/>
      <c r="V1082" s="168"/>
      <c r="W1082" s="168"/>
      <c r="X1082" s="168"/>
      <c r="Y1082" s="168"/>
      <c r="Z1082" s="168"/>
    </row>
    <row r="1083">
      <c r="A1083" s="168"/>
      <c r="B1083" s="162"/>
      <c r="C1083" s="168"/>
      <c r="D1083" s="168"/>
      <c r="E1083" s="168"/>
      <c r="F1083" s="168"/>
      <c r="G1083" s="168"/>
      <c r="H1083" s="168"/>
      <c r="I1083" s="168"/>
      <c r="J1083" s="168"/>
      <c r="K1083" s="168"/>
      <c r="L1083" s="168"/>
      <c r="M1083" s="168"/>
      <c r="N1083" s="168"/>
      <c r="O1083" s="168"/>
      <c r="P1083" s="168"/>
      <c r="Q1083" s="168"/>
      <c r="R1083" s="168"/>
      <c r="S1083" s="168"/>
      <c r="T1083" s="168"/>
      <c r="U1083" s="168"/>
      <c r="V1083" s="168"/>
      <c r="W1083" s="168"/>
      <c r="X1083" s="168"/>
      <c r="Y1083" s="168"/>
      <c r="Z1083" s="168"/>
    </row>
    <row r="1084">
      <c r="A1084" s="168"/>
      <c r="B1084" s="162"/>
      <c r="C1084" s="168"/>
      <c r="D1084" s="168"/>
      <c r="E1084" s="168"/>
      <c r="F1084" s="168"/>
      <c r="G1084" s="168"/>
      <c r="H1084" s="168"/>
      <c r="I1084" s="168"/>
      <c r="J1084" s="168"/>
      <c r="K1084" s="168"/>
      <c r="L1084" s="168"/>
      <c r="M1084" s="168"/>
      <c r="N1084" s="168"/>
      <c r="O1084" s="168"/>
      <c r="P1084" s="168"/>
      <c r="Q1084" s="168"/>
      <c r="R1084" s="168"/>
      <c r="S1084" s="168"/>
      <c r="T1084" s="168"/>
      <c r="U1084" s="168"/>
      <c r="V1084" s="168"/>
      <c r="W1084" s="168"/>
      <c r="X1084" s="168"/>
      <c r="Y1084" s="168"/>
      <c r="Z1084" s="168"/>
    </row>
    <row r="1085">
      <c r="A1085" s="168"/>
      <c r="B1085" s="162"/>
      <c r="C1085" s="168"/>
      <c r="D1085" s="168"/>
      <c r="E1085" s="168"/>
      <c r="F1085" s="168"/>
      <c r="G1085" s="168"/>
      <c r="H1085" s="168"/>
      <c r="I1085" s="168"/>
      <c r="J1085" s="168"/>
      <c r="K1085" s="168"/>
      <c r="L1085" s="168"/>
      <c r="M1085" s="168"/>
      <c r="N1085" s="168"/>
      <c r="O1085" s="168"/>
      <c r="P1085" s="168"/>
      <c r="Q1085" s="168"/>
      <c r="R1085" s="168"/>
      <c r="S1085" s="168"/>
      <c r="T1085" s="168"/>
      <c r="U1085" s="168"/>
      <c r="V1085" s="168"/>
      <c r="W1085" s="168"/>
      <c r="X1085" s="168"/>
      <c r="Y1085" s="168"/>
      <c r="Z1085" s="168"/>
    </row>
    <row r="1086">
      <c r="A1086" s="168"/>
      <c r="B1086" s="162"/>
      <c r="C1086" s="168"/>
      <c r="D1086" s="168"/>
      <c r="E1086" s="168"/>
      <c r="F1086" s="168"/>
      <c r="G1086" s="168"/>
      <c r="H1086" s="168"/>
      <c r="I1086" s="168"/>
      <c r="J1086" s="168"/>
      <c r="K1086" s="168"/>
      <c r="L1086" s="168"/>
      <c r="M1086" s="168"/>
      <c r="N1086" s="168"/>
      <c r="O1086" s="168"/>
      <c r="P1086" s="168"/>
      <c r="Q1086" s="168"/>
      <c r="R1086" s="168"/>
      <c r="S1086" s="168"/>
      <c r="T1086" s="168"/>
      <c r="U1086" s="168"/>
      <c r="V1086" s="168"/>
      <c r="W1086" s="168"/>
      <c r="X1086" s="168"/>
      <c r="Y1086" s="168"/>
      <c r="Z1086" s="168"/>
    </row>
    <row r="1087">
      <c r="A1087" s="168"/>
      <c r="B1087" s="162"/>
      <c r="C1087" s="168"/>
      <c r="D1087" s="168"/>
      <c r="E1087" s="168"/>
      <c r="F1087" s="168"/>
      <c r="G1087" s="168"/>
      <c r="H1087" s="168"/>
      <c r="I1087" s="168"/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8"/>
      <c r="V1087" s="168"/>
      <c r="W1087" s="168"/>
      <c r="X1087" s="168"/>
      <c r="Y1087" s="168"/>
      <c r="Z1087" s="168"/>
    </row>
    <row r="1088">
      <c r="A1088" s="168"/>
      <c r="B1088" s="162"/>
      <c r="C1088" s="168"/>
      <c r="D1088" s="168"/>
      <c r="E1088" s="168"/>
      <c r="F1088" s="168"/>
      <c r="G1088" s="168"/>
      <c r="H1088" s="168"/>
      <c r="I1088" s="168"/>
      <c r="J1088" s="168"/>
      <c r="K1088" s="168"/>
      <c r="L1088" s="168"/>
      <c r="M1088" s="168"/>
      <c r="N1088" s="168"/>
      <c r="O1088" s="168"/>
      <c r="P1088" s="168"/>
      <c r="Q1088" s="168"/>
      <c r="R1088" s="168"/>
      <c r="S1088" s="168"/>
      <c r="T1088" s="168"/>
      <c r="U1088" s="168"/>
      <c r="V1088" s="168"/>
      <c r="W1088" s="168"/>
      <c r="X1088" s="168"/>
      <c r="Y1088" s="168"/>
      <c r="Z1088" s="168"/>
    </row>
    <row r="1089">
      <c r="A1089" s="168"/>
      <c r="B1089" s="162"/>
      <c r="C1089" s="168"/>
      <c r="D1089" s="168"/>
      <c r="E1089" s="168"/>
      <c r="F1089" s="168"/>
      <c r="G1089" s="168"/>
      <c r="H1089" s="168"/>
      <c r="I1089" s="168"/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68"/>
      <c r="T1089" s="168"/>
      <c r="U1089" s="168"/>
      <c r="V1089" s="168"/>
      <c r="W1089" s="168"/>
      <c r="X1089" s="168"/>
      <c r="Y1089" s="168"/>
      <c r="Z1089" s="168"/>
    </row>
    <row r="1090">
      <c r="A1090" s="168"/>
      <c r="B1090" s="162"/>
      <c r="C1090" s="168"/>
      <c r="D1090" s="168"/>
      <c r="E1090" s="168"/>
      <c r="F1090" s="168"/>
      <c r="G1090" s="168"/>
      <c r="H1090" s="168"/>
      <c r="I1090" s="168"/>
      <c r="J1090" s="168"/>
      <c r="K1090" s="168"/>
      <c r="L1090" s="168"/>
      <c r="M1090" s="168"/>
      <c r="N1090" s="168"/>
      <c r="O1090" s="168"/>
      <c r="P1090" s="168"/>
      <c r="Q1090" s="168"/>
      <c r="R1090" s="168"/>
      <c r="S1090" s="168"/>
      <c r="T1090" s="168"/>
      <c r="U1090" s="168"/>
      <c r="V1090" s="168"/>
      <c r="W1090" s="168"/>
      <c r="X1090" s="168"/>
      <c r="Y1090" s="168"/>
      <c r="Z1090" s="168"/>
    </row>
    <row r="1091">
      <c r="A1091" s="168"/>
      <c r="B1091" s="162"/>
      <c r="C1091" s="168"/>
      <c r="D1091" s="168"/>
      <c r="E1091" s="168"/>
      <c r="F1091" s="168"/>
      <c r="G1091" s="168"/>
      <c r="H1091" s="168"/>
      <c r="I1091" s="168"/>
      <c r="J1091" s="168"/>
      <c r="K1091" s="168"/>
      <c r="L1091" s="168"/>
      <c r="M1091" s="168"/>
      <c r="N1091" s="168"/>
      <c r="O1091" s="168"/>
      <c r="P1091" s="168"/>
      <c r="Q1091" s="168"/>
      <c r="R1091" s="168"/>
      <c r="S1091" s="168"/>
      <c r="T1091" s="168"/>
      <c r="U1091" s="168"/>
      <c r="V1091" s="168"/>
      <c r="W1091" s="168"/>
      <c r="X1091" s="168"/>
      <c r="Y1091" s="168"/>
      <c r="Z1091" s="168"/>
    </row>
    <row r="1092">
      <c r="A1092" s="168"/>
      <c r="B1092" s="162"/>
      <c r="C1092" s="168"/>
      <c r="D1092" s="168"/>
      <c r="E1092" s="168"/>
      <c r="F1092" s="168"/>
      <c r="G1092" s="168"/>
      <c r="H1092" s="168"/>
      <c r="I1092" s="168"/>
      <c r="J1092" s="168"/>
      <c r="K1092" s="168"/>
      <c r="L1092" s="168"/>
      <c r="M1092" s="168"/>
      <c r="N1092" s="168"/>
      <c r="O1092" s="168"/>
      <c r="P1092" s="168"/>
      <c r="Q1092" s="168"/>
      <c r="R1092" s="168"/>
      <c r="S1092" s="168"/>
      <c r="T1092" s="168"/>
      <c r="U1092" s="168"/>
      <c r="V1092" s="168"/>
      <c r="W1092" s="168"/>
      <c r="X1092" s="168"/>
      <c r="Y1092" s="168"/>
      <c r="Z1092" s="168"/>
    </row>
    <row r="1093">
      <c r="A1093" s="168"/>
      <c r="B1093" s="162"/>
      <c r="C1093" s="168"/>
      <c r="D1093" s="168"/>
      <c r="E1093" s="168"/>
      <c r="F1093" s="168"/>
      <c r="G1093" s="168"/>
      <c r="H1093" s="168"/>
      <c r="I1093" s="168"/>
      <c r="J1093" s="168"/>
      <c r="K1093" s="168"/>
      <c r="L1093" s="168"/>
      <c r="M1093" s="168"/>
      <c r="N1093" s="168"/>
      <c r="O1093" s="168"/>
      <c r="P1093" s="168"/>
      <c r="Q1093" s="168"/>
      <c r="R1093" s="168"/>
      <c r="S1093" s="168"/>
      <c r="T1093" s="168"/>
      <c r="U1093" s="168"/>
      <c r="V1093" s="168"/>
      <c r="W1093" s="168"/>
      <c r="X1093" s="168"/>
      <c r="Y1093" s="168"/>
      <c r="Z1093" s="168"/>
    </row>
    <row r="1094">
      <c r="A1094" s="168"/>
      <c r="B1094" s="162"/>
      <c r="C1094" s="168"/>
      <c r="D1094" s="168"/>
      <c r="E1094" s="168"/>
      <c r="F1094" s="168"/>
      <c r="G1094" s="168"/>
      <c r="H1094" s="168"/>
      <c r="I1094" s="168"/>
      <c r="J1094" s="168"/>
      <c r="K1094" s="168"/>
      <c r="L1094" s="168"/>
      <c r="M1094" s="168"/>
      <c r="N1094" s="168"/>
      <c r="O1094" s="168"/>
      <c r="P1094" s="168"/>
      <c r="Q1094" s="168"/>
      <c r="R1094" s="168"/>
      <c r="S1094" s="168"/>
      <c r="T1094" s="168"/>
      <c r="U1094" s="168"/>
      <c r="V1094" s="168"/>
      <c r="W1094" s="168"/>
      <c r="X1094" s="168"/>
      <c r="Y1094" s="168"/>
      <c r="Z1094" s="168"/>
    </row>
    <row r="1095">
      <c r="A1095" s="168"/>
      <c r="B1095" s="162"/>
      <c r="C1095" s="168"/>
      <c r="D1095" s="168"/>
      <c r="E1095" s="168"/>
      <c r="F1095" s="168"/>
      <c r="G1095" s="168"/>
      <c r="H1095" s="168"/>
      <c r="I1095" s="168"/>
      <c r="J1095" s="168"/>
      <c r="K1095" s="168"/>
      <c r="L1095" s="168"/>
      <c r="M1095" s="168"/>
      <c r="N1095" s="168"/>
      <c r="O1095" s="168"/>
      <c r="P1095" s="168"/>
      <c r="Q1095" s="168"/>
      <c r="R1095" s="168"/>
      <c r="S1095" s="168"/>
      <c r="T1095" s="168"/>
      <c r="U1095" s="168"/>
      <c r="V1095" s="168"/>
      <c r="W1095" s="168"/>
      <c r="X1095" s="168"/>
      <c r="Y1095" s="168"/>
      <c r="Z1095" s="168"/>
    </row>
    <row r="1096">
      <c r="A1096" s="168"/>
      <c r="B1096" s="162"/>
      <c r="C1096" s="168"/>
      <c r="D1096" s="168"/>
      <c r="E1096" s="168"/>
      <c r="F1096" s="168"/>
      <c r="G1096" s="168"/>
      <c r="H1096" s="168"/>
      <c r="I1096" s="168"/>
      <c r="J1096" s="168"/>
      <c r="K1096" s="168"/>
      <c r="L1096" s="168"/>
      <c r="M1096" s="168"/>
      <c r="N1096" s="168"/>
      <c r="O1096" s="168"/>
      <c r="P1096" s="168"/>
      <c r="Q1096" s="168"/>
      <c r="R1096" s="168"/>
      <c r="S1096" s="168"/>
      <c r="T1096" s="168"/>
      <c r="U1096" s="168"/>
      <c r="V1096" s="168"/>
      <c r="W1096" s="168"/>
      <c r="X1096" s="168"/>
      <c r="Y1096" s="168"/>
      <c r="Z1096" s="168"/>
    </row>
    <row r="1097">
      <c r="A1097" s="168"/>
      <c r="B1097" s="162"/>
      <c r="C1097" s="168"/>
      <c r="D1097" s="168"/>
      <c r="E1097" s="168"/>
      <c r="F1097" s="168"/>
      <c r="G1097" s="168"/>
      <c r="H1097" s="168"/>
      <c r="I1097" s="168"/>
      <c r="J1097" s="168"/>
      <c r="K1097" s="168"/>
      <c r="L1097" s="168"/>
      <c r="M1097" s="168"/>
      <c r="N1097" s="168"/>
      <c r="O1097" s="168"/>
      <c r="P1097" s="168"/>
      <c r="Q1097" s="168"/>
      <c r="R1097" s="168"/>
      <c r="S1097" s="168"/>
      <c r="T1097" s="168"/>
      <c r="U1097" s="168"/>
      <c r="V1097" s="168"/>
      <c r="W1097" s="168"/>
      <c r="X1097" s="168"/>
      <c r="Y1097" s="168"/>
      <c r="Z1097" s="168"/>
    </row>
    <row r="1098">
      <c r="A1098" s="168"/>
      <c r="B1098" s="162"/>
      <c r="C1098" s="168"/>
      <c r="D1098" s="168"/>
      <c r="E1098" s="168"/>
      <c r="F1098" s="168"/>
      <c r="G1098" s="168"/>
      <c r="H1098" s="168"/>
      <c r="I1098" s="168"/>
      <c r="J1098" s="168"/>
      <c r="K1098" s="168"/>
      <c r="L1098" s="168"/>
      <c r="M1098" s="168"/>
      <c r="N1098" s="168"/>
      <c r="O1098" s="168"/>
      <c r="P1098" s="168"/>
      <c r="Q1098" s="168"/>
      <c r="R1098" s="168"/>
      <c r="S1098" s="168"/>
      <c r="T1098" s="168"/>
      <c r="U1098" s="168"/>
      <c r="V1098" s="168"/>
      <c r="W1098" s="168"/>
      <c r="X1098" s="168"/>
      <c r="Y1098" s="168"/>
      <c r="Z1098" s="168"/>
    </row>
    <row r="1099">
      <c r="A1099" s="168"/>
      <c r="B1099" s="162"/>
      <c r="C1099" s="168"/>
      <c r="D1099" s="168"/>
      <c r="E1099" s="168"/>
      <c r="F1099" s="168"/>
      <c r="G1099" s="168"/>
      <c r="H1099" s="168"/>
      <c r="I1099" s="168"/>
      <c r="J1099" s="168"/>
      <c r="K1099" s="168"/>
      <c r="L1099" s="168"/>
      <c r="M1099" s="168"/>
      <c r="N1099" s="168"/>
      <c r="O1099" s="168"/>
      <c r="P1099" s="168"/>
      <c r="Q1099" s="168"/>
      <c r="R1099" s="168"/>
      <c r="S1099" s="168"/>
      <c r="T1099" s="168"/>
      <c r="U1099" s="168"/>
      <c r="V1099" s="168"/>
      <c r="W1099" s="168"/>
      <c r="X1099" s="168"/>
      <c r="Y1099" s="168"/>
      <c r="Z1099" s="168"/>
    </row>
    <row r="1100">
      <c r="A1100" s="168"/>
      <c r="B1100" s="162"/>
      <c r="C1100" s="168"/>
      <c r="D1100" s="168"/>
      <c r="E1100" s="168"/>
      <c r="F1100" s="168"/>
      <c r="G1100" s="168"/>
      <c r="H1100" s="168"/>
      <c r="I1100" s="168"/>
      <c r="J1100" s="168"/>
      <c r="K1100" s="168"/>
      <c r="L1100" s="168"/>
      <c r="M1100" s="168"/>
      <c r="N1100" s="168"/>
      <c r="O1100" s="168"/>
      <c r="P1100" s="168"/>
      <c r="Q1100" s="168"/>
      <c r="R1100" s="168"/>
      <c r="S1100" s="168"/>
      <c r="T1100" s="168"/>
      <c r="U1100" s="168"/>
      <c r="V1100" s="168"/>
      <c r="W1100" s="168"/>
      <c r="X1100" s="168"/>
      <c r="Y1100" s="168"/>
      <c r="Z1100" s="168"/>
    </row>
    <row r="1101">
      <c r="A1101" s="168"/>
      <c r="B1101" s="162"/>
      <c r="C1101" s="168"/>
      <c r="D1101" s="168"/>
      <c r="E1101" s="168"/>
      <c r="F1101" s="168"/>
      <c r="G1101" s="168"/>
      <c r="H1101" s="168"/>
      <c r="I1101" s="168"/>
      <c r="J1101" s="168"/>
      <c r="K1101" s="168"/>
      <c r="L1101" s="168"/>
      <c r="M1101" s="168"/>
      <c r="N1101" s="168"/>
      <c r="O1101" s="168"/>
      <c r="P1101" s="168"/>
      <c r="Q1101" s="168"/>
      <c r="R1101" s="168"/>
      <c r="S1101" s="168"/>
      <c r="T1101" s="168"/>
      <c r="U1101" s="168"/>
      <c r="V1101" s="168"/>
      <c r="W1101" s="168"/>
      <c r="X1101" s="168"/>
      <c r="Y1101" s="168"/>
      <c r="Z1101" s="168"/>
    </row>
    <row r="1102">
      <c r="A1102" s="168"/>
      <c r="B1102" s="162"/>
      <c r="C1102" s="168"/>
      <c r="D1102" s="168"/>
      <c r="E1102" s="168"/>
      <c r="F1102" s="168"/>
      <c r="G1102" s="168"/>
      <c r="H1102" s="168"/>
      <c r="I1102" s="168"/>
      <c r="J1102" s="168"/>
      <c r="K1102" s="168"/>
      <c r="L1102" s="168"/>
      <c r="M1102" s="168"/>
      <c r="N1102" s="168"/>
      <c r="O1102" s="168"/>
      <c r="P1102" s="168"/>
      <c r="Q1102" s="168"/>
      <c r="R1102" s="168"/>
      <c r="S1102" s="168"/>
      <c r="T1102" s="168"/>
      <c r="U1102" s="168"/>
      <c r="V1102" s="168"/>
      <c r="W1102" s="168"/>
      <c r="X1102" s="168"/>
      <c r="Y1102" s="168"/>
      <c r="Z1102" s="168"/>
    </row>
    <row r="1103">
      <c r="A1103" s="168"/>
      <c r="B1103" s="162"/>
      <c r="C1103" s="168"/>
      <c r="D1103" s="168"/>
      <c r="E1103" s="168"/>
      <c r="F1103" s="168"/>
      <c r="G1103" s="168"/>
      <c r="H1103" s="168"/>
      <c r="I1103" s="168"/>
      <c r="J1103" s="168"/>
      <c r="K1103" s="168"/>
      <c r="L1103" s="168"/>
      <c r="M1103" s="168"/>
      <c r="N1103" s="168"/>
      <c r="O1103" s="168"/>
      <c r="P1103" s="168"/>
      <c r="Q1103" s="168"/>
      <c r="R1103" s="168"/>
      <c r="S1103" s="168"/>
      <c r="T1103" s="168"/>
      <c r="U1103" s="168"/>
      <c r="V1103" s="168"/>
      <c r="W1103" s="168"/>
      <c r="X1103" s="168"/>
      <c r="Y1103" s="168"/>
      <c r="Z1103" s="168"/>
    </row>
    <row r="1104">
      <c r="A1104" s="168"/>
      <c r="B1104" s="162"/>
      <c r="C1104" s="168"/>
      <c r="D1104" s="168"/>
      <c r="E1104" s="168"/>
      <c r="F1104" s="168"/>
      <c r="G1104" s="168"/>
      <c r="H1104" s="168"/>
      <c r="I1104" s="168"/>
      <c r="J1104" s="168"/>
      <c r="K1104" s="168"/>
      <c r="L1104" s="168"/>
      <c r="M1104" s="168"/>
      <c r="N1104" s="168"/>
      <c r="O1104" s="168"/>
      <c r="P1104" s="168"/>
      <c r="Q1104" s="168"/>
      <c r="R1104" s="168"/>
      <c r="S1104" s="168"/>
      <c r="T1104" s="168"/>
      <c r="U1104" s="168"/>
      <c r="V1104" s="168"/>
      <c r="W1104" s="168"/>
      <c r="X1104" s="168"/>
      <c r="Y1104" s="168"/>
      <c r="Z1104" s="168"/>
    </row>
    <row r="1105">
      <c r="A1105" s="168"/>
      <c r="B1105" s="162"/>
      <c r="C1105" s="168"/>
      <c r="D1105" s="168"/>
      <c r="E1105" s="168"/>
      <c r="F1105" s="168"/>
      <c r="G1105" s="168"/>
      <c r="H1105" s="168"/>
      <c r="I1105" s="168"/>
      <c r="J1105" s="168"/>
      <c r="K1105" s="168"/>
      <c r="L1105" s="168"/>
      <c r="M1105" s="168"/>
      <c r="N1105" s="168"/>
      <c r="O1105" s="168"/>
      <c r="P1105" s="168"/>
      <c r="Q1105" s="168"/>
      <c r="R1105" s="168"/>
      <c r="S1105" s="168"/>
      <c r="T1105" s="168"/>
      <c r="U1105" s="168"/>
      <c r="V1105" s="168"/>
      <c r="W1105" s="168"/>
      <c r="X1105" s="168"/>
      <c r="Y1105" s="168"/>
      <c r="Z1105" s="168"/>
    </row>
    <row r="1106">
      <c r="A1106" s="168"/>
      <c r="B1106" s="162"/>
      <c r="C1106" s="168"/>
      <c r="D1106" s="168"/>
      <c r="E1106" s="168"/>
      <c r="F1106" s="168"/>
      <c r="G1106" s="168"/>
      <c r="H1106" s="168"/>
      <c r="I1106" s="168"/>
      <c r="J1106" s="168"/>
      <c r="K1106" s="168"/>
      <c r="L1106" s="168"/>
      <c r="M1106" s="168"/>
      <c r="N1106" s="168"/>
      <c r="O1106" s="168"/>
      <c r="P1106" s="168"/>
      <c r="Q1106" s="168"/>
      <c r="R1106" s="168"/>
      <c r="S1106" s="168"/>
      <c r="T1106" s="168"/>
      <c r="U1106" s="168"/>
      <c r="V1106" s="168"/>
      <c r="W1106" s="168"/>
      <c r="X1106" s="168"/>
      <c r="Y1106" s="168"/>
      <c r="Z1106" s="168"/>
    </row>
    <row r="1107">
      <c r="A1107" s="168"/>
      <c r="B1107" s="162"/>
      <c r="C1107" s="168"/>
      <c r="D1107" s="168"/>
      <c r="E1107" s="168"/>
      <c r="F1107" s="168"/>
      <c r="G1107" s="168"/>
      <c r="H1107" s="168"/>
      <c r="I1107" s="168"/>
      <c r="J1107" s="168"/>
      <c r="K1107" s="168"/>
      <c r="L1107" s="168"/>
      <c r="M1107" s="168"/>
      <c r="N1107" s="168"/>
      <c r="O1107" s="168"/>
      <c r="P1107" s="168"/>
      <c r="Q1107" s="168"/>
      <c r="R1107" s="168"/>
      <c r="S1107" s="168"/>
      <c r="T1107" s="168"/>
      <c r="U1107" s="168"/>
      <c r="V1107" s="168"/>
      <c r="W1107" s="168"/>
      <c r="X1107" s="168"/>
      <c r="Y1107" s="168"/>
      <c r="Z1107" s="168"/>
    </row>
    <row r="1108">
      <c r="A1108" s="168"/>
      <c r="B1108" s="162"/>
      <c r="C1108" s="168"/>
      <c r="D1108" s="168"/>
      <c r="E1108" s="168"/>
      <c r="F1108" s="168"/>
      <c r="G1108" s="168"/>
      <c r="H1108" s="168"/>
      <c r="I1108" s="168"/>
      <c r="J1108" s="168"/>
      <c r="K1108" s="168"/>
      <c r="L1108" s="168"/>
      <c r="M1108" s="168"/>
      <c r="N1108" s="168"/>
      <c r="O1108" s="168"/>
      <c r="P1108" s="168"/>
      <c r="Q1108" s="168"/>
      <c r="R1108" s="168"/>
      <c r="S1108" s="168"/>
      <c r="T1108" s="168"/>
      <c r="U1108" s="168"/>
      <c r="V1108" s="168"/>
      <c r="W1108" s="168"/>
      <c r="X1108" s="168"/>
      <c r="Y1108" s="168"/>
      <c r="Z1108" s="168"/>
    </row>
    <row r="1109">
      <c r="A1109" s="168"/>
      <c r="B1109" s="162"/>
      <c r="C1109" s="168"/>
      <c r="D1109" s="168"/>
      <c r="E1109" s="168"/>
      <c r="F1109" s="168"/>
      <c r="G1109" s="168"/>
      <c r="H1109" s="168"/>
      <c r="I1109" s="168"/>
      <c r="J1109" s="168"/>
      <c r="K1109" s="168"/>
      <c r="L1109" s="168"/>
      <c r="M1109" s="168"/>
      <c r="N1109" s="168"/>
      <c r="O1109" s="168"/>
      <c r="P1109" s="168"/>
      <c r="Q1109" s="168"/>
      <c r="R1109" s="168"/>
      <c r="S1109" s="168"/>
      <c r="T1109" s="168"/>
      <c r="U1109" s="168"/>
      <c r="V1109" s="168"/>
      <c r="W1109" s="168"/>
      <c r="X1109" s="168"/>
      <c r="Y1109" s="168"/>
      <c r="Z1109" s="168"/>
    </row>
    <row r="1110">
      <c r="A1110" s="168"/>
      <c r="B1110" s="162"/>
      <c r="C1110" s="168"/>
      <c r="D1110" s="168"/>
      <c r="E1110" s="168"/>
      <c r="F1110" s="168"/>
      <c r="G1110" s="168"/>
      <c r="H1110" s="168"/>
      <c r="I1110" s="168"/>
      <c r="J1110" s="168"/>
      <c r="K1110" s="168"/>
      <c r="L1110" s="168"/>
      <c r="M1110" s="168"/>
      <c r="N1110" s="168"/>
      <c r="O1110" s="168"/>
      <c r="P1110" s="168"/>
      <c r="Q1110" s="168"/>
      <c r="R1110" s="168"/>
      <c r="S1110" s="168"/>
      <c r="T1110" s="168"/>
      <c r="U1110" s="168"/>
      <c r="V1110" s="168"/>
      <c r="W1110" s="168"/>
      <c r="X1110" s="168"/>
      <c r="Y1110" s="168"/>
      <c r="Z1110" s="168"/>
    </row>
    <row r="1111">
      <c r="A1111" s="168"/>
      <c r="B1111" s="162"/>
      <c r="C1111" s="168"/>
      <c r="D1111" s="168"/>
      <c r="E1111" s="168"/>
      <c r="F1111" s="168"/>
      <c r="G1111" s="168"/>
      <c r="H1111" s="168"/>
      <c r="I1111" s="168"/>
      <c r="J1111" s="168"/>
      <c r="K1111" s="168"/>
      <c r="L1111" s="168"/>
      <c r="M1111" s="168"/>
      <c r="N1111" s="168"/>
      <c r="O1111" s="168"/>
      <c r="P1111" s="168"/>
      <c r="Q1111" s="168"/>
      <c r="R1111" s="168"/>
      <c r="S1111" s="168"/>
      <c r="T1111" s="168"/>
      <c r="U1111" s="168"/>
      <c r="V1111" s="168"/>
      <c r="W1111" s="168"/>
      <c r="X1111" s="168"/>
      <c r="Y1111" s="168"/>
      <c r="Z1111" s="168"/>
    </row>
    <row r="1112">
      <c r="A1112" s="168"/>
      <c r="B1112" s="162"/>
      <c r="C1112" s="168"/>
      <c r="D1112" s="168"/>
      <c r="E1112" s="168"/>
      <c r="F1112" s="168"/>
      <c r="G1112" s="168"/>
      <c r="H1112" s="168"/>
      <c r="I1112" s="168"/>
      <c r="J1112" s="168"/>
      <c r="K1112" s="168"/>
      <c r="L1112" s="168"/>
      <c r="M1112" s="168"/>
      <c r="N1112" s="168"/>
      <c r="O1112" s="168"/>
      <c r="P1112" s="168"/>
      <c r="Q1112" s="168"/>
      <c r="R1112" s="168"/>
      <c r="S1112" s="168"/>
      <c r="T1112" s="168"/>
      <c r="U1112" s="168"/>
      <c r="V1112" s="168"/>
      <c r="W1112" s="168"/>
      <c r="X1112" s="168"/>
      <c r="Y1112" s="168"/>
      <c r="Z1112" s="168"/>
    </row>
    <row r="1113">
      <c r="A1113" s="168"/>
      <c r="B1113" s="162"/>
      <c r="C1113" s="168"/>
      <c r="D1113" s="168"/>
      <c r="E1113" s="168"/>
      <c r="F1113" s="168"/>
      <c r="G1113" s="168"/>
      <c r="H1113" s="168"/>
      <c r="I1113" s="168"/>
      <c r="J1113" s="168"/>
      <c r="K1113" s="168"/>
      <c r="L1113" s="168"/>
      <c r="M1113" s="168"/>
      <c r="N1113" s="168"/>
      <c r="O1113" s="168"/>
      <c r="P1113" s="168"/>
      <c r="Q1113" s="168"/>
      <c r="R1113" s="168"/>
      <c r="S1113" s="168"/>
      <c r="T1113" s="168"/>
      <c r="U1113" s="168"/>
      <c r="V1113" s="168"/>
      <c r="W1113" s="168"/>
      <c r="X1113" s="168"/>
      <c r="Y1113" s="168"/>
      <c r="Z1113" s="168"/>
    </row>
    <row r="1114">
      <c r="A1114" s="168"/>
      <c r="B1114" s="162"/>
      <c r="C1114" s="168"/>
      <c r="D1114" s="168"/>
      <c r="E1114" s="168"/>
      <c r="F1114" s="168"/>
      <c r="G1114" s="168"/>
      <c r="H1114" s="168"/>
      <c r="I1114" s="168"/>
      <c r="J1114" s="168"/>
      <c r="K1114" s="168"/>
      <c r="L1114" s="168"/>
      <c r="M1114" s="168"/>
      <c r="N1114" s="168"/>
      <c r="O1114" s="168"/>
      <c r="P1114" s="168"/>
      <c r="Q1114" s="168"/>
      <c r="R1114" s="168"/>
      <c r="S1114" s="168"/>
      <c r="T1114" s="168"/>
      <c r="U1114" s="168"/>
      <c r="V1114" s="168"/>
      <c r="W1114" s="168"/>
      <c r="X1114" s="168"/>
      <c r="Y1114" s="168"/>
      <c r="Z1114" s="168"/>
    </row>
    <row r="1115">
      <c r="A1115" s="168"/>
      <c r="B1115" s="162"/>
      <c r="C1115" s="168"/>
      <c r="D1115" s="168"/>
      <c r="E1115" s="168"/>
      <c r="F1115" s="168"/>
      <c r="G1115" s="168"/>
      <c r="H1115" s="168"/>
      <c r="I1115" s="168"/>
      <c r="J1115" s="168"/>
      <c r="K1115" s="168"/>
      <c r="L1115" s="168"/>
      <c r="M1115" s="168"/>
      <c r="N1115" s="168"/>
      <c r="O1115" s="168"/>
      <c r="P1115" s="168"/>
      <c r="Q1115" s="168"/>
      <c r="R1115" s="168"/>
      <c r="S1115" s="168"/>
      <c r="T1115" s="168"/>
      <c r="U1115" s="168"/>
      <c r="V1115" s="168"/>
      <c r="W1115" s="168"/>
      <c r="X1115" s="168"/>
      <c r="Y1115" s="168"/>
      <c r="Z1115" s="168"/>
    </row>
    <row r="1116">
      <c r="A1116" s="168"/>
      <c r="B1116" s="162"/>
      <c r="C1116" s="168"/>
      <c r="D1116" s="168"/>
      <c r="E1116" s="168"/>
      <c r="F1116" s="168"/>
      <c r="G1116" s="168"/>
      <c r="H1116" s="168"/>
      <c r="I1116" s="168"/>
      <c r="J1116" s="168"/>
      <c r="K1116" s="168"/>
      <c r="L1116" s="168"/>
      <c r="M1116" s="168"/>
      <c r="N1116" s="168"/>
      <c r="O1116" s="168"/>
      <c r="P1116" s="168"/>
      <c r="Q1116" s="168"/>
      <c r="R1116" s="168"/>
      <c r="S1116" s="168"/>
      <c r="T1116" s="168"/>
      <c r="U1116" s="168"/>
      <c r="V1116" s="168"/>
      <c r="W1116" s="168"/>
      <c r="X1116" s="168"/>
      <c r="Y1116" s="168"/>
      <c r="Z1116" s="168"/>
    </row>
    <row r="1117">
      <c r="A1117" s="168"/>
      <c r="B1117" s="162"/>
      <c r="C1117" s="168"/>
      <c r="D1117" s="168"/>
      <c r="E1117" s="168"/>
      <c r="F1117" s="168"/>
      <c r="G1117" s="168"/>
      <c r="H1117" s="168"/>
      <c r="I1117" s="168"/>
      <c r="J1117" s="168"/>
      <c r="K1117" s="168"/>
      <c r="L1117" s="168"/>
      <c r="M1117" s="168"/>
      <c r="N1117" s="168"/>
      <c r="O1117" s="168"/>
      <c r="P1117" s="168"/>
      <c r="Q1117" s="168"/>
      <c r="R1117" s="168"/>
      <c r="S1117" s="168"/>
      <c r="T1117" s="168"/>
      <c r="U1117" s="168"/>
      <c r="V1117" s="168"/>
      <c r="W1117" s="168"/>
      <c r="X1117" s="168"/>
      <c r="Y1117" s="168"/>
      <c r="Z1117" s="168"/>
    </row>
    <row r="1118">
      <c r="A1118" s="168"/>
      <c r="B1118" s="162"/>
      <c r="C1118" s="168"/>
      <c r="D1118" s="168"/>
      <c r="E1118" s="168"/>
      <c r="F1118" s="168"/>
      <c r="G1118" s="168"/>
      <c r="H1118" s="168"/>
      <c r="I1118" s="168"/>
      <c r="J1118" s="168"/>
      <c r="K1118" s="168"/>
      <c r="L1118" s="168"/>
      <c r="M1118" s="168"/>
      <c r="N1118" s="168"/>
      <c r="O1118" s="168"/>
      <c r="P1118" s="168"/>
      <c r="Q1118" s="168"/>
      <c r="R1118" s="168"/>
      <c r="S1118" s="168"/>
      <c r="T1118" s="168"/>
      <c r="U1118" s="168"/>
      <c r="V1118" s="168"/>
      <c r="W1118" s="168"/>
      <c r="X1118" s="168"/>
      <c r="Y1118" s="168"/>
      <c r="Z1118" s="168"/>
    </row>
    <row r="1119">
      <c r="A1119" s="168"/>
      <c r="B1119" s="162"/>
      <c r="C1119" s="168"/>
      <c r="D1119" s="168"/>
      <c r="E1119" s="168"/>
      <c r="F1119" s="168"/>
      <c r="G1119" s="168"/>
      <c r="H1119" s="168"/>
      <c r="I1119" s="168"/>
      <c r="J1119" s="168"/>
      <c r="K1119" s="168"/>
      <c r="L1119" s="168"/>
      <c r="M1119" s="168"/>
      <c r="N1119" s="168"/>
      <c r="O1119" s="168"/>
      <c r="P1119" s="168"/>
      <c r="Q1119" s="168"/>
      <c r="R1119" s="168"/>
      <c r="S1119" s="168"/>
      <c r="T1119" s="168"/>
      <c r="U1119" s="168"/>
      <c r="V1119" s="168"/>
      <c r="W1119" s="168"/>
      <c r="X1119" s="168"/>
      <c r="Y1119" s="168"/>
      <c r="Z1119" s="168"/>
    </row>
    <row r="1120">
      <c r="A1120" s="168"/>
      <c r="B1120" s="162"/>
      <c r="C1120" s="168"/>
      <c r="D1120" s="168"/>
      <c r="E1120" s="168"/>
      <c r="F1120" s="168"/>
      <c r="G1120" s="168"/>
      <c r="H1120" s="168"/>
      <c r="I1120" s="168"/>
      <c r="J1120" s="168"/>
      <c r="K1120" s="168"/>
      <c r="L1120" s="168"/>
      <c r="M1120" s="168"/>
      <c r="N1120" s="168"/>
      <c r="O1120" s="168"/>
      <c r="P1120" s="168"/>
      <c r="Q1120" s="168"/>
      <c r="R1120" s="168"/>
      <c r="S1120" s="168"/>
      <c r="T1120" s="168"/>
      <c r="U1120" s="168"/>
      <c r="V1120" s="168"/>
      <c r="W1120" s="168"/>
      <c r="X1120" s="168"/>
      <c r="Y1120" s="168"/>
      <c r="Z1120" s="168"/>
    </row>
    <row r="1121">
      <c r="A1121" s="168"/>
      <c r="B1121" s="162"/>
      <c r="C1121" s="168"/>
      <c r="D1121" s="168"/>
      <c r="E1121" s="168"/>
      <c r="F1121" s="168"/>
      <c r="G1121" s="168"/>
      <c r="H1121" s="168"/>
      <c r="I1121" s="168"/>
      <c r="J1121" s="168"/>
      <c r="K1121" s="168"/>
      <c r="L1121" s="168"/>
      <c r="M1121" s="168"/>
      <c r="N1121" s="168"/>
      <c r="O1121" s="168"/>
      <c r="P1121" s="168"/>
      <c r="Q1121" s="168"/>
      <c r="R1121" s="168"/>
      <c r="S1121" s="168"/>
      <c r="T1121" s="168"/>
      <c r="U1121" s="168"/>
      <c r="V1121" s="168"/>
      <c r="W1121" s="168"/>
      <c r="X1121" s="168"/>
      <c r="Y1121" s="168"/>
      <c r="Z1121" s="168"/>
    </row>
    <row r="1122">
      <c r="A1122" s="168"/>
      <c r="B1122" s="162"/>
      <c r="C1122" s="168"/>
      <c r="D1122" s="168"/>
      <c r="E1122" s="168"/>
      <c r="F1122" s="168"/>
      <c r="G1122" s="168"/>
      <c r="H1122" s="168"/>
      <c r="I1122" s="168"/>
      <c r="J1122" s="168"/>
      <c r="K1122" s="168"/>
      <c r="L1122" s="168"/>
      <c r="M1122" s="168"/>
      <c r="N1122" s="168"/>
      <c r="O1122" s="168"/>
      <c r="P1122" s="168"/>
      <c r="Q1122" s="168"/>
      <c r="R1122" s="168"/>
      <c r="S1122" s="168"/>
      <c r="T1122" s="168"/>
      <c r="U1122" s="168"/>
      <c r="V1122" s="168"/>
      <c r="W1122" s="168"/>
      <c r="X1122" s="168"/>
      <c r="Y1122" s="168"/>
      <c r="Z1122" s="168"/>
    </row>
    <row r="1123">
      <c r="A1123" s="168"/>
      <c r="B1123" s="162"/>
      <c r="C1123" s="168"/>
      <c r="D1123" s="168"/>
      <c r="E1123" s="168"/>
      <c r="F1123" s="168"/>
      <c r="G1123" s="168"/>
      <c r="H1123" s="168"/>
      <c r="I1123" s="168"/>
      <c r="J1123" s="168"/>
      <c r="K1123" s="168"/>
      <c r="L1123" s="168"/>
      <c r="M1123" s="168"/>
      <c r="N1123" s="168"/>
      <c r="O1123" s="168"/>
      <c r="P1123" s="168"/>
      <c r="Q1123" s="168"/>
      <c r="R1123" s="168"/>
      <c r="S1123" s="168"/>
      <c r="T1123" s="168"/>
      <c r="U1123" s="168"/>
      <c r="V1123" s="168"/>
      <c r="W1123" s="168"/>
      <c r="X1123" s="168"/>
      <c r="Y1123" s="168"/>
      <c r="Z1123" s="168"/>
    </row>
    <row r="1124">
      <c r="A1124" s="168"/>
      <c r="B1124" s="162"/>
      <c r="C1124" s="168"/>
      <c r="D1124" s="168"/>
      <c r="E1124" s="168"/>
      <c r="F1124" s="168"/>
      <c r="G1124" s="168"/>
      <c r="H1124" s="168"/>
      <c r="I1124" s="168"/>
      <c r="J1124" s="168"/>
      <c r="K1124" s="168"/>
      <c r="L1124" s="168"/>
      <c r="M1124" s="168"/>
      <c r="N1124" s="168"/>
      <c r="O1124" s="168"/>
      <c r="P1124" s="168"/>
      <c r="Q1124" s="168"/>
      <c r="R1124" s="168"/>
      <c r="S1124" s="168"/>
      <c r="T1124" s="168"/>
      <c r="U1124" s="168"/>
      <c r="V1124" s="168"/>
      <c r="W1124" s="168"/>
      <c r="X1124" s="168"/>
      <c r="Y1124" s="168"/>
      <c r="Z1124" s="168"/>
    </row>
    <row r="1125">
      <c r="A1125" s="168"/>
      <c r="B1125" s="162"/>
      <c r="C1125" s="168"/>
      <c r="D1125" s="168"/>
      <c r="E1125" s="168"/>
      <c r="F1125" s="168"/>
      <c r="G1125" s="168"/>
      <c r="H1125" s="168"/>
      <c r="I1125" s="168"/>
      <c r="J1125" s="168"/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8"/>
      <c r="V1125" s="168"/>
      <c r="W1125" s="168"/>
      <c r="X1125" s="168"/>
      <c r="Y1125" s="168"/>
      <c r="Z1125" s="168"/>
    </row>
    <row r="1126">
      <c r="A1126" s="168"/>
      <c r="B1126" s="162"/>
      <c r="C1126" s="168"/>
      <c r="D1126" s="168"/>
      <c r="E1126" s="168"/>
      <c r="F1126" s="168"/>
      <c r="G1126" s="168"/>
      <c r="H1126" s="168"/>
      <c r="I1126" s="168"/>
      <c r="J1126" s="168"/>
      <c r="K1126" s="168"/>
      <c r="L1126" s="168"/>
      <c r="M1126" s="168"/>
      <c r="N1126" s="168"/>
      <c r="O1126" s="168"/>
      <c r="P1126" s="168"/>
      <c r="Q1126" s="168"/>
      <c r="R1126" s="168"/>
      <c r="S1126" s="168"/>
      <c r="T1126" s="168"/>
      <c r="U1126" s="168"/>
      <c r="V1126" s="168"/>
      <c r="W1126" s="168"/>
      <c r="X1126" s="168"/>
      <c r="Y1126" s="168"/>
      <c r="Z1126" s="168"/>
    </row>
    <row r="1127">
      <c r="A1127" s="168"/>
      <c r="B1127" s="162"/>
      <c r="C1127" s="168"/>
      <c r="D1127" s="168"/>
      <c r="E1127" s="168"/>
      <c r="F1127" s="168"/>
      <c r="G1127" s="168"/>
      <c r="H1127" s="168"/>
      <c r="I1127" s="168"/>
      <c r="J1127" s="168"/>
      <c r="K1127" s="168"/>
      <c r="L1127" s="168"/>
      <c r="M1127" s="168"/>
      <c r="N1127" s="168"/>
      <c r="O1127" s="168"/>
      <c r="P1127" s="168"/>
      <c r="Q1127" s="168"/>
      <c r="R1127" s="168"/>
      <c r="S1127" s="168"/>
      <c r="T1127" s="168"/>
      <c r="U1127" s="168"/>
      <c r="V1127" s="168"/>
      <c r="W1127" s="168"/>
      <c r="X1127" s="168"/>
      <c r="Y1127" s="168"/>
      <c r="Z1127" s="168"/>
    </row>
    <row r="1128">
      <c r="A1128" s="168"/>
      <c r="B1128" s="162"/>
      <c r="C1128" s="168"/>
      <c r="D1128" s="168"/>
      <c r="E1128" s="168"/>
      <c r="F1128" s="168"/>
      <c r="G1128" s="168"/>
      <c r="H1128" s="168"/>
      <c r="I1128" s="168"/>
      <c r="J1128" s="168"/>
      <c r="K1128" s="168"/>
      <c r="L1128" s="168"/>
      <c r="M1128" s="168"/>
      <c r="N1128" s="168"/>
      <c r="O1128" s="168"/>
      <c r="P1128" s="168"/>
      <c r="Q1128" s="168"/>
      <c r="R1128" s="168"/>
      <c r="S1128" s="168"/>
      <c r="T1128" s="168"/>
      <c r="U1128" s="168"/>
      <c r="V1128" s="168"/>
      <c r="W1128" s="168"/>
      <c r="X1128" s="168"/>
      <c r="Y1128" s="168"/>
      <c r="Z1128" s="168"/>
    </row>
    <row r="1129">
      <c r="A1129" s="168"/>
      <c r="B1129" s="162"/>
      <c r="C1129" s="168"/>
      <c r="D1129" s="168"/>
      <c r="E1129" s="168"/>
      <c r="F1129" s="168"/>
      <c r="G1129" s="168"/>
      <c r="H1129" s="168"/>
      <c r="I1129" s="168"/>
      <c r="J1129" s="168"/>
      <c r="K1129" s="168"/>
      <c r="L1129" s="168"/>
      <c r="M1129" s="168"/>
      <c r="N1129" s="168"/>
      <c r="O1129" s="168"/>
      <c r="P1129" s="168"/>
      <c r="Q1129" s="168"/>
      <c r="R1129" s="168"/>
      <c r="S1129" s="168"/>
      <c r="T1129" s="168"/>
      <c r="U1129" s="168"/>
      <c r="V1129" s="168"/>
      <c r="W1129" s="168"/>
      <c r="X1129" s="168"/>
      <c r="Y1129" s="168"/>
      <c r="Z1129" s="168"/>
    </row>
    <row r="1130">
      <c r="A1130" s="168"/>
      <c r="B1130" s="162"/>
      <c r="C1130" s="168"/>
      <c r="D1130" s="168"/>
      <c r="E1130" s="168"/>
      <c r="F1130" s="168"/>
      <c r="G1130" s="168"/>
      <c r="H1130" s="168"/>
      <c r="I1130" s="168"/>
      <c r="J1130" s="168"/>
      <c r="K1130" s="168"/>
      <c r="L1130" s="168"/>
      <c r="M1130" s="168"/>
      <c r="N1130" s="168"/>
      <c r="O1130" s="168"/>
      <c r="P1130" s="168"/>
      <c r="Q1130" s="168"/>
      <c r="R1130" s="168"/>
      <c r="S1130" s="168"/>
      <c r="T1130" s="168"/>
      <c r="U1130" s="168"/>
      <c r="V1130" s="168"/>
      <c r="W1130" s="168"/>
      <c r="X1130" s="168"/>
      <c r="Y1130" s="168"/>
      <c r="Z1130" s="168"/>
    </row>
    <row r="1131">
      <c r="A1131" s="168"/>
      <c r="B1131" s="162"/>
      <c r="C1131" s="168"/>
      <c r="D1131" s="168"/>
      <c r="E1131" s="168"/>
      <c r="F1131" s="168"/>
      <c r="G1131" s="168"/>
      <c r="H1131" s="168"/>
      <c r="I1131" s="168"/>
      <c r="J1131" s="168"/>
      <c r="K1131" s="168"/>
      <c r="L1131" s="168"/>
      <c r="M1131" s="168"/>
      <c r="N1131" s="168"/>
      <c r="O1131" s="168"/>
      <c r="P1131" s="168"/>
      <c r="Q1131" s="168"/>
      <c r="R1131" s="168"/>
      <c r="S1131" s="168"/>
      <c r="T1131" s="168"/>
      <c r="U1131" s="168"/>
      <c r="V1131" s="168"/>
      <c r="W1131" s="168"/>
      <c r="X1131" s="168"/>
      <c r="Y1131" s="168"/>
      <c r="Z1131" s="168"/>
    </row>
    <row r="1132">
      <c r="A1132" s="168"/>
      <c r="B1132" s="162"/>
      <c r="C1132" s="168"/>
      <c r="D1132" s="168"/>
      <c r="E1132" s="168"/>
      <c r="F1132" s="168"/>
      <c r="G1132" s="168"/>
      <c r="H1132" s="168"/>
      <c r="I1132" s="168"/>
      <c r="J1132" s="168"/>
      <c r="K1132" s="168"/>
      <c r="L1132" s="168"/>
      <c r="M1132" s="168"/>
      <c r="N1132" s="168"/>
      <c r="O1132" s="168"/>
      <c r="P1132" s="168"/>
      <c r="Q1132" s="168"/>
      <c r="R1132" s="168"/>
      <c r="S1132" s="168"/>
      <c r="T1132" s="168"/>
      <c r="U1132" s="168"/>
      <c r="V1132" s="168"/>
      <c r="W1132" s="168"/>
      <c r="X1132" s="168"/>
      <c r="Y1132" s="168"/>
      <c r="Z1132" s="168"/>
    </row>
    <row r="1133">
      <c r="A1133" s="168"/>
      <c r="B1133" s="162"/>
      <c r="C1133" s="168"/>
      <c r="D1133" s="168"/>
      <c r="E1133" s="168"/>
      <c r="F1133" s="168"/>
      <c r="G1133" s="168"/>
      <c r="H1133" s="168"/>
      <c r="I1133" s="168"/>
      <c r="J1133" s="168"/>
      <c r="K1133" s="168"/>
      <c r="L1133" s="168"/>
      <c r="M1133" s="168"/>
      <c r="N1133" s="168"/>
      <c r="O1133" s="168"/>
      <c r="P1133" s="168"/>
      <c r="Q1133" s="168"/>
      <c r="R1133" s="168"/>
      <c r="S1133" s="168"/>
      <c r="T1133" s="168"/>
      <c r="U1133" s="168"/>
      <c r="V1133" s="168"/>
      <c r="W1133" s="168"/>
      <c r="X1133" s="168"/>
      <c r="Y1133" s="168"/>
      <c r="Z1133" s="168"/>
    </row>
    <row r="1134">
      <c r="A1134" s="168"/>
      <c r="B1134" s="162"/>
      <c r="C1134" s="168"/>
      <c r="D1134" s="168"/>
      <c r="E1134" s="168"/>
      <c r="F1134" s="168"/>
      <c r="G1134" s="168"/>
      <c r="H1134" s="168"/>
      <c r="I1134" s="168"/>
      <c r="J1134" s="168"/>
      <c r="K1134" s="168"/>
      <c r="L1134" s="168"/>
      <c r="M1134" s="168"/>
      <c r="N1134" s="168"/>
      <c r="O1134" s="168"/>
      <c r="P1134" s="168"/>
      <c r="Q1134" s="168"/>
      <c r="R1134" s="168"/>
      <c r="S1134" s="168"/>
      <c r="T1134" s="168"/>
      <c r="U1134" s="168"/>
      <c r="V1134" s="168"/>
      <c r="W1134" s="168"/>
      <c r="X1134" s="168"/>
      <c r="Y1134" s="168"/>
      <c r="Z1134" s="168"/>
    </row>
    <row r="1135">
      <c r="A1135" s="168"/>
      <c r="B1135" s="162"/>
      <c r="C1135" s="168"/>
      <c r="D1135" s="168"/>
      <c r="E1135" s="168"/>
      <c r="F1135" s="168"/>
      <c r="G1135" s="168"/>
      <c r="H1135" s="168"/>
      <c r="I1135" s="168"/>
      <c r="J1135" s="168"/>
      <c r="K1135" s="168"/>
      <c r="L1135" s="168"/>
      <c r="M1135" s="168"/>
      <c r="N1135" s="168"/>
      <c r="O1135" s="168"/>
      <c r="P1135" s="168"/>
      <c r="Q1135" s="168"/>
      <c r="R1135" s="168"/>
      <c r="S1135" s="168"/>
      <c r="T1135" s="168"/>
      <c r="U1135" s="168"/>
      <c r="V1135" s="168"/>
      <c r="W1135" s="168"/>
      <c r="X1135" s="168"/>
      <c r="Y1135" s="168"/>
      <c r="Z1135" s="168"/>
    </row>
    <row r="1136">
      <c r="A1136" s="168"/>
      <c r="B1136" s="162"/>
      <c r="C1136" s="168"/>
      <c r="D1136" s="168"/>
      <c r="E1136" s="168"/>
      <c r="F1136" s="168"/>
      <c r="G1136" s="168"/>
      <c r="H1136" s="168"/>
      <c r="I1136" s="168"/>
      <c r="J1136" s="168"/>
      <c r="K1136" s="168"/>
      <c r="L1136" s="168"/>
      <c r="M1136" s="168"/>
      <c r="N1136" s="168"/>
      <c r="O1136" s="168"/>
      <c r="P1136" s="168"/>
      <c r="Q1136" s="168"/>
      <c r="R1136" s="168"/>
      <c r="S1136" s="168"/>
      <c r="T1136" s="168"/>
      <c r="U1136" s="168"/>
      <c r="V1136" s="168"/>
      <c r="W1136" s="168"/>
      <c r="X1136" s="168"/>
      <c r="Y1136" s="168"/>
      <c r="Z1136" s="168"/>
    </row>
    <row r="1137">
      <c r="A1137" s="168"/>
      <c r="B1137" s="162"/>
      <c r="C1137" s="168"/>
      <c r="D1137" s="168"/>
      <c r="E1137" s="168"/>
      <c r="F1137" s="168"/>
      <c r="G1137" s="168"/>
      <c r="H1137" s="168"/>
      <c r="I1137" s="168"/>
      <c r="J1137" s="168"/>
      <c r="K1137" s="168"/>
      <c r="L1137" s="168"/>
      <c r="M1137" s="168"/>
      <c r="N1137" s="168"/>
      <c r="O1137" s="168"/>
      <c r="P1137" s="168"/>
      <c r="Q1137" s="168"/>
      <c r="R1137" s="168"/>
      <c r="S1137" s="168"/>
      <c r="T1137" s="168"/>
      <c r="U1137" s="168"/>
      <c r="V1137" s="168"/>
      <c r="W1137" s="168"/>
      <c r="X1137" s="168"/>
      <c r="Y1137" s="168"/>
      <c r="Z1137" s="168"/>
    </row>
    <row r="1138">
      <c r="A1138" s="168"/>
      <c r="B1138" s="162"/>
      <c r="C1138" s="168"/>
      <c r="D1138" s="168"/>
      <c r="E1138" s="168"/>
      <c r="F1138" s="168"/>
      <c r="G1138" s="168"/>
      <c r="H1138" s="168"/>
      <c r="I1138" s="168"/>
      <c r="J1138" s="168"/>
      <c r="K1138" s="168"/>
      <c r="L1138" s="168"/>
      <c r="M1138" s="168"/>
      <c r="N1138" s="168"/>
      <c r="O1138" s="168"/>
      <c r="P1138" s="168"/>
      <c r="Q1138" s="168"/>
      <c r="R1138" s="168"/>
      <c r="S1138" s="168"/>
      <c r="T1138" s="168"/>
      <c r="U1138" s="168"/>
      <c r="V1138" s="168"/>
      <c r="W1138" s="168"/>
      <c r="X1138" s="168"/>
      <c r="Y1138" s="168"/>
      <c r="Z1138" s="168"/>
    </row>
    <row r="1139">
      <c r="A1139" s="168"/>
      <c r="B1139" s="162"/>
      <c r="C1139" s="168"/>
      <c r="D1139" s="168"/>
      <c r="E1139" s="168"/>
      <c r="F1139" s="168"/>
      <c r="G1139" s="168"/>
      <c r="H1139" s="168"/>
      <c r="I1139" s="168"/>
      <c r="J1139" s="168"/>
      <c r="K1139" s="168"/>
      <c r="L1139" s="168"/>
      <c r="M1139" s="168"/>
      <c r="N1139" s="168"/>
      <c r="O1139" s="168"/>
      <c r="P1139" s="168"/>
      <c r="Q1139" s="168"/>
      <c r="R1139" s="168"/>
      <c r="S1139" s="168"/>
      <c r="T1139" s="168"/>
      <c r="U1139" s="168"/>
      <c r="V1139" s="168"/>
      <c r="W1139" s="168"/>
      <c r="X1139" s="168"/>
      <c r="Y1139" s="168"/>
      <c r="Z1139" s="168"/>
    </row>
    <row r="1140">
      <c r="A1140" s="168"/>
      <c r="B1140" s="162"/>
      <c r="C1140" s="168"/>
      <c r="D1140" s="168"/>
      <c r="E1140" s="168"/>
      <c r="F1140" s="168"/>
      <c r="G1140" s="168"/>
      <c r="H1140" s="168"/>
      <c r="I1140" s="168"/>
      <c r="J1140" s="168"/>
      <c r="K1140" s="168"/>
      <c r="L1140" s="168"/>
      <c r="M1140" s="168"/>
      <c r="N1140" s="168"/>
      <c r="O1140" s="168"/>
      <c r="P1140" s="168"/>
      <c r="Q1140" s="168"/>
      <c r="R1140" s="168"/>
      <c r="S1140" s="168"/>
      <c r="T1140" s="168"/>
      <c r="U1140" s="168"/>
      <c r="V1140" s="168"/>
      <c r="W1140" s="168"/>
      <c r="X1140" s="168"/>
      <c r="Y1140" s="168"/>
      <c r="Z1140" s="168"/>
    </row>
    <row r="1141">
      <c r="A1141" s="168"/>
      <c r="B1141" s="162"/>
      <c r="C1141" s="168"/>
      <c r="D1141" s="168"/>
      <c r="E1141" s="168"/>
      <c r="F1141" s="168"/>
      <c r="G1141" s="168"/>
      <c r="H1141" s="168"/>
      <c r="I1141" s="168"/>
      <c r="J1141" s="168"/>
      <c r="K1141" s="168"/>
      <c r="L1141" s="168"/>
      <c r="M1141" s="168"/>
      <c r="N1141" s="168"/>
      <c r="O1141" s="168"/>
      <c r="P1141" s="168"/>
      <c r="Q1141" s="168"/>
      <c r="R1141" s="168"/>
      <c r="S1141" s="168"/>
      <c r="T1141" s="168"/>
      <c r="U1141" s="168"/>
      <c r="V1141" s="168"/>
      <c r="W1141" s="168"/>
      <c r="X1141" s="168"/>
      <c r="Y1141" s="168"/>
      <c r="Z1141" s="168"/>
    </row>
    <row r="1142">
      <c r="A1142" s="168"/>
      <c r="B1142" s="162"/>
      <c r="C1142" s="168"/>
      <c r="D1142" s="168"/>
      <c r="E1142" s="168"/>
      <c r="F1142" s="168"/>
      <c r="G1142" s="168"/>
      <c r="H1142" s="168"/>
      <c r="I1142" s="168"/>
      <c r="J1142" s="168"/>
      <c r="K1142" s="168"/>
      <c r="L1142" s="168"/>
      <c r="M1142" s="168"/>
      <c r="N1142" s="168"/>
      <c r="O1142" s="168"/>
      <c r="P1142" s="168"/>
      <c r="Q1142" s="168"/>
      <c r="R1142" s="168"/>
      <c r="S1142" s="168"/>
      <c r="T1142" s="168"/>
      <c r="U1142" s="168"/>
      <c r="V1142" s="168"/>
      <c r="W1142" s="168"/>
      <c r="X1142" s="168"/>
      <c r="Y1142" s="168"/>
      <c r="Z1142" s="168"/>
    </row>
    <row r="1143">
      <c r="A1143" s="168"/>
      <c r="B1143" s="162"/>
      <c r="C1143" s="168"/>
      <c r="D1143" s="168"/>
      <c r="E1143" s="168"/>
      <c r="F1143" s="168"/>
      <c r="G1143" s="168"/>
      <c r="H1143" s="168"/>
      <c r="I1143" s="168"/>
      <c r="J1143" s="168"/>
      <c r="K1143" s="168"/>
      <c r="L1143" s="168"/>
      <c r="M1143" s="168"/>
      <c r="N1143" s="168"/>
      <c r="O1143" s="168"/>
      <c r="P1143" s="168"/>
      <c r="Q1143" s="168"/>
      <c r="R1143" s="168"/>
      <c r="S1143" s="168"/>
      <c r="T1143" s="168"/>
      <c r="U1143" s="168"/>
      <c r="V1143" s="168"/>
      <c r="W1143" s="168"/>
      <c r="X1143" s="168"/>
      <c r="Y1143" s="168"/>
      <c r="Z1143" s="168"/>
    </row>
    <row r="1144">
      <c r="A1144" s="168"/>
      <c r="B1144" s="162"/>
      <c r="C1144" s="168"/>
      <c r="D1144" s="168"/>
      <c r="E1144" s="168"/>
      <c r="F1144" s="168"/>
      <c r="G1144" s="168"/>
      <c r="H1144" s="168"/>
      <c r="I1144" s="168"/>
      <c r="J1144" s="168"/>
      <c r="K1144" s="168"/>
      <c r="L1144" s="168"/>
      <c r="M1144" s="168"/>
      <c r="N1144" s="168"/>
      <c r="O1144" s="168"/>
      <c r="P1144" s="168"/>
      <c r="Q1144" s="168"/>
      <c r="R1144" s="168"/>
      <c r="S1144" s="168"/>
      <c r="T1144" s="168"/>
      <c r="U1144" s="168"/>
      <c r="V1144" s="168"/>
      <c r="W1144" s="168"/>
      <c r="X1144" s="168"/>
      <c r="Y1144" s="168"/>
      <c r="Z1144" s="168"/>
    </row>
    <row r="1145">
      <c r="A1145" s="168"/>
      <c r="B1145" s="162"/>
      <c r="C1145" s="168"/>
      <c r="D1145" s="168"/>
      <c r="E1145" s="168"/>
      <c r="F1145" s="168"/>
      <c r="G1145" s="168"/>
      <c r="H1145" s="168"/>
      <c r="I1145" s="168"/>
      <c r="J1145" s="168"/>
      <c r="K1145" s="168"/>
      <c r="L1145" s="168"/>
      <c r="M1145" s="168"/>
      <c r="N1145" s="168"/>
      <c r="O1145" s="168"/>
      <c r="P1145" s="168"/>
      <c r="Q1145" s="168"/>
      <c r="R1145" s="168"/>
      <c r="S1145" s="168"/>
      <c r="T1145" s="168"/>
      <c r="U1145" s="168"/>
      <c r="V1145" s="168"/>
      <c r="W1145" s="168"/>
      <c r="X1145" s="168"/>
      <c r="Y1145" s="168"/>
      <c r="Z1145" s="168"/>
    </row>
    <row r="1146">
      <c r="A1146" s="168"/>
      <c r="B1146" s="162"/>
      <c r="C1146" s="168"/>
      <c r="D1146" s="168"/>
      <c r="E1146" s="168"/>
      <c r="F1146" s="168"/>
      <c r="G1146" s="168"/>
      <c r="H1146" s="168"/>
      <c r="I1146" s="168"/>
      <c r="J1146" s="168"/>
      <c r="K1146" s="168"/>
      <c r="L1146" s="168"/>
      <c r="M1146" s="168"/>
      <c r="N1146" s="168"/>
      <c r="O1146" s="168"/>
      <c r="P1146" s="168"/>
      <c r="Q1146" s="168"/>
      <c r="R1146" s="168"/>
      <c r="S1146" s="168"/>
      <c r="T1146" s="168"/>
      <c r="U1146" s="168"/>
      <c r="V1146" s="168"/>
      <c r="W1146" s="168"/>
      <c r="X1146" s="168"/>
      <c r="Y1146" s="168"/>
      <c r="Z1146" s="168"/>
    </row>
    <row r="1147">
      <c r="A1147" s="168"/>
      <c r="B1147" s="162"/>
      <c r="C1147" s="168"/>
      <c r="D1147" s="168"/>
      <c r="E1147" s="168"/>
      <c r="F1147" s="168"/>
      <c r="G1147" s="168"/>
      <c r="H1147" s="168"/>
      <c r="I1147" s="168"/>
      <c r="J1147" s="168"/>
      <c r="K1147" s="168"/>
      <c r="L1147" s="168"/>
      <c r="M1147" s="168"/>
      <c r="N1147" s="168"/>
      <c r="O1147" s="168"/>
      <c r="P1147" s="168"/>
      <c r="Q1147" s="168"/>
      <c r="R1147" s="168"/>
      <c r="S1147" s="168"/>
      <c r="T1147" s="168"/>
      <c r="U1147" s="168"/>
      <c r="V1147" s="168"/>
      <c r="W1147" s="168"/>
      <c r="X1147" s="168"/>
      <c r="Y1147" s="168"/>
      <c r="Z1147" s="168"/>
    </row>
    <row r="1148">
      <c r="A1148" s="168"/>
      <c r="B1148" s="162"/>
      <c r="C1148" s="168"/>
      <c r="D1148" s="168"/>
      <c r="E1148" s="168"/>
      <c r="F1148" s="168"/>
      <c r="G1148" s="168"/>
      <c r="H1148" s="168"/>
      <c r="I1148" s="168"/>
      <c r="J1148" s="168"/>
      <c r="K1148" s="168"/>
      <c r="L1148" s="168"/>
      <c r="M1148" s="168"/>
      <c r="N1148" s="168"/>
      <c r="O1148" s="168"/>
      <c r="P1148" s="168"/>
      <c r="Q1148" s="168"/>
      <c r="R1148" s="168"/>
      <c r="S1148" s="168"/>
      <c r="T1148" s="168"/>
      <c r="U1148" s="168"/>
      <c r="V1148" s="168"/>
      <c r="W1148" s="168"/>
      <c r="X1148" s="168"/>
      <c r="Y1148" s="168"/>
      <c r="Z1148" s="168"/>
    </row>
    <row r="1149">
      <c r="A1149" s="168"/>
      <c r="B1149" s="162"/>
      <c r="C1149" s="168"/>
      <c r="D1149" s="168"/>
      <c r="E1149" s="168"/>
      <c r="F1149" s="168"/>
      <c r="G1149" s="168"/>
      <c r="H1149" s="168"/>
      <c r="I1149" s="168"/>
      <c r="J1149" s="168"/>
      <c r="K1149" s="168"/>
      <c r="L1149" s="168"/>
      <c r="M1149" s="168"/>
      <c r="N1149" s="168"/>
      <c r="O1149" s="168"/>
      <c r="P1149" s="168"/>
      <c r="Q1149" s="168"/>
      <c r="R1149" s="168"/>
      <c r="S1149" s="168"/>
      <c r="T1149" s="168"/>
      <c r="U1149" s="168"/>
      <c r="V1149" s="168"/>
      <c r="W1149" s="168"/>
      <c r="X1149" s="168"/>
      <c r="Y1149" s="168"/>
      <c r="Z1149" s="168"/>
    </row>
    <row r="1150">
      <c r="A1150" s="168"/>
      <c r="B1150" s="162"/>
      <c r="C1150" s="168"/>
      <c r="D1150" s="168"/>
      <c r="E1150" s="168"/>
      <c r="F1150" s="168"/>
      <c r="G1150" s="168"/>
      <c r="H1150" s="168"/>
      <c r="I1150" s="168"/>
      <c r="J1150" s="168"/>
      <c r="K1150" s="168"/>
      <c r="L1150" s="168"/>
      <c r="M1150" s="168"/>
      <c r="N1150" s="168"/>
      <c r="O1150" s="168"/>
      <c r="P1150" s="168"/>
      <c r="Q1150" s="168"/>
      <c r="R1150" s="168"/>
      <c r="S1150" s="168"/>
      <c r="T1150" s="168"/>
      <c r="U1150" s="168"/>
      <c r="V1150" s="168"/>
      <c r="W1150" s="168"/>
      <c r="X1150" s="168"/>
      <c r="Y1150" s="168"/>
      <c r="Z1150" s="168"/>
    </row>
    <row r="1151">
      <c r="A1151" s="168"/>
      <c r="B1151" s="162"/>
      <c r="C1151" s="168"/>
      <c r="D1151" s="168"/>
      <c r="E1151" s="168"/>
      <c r="F1151" s="168"/>
      <c r="G1151" s="168"/>
      <c r="H1151" s="168"/>
      <c r="I1151" s="168"/>
      <c r="J1151" s="168"/>
      <c r="K1151" s="168"/>
      <c r="L1151" s="168"/>
      <c r="M1151" s="168"/>
      <c r="N1151" s="168"/>
      <c r="O1151" s="168"/>
      <c r="P1151" s="168"/>
      <c r="Q1151" s="168"/>
      <c r="R1151" s="168"/>
      <c r="S1151" s="168"/>
      <c r="T1151" s="168"/>
      <c r="U1151" s="168"/>
      <c r="V1151" s="168"/>
      <c r="W1151" s="168"/>
      <c r="X1151" s="168"/>
      <c r="Y1151" s="168"/>
      <c r="Z1151" s="168"/>
    </row>
    <row r="1152">
      <c r="A1152" s="168"/>
      <c r="B1152" s="162"/>
      <c r="C1152" s="168"/>
      <c r="D1152" s="168"/>
      <c r="E1152" s="168"/>
      <c r="F1152" s="168"/>
      <c r="G1152" s="168"/>
      <c r="H1152" s="168"/>
      <c r="I1152" s="168"/>
      <c r="J1152" s="168"/>
      <c r="K1152" s="168"/>
      <c r="L1152" s="168"/>
      <c r="M1152" s="168"/>
      <c r="N1152" s="168"/>
      <c r="O1152" s="168"/>
      <c r="P1152" s="168"/>
      <c r="Q1152" s="168"/>
      <c r="R1152" s="168"/>
      <c r="S1152" s="168"/>
      <c r="T1152" s="168"/>
      <c r="U1152" s="168"/>
      <c r="V1152" s="168"/>
      <c r="W1152" s="168"/>
      <c r="X1152" s="168"/>
      <c r="Y1152" s="168"/>
      <c r="Z1152" s="168"/>
    </row>
    <row r="1153">
      <c r="A1153" s="168"/>
      <c r="B1153" s="162"/>
      <c r="C1153" s="168"/>
      <c r="D1153" s="168"/>
      <c r="E1153" s="168"/>
      <c r="F1153" s="168"/>
      <c r="G1153" s="168"/>
      <c r="H1153" s="168"/>
      <c r="I1153" s="168"/>
      <c r="J1153" s="168"/>
      <c r="K1153" s="168"/>
      <c r="L1153" s="168"/>
      <c r="M1153" s="168"/>
      <c r="N1153" s="168"/>
      <c r="O1153" s="168"/>
      <c r="P1153" s="168"/>
      <c r="Q1153" s="168"/>
      <c r="R1153" s="168"/>
      <c r="S1153" s="168"/>
      <c r="T1153" s="168"/>
      <c r="U1153" s="168"/>
      <c r="V1153" s="168"/>
      <c r="W1153" s="168"/>
      <c r="X1153" s="168"/>
      <c r="Y1153" s="168"/>
      <c r="Z1153" s="168"/>
    </row>
    <row r="1154">
      <c r="A1154" s="168"/>
      <c r="B1154" s="162"/>
      <c r="C1154" s="168"/>
      <c r="D1154" s="168"/>
      <c r="E1154" s="168"/>
      <c r="F1154" s="168"/>
      <c r="G1154" s="168"/>
      <c r="H1154" s="168"/>
      <c r="I1154" s="168"/>
      <c r="J1154" s="168"/>
      <c r="K1154" s="168"/>
      <c r="L1154" s="168"/>
      <c r="M1154" s="168"/>
      <c r="N1154" s="168"/>
      <c r="O1154" s="168"/>
      <c r="P1154" s="168"/>
      <c r="Q1154" s="168"/>
      <c r="R1154" s="168"/>
      <c r="S1154" s="168"/>
      <c r="T1154" s="168"/>
      <c r="U1154" s="168"/>
      <c r="V1154" s="168"/>
      <c r="W1154" s="168"/>
      <c r="X1154" s="168"/>
      <c r="Y1154" s="168"/>
      <c r="Z1154" s="168"/>
    </row>
    <row r="1155">
      <c r="A1155" s="168"/>
      <c r="B1155" s="162"/>
      <c r="C1155" s="168"/>
      <c r="D1155" s="168"/>
      <c r="E1155" s="168"/>
      <c r="F1155" s="168"/>
      <c r="G1155" s="168"/>
      <c r="H1155" s="168"/>
      <c r="I1155" s="168"/>
      <c r="J1155" s="168"/>
      <c r="K1155" s="168"/>
      <c r="L1155" s="168"/>
      <c r="M1155" s="168"/>
      <c r="N1155" s="168"/>
      <c r="O1155" s="168"/>
      <c r="P1155" s="168"/>
      <c r="Q1155" s="168"/>
      <c r="R1155" s="168"/>
      <c r="S1155" s="168"/>
      <c r="T1155" s="168"/>
      <c r="U1155" s="168"/>
      <c r="V1155" s="168"/>
      <c r="W1155" s="168"/>
      <c r="X1155" s="168"/>
      <c r="Y1155" s="168"/>
      <c r="Z1155" s="168"/>
    </row>
    <row r="1156">
      <c r="A1156" s="168"/>
      <c r="B1156" s="162"/>
      <c r="C1156" s="168"/>
      <c r="D1156" s="168"/>
      <c r="E1156" s="168"/>
      <c r="F1156" s="168"/>
      <c r="G1156" s="168"/>
      <c r="H1156" s="168"/>
      <c r="I1156" s="168"/>
      <c r="J1156" s="168"/>
      <c r="K1156" s="168"/>
      <c r="L1156" s="168"/>
      <c r="M1156" s="168"/>
      <c r="N1156" s="168"/>
      <c r="O1156" s="168"/>
      <c r="P1156" s="168"/>
      <c r="Q1156" s="168"/>
      <c r="R1156" s="168"/>
      <c r="S1156" s="168"/>
      <c r="T1156" s="168"/>
      <c r="U1156" s="168"/>
      <c r="V1156" s="168"/>
      <c r="W1156" s="168"/>
      <c r="X1156" s="168"/>
      <c r="Y1156" s="168"/>
      <c r="Z1156" s="168"/>
    </row>
    <row r="1157">
      <c r="A1157" s="168"/>
      <c r="B1157" s="162"/>
      <c r="C1157" s="168"/>
      <c r="D1157" s="168"/>
      <c r="E1157" s="168"/>
      <c r="F1157" s="168"/>
      <c r="G1157" s="168"/>
      <c r="H1157" s="168"/>
      <c r="I1157" s="168"/>
      <c r="J1157" s="168"/>
      <c r="K1157" s="168"/>
      <c r="L1157" s="168"/>
      <c r="M1157" s="168"/>
      <c r="N1157" s="168"/>
      <c r="O1157" s="168"/>
      <c r="P1157" s="168"/>
      <c r="Q1157" s="168"/>
      <c r="R1157" s="168"/>
      <c r="S1157" s="168"/>
      <c r="T1157" s="168"/>
      <c r="U1157" s="168"/>
      <c r="V1157" s="168"/>
      <c r="W1157" s="168"/>
      <c r="X1157" s="168"/>
      <c r="Y1157" s="168"/>
      <c r="Z1157" s="168"/>
    </row>
    <row r="1158">
      <c r="A1158" s="168"/>
      <c r="B1158" s="162"/>
      <c r="C1158" s="168"/>
      <c r="D1158" s="168"/>
      <c r="E1158" s="168"/>
      <c r="F1158" s="168"/>
      <c r="G1158" s="168"/>
      <c r="H1158" s="168"/>
      <c r="I1158" s="168"/>
      <c r="J1158" s="168"/>
      <c r="K1158" s="168"/>
      <c r="L1158" s="168"/>
      <c r="M1158" s="168"/>
      <c r="N1158" s="168"/>
      <c r="O1158" s="168"/>
      <c r="P1158" s="168"/>
      <c r="Q1158" s="168"/>
      <c r="R1158" s="168"/>
      <c r="S1158" s="168"/>
      <c r="T1158" s="168"/>
      <c r="U1158" s="168"/>
      <c r="V1158" s="168"/>
      <c r="W1158" s="168"/>
      <c r="X1158" s="168"/>
      <c r="Y1158" s="168"/>
      <c r="Z1158" s="168"/>
    </row>
    <row r="1159">
      <c r="A1159" s="168"/>
      <c r="B1159" s="162"/>
      <c r="C1159" s="168"/>
      <c r="D1159" s="168"/>
      <c r="E1159" s="168"/>
      <c r="F1159" s="168"/>
      <c r="G1159" s="168"/>
      <c r="H1159" s="168"/>
      <c r="I1159" s="168"/>
      <c r="J1159" s="168"/>
      <c r="K1159" s="168"/>
      <c r="L1159" s="168"/>
      <c r="M1159" s="168"/>
      <c r="N1159" s="168"/>
      <c r="O1159" s="168"/>
      <c r="P1159" s="168"/>
      <c r="Q1159" s="168"/>
      <c r="R1159" s="168"/>
      <c r="S1159" s="168"/>
      <c r="T1159" s="168"/>
      <c r="U1159" s="168"/>
      <c r="V1159" s="168"/>
      <c r="W1159" s="168"/>
      <c r="X1159" s="168"/>
      <c r="Y1159" s="168"/>
      <c r="Z1159" s="168"/>
    </row>
    <row r="1160">
      <c r="A1160" s="168"/>
      <c r="B1160" s="162"/>
      <c r="C1160" s="168"/>
      <c r="D1160" s="168"/>
      <c r="E1160" s="168"/>
      <c r="F1160" s="168"/>
      <c r="G1160" s="168"/>
      <c r="H1160" s="168"/>
      <c r="I1160" s="168"/>
      <c r="J1160" s="168"/>
      <c r="K1160" s="168"/>
      <c r="L1160" s="168"/>
      <c r="M1160" s="168"/>
      <c r="N1160" s="168"/>
      <c r="O1160" s="168"/>
      <c r="P1160" s="168"/>
      <c r="Q1160" s="168"/>
      <c r="R1160" s="168"/>
      <c r="S1160" s="168"/>
      <c r="T1160" s="168"/>
      <c r="U1160" s="168"/>
      <c r="V1160" s="168"/>
      <c r="W1160" s="168"/>
      <c r="X1160" s="168"/>
      <c r="Y1160" s="168"/>
      <c r="Z1160" s="168"/>
    </row>
    <row r="1161">
      <c r="A1161" s="168"/>
      <c r="B1161" s="162"/>
      <c r="C1161" s="168"/>
      <c r="D1161" s="168"/>
      <c r="E1161" s="168"/>
      <c r="F1161" s="168"/>
      <c r="G1161" s="168"/>
      <c r="H1161" s="168"/>
      <c r="I1161" s="168"/>
      <c r="J1161" s="168"/>
      <c r="K1161" s="168"/>
      <c r="L1161" s="168"/>
      <c r="M1161" s="168"/>
      <c r="N1161" s="168"/>
      <c r="O1161" s="168"/>
      <c r="P1161" s="168"/>
      <c r="Q1161" s="168"/>
      <c r="R1161" s="168"/>
      <c r="S1161" s="168"/>
      <c r="T1161" s="168"/>
      <c r="U1161" s="168"/>
      <c r="V1161" s="168"/>
      <c r="W1161" s="168"/>
      <c r="X1161" s="168"/>
      <c r="Y1161" s="168"/>
      <c r="Z1161" s="168"/>
    </row>
    <row r="1162">
      <c r="A1162" s="168"/>
      <c r="B1162" s="162"/>
      <c r="C1162" s="168"/>
      <c r="D1162" s="168"/>
      <c r="E1162" s="168"/>
      <c r="F1162" s="168"/>
      <c r="G1162" s="168"/>
      <c r="H1162" s="168"/>
      <c r="I1162" s="168"/>
      <c r="J1162" s="168"/>
      <c r="K1162" s="168"/>
      <c r="L1162" s="168"/>
      <c r="M1162" s="168"/>
      <c r="N1162" s="168"/>
      <c r="O1162" s="168"/>
      <c r="P1162" s="168"/>
      <c r="Q1162" s="168"/>
      <c r="R1162" s="168"/>
      <c r="S1162" s="168"/>
      <c r="T1162" s="168"/>
      <c r="U1162" s="168"/>
      <c r="V1162" s="168"/>
      <c r="W1162" s="168"/>
      <c r="X1162" s="168"/>
      <c r="Y1162" s="168"/>
      <c r="Z1162" s="168"/>
    </row>
    <row r="1163">
      <c r="A1163" s="168"/>
      <c r="B1163" s="162"/>
      <c r="C1163" s="168"/>
      <c r="D1163" s="168"/>
      <c r="E1163" s="168"/>
      <c r="F1163" s="168"/>
      <c r="G1163" s="168"/>
      <c r="H1163" s="168"/>
      <c r="I1163" s="168"/>
      <c r="J1163" s="168"/>
      <c r="K1163" s="168"/>
      <c r="L1163" s="168"/>
      <c r="M1163" s="168"/>
      <c r="N1163" s="168"/>
      <c r="O1163" s="168"/>
      <c r="P1163" s="168"/>
      <c r="Q1163" s="168"/>
      <c r="R1163" s="168"/>
      <c r="S1163" s="168"/>
      <c r="T1163" s="168"/>
      <c r="U1163" s="168"/>
      <c r="V1163" s="168"/>
      <c r="W1163" s="168"/>
      <c r="X1163" s="168"/>
      <c r="Y1163" s="168"/>
      <c r="Z1163" s="168"/>
    </row>
    <row r="1164">
      <c r="A1164" s="168"/>
      <c r="B1164" s="162"/>
      <c r="C1164" s="168"/>
      <c r="D1164" s="168"/>
      <c r="E1164" s="168"/>
      <c r="F1164" s="168"/>
      <c r="G1164" s="168"/>
      <c r="H1164" s="168"/>
      <c r="I1164" s="168"/>
      <c r="J1164" s="168"/>
      <c r="K1164" s="168"/>
      <c r="L1164" s="168"/>
      <c r="M1164" s="168"/>
      <c r="N1164" s="168"/>
      <c r="O1164" s="168"/>
      <c r="P1164" s="168"/>
      <c r="Q1164" s="168"/>
      <c r="R1164" s="168"/>
      <c r="S1164" s="168"/>
      <c r="T1164" s="168"/>
      <c r="U1164" s="168"/>
      <c r="V1164" s="168"/>
      <c r="W1164" s="168"/>
      <c r="X1164" s="168"/>
      <c r="Y1164" s="168"/>
      <c r="Z1164" s="168"/>
    </row>
    <row r="1165">
      <c r="A1165" s="168"/>
      <c r="B1165" s="162"/>
      <c r="C1165" s="168"/>
      <c r="D1165" s="168"/>
      <c r="E1165" s="168"/>
      <c r="F1165" s="168"/>
      <c r="G1165" s="168"/>
      <c r="H1165" s="168"/>
      <c r="I1165" s="168"/>
      <c r="J1165" s="168"/>
      <c r="K1165" s="168"/>
      <c r="L1165" s="168"/>
      <c r="M1165" s="168"/>
      <c r="N1165" s="168"/>
      <c r="O1165" s="168"/>
      <c r="P1165" s="168"/>
      <c r="Q1165" s="168"/>
      <c r="R1165" s="168"/>
      <c r="S1165" s="168"/>
      <c r="T1165" s="168"/>
      <c r="U1165" s="168"/>
      <c r="V1165" s="168"/>
      <c r="W1165" s="168"/>
      <c r="X1165" s="168"/>
      <c r="Y1165" s="168"/>
      <c r="Z1165" s="168"/>
    </row>
    <row r="1166">
      <c r="A1166" s="168"/>
      <c r="B1166" s="162"/>
      <c r="C1166" s="168"/>
      <c r="D1166" s="168"/>
      <c r="E1166" s="168"/>
      <c r="F1166" s="168"/>
      <c r="G1166" s="168"/>
      <c r="H1166" s="168"/>
      <c r="I1166" s="168"/>
      <c r="J1166" s="168"/>
      <c r="K1166" s="168"/>
      <c r="L1166" s="168"/>
      <c r="M1166" s="168"/>
      <c r="N1166" s="168"/>
      <c r="O1166" s="168"/>
      <c r="P1166" s="168"/>
      <c r="Q1166" s="168"/>
      <c r="R1166" s="168"/>
      <c r="S1166" s="168"/>
      <c r="T1166" s="168"/>
      <c r="U1166" s="168"/>
      <c r="V1166" s="168"/>
      <c r="W1166" s="168"/>
      <c r="X1166" s="168"/>
      <c r="Y1166" s="168"/>
      <c r="Z1166" s="168"/>
    </row>
    <row r="1167">
      <c r="A1167" s="168"/>
      <c r="B1167" s="162"/>
      <c r="C1167" s="168"/>
      <c r="D1167" s="168"/>
      <c r="E1167" s="168"/>
      <c r="F1167" s="168"/>
      <c r="G1167" s="168"/>
      <c r="H1167" s="168"/>
      <c r="I1167" s="168"/>
      <c r="J1167" s="168"/>
      <c r="K1167" s="168"/>
      <c r="L1167" s="168"/>
      <c r="M1167" s="168"/>
      <c r="N1167" s="168"/>
      <c r="O1167" s="168"/>
      <c r="P1167" s="168"/>
      <c r="Q1167" s="168"/>
      <c r="R1167" s="168"/>
      <c r="S1167" s="168"/>
      <c r="T1167" s="168"/>
      <c r="U1167" s="168"/>
      <c r="V1167" s="168"/>
      <c r="W1167" s="168"/>
      <c r="X1167" s="168"/>
      <c r="Y1167" s="168"/>
      <c r="Z1167" s="168"/>
    </row>
    <row r="1168">
      <c r="A1168" s="168"/>
      <c r="B1168" s="162"/>
      <c r="C1168" s="168"/>
      <c r="D1168" s="168"/>
      <c r="E1168" s="168"/>
      <c r="F1168" s="168"/>
      <c r="G1168" s="168"/>
      <c r="H1168" s="168"/>
      <c r="I1168" s="168"/>
      <c r="J1168" s="168"/>
      <c r="K1168" s="168"/>
      <c r="L1168" s="168"/>
      <c r="M1168" s="168"/>
      <c r="N1168" s="168"/>
      <c r="O1168" s="168"/>
      <c r="P1168" s="168"/>
      <c r="Q1168" s="168"/>
      <c r="R1168" s="168"/>
      <c r="S1168" s="168"/>
      <c r="T1168" s="168"/>
      <c r="U1168" s="168"/>
      <c r="V1168" s="168"/>
      <c r="W1168" s="168"/>
      <c r="X1168" s="168"/>
      <c r="Y1168" s="168"/>
      <c r="Z1168" s="168"/>
    </row>
    <row r="1169">
      <c r="A1169" s="168"/>
      <c r="B1169" s="162"/>
      <c r="C1169" s="168"/>
      <c r="D1169" s="168"/>
      <c r="E1169" s="168"/>
      <c r="F1169" s="168"/>
      <c r="G1169" s="168"/>
      <c r="H1169" s="168"/>
      <c r="I1169" s="168"/>
      <c r="J1169" s="168"/>
      <c r="K1169" s="168"/>
      <c r="L1169" s="168"/>
      <c r="M1169" s="168"/>
      <c r="N1169" s="168"/>
      <c r="O1169" s="168"/>
      <c r="P1169" s="168"/>
      <c r="Q1169" s="168"/>
      <c r="R1169" s="168"/>
      <c r="S1169" s="168"/>
      <c r="T1169" s="168"/>
      <c r="U1169" s="168"/>
      <c r="V1169" s="168"/>
      <c r="W1169" s="168"/>
      <c r="X1169" s="168"/>
      <c r="Y1169" s="168"/>
      <c r="Z1169" s="168"/>
    </row>
    <row r="1170">
      <c r="A1170" s="168"/>
      <c r="B1170" s="162"/>
      <c r="C1170" s="168"/>
      <c r="D1170" s="168"/>
      <c r="E1170" s="168"/>
      <c r="F1170" s="168"/>
      <c r="G1170" s="168"/>
      <c r="H1170" s="168"/>
      <c r="I1170" s="168"/>
      <c r="J1170" s="168"/>
      <c r="K1170" s="168"/>
      <c r="L1170" s="168"/>
      <c r="M1170" s="168"/>
      <c r="N1170" s="168"/>
      <c r="O1170" s="168"/>
      <c r="P1170" s="168"/>
      <c r="Q1170" s="168"/>
      <c r="R1170" s="168"/>
      <c r="S1170" s="168"/>
      <c r="T1170" s="168"/>
      <c r="U1170" s="168"/>
      <c r="V1170" s="168"/>
      <c r="W1170" s="168"/>
      <c r="X1170" s="168"/>
      <c r="Y1170" s="168"/>
      <c r="Z1170" s="168"/>
    </row>
    <row r="1171">
      <c r="A1171" s="168"/>
      <c r="B1171" s="162"/>
      <c r="C1171" s="168"/>
      <c r="D1171" s="168"/>
      <c r="E1171" s="168"/>
      <c r="F1171" s="168"/>
      <c r="G1171" s="168"/>
      <c r="H1171" s="168"/>
      <c r="I1171" s="168"/>
      <c r="J1171" s="168"/>
      <c r="K1171" s="168"/>
      <c r="L1171" s="168"/>
      <c r="M1171" s="168"/>
      <c r="N1171" s="168"/>
      <c r="O1171" s="168"/>
      <c r="P1171" s="168"/>
      <c r="Q1171" s="168"/>
      <c r="R1171" s="168"/>
      <c r="S1171" s="168"/>
      <c r="T1171" s="168"/>
      <c r="U1171" s="168"/>
      <c r="V1171" s="168"/>
      <c r="W1171" s="168"/>
      <c r="X1171" s="168"/>
      <c r="Y1171" s="168"/>
      <c r="Z1171" s="168"/>
    </row>
    <row r="1172">
      <c r="A1172" s="168"/>
      <c r="B1172" s="162"/>
      <c r="C1172" s="168"/>
      <c r="D1172" s="168"/>
      <c r="E1172" s="168"/>
      <c r="F1172" s="168"/>
      <c r="G1172" s="168"/>
      <c r="H1172" s="168"/>
      <c r="I1172" s="168"/>
      <c r="J1172" s="168"/>
      <c r="K1172" s="168"/>
      <c r="L1172" s="168"/>
      <c r="M1172" s="168"/>
      <c r="N1172" s="168"/>
      <c r="O1172" s="168"/>
      <c r="P1172" s="168"/>
      <c r="Q1172" s="168"/>
      <c r="R1172" s="168"/>
      <c r="S1172" s="168"/>
      <c r="T1172" s="168"/>
      <c r="U1172" s="168"/>
      <c r="V1172" s="168"/>
      <c r="W1172" s="168"/>
      <c r="X1172" s="168"/>
      <c r="Y1172" s="168"/>
      <c r="Z1172" s="168"/>
    </row>
    <row r="1173">
      <c r="A1173" s="168"/>
      <c r="B1173" s="162"/>
      <c r="C1173" s="168"/>
      <c r="D1173" s="168"/>
      <c r="E1173" s="168"/>
      <c r="F1173" s="168"/>
      <c r="G1173" s="168"/>
      <c r="H1173" s="168"/>
      <c r="I1173" s="168"/>
      <c r="J1173" s="168"/>
      <c r="K1173" s="168"/>
      <c r="L1173" s="168"/>
      <c r="M1173" s="168"/>
      <c r="N1173" s="168"/>
      <c r="O1173" s="168"/>
      <c r="P1173" s="168"/>
      <c r="Q1173" s="168"/>
      <c r="R1173" s="168"/>
      <c r="S1173" s="168"/>
      <c r="T1173" s="168"/>
      <c r="U1173" s="168"/>
      <c r="V1173" s="168"/>
      <c r="W1173" s="168"/>
      <c r="X1173" s="168"/>
      <c r="Y1173" s="168"/>
      <c r="Z1173" s="168"/>
    </row>
    <row r="1174">
      <c r="A1174" s="168"/>
      <c r="B1174" s="162"/>
      <c r="C1174" s="168"/>
      <c r="D1174" s="168"/>
      <c r="E1174" s="168"/>
      <c r="F1174" s="168"/>
      <c r="G1174" s="168"/>
      <c r="H1174" s="168"/>
      <c r="I1174" s="168"/>
      <c r="J1174" s="168"/>
      <c r="K1174" s="168"/>
      <c r="L1174" s="168"/>
      <c r="M1174" s="168"/>
      <c r="N1174" s="168"/>
      <c r="O1174" s="168"/>
      <c r="P1174" s="168"/>
      <c r="Q1174" s="168"/>
      <c r="R1174" s="168"/>
      <c r="S1174" s="168"/>
      <c r="T1174" s="168"/>
      <c r="U1174" s="168"/>
      <c r="V1174" s="168"/>
      <c r="W1174" s="168"/>
      <c r="X1174" s="168"/>
      <c r="Y1174" s="168"/>
      <c r="Z1174" s="168"/>
    </row>
    <row r="1175">
      <c r="A1175" s="168"/>
      <c r="B1175" s="162"/>
      <c r="C1175" s="168"/>
      <c r="D1175" s="168"/>
      <c r="E1175" s="168"/>
      <c r="F1175" s="168"/>
      <c r="G1175" s="168"/>
      <c r="H1175" s="168"/>
      <c r="I1175" s="168"/>
      <c r="J1175" s="168"/>
      <c r="K1175" s="168"/>
      <c r="L1175" s="168"/>
      <c r="M1175" s="168"/>
      <c r="N1175" s="168"/>
      <c r="O1175" s="168"/>
      <c r="P1175" s="168"/>
      <c r="Q1175" s="168"/>
      <c r="R1175" s="168"/>
      <c r="S1175" s="168"/>
      <c r="T1175" s="168"/>
      <c r="U1175" s="168"/>
      <c r="V1175" s="168"/>
      <c r="W1175" s="168"/>
      <c r="X1175" s="168"/>
      <c r="Y1175" s="168"/>
      <c r="Z1175" s="168"/>
    </row>
    <row r="1176">
      <c r="A1176" s="168"/>
      <c r="B1176" s="162"/>
      <c r="C1176" s="168"/>
      <c r="D1176" s="168"/>
      <c r="E1176" s="168"/>
      <c r="F1176" s="168"/>
      <c r="G1176" s="168"/>
      <c r="H1176" s="168"/>
      <c r="I1176" s="168"/>
      <c r="J1176" s="168"/>
      <c r="K1176" s="168"/>
      <c r="L1176" s="168"/>
      <c r="M1176" s="168"/>
      <c r="N1176" s="168"/>
      <c r="O1176" s="168"/>
      <c r="P1176" s="168"/>
      <c r="Q1176" s="168"/>
      <c r="R1176" s="168"/>
      <c r="S1176" s="168"/>
      <c r="T1176" s="168"/>
      <c r="U1176" s="168"/>
      <c r="V1176" s="168"/>
      <c r="W1176" s="168"/>
      <c r="X1176" s="168"/>
      <c r="Y1176" s="168"/>
      <c r="Z1176" s="168"/>
    </row>
    <row r="1177">
      <c r="A1177" s="168"/>
      <c r="B1177" s="162"/>
      <c r="C1177" s="168"/>
      <c r="D1177" s="168"/>
      <c r="E1177" s="168"/>
      <c r="F1177" s="168"/>
      <c r="G1177" s="168"/>
      <c r="H1177" s="168"/>
      <c r="I1177" s="168"/>
      <c r="J1177" s="168"/>
      <c r="K1177" s="168"/>
      <c r="L1177" s="168"/>
      <c r="M1177" s="168"/>
      <c r="N1177" s="168"/>
      <c r="O1177" s="168"/>
      <c r="P1177" s="168"/>
      <c r="Q1177" s="168"/>
      <c r="R1177" s="168"/>
      <c r="S1177" s="168"/>
      <c r="T1177" s="168"/>
      <c r="U1177" s="168"/>
      <c r="V1177" s="168"/>
      <c r="W1177" s="168"/>
      <c r="X1177" s="168"/>
      <c r="Y1177" s="168"/>
      <c r="Z1177" s="168"/>
    </row>
    <row r="1178">
      <c r="A1178" s="168"/>
      <c r="B1178" s="162"/>
      <c r="C1178" s="168"/>
      <c r="D1178" s="168"/>
      <c r="E1178" s="168"/>
      <c r="F1178" s="168"/>
      <c r="G1178" s="168"/>
      <c r="H1178" s="168"/>
      <c r="I1178" s="168"/>
      <c r="J1178" s="168"/>
      <c r="K1178" s="168"/>
      <c r="L1178" s="168"/>
      <c r="M1178" s="168"/>
      <c r="N1178" s="168"/>
      <c r="O1178" s="168"/>
      <c r="P1178" s="168"/>
      <c r="Q1178" s="168"/>
      <c r="R1178" s="168"/>
      <c r="S1178" s="168"/>
      <c r="T1178" s="168"/>
      <c r="U1178" s="168"/>
      <c r="V1178" s="168"/>
      <c r="W1178" s="168"/>
      <c r="X1178" s="168"/>
      <c r="Y1178" s="168"/>
      <c r="Z1178" s="168"/>
    </row>
    <row r="1179">
      <c r="A1179" s="168"/>
      <c r="B1179" s="162"/>
      <c r="C1179" s="168"/>
      <c r="D1179" s="168"/>
      <c r="E1179" s="168"/>
      <c r="F1179" s="168"/>
      <c r="G1179" s="168"/>
      <c r="H1179" s="168"/>
      <c r="I1179" s="168"/>
      <c r="J1179" s="168"/>
      <c r="K1179" s="168"/>
      <c r="L1179" s="168"/>
      <c r="M1179" s="168"/>
      <c r="N1179" s="168"/>
      <c r="O1179" s="168"/>
      <c r="P1179" s="168"/>
      <c r="Q1179" s="168"/>
      <c r="R1179" s="168"/>
      <c r="S1179" s="168"/>
      <c r="T1179" s="168"/>
      <c r="U1179" s="168"/>
      <c r="V1179" s="168"/>
      <c r="W1179" s="168"/>
      <c r="X1179" s="168"/>
      <c r="Y1179" s="168"/>
      <c r="Z1179" s="168"/>
    </row>
    <row r="1180">
      <c r="A1180" s="168"/>
      <c r="B1180" s="162"/>
      <c r="C1180" s="168"/>
      <c r="D1180" s="168"/>
      <c r="E1180" s="168"/>
      <c r="F1180" s="168"/>
      <c r="G1180" s="168"/>
      <c r="H1180" s="168"/>
      <c r="I1180" s="168"/>
      <c r="J1180" s="168"/>
      <c r="K1180" s="168"/>
      <c r="L1180" s="168"/>
      <c r="M1180" s="168"/>
      <c r="N1180" s="168"/>
      <c r="O1180" s="168"/>
      <c r="P1180" s="168"/>
      <c r="Q1180" s="168"/>
      <c r="R1180" s="168"/>
      <c r="S1180" s="168"/>
      <c r="T1180" s="168"/>
      <c r="U1180" s="168"/>
      <c r="V1180" s="168"/>
      <c r="W1180" s="168"/>
      <c r="X1180" s="168"/>
      <c r="Y1180" s="168"/>
      <c r="Z1180" s="168"/>
    </row>
    <row r="1181">
      <c r="A1181" s="168"/>
      <c r="B1181" s="162"/>
      <c r="C1181" s="168"/>
      <c r="D1181" s="168"/>
      <c r="E1181" s="168"/>
      <c r="F1181" s="168"/>
      <c r="G1181" s="168"/>
      <c r="H1181" s="168"/>
      <c r="I1181" s="168"/>
      <c r="J1181" s="168"/>
      <c r="K1181" s="168"/>
      <c r="L1181" s="168"/>
      <c r="M1181" s="168"/>
      <c r="N1181" s="168"/>
      <c r="O1181" s="168"/>
      <c r="P1181" s="168"/>
      <c r="Q1181" s="168"/>
      <c r="R1181" s="168"/>
      <c r="S1181" s="168"/>
      <c r="T1181" s="168"/>
      <c r="U1181" s="168"/>
      <c r="V1181" s="168"/>
      <c r="W1181" s="168"/>
      <c r="X1181" s="168"/>
      <c r="Y1181" s="168"/>
      <c r="Z1181" s="168"/>
    </row>
    <row r="1182">
      <c r="A1182" s="168"/>
      <c r="B1182" s="162"/>
      <c r="C1182" s="168"/>
      <c r="D1182" s="168"/>
      <c r="E1182" s="168"/>
      <c r="F1182" s="168"/>
      <c r="G1182" s="168"/>
      <c r="H1182" s="168"/>
      <c r="I1182" s="168"/>
      <c r="J1182" s="168"/>
      <c r="K1182" s="168"/>
      <c r="L1182" s="168"/>
      <c r="M1182" s="168"/>
      <c r="N1182" s="168"/>
      <c r="O1182" s="168"/>
      <c r="P1182" s="168"/>
      <c r="Q1182" s="168"/>
      <c r="R1182" s="168"/>
      <c r="S1182" s="168"/>
      <c r="T1182" s="168"/>
      <c r="U1182" s="168"/>
      <c r="V1182" s="168"/>
      <c r="W1182" s="168"/>
      <c r="X1182" s="168"/>
      <c r="Y1182" s="168"/>
      <c r="Z1182" s="168"/>
    </row>
    <row r="1183">
      <c r="A1183" s="168"/>
      <c r="B1183" s="162"/>
      <c r="C1183" s="168"/>
      <c r="D1183" s="168"/>
      <c r="E1183" s="168"/>
      <c r="F1183" s="168"/>
      <c r="G1183" s="168"/>
      <c r="H1183" s="168"/>
      <c r="I1183" s="168"/>
      <c r="J1183" s="168"/>
      <c r="K1183" s="168"/>
      <c r="L1183" s="168"/>
      <c r="M1183" s="168"/>
      <c r="N1183" s="168"/>
      <c r="O1183" s="168"/>
      <c r="P1183" s="168"/>
      <c r="Q1183" s="168"/>
      <c r="R1183" s="168"/>
      <c r="S1183" s="168"/>
      <c r="T1183" s="168"/>
      <c r="U1183" s="168"/>
      <c r="V1183" s="168"/>
      <c r="W1183" s="168"/>
      <c r="X1183" s="168"/>
      <c r="Y1183" s="168"/>
      <c r="Z1183" s="168"/>
    </row>
    <row r="1184">
      <c r="A1184" s="168"/>
      <c r="B1184" s="162"/>
      <c r="C1184" s="168"/>
      <c r="D1184" s="168"/>
      <c r="E1184" s="168"/>
      <c r="F1184" s="168"/>
      <c r="G1184" s="168"/>
      <c r="H1184" s="168"/>
      <c r="I1184" s="168"/>
      <c r="J1184" s="168"/>
      <c r="K1184" s="168"/>
      <c r="L1184" s="168"/>
      <c r="M1184" s="168"/>
      <c r="N1184" s="168"/>
      <c r="O1184" s="168"/>
      <c r="P1184" s="168"/>
      <c r="Q1184" s="168"/>
      <c r="R1184" s="168"/>
      <c r="S1184" s="168"/>
      <c r="T1184" s="168"/>
      <c r="U1184" s="168"/>
      <c r="V1184" s="168"/>
      <c r="W1184" s="168"/>
      <c r="X1184" s="168"/>
      <c r="Y1184" s="168"/>
      <c r="Z1184" s="168"/>
    </row>
    <row r="1185">
      <c r="A1185" s="168"/>
      <c r="B1185" s="162"/>
      <c r="C1185" s="168"/>
      <c r="D1185" s="168"/>
      <c r="E1185" s="168"/>
      <c r="F1185" s="168"/>
      <c r="G1185" s="168"/>
      <c r="H1185" s="168"/>
      <c r="I1185" s="168"/>
      <c r="J1185" s="168"/>
      <c r="K1185" s="168"/>
      <c r="L1185" s="168"/>
      <c r="M1185" s="168"/>
      <c r="N1185" s="168"/>
      <c r="O1185" s="168"/>
      <c r="P1185" s="168"/>
      <c r="Q1185" s="168"/>
      <c r="R1185" s="168"/>
      <c r="S1185" s="168"/>
      <c r="T1185" s="168"/>
      <c r="U1185" s="168"/>
      <c r="V1185" s="168"/>
      <c r="W1185" s="168"/>
      <c r="X1185" s="168"/>
      <c r="Y1185" s="168"/>
      <c r="Z1185" s="168"/>
    </row>
    <row r="1186">
      <c r="A1186" s="168"/>
      <c r="B1186" s="162"/>
      <c r="C1186" s="168"/>
      <c r="D1186" s="168"/>
      <c r="E1186" s="168"/>
      <c r="F1186" s="168"/>
      <c r="G1186" s="168"/>
      <c r="H1186" s="168"/>
      <c r="I1186" s="168"/>
      <c r="J1186" s="168"/>
      <c r="K1186" s="168"/>
      <c r="L1186" s="168"/>
      <c r="M1186" s="168"/>
      <c r="N1186" s="168"/>
      <c r="O1186" s="168"/>
      <c r="P1186" s="168"/>
      <c r="Q1186" s="168"/>
      <c r="R1186" s="168"/>
      <c r="S1186" s="168"/>
      <c r="T1186" s="168"/>
      <c r="U1186" s="168"/>
      <c r="V1186" s="168"/>
      <c r="W1186" s="168"/>
      <c r="X1186" s="168"/>
      <c r="Y1186" s="168"/>
      <c r="Z1186" s="168"/>
    </row>
    <row r="1187">
      <c r="A1187" s="168"/>
      <c r="B1187" s="162"/>
      <c r="C1187" s="168"/>
      <c r="D1187" s="168"/>
      <c r="E1187" s="168"/>
      <c r="F1187" s="168"/>
      <c r="G1187" s="168"/>
      <c r="H1187" s="168"/>
      <c r="I1187" s="168"/>
      <c r="J1187" s="168"/>
      <c r="K1187" s="168"/>
      <c r="L1187" s="168"/>
      <c r="M1187" s="168"/>
      <c r="N1187" s="168"/>
      <c r="O1187" s="168"/>
      <c r="P1187" s="168"/>
      <c r="Q1187" s="168"/>
      <c r="R1187" s="168"/>
      <c r="S1187" s="168"/>
      <c r="T1187" s="168"/>
      <c r="U1187" s="168"/>
      <c r="V1187" s="168"/>
      <c r="W1187" s="168"/>
      <c r="X1187" s="168"/>
      <c r="Y1187" s="168"/>
      <c r="Z1187" s="168"/>
    </row>
    <row r="1188">
      <c r="A1188" s="168"/>
      <c r="B1188" s="162"/>
      <c r="C1188" s="168"/>
      <c r="D1188" s="168"/>
      <c r="E1188" s="168"/>
      <c r="F1188" s="168"/>
      <c r="G1188" s="168"/>
      <c r="H1188" s="168"/>
      <c r="I1188" s="168"/>
      <c r="J1188" s="168"/>
      <c r="K1188" s="168"/>
      <c r="L1188" s="168"/>
      <c r="M1188" s="168"/>
      <c r="N1188" s="168"/>
      <c r="O1188" s="168"/>
      <c r="P1188" s="168"/>
      <c r="Q1188" s="168"/>
      <c r="R1188" s="168"/>
      <c r="S1188" s="168"/>
      <c r="T1188" s="168"/>
      <c r="U1188" s="168"/>
      <c r="V1188" s="168"/>
      <c r="W1188" s="168"/>
      <c r="X1188" s="168"/>
      <c r="Y1188" s="168"/>
      <c r="Z1188" s="168"/>
    </row>
    <row r="1189">
      <c r="A1189" s="168"/>
      <c r="B1189" s="162"/>
      <c r="C1189" s="168"/>
      <c r="D1189" s="168"/>
      <c r="E1189" s="168"/>
      <c r="F1189" s="168"/>
      <c r="G1189" s="168"/>
      <c r="H1189" s="168"/>
      <c r="I1189" s="168"/>
      <c r="J1189" s="168"/>
      <c r="K1189" s="168"/>
      <c r="L1189" s="168"/>
      <c r="M1189" s="168"/>
      <c r="N1189" s="168"/>
      <c r="O1189" s="168"/>
      <c r="P1189" s="168"/>
      <c r="Q1189" s="168"/>
      <c r="R1189" s="168"/>
      <c r="S1189" s="168"/>
      <c r="T1189" s="168"/>
      <c r="U1189" s="168"/>
      <c r="V1189" s="168"/>
      <c r="W1189" s="168"/>
      <c r="X1189" s="168"/>
      <c r="Y1189" s="168"/>
      <c r="Z1189" s="168"/>
    </row>
    <row r="1190">
      <c r="A1190" s="168"/>
      <c r="B1190" s="162"/>
      <c r="C1190" s="168"/>
      <c r="D1190" s="168"/>
      <c r="E1190" s="168"/>
      <c r="F1190" s="168"/>
      <c r="G1190" s="168"/>
      <c r="H1190" s="168"/>
      <c r="I1190" s="168"/>
      <c r="J1190" s="168"/>
      <c r="K1190" s="168"/>
      <c r="L1190" s="168"/>
      <c r="M1190" s="168"/>
      <c r="N1190" s="168"/>
      <c r="O1190" s="168"/>
      <c r="P1190" s="168"/>
      <c r="Q1190" s="168"/>
      <c r="R1190" s="168"/>
      <c r="S1190" s="168"/>
      <c r="T1190" s="168"/>
      <c r="U1190" s="168"/>
      <c r="V1190" s="168"/>
      <c r="W1190" s="168"/>
      <c r="X1190" s="168"/>
      <c r="Y1190" s="168"/>
      <c r="Z1190" s="168"/>
    </row>
    <row r="1191">
      <c r="A1191" s="168"/>
      <c r="B1191" s="162"/>
      <c r="C1191" s="168"/>
      <c r="D1191" s="168"/>
      <c r="E1191" s="168"/>
      <c r="F1191" s="168"/>
      <c r="G1191" s="168"/>
      <c r="H1191" s="168"/>
      <c r="I1191" s="168"/>
      <c r="J1191" s="168"/>
      <c r="K1191" s="168"/>
      <c r="L1191" s="168"/>
      <c r="M1191" s="168"/>
      <c r="N1191" s="168"/>
      <c r="O1191" s="168"/>
      <c r="P1191" s="168"/>
      <c r="Q1191" s="168"/>
      <c r="R1191" s="168"/>
      <c r="S1191" s="168"/>
      <c r="T1191" s="168"/>
      <c r="U1191" s="168"/>
      <c r="V1191" s="168"/>
      <c r="W1191" s="168"/>
      <c r="X1191" s="168"/>
      <c r="Y1191" s="168"/>
      <c r="Z1191" s="168"/>
    </row>
    <row r="1192">
      <c r="A1192" s="168"/>
      <c r="B1192" s="162"/>
      <c r="C1192" s="168"/>
      <c r="D1192" s="168"/>
      <c r="E1192" s="168"/>
      <c r="F1192" s="168"/>
      <c r="G1192" s="168"/>
      <c r="H1192" s="168"/>
      <c r="I1192" s="168"/>
      <c r="J1192" s="168"/>
      <c r="K1192" s="168"/>
      <c r="L1192" s="168"/>
      <c r="M1192" s="168"/>
      <c r="N1192" s="168"/>
      <c r="O1192" s="168"/>
      <c r="P1192" s="168"/>
      <c r="Q1192" s="168"/>
      <c r="R1192" s="168"/>
      <c r="S1192" s="168"/>
      <c r="T1192" s="168"/>
      <c r="U1192" s="168"/>
      <c r="V1192" s="168"/>
      <c r="W1192" s="168"/>
      <c r="X1192" s="168"/>
      <c r="Y1192" s="168"/>
      <c r="Z1192" s="168"/>
    </row>
    <row r="1193">
      <c r="A1193" s="168"/>
      <c r="B1193" s="162"/>
      <c r="C1193" s="168"/>
      <c r="D1193" s="168"/>
      <c r="E1193" s="168"/>
      <c r="F1193" s="168"/>
      <c r="G1193" s="168"/>
      <c r="H1193" s="168"/>
      <c r="I1193" s="168"/>
      <c r="J1193" s="168"/>
      <c r="K1193" s="168"/>
      <c r="L1193" s="168"/>
      <c r="M1193" s="168"/>
      <c r="N1193" s="168"/>
      <c r="O1193" s="168"/>
      <c r="P1193" s="168"/>
      <c r="Q1193" s="168"/>
      <c r="R1193" s="168"/>
      <c r="S1193" s="168"/>
      <c r="T1193" s="168"/>
      <c r="U1193" s="168"/>
      <c r="V1193" s="168"/>
      <c r="W1193" s="168"/>
      <c r="X1193" s="168"/>
      <c r="Y1193" s="168"/>
      <c r="Z1193" s="168"/>
    </row>
    <row r="1194">
      <c r="A1194" s="168"/>
      <c r="B1194" s="162"/>
      <c r="C1194" s="168"/>
      <c r="D1194" s="168"/>
      <c r="E1194" s="168"/>
      <c r="F1194" s="168"/>
      <c r="G1194" s="168"/>
      <c r="H1194" s="168"/>
      <c r="I1194" s="168"/>
      <c r="J1194" s="168"/>
      <c r="K1194" s="168"/>
      <c r="L1194" s="168"/>
      <c r="M1194" s="168"/>
      <c r="N1194" s="168"/>
      <c r="O1194" s="168"/>
      <c r="P1194" s="168"/>
      <c r="Q1194" s="168"/>
      <c r="R1194" s="168"/>
      <c r="S1194" s="168"/>
      <c r="T1194" s="168"/>
      <c r="U1194" s="168"/>
      <c r="V1194" s="168"/>
      <c r="W1194" s="168"/>
      <c r="X1194" s="168"/>
      <c r="Y1194" s="168"/>
      <c r="Z1194" s="168"/>
    </row>
    <row r="1195">
      <c r="A1195" s="168"/>
      <c r="B1195" s="162"/>
      <c r="C1195" s="168"/>
      <c r="D1195" s="168"/>
      <c r="E1195" s="168"/>
      <c r="F1195" s="168"/>
      <c r="G1195" s="168"/>
      <c r="H1195" s="168"/>
      <c r="I1195" s="168"/>
      <c r="J1195" s="168"/>
      <c r="K1195" s="168"/>
      <c r="L1195" s="168"/>
      <c r="M1195" s="168"/>
      <c r="N1195" s="168"/>
      <c r="O1195" s="168"/>
      <c r="P1195" s="168"/>
      <c r="Q1195" s="168"/>
      <c r="R1195" s="168"/>
      <c r="S1195" s="168"/>
      <c r="T1195" s="168"/>
      <c r="U1195" s="168"/>
      <c r="V1195" s="168"/>
      <c r="W1195" s="168"/>
      <c r="X1195" s="168"/>
      <c r="Y1195" s="168"/>
      <c r="Z1195" s="168"/>
    </row>
    <row r="1196">
      <c r="A1196" s="168"/>
      <c r="B1196" s="162"/>
      <c r="C1196" s="168"/>
      <c r="D1196" s="168"/>
      <c r="E1196" s="168"/>
      <c r="F1196" s="168"/>
      <c r="G1196" s="168"/>
      <c r="H1196" s="168"/>
      <c r="I1196" s="168"/>
      <c r="J1196" s="168"/>
      <c r="K1196" s="168"/>
      <c r="L1196" s="168"/>
      <c r="M1196" s="168"/>
      <c r="N1196" s="168"/>
      <c r="O1196" s="168"/>
      <c r="P1196" s="168"/>
      <c r="Q1196" s="168"/>
      <c r="R1196" s="168"/>
      <c r="S1196" s="168"/>
      <c r="T1196" s="168"/>
      <c r="U1196" s="168"/>
      <c r="V1196" s="168"/>
      <c r="W1196" s="168"/>
      <c r="X1196" s="168"/>
      <c r="Y1196" s="168"/>
      <c r="Z1196" s="168"/>
    </row>
    <row r="1197">
      <c r="A1197" s="168"/>
      <c r="B1197" s="162"/>
      <c r="C1197" s="168"/>
      <c r="D1197" s="168"/>
      <c r="E1197" s="168"/>
      <c r="F1197" s="168"/>
      <c r="G1197" s="168"/>
      <c r="H1197" s="168"/>
      <c r="I1197" s="168"/>
      <c r="J1197" s="168"/>
      <c r="K1197" s="168"/>
      <c r="L1197" s="168"/>
      <c r="M1197" s="168"/>
      <c r="N1197" s="168"/>
      <c r="O1197" s="168"/>
      <c r="P1197" s="168"/>
      <c r="Q1197" s="168"/>
      <c r="R1197" s="168"/>
      <c r="S1197" s="168"/>
      <c r="T1197" s="168"/>
      <c r="U1197" s="168"/>
      <c r="V1197" s="168"/>
      <c r="W1197" s="168"/>
      <c r="X1197" s="168"/>
      <c r="Y1197" s="168"/>
      <c r="Z1197" s="168"/>
    </row>
    <row r="1198">
      <c r="A1198" s="168"/>
      <c r="B1198" s="162"/>
      <c r="C1198" s="168"/>
      <c r="D1198" s="168"/>
      <c r="E1198" s="168"/>
      <c r="F1198" s="168"/>
      <c r="G1198" s="168"/>
      <c r="H1198" s="168"/>
      <c r="I1198" s="168"/>
      <c r="J1198" s="168"/>
      <c r="K1198" s="168"/>
      <c r="L1198" s="168"/>
      <c r="M1198" s="168"/>
      <c r="N1198" s="168"/>
      <c r="O1198" s="168"/>
      <c r="P1198" s="168"/>
      <c r="Q1198" s="168"/>
      <c r="R1198" s="168"/>
      <c r="S1198" s="168"/>
      <c r="T1198" s="168"/>
      <c r="U1198" s="168"/>
      <c r="V1198" s="168"/>
      <c r="W1198" s="168"/>
      <c r="X1198" s="168"/>
      <c r="Y1198" s="168"/>
      <c r="Z1198" s="168"/>
    </row>
    <row r="1199">
      <c r="A1199" s="168"/>
      <c r="B1199" s="162"/>
      <c r="C1199" s="168"/>
      <c r="D1199" s="168"/>
      <c r="E1199" s="168"/>
      <c r="F1199" s="168"/>
      <c r="G1199" s="168"/>
      <c r="H1199" s="168"/>
      <c r="I1199" s="168"/>
      <c r="J1199" s="168"/>
      <c r="K1199" s="168"/>
      <c r="L1199" s="168"/>
      <c r="M1199" s="168"/>
      <c r="N1199" s="168"/>
      <c r="O1199" s="168"/>
      <c r="P1199" s="168"/>
      <c r="Q1199" s="168"/>
      <c r="R1199" s="168"/>
      <c r="S1199" s="168"/>
      <c r="T1199" s="168"/>
      <c r="U1199" s="168"/>
      <c r="V1199" s="168"/>
      <c r="W1199" s="168"/>
      <c r="X1199" s="168"/>
      <c r="Y1199" s="168"/>
      <c r="Z1199" s="168"/>
    </row>
    <row r="1200">
      <c r="A1200" s="168"/>
      <c r="B1200" s="162"/>
      <c r="C1200" s="168"/>
      <c r="D1200" s="168"/>
      <c r="E1200" s="168"/>
      <c r="F1200" s="168"/>
      <c r="G1200" s="168"/>
      <c r="H1200" s="168"/>
      <c r="I1200" s="168"/>
      <c r="J1200" s="168"/>
      <c r="K1200" s="168"/>
      <c r="L1200" s="168"/>
      <c r="M1200" s="168"/>
      <c r="N1200" s="168"/>
      <c r="O1200" s="168"/>
      <c r="P1200" s="168"/>
      <c r="Q1200" s="168"/>
      <c r="R1200" s="168"/>
      <c r="S1200" s="168"/>
      <c r="T1200" s="168"/>
      <c r="U1200" s="168"/>
      <c r="V1200" s="168"/>
      <c r="W1200" s="168"/>
      <c r="X1200" s="168"/>
      <c r="Y1200" s="168"/>
      <c r="Z1200" s="168"/>
    </row>
    <row r="1201">
      <c r="A1201" s="168"/>
      <c r="B1201" s="162"/>
      <c r="C1201" s="168"/>
      <c r="D1201" s="168"/>
      <c r="E1201" s="168"/>
      <c r="F1201" s="168"/>
      <c r="G1201" s="168"/>
      <c r="H1201" s="168"/>
      <c r="I1201" s="168"/>
      <c r="J1201" s="168"/>
      <c r="K1201" s="168"/>
      <c r="L1201" s="168"/>
      <c r="M1201" s="168"/>
      <c r="N1201" s="168"/>
      <c r="O1201" s="168"/>
      <c r="P1201" s="168"/>
      <c r="Q1201" s="168"/>
      <c r="R1201" s="168"/>
      <c r="S1201" s="168"/>
      <c r="T1201" s="168"/>
      <c r="U1201" s="168"/>
      <c r="V1201" s="168"/>
      <c r="W1201" s="168"/>
      <c r="X1201" s="168"/>
      <c r="Y1201" s="168"/>
      <c r="Z1201" s="168"/>
    </row>
    <row r="1202">
      <c r="A1202" s="168"/>
      <c r="B1202" s="162"/>
      <c r="C1202" s="168"/>
      <c r="D1202" s="168"/>
      <c r="E1202" s="168"/>
      <c r="F1202" s="168"/>
      <c r="G1202" s="168"/>
      <c r="H1202" s="168"/>
      <c r="I1202" s="168"/>
      <c r="J1202" s="168"/>
      <c r="K1202" s="168"/>
      <c r="L1202" s="168"/>
      <c r="M1202" s="168"/>
      <c r="N1202" s="168"/>
      <c r="O1202" s="168"/>
      <c r="P1202" s="168"/>
      <c r="Q1202" s="168"/>
      <c r="R1202" s="168"/>
      <c r="S1202" s="168"/>
      <c r="T1202" s="168"/>
      <c r="U1202" s="168"/>
      <c r="V1202" s="168"/>
      <c r="W1202" s="168"/>
      <c r="X1202" s="168"/>
      <c r="Y1202" s="168"/>
      <c r="Z1202" s="168"/>
    </row>
    <row r="1203">
      <c r="A1203" s="168"/>
      <c r="B1203" s="162"/>
      <c r="C1203" s="168"/>
      <c r="D1203" s="168"/>
      <c r="E1203" s="168"/>
      <c r="F1203" s="168"/>
      <c r="G1203" s="168"/>
      <c r="H1203" s="168"/>
      <c r="I1203" s="168"/>
      <c r="J1203" s="168"/>
      <c r="K1203" s="168"/>
      <c r="L1203" s="168"/>
      <c r="M1203" s="168"/>
      <c r="N1203" s="168"/>
      <c r="O1203" s="168"/>
      <c r="P1203" s="168"/>
      <c r="Q1203" s="168"/>
      <c r="R1203" s="168"/>
      <c r="S1203" s="168"/>
      <c r="T1203" s="168"/>
      <c r="U1203" s="168"/>
      <c r="V1203" s="168"/>
      <c r="W1203" s="168"/>
      <c r="X1203" s="168"/>
      <c r="Y1203" s="168"/>
      <c r="Z1203" s="168"/>
    </row>
    <row r="1204">
      <c r="A1204" s="168"/>
      <c r="B1204" s="162"/>
      <c r="C1204" s="168"/>
      <c r="D1204" s="168"/>
      <c r="E1204" s="168"/>
      <c r="F1204" s="168"/>
      <c r="G1204" s="168"/>
      <c r="H1204" s="168"/>
      <c r="I1204" s="168"/>
      <c r="J1204" s="168"/>
      <c r="K1204" s="168"/>
      <c r="L1204" s="168"/>
      <c r="M1204" s="168"/>
      <c r="N1204" s="168"/>
      <c r="O1204" s="168"/>
      <c r="P1204" s="168"/>
      <c r="Q1204" s="168"/>
      <c r="R1204" s="168"/>
      <c r="S1204" s="168"/>
      <c r="T1204" s="168"/>
      <c r="U1204" s="168"/>
      <c r="V1204" s="168"/>
      <c r="W1204" s="168"/>
      <c r="X1204" s="168"/>
      <c r="Y1204" s="168"/>
      <c r="Z1204" s="168"/>
    </row>
    <row r="1205">
      <c r="A1205" s="168"/>
      <c r="B1205" s="162"/>
      <c r="C1205" s="168"/>
      <c r="D1205" s="168"/>
      <c r="E1205" s="168"/>
      <c r="F1205" s="168"/>
      <c r="G1205" s="168"/>
      <c r="H1205" s="168"/>
      <c r="I1205" s="168"/>
      <c r="J1205" s="168"/>
      <c r="K1205" s="168"/>
      <c r="L1205" s="168"/>
      <c r="M1205" s="168"/>
      <c r="N1205" s="168"/>
      <c r="O1205" s="168"/>
      <c r="P1205" s="168"/>
      <c r="Q1205" s="168"/>
      <c r="R1205" s="168"/>
      <c r="S1205" s="168"/>
      <c r="T1205" s="168"/>
      <c r="U1205" s="168"/>
      <c r="V1205" s="168"/>
      <c r="W1205" s="168"/>
      <c r="X1205" s="168"/>
      <c r="Y1205" s="168"/>
      <c r="Z1205" s="168"/>
    </row>
    <row r="1206">
      <c r="A1206" s="168"/>
      <c r="B1206" s="162"/>
      <c r="C1206" s="168"/>
      <c r="D1206" s="168"/>
      <c r="E1206" s="168"/>
      <c r="F1206" s="168"/>
      <c r="G1206" s="168"/>
      <c r="H1206" s="168"/>
      <c r="I1206" s="168"/>
      <c r="J1206" s="168"/>
      <c r="K1206" s="168"/>
      <c r="L1206" s="168"/>
      <c r="M1206" s="168"/>
      <c r="N1206" s="168"/>
      <c r="O1206" s="168"/>
      <c r="P1206" s="168"/>
      <c r="Q1206" s="168"/>
      <c r="R1206" s="168"/>
      <c r="S1206" s="168"/>
      <c r="T1206" s="168"/>
      <c r="U1206" s="168"/>
      <c r="V1206" s="168"/>
      <c r="W1206" s="168"/>
      <c r="X1206" s="168"/>
      <c r="Y1206" s="168"/>
      <c r="Z1206" s="168"/>
    </row>
    <row r="1207">
      <c r="A1207" s="168"/>
      <c r="B1207" s="162"/>
      <c r="C1207" s="168"/>
      <c r="D1207" s="168"/>
      <c r="E1207" s="168"/>
      <c r="F1207" s="168"/>
      <c r="G1207" s="168"/>
      <c r="H1207" s="168"/>
      <c r="I1207" s="168"/>
      <c r="J1207" s="168"/>
      <c r="K1207" s="168"/>
      <c r="L1207" s="168"/>
      <c r="M1207" s="168"/>
      <c r="N1207" s="168"/>
      <c r="O1207" s="168"/>
      <c r="P1207" s="168"/>
      <c r="Q1207" s="168"/>
      <c r="R1207" s="168"/>
      <c r="S1207" s="168"/>
      <c r="T1207" s="168"/>
      <c r="U1207" s="168"/>
      <c r="V1207" s="168"/>
      <c r="W1207" s="168"/>
      <c r="X1207" s="168"/>
      <c r="Y1207" s="168"/>
      <c r="Z1207" s="168"/>
    </row>
    <row r="1208">
      <c r="A1208" s="168"/>
      <c r="B1208" s="162"/>
      <c r="C1208" s="168"/>
      <c r="D1208" s="168"/>
      <c r="E1208" s="168"/>
      <c r="F1208" s="168"/>
      <c r="G1208" s="168"/>
      <c r="H1208" s="168"/>
      <c r="I1208" s="168"/>
      <c r="J1208" s="168"/>
      <c r="K1208" s="168"/>
      <c r="L1208" s="168"/>
      <c r="M1208" s="168"/>
      <c r="N1208" s="168"/>
      <c r="O1208" s="168"/>
      <c r="P1208" s="168"/>
      <c r="Q1208" s="168"/>
      <c r="R1208" s="168"/>
      <c r="S1208" s="168"/>
      <c r="T1208" s="168"/>
      <c r="U1208" s="168"/>
      <c r="V1208" s="168"/>
      <c r="W1208" s="168"/>
      <c r="X1208" s="168"/>
      <c r="Y1208" s="168"/>
      <c r="Z1208" s="168"/>
    </row>
    <row r="1209">
      <c r="A1209" s="168"/>
      <c r="B1209" s="162"/>
      <c r="C1209" s="168"/>
      <c r="D1209" s="168"/>
      <c r="E1209" s="168"/>
      <c r="F1209" s="168"/>
      <c r="G1209" s="168"/>
      <c r="H1209" s="168"/>
      <c r="I1209" s="168"/>
      <c r="J1209" s="168"/>
      <c r="K1209" s="168"/>
      <c r="L1209" s="168"/>
      <c r="M1209" s="168"/>
      <c r="N1209" s="168"/>
      <c r="O1209" s="168"/>
      <c r="P1209" s="168"/>
      <c r="Q1209" s="168"/>
      <c r="R1209" s="168"/>
      <c r="S1209" s="168"/>
      <c r="T1209" s="168"/>
      <c r="U1209" s="168"/>
      <c r="V1209" s="168"/>
      <c r="W1209" s="168"/>
      <c r="X1209" s="168"/>
      <c r="Y1209" s="168"/>
      <c r="Z1209" s="168"/>
    </row>
    <row r="1210">
      <c r="A1210" s="168"/>
      <c r="B1210" s="162"/>
      <c r="C1210" s="168"/>
      <c r="D1210" s="168"/>
      <c r="E1210" s="168"/>
      <c r="F1210" s="168"/>
      <c r="G1210" s="168"/>
      <c r="H1210" s="168"/>
      <c r="I1210" s="168"/>
      <c r="J1210" s="168"/>
      <c r="K1210" s="168"/>
      <c r="L1210" s="168"/>
      <c r="M1210" s="168"/>
      <c r="N1210" s="168"/>
      <c r="O1210" s="168"/>
      <c r="P1210" s="168"/>
      <c r="Q1210" s="168"/>
      <c r="R1210" s="168"/>
      <c r="S1210" s="168"/>
      <c r="T1210" s="168"/>
      <c r="U1210" s="168"/>
      <c r="V1210" s="168"/>
      <c r="W1210" s="168"/>
      <c r="X1210" s="168"/>
      <c r="Y1210" s="168"/>
      <c r="Z1210" s="168"/>
    </row>
    <row r="1211">
      <c r="A1211" s="168"/>
      <c r="B1211" s="162"/>
      <c r="C1211" s="168"/>
      <c r="D1211" s="168"/>
      <c r="E1211" s="168"/>
      <c r="F1211" s="168"/>
      <c r="G1211" s="168"/>
      <c r="H1211" s="168"/>
      <c r="I1211" s="168"/>
      <c r="J1211" s="168"/>
      <c r="K1211" s="168"/>
      <c r="L1211" s="168"/>
      <c r="M1211" s="168"/>
      <c r="N1211" s="168"/>
      <c r="O1211" s="168"/>
      <c r="P1211" s="168"/>
      <c r="Q1211" s="168"/>
      <c r="R1211" s="168"/>
      <c r="S1211" s="168"/>
      <c r="T1211" s="168"/>
      <c r="U1211" s="168"/>
      <c r="V1211" s="168"/>
      <c r="W1211" s="168"/>
      <c r="X1211" s="168"/>
      <c r="Y1211" s="168"/>
      <c r="Z1211" s="168"/>
    </row>
    <row r="1212">
      <c r="A1212" s="168"/>
      <c r="B1212" s="162"/>
      <c r="C1212" s="168"/>
      <c r="D1212" s="168"/>
      <c r="E1212" s="168"/>
      <c r="F1212" s="168"/>
      <c r="G1212" s="168"/>
      <c r="H1212" s="168"/>
      <c r="I1212" s="168"/>
      <c r="J1212" s="168"/>
      <c r="K1212" s="168"/>
      <c r="L1212" s="168"/>
      <c r="M1212" s="168"/>
      <c r="N1212" s="168"/>
      <c r="O1212" s="168"/>
      <c r="P1212" s="168"/>
      <c r="Q1212" s="168"/>
      <c r="R1212" s="168"/>
      <c r="S1212" s="168"/>
      <c r="T1212" s="168"/>
      <c r="U1212" s="168"/>
      <c r="V1212" s="168"/>
      <c r="W1212" s="168"/>
      <c r="X1212" s="168"/>
      <c r="Y1212" s="168"/>
      <c r="Z1212" s="168"/>
    </row>
    <row r="1213">
      <c r="A1213" s="168"/>
      <c r="B1213" s="162"/>
      <c r="C1213" s="168"/>
      <c r="D1213" s="168"/>
      <c r="E1213" s="168"/>
      <c r="F1213" s="168"/>
      <c r="G1213" s="168"/>
      <c r="H1213" s="168"/>
      <c r="I1213" s="168"/>
      <c r="J1213" s="168"/>
      <c r="K1213" s="168"/>
      <c r="L1213" s="168"/>
      <c r="M1213" s="168"/>
      <c r="N1213" s="168"/>
      <c r="O1213" s="168"/>
      <c r="P1213" s="168"/>
      <c r="Q1213" s="168"/>
      <c r="R1213" s="168"/>
      <c r="S1213" s="168"/>
      <c r="T1213" s="168"/>
      <c r="U1213" s="168"/>
      <c r="V1213" s="168"/>
      <c r="W1213" s="168"/>
      <c r="X1213" s="168"/>
      <c r="Y1213" s="168"/>
      <c r="Z1213" s="168"/>
    </row>
    <row r="1214">
      <c r="A1214" s="168"/>
      <c r="B1214" s="162"/>
      <c r="C1214" s="168"/>
      <c r="D1214" s="168"/>
      <c r="E1214" s="168"/>
      <c r="F1214" s="168"/>
      <c r="G1214" s="168"/>
      <c r="H1214" s="168"/>
      <c r="I1214" s="168"/>
      <c r="J1214" s="168"/>
      <c r="K1214" s="168"/>
      <c r="L1214" s="168"/>
      <c r="M1214" s="168"/>
      <c r="N1214" s="168"/>
      <c r="O1214" s="168"/>
      <c r="P1214" s="168"/>
      <c r="Q1214" s="168"/>
      <c r="R1214" s="168"/>
      <c r="S1214" s="168"/>
      <c r="T1214" s="168"/>
      <c r="U1214" s="168"/>
      <c r="V1214" s="168"/>
      <c r="W1214" s="168"/>
      <c r="X1214" s="168"/>
      <c r="Y1214" s="168"/>
      <c r="Z1214" s="168"/>
    </row>
    <row r="1215">
      <c r="A1215" s="168"/>
      <c r="B1215" s="162"/>
      <c r="C1215" s="168"/>
      <c r="D1215" s="168"/>
      <c r="E1215" s="168"/>
      <c r="F1215" s="168"/>
      <c r="G1215" s="168"/>
      <c r="H1215" s="168"/>
      <c r="I1215" s="168"/>
      <c r="J1215" s="168"/>
      <c r="K1215" s="168"/>
      <c r="L1215" s="168"/>
      <c r="M1215" s="168"/>
      <c r="N1215" s="168"/>
      <c r="O1215" s="168"/>
      <c r="P1215" s="168"/>
      <c r="Q1215" s="168"/>
      <c r="R1215" s="168"/>
      <c r="S1215" s="168"/>
      <c r="T1215" s="168"/>
      <c r="U1215" s="168"/>
      <c r="V1215" s="168"/>
      <c r="W1215" s="168"/>
      <c r="X1215" s="168"/>
      <c r="Y1215" s="168"/>
      <c r="Z1215" s="168"/>
    </row>
    <row r="1216">
      <c r="A1216" s="168"/>
      <c r="B1216" s="162"/>
      <c r="C1216" s="168"/>
      <c r="D1216" s="168"/>
      <c r="E1216" s="168"/>
      <c r="F1216" s="168"/>
      <c r="G1216" s="168"/>
      <c r="H1216" s="168"/>
      <c r="I1216" s="168"/>
      <c r="J1216" s="168"/>
      <c r="K1216" s="168"/>
      <c r="L1216" s="168"/>
      <c r="M1216" s="168"/>
      <c r="N1216" s="168"/>
      <c r="O1216" s="168"/>
      <c r="P1216" s="168"/>
      <c r="Q1216" s="168"/>
      <c r="R1216" s="168"/>
      <c r="S1216" s="168"/>
      <c r="T1216" s="168"/>
      <c r="U1216" s="168"/>
      <c r="V1216" s="168"/>
      <c r="W1216" s="168"/>
      <c r="X1216" s="168"/>
      <c r="Y1216" s="168"/>
      <c r="Z1216" s="168"/>
    </row>
    <row r="1217">
      <c r="A1217" s="168"/>
      <c r="B1217" s="162"/>
      <c r="C1217" s="168"/>
      <c r="D1217" s="168"/>
      <c r="E1217" s="168"/>
      <c r="F1217" s="168"/>
      <c r="G1217" s="168"/>
      <c r="H1217" s="168"/>
      <c r="I1217" s="168"/>
      <c r="J1217" s="168"/>
      <c r="K1217" s="168"/>
      <c r="L1217" s="168"/>
      <c r="M1217" s="168"/>
      <c r="N1217" s="168"/>
      <c r="O1217" s="168"/>
      <c r="P1217" s="168"/>
      <c r="Q1217" s="168"/>
      <c r="R1217" s="168"/>
      <c r="S1217" s="168"/>
      <c r="T1217" s="168"/>
      <c r="U1217" s="168"/>
      <c r="V1217" s="168"/>
      <c r="W1217" s="168"/>
      <c r="X1217" s="168"/>
      <c r="Y1217" s="168"/>
      <c r="Z1217" s="168"/>
    </row>
    <row r="1218">
      <c r="A1218" s="168"/>
      <c r="B1218" s="162"/>
      <c r="C1218" s="168"/>
      <c r="D1218" s="168"/>
      <c r="E1218" s="168"/>
      <c r="F1218" s="168"/>
      <c r="G1218" s="168"/>
      <c r="H1218" s="168"/>
      <c r="I1218" s="168"/>
      <c r="J1218" s="168"/>
      <c r="K1218" s="168"/>
      <c r="L1218" s="168"/>
      <c r="M1218" s="168"/>
      <c r="N1218" s="168"/>
      <c r="O1218" s="168"/>
      <c r="P1218" s="168"/>
      <c r="Q1218" s="168"/>
      <c r="R1218" s="168"/>
      <c r="S1218" s="168"/>
      <c r="T1218" s="168"/>
      <c r="U1218" s="168"/>
      <c r="V1218" s="168"/>
      <c r="W1218" s="168"/>
      <c r="X1218" s="168"/>
      <c r="Y1218" s="168"/>
      <c r="Z1218" s="168"/>
    </row>
    <row r="1219">
      <c r="A1219" s="168"/>
      <c r="B1219" s="162"/>
      <c r="C1219" s="168"/>
      <c r="D1219" s="168"/>
      <c r="E1219" s="168"/>
      <c r="F1219" s="168"/>
      <c r="G1219" s="168"/>
      <c r="H1219" s="168"/>
      <c r="I1219" s="168"/>
      <c r="J1219" s="168"/>
      <c r="K1219" s="168"/>
      <c r="L1219" s="168"/>
      <c r="M1219" s="168"/>
      <c r="N1219" s="168"/>
      <c r="O1219" s="168"/>
      <c r="P1219" s="168"/>
      <c r="Q1219" s="168"/>
      <c r="R1219" s="168"/>
      <c r="S1219" s="168"/>
      <c r="T1219" s="168"/>
      <c r="U1219" s="168"/>
      <c r="V1219" s="168"/>
      <c r="W1219" s="168"/>
      <c r="X1219" s="168"/>
      <c r="Y1219" s="168"/>
      <c r="Z1219" s="168"/>
    </row>
    <row r="1220">
      <c r="A1220" s="168"/>
      <c r="B1220" s="162"/>
      <c r="C1220" s="168"/>
      <c r="D1220" s="168"/>
      <c r="E1220" s="168"/>
      <c r="F1220" s="168"/>
      <c r="G1220" s="168"/>
      <c r="H1220" s="168"/>
      <c r="I1220" s="168"/>
      <c r="J1220" s="168"/>
      <c r="K1220" s="168"/>
      <c r="L1220" s="168"/>
      <c r="M1220" s="168"/>
      <c r="N1220" s="168"/>
      <c r="O1220" s="168"/>
      <c r="P1220" s="168"/>
      <c r="Q1220" s="168"/>
      <c r="R1220" s="168"/>
      <c r="S1220" s="168"/>
      <c r="T1220" s="168"/>
      <c r="U1220" s="168"/>
      <c r="V1220" s="168"/>
      <c r="W1220" s="168"/>
      <c r="X1220" s="168"/>
      <c r="Y1220" s="168"/>
      <c r="Z1220" s="168"/>
    </row>
    <row r="1221">
      <c r="A1221" s="168"/>
      <c r="B1221" s="162"/>
      <c r="C1221" s="168"/>
      <c r="D1221" s="168"/>
      <c r="E1221" s="168"/>
      <c r="F1221" s="168"/>
      <c r="G1221" s="168"/>
      <c r="H1221" s="168"/>
      <c r="I1221" s="168"/>
      <c r="J1221" s="168"/>
      <c r="K1221" s="168"/>
      <c r="L1221" s="168"/>
      <c r="M1221" s="168"/>
      <c r="N1221" s="168"/>
      <c r="O1221" s="168"/>
      <c r="P1221" s="168"/>
      <c r="Q1221" s="168"/>
      <c r="R1221" s="168"/>
      <c r="S1221" s="168"/>
      <c r="T1221" s="168"/>
      <c r="U1221" s="168"/>
      <c r="V1221" s="168"/>
      <c r="W1221" s="168"/>
      <c r="X1221" s="168"/>
      <c r="Y1221" s="168"/>
      <c r="Z1221" s="168"/>
    </row>
    <row r="1222">
      <c r="A1222" s="168"/>
      <c r="B1222" s="162"/>
      <c r="C1222" s="168"/>
      <c r="D1222" s="168"/>
      <c r="E1222" s="168"/>
      <c r="F1222" s="168"/>
      <c r="G1222" s="168"/>
      <c r="H1222" s="168"/>
      <c r="I1222" s="168"/>
      <c r="J1222" s="168"/>
      <c r="K1222" s="168"/>
      <c r="L1222" s="168"/>
      <c r="M1222" s="168"/>
      <c r="N1222" s="168"/>
      <c r="O1222" s="168"/>
      <c r="P1222" s="168"/>
      <c r="Q1222" s="168"/>
      <c r="R1222" s="168"/>
      <c r="S1222" s="168"/>
      <c r="T1222" s="168"/>
      <c r="U1222" s="168"/>
      <c r="V1222" s="168"/>
      <c r="W1222" s="168"/>
      <c r="X1222" s="168"/>
      <c r="Y1222" s="168"/>
      <c r="Z1222" s="168"/>
    </row>
    <row r="1223">
      <c r="A1223" s="168"/>
      <c r="B1223" s="162"/>
      <c r="C1223" s="168"/>
      <c r="D1223" s="168"/>
      <c r="E1223" s="168"/>
      <c r="F1223" s="168"/>
      <c r="G1223" s="168"/>
      <c r="H1223" s="168"/>
      <c r="I1223" s="168"/>
      <c r="J1223" s="168"/>
      <c r="K1223" s="168"/>
      <c r="L1223" s="168"/>
      <c r="M1223" s="168"/>
      <c r="N1223" s="168"/>
      <c r="O1223" s="168"/>
      <c r="P1223" s="168"/>
      <c r="Q1223" s="168"/>
      <c r="R1223" s="168"/>
      <c r="S1223" s="168"/>
      <c r="T1223" s="168"/>
      <c r="U1223" s="168"/>
      <c r="V1223" s="168"/>
      <c r="W1223" s="168"/>
      <c r="X1223" s="168"/>
      <c r="Y1223" s="168"/>
      <c r="Z1223" s="168"/>
    </row>
    <row r="1224">
      <c r="A1224" s="168"/>
      <c r="B1224" s="162"/>
      <c r="C1224" s="168"/>
      <c r="D1224" s="168"/>
      <c r="E1224" s="168"/>
      <c r="F1224" s="168"/>
      <c r="G1224" s="168"/>
      <c r="H1224" s="168"/>
      <c r="I1224" s="168"/>
      <c r="J1224" s="168"/>
      <c r="K1224" s="168"/>
      <c r="L1224" s="168"/>
      <c r="M1224" s="168"/>
      <c r="N1224" s="168"/>
      <c r="O1224" s="168"/>
      <c r="P1224" s="168"/>
      <c r="Q1224" s="168"/>
      <c r="R1224" s="168"/>
      <c r="S1224" s="168"/>
      <c r="T1224" s="168"/>
      <c r="U1224" s="168"/>
      <c r="V1224" s="168"/>
      <c r="W1224" s="168"/>
      <c r="X1224" s="168"/>
      <c r="Y1224" s="168"/>
      <c r="Z1224" s="168"/>
    </row>
    <row r="1225">
      <c r="A1225" s="168"/>
      <c r="B1225" s="162"/>
      <c r="C1225" s="168"/>
      <c r="D1225" s="168"/>
      <c r="E1225" s="168"/>
      <c r="F1225" s="168"/>
      <c r="G1225" s="168"/>
      <c r="H1225" s="168"/>
      <c r="I1225" s="168"/>
      <c r="J1225" s="168"/>
      <c r="K1225" s="168"/>
      <c r="L1225" s="168"/>
      <c r="M1225" s="168"/>
      <c r="N1225" s="168"/>
      <c r="O1225" s="168"/>
      <c r="P1225" s="168"/>
      <c r="Q1225" s="168"/>
      <c r="R1225" s="168"/>
      <c r="S1225" s="168"/>
      <c r="T1225" s="168"/>
      <c r="U1225" s="168"/>
      <c r="V1225" s="168"/>
      <c r="W1225" s="168"/>
      <c r="X1225" s="168"/>
      <c r="Y1225" s="168"/>
      <c r="Z1225" s="168"/>
    </row>
    <row r="1226">
      <c r="A1226" s="168"/>
      <c r="B1226" s="162"/>
      <c r="C1226" s="168"/>
      <c r="D1226" s="168"/>
      <c r="E1226" s="168"/>
      <c r="F1226" s="168"/>
      <c r="G1226" s="168"/>
      <c r="H1226" s="168"/>
      <c r="I1226" s="168"/>
      <c r="J1226" s="168"/>
      <c r="K1226" s="168"/>
      <c r="L1226" s="168"/>
      <c r="M1226" s="168"/>
      <c r="N1226" s="168"/>
      <c r="O1226" s="168"/>
      <c r="P1226" s="168"/>
      <c r="Q1226" s="168"/>
      <c r="R1226" s="168"/>
      <c r="S1226" s="168"/>
      <c r="T1226" s="168"/>
      <c r="U1226" s="168"/>
      <c r="V1226" s="168"/>
      <c r="W1226" s="168"/>
      <c r="X1226" s="168"/>
      <c r="Y1226" s="168"/>
      <c r="Z1226" s="168"/>
    </row>
    <row r="1227">
      <c r="A1227" s="168"/>
      <c r="B1227" s="162"/>
      <c r="C1227" s="168"/>
      <c r="D1227" s="168"/>
      <c r="E1227" s="168"/>
      <c r="F1227" s="168"/>
      <c r="G1227" s="168"/>
      <c r="H1227" s="168"/>
      <c r="I1227" s="168"/>
      <c r="J1227" s="168"/>
      <c r="K1227" s="168"/>
      <c r="L1227" s="168"/>
      <c r="M1227" s="168"/>
      <c r="N1227" s="168"/>
      <c r="O1227" s="168"/>
      <c r="P1227" s="168"/>
      <c r="Q1227" s="168"/>
      <c r="R1227" s="168"/>
      <c r="S1227" s="168"/>
      <c r="T1227" s="168"/>
      <c r="U1227" s="168"/>
      <c r="V1227" s="168"/>
      <c r="W1227" s="168"/>
      <c r="X1227" s="168"/>
      <c r="Y1227" s="168"/>
      <c r="Z1227" s="168"/>
    </row>
    <row r="1228">
      <c r="A1228" s="168"/>
      <c r="B1228" s="162"/>
      <c r="C1228" s="168"/>
      <c r="D1228" s="168"/>
      <c r="E1228" s="168"/>
      <c r="F1228" s="168"/>
      <c r="G1228" s="168"/>
      <c r="H1228" s="168"/>
      <c r="I1228" s="168"/>
      <c r="J1228" s="168"/>
      <c r="K1228" s="168"/>
      <c r="L1228" s="168"/>
      <c r="M1228" s="168"/>
      <c r="N1228" s="168"/>
      <c r="O1228" s="168"/>
      <c r="P1228" s="168"/>
      <c r="Q1228" s="168"/>
      <c r="R1228" s="168"/>
      <c r="S1228" s="168"/>
      <c r="T1228" s="168"/>
      <c r="U1228" s="168"/>
      <c r="V1228" s="168"/>
      <c r="W1228" s="168"/>
      <c r="X1228" s="168"/>
      <c r="Y1228" s="168"/>
      <c r="Z1228" s="168"/>
    </row>
    <row r="1229">
      <c r="A1229" s="168"/>
      <c r="B1229" s="162"/>
      <c r="C1229" s="168"/>
      <c r="D1229" s="168"/>
      <c r="E1229" s="168"/>
      <c r="F1229" s="168"/>
      <c r="G1229" s="168"/>
      <c r="H1229" s="168"/>
      <c r="I1229" s="168"/>
      <c r="J1229" s="168"/>
      <c r="K1229" s="168"/>
      <c r="L1229" s="168"/>
      <c r="M1229" s="168"/>
      <c r="N1229" s="168"/>
      <c r="O1229" s="168"/>
      <c r="P1229" s="168"/>
      <c r="Q1229" s="168"/>
      <c r="R1229" s="168"/>
      <c r="S1229" s="168"/>
      <c r="T1229" s="168"/>
      <c r="U1229" s="168"/>
      <c r="V1229" s="168"/>
      <c r="W1229" s="168"/>
      <c r="X1229" s="168"/>
      <c r="Y1229" s="168"/>
      <c r="Z1229" s="168"/>
    </row>
    <row r="1230">
      <c r="A1230" s="168"/>
      <c r="B1230" s="162"/>
      <c r="C1230" s="168"/>
      <c r="D1230" s="168"/>
      <c r="E1230" s="168"/>
      <c r="F1230" s="168"/>
      <c r="G1230" s="168"/>
      <c r="H1230" s="168"/>
      <c r="I1230" s="168"/>
      <c r="J1230" s="168"/>
      <c r="K1230" s="168"/>
      <c r="L1230" s="168"/>
      <c r="M1230" s="168"/>
      <c r="N1230" s="168"/>
      <c r="O1230" s="168"/>
      <c r="P1230" s="168"/>
      <c r="Q1230" s="168"/>
      <c r="R1230" s="168"/>
      <c r="S1230" s="168"/>
      <c r="T1230" s="168"/>
      <c r="U1230" s="168"/>
      <c r="V1230" s="168"/>
      <c r="W1230" s="168"/>
      <c r="X1230" s="168"/>
      <c r="Y1230" s="168"/>
      <c r="Z1230" s="168"/>
    </row>
    <row r="1231">
      <c r="A1231" s="168"/>
      <c r="B1231" s="162"/>
      <c r="C1231" s="168"/>
      <c r="D1231" s="168"/>
      <c r="E1231" s="168"/>
      <c r="F1231" s="168"/>
      <c r="G1231" s="168"/>
      <c r="H1231" s="168"/>
      <c r="I1231" s="168"/>
      <c r="J1231" s="168"/>
      <c r="K1231" s="168"/>
      <c r="L1231" s="168"/>
      <c r="M1231" s="168"/>
      <c r="N1231" s="168"/>
      <c r="O1231" s="168"/>
      <c r="P1231" s="168"/>
      <c r="Q1231" s="168"/>
      <c r="R1231" s="168"/>
      <c r="S1231" s="168"/>
      <c r="T1231" s="168"/>
      <c r="U1231" s="168"/>
      <c r="V1231" s="168"/>
      <c r="W1231" s="168"/>
      <c r="X1231" s="168"/>
      <c r="Y1231" s="168"/>
      <c r="Z1231" s="168"/>
    </row>
    <row r="1232">
      <c r="A1232" s="168"/>
      <c r="B1232" s="162"/>
      <c r="C1232" s="168"/>
      <c r="D1232" s="168"/>
      <c r="E1232" s="168"/>
      <c r="F1232" s="168"/>
      <c r="G1232" s="168"/>
      <c r="H1232" s="168"/>
      <c r="I1232" s="168"/>
      <c r="J1232" s="168"/>
      <c r="K1232" s="168"/>
      <c r="L1232" s="168"/>
      <c r="M1232" s="168"/>
      <c r="N1232" s="168"/>
      <c r="O1232" s="168"/>
      <c r="P1232" s="168"/>
      <c r="Q1232" s="168"/>
      <c r="R1232" s="168"/>
      <c r="S1232" s="168"/>
      <c r="T1232" s="168"/>
      <c r="U1232" s="168"/>
      <c r="V1232" s="168"/>
      <c r="W1232" s="168"/>
      <c r="X1232" s="168"/>
      <c r="Y1232" s="168"/>
      <c r="Z1232" s="168"/>
    </row>
    <row r="1233">
      <c r="A1233" s="168"/>
      <c r="B1233" s="162"/>
      <c r="C1233" s="168"/>
      <c r="D1233" s="168"/>
      <c r="E1233" s="168"/>
      <c r="F1233" s="168"/>
      <c r="G1233" s="168"/>
      <c r="H1233" s="168"/>
      <c r="I1233" s="168"/>
      <c r="J1233" s="168"/>
      <c r="K1233" s="168"/>
      <c r="L1233" s="168"/>
      <c r="M1233" s="168"/>
      <c r="N1233" s="168"/>
      <c r="O1233" s="168"/>
      <c r="P1233" s="168"/>
      <c r="Q1233" s="168"/>
      <c r="R1233" s="168"/>
      <c r="S1233" s="168"/>
      <c r="T1233" s="168"/>
      <c r="U1233" s="168"/>
      <c r="V1233" s="168"/>
      <c r="W1233" s="168"/>
      <c r="X1233" s="168"/>
      <c r="Y1233" s="168"/>
      <c r="Z1233" s="168"/>
    </row>
    <row r="1234">
      <c r="A1234" s="168"/>
      <c r="B1234" s="162"/>
      <c r="C1234" s="168"/>
      <c r="D1234" s="168"/>
      <c r="E1234" s="168"/>
      <c r="F1234" s="168"/>
      <c r="G1234" s="168"/>
      <c r="H1234" s="168"/>
      <c r="I1234" s="168"/>
      <c r="J1234" s="168"/>
      <c r="K1234" s="168"/>
      <c r="L1234" s="168"/>
      <c r="M1234" s="168"/>
      <c r="N1234" s="168"/>
      <c r="O1234" s="168"/>
      <c r="P1234" s="168"/>
      <c r="Q1234" s="168"/>
      <c r="R1234" s="168"/>
      <c r="S1234" s="168"/>
      <c r="T1234" s="168"/>
      <c r="U1234" s="168"/>
      <c r="V1234" s="168"/>
      <c r="W1234" s="168"/>
      <c r="X1234" s="168"/>
      <c r="Y1234" s="168"/>
      <c r="Z1234" s="168"/>
    </row>
    <row r="1235">
      <c r="A1235" s="168"/>
      <c r="B1235" s="162"/>
      <c r="C1235" s="168"/>
      <c r="D1235" s="168"/>
      <c r="E1235" s="168"/>
      <c r="F1235" s="168"/>
      <c r="G1235" s="168"/>
      <c r="H1235" s="168"/>
      <c r="I1235" s="168"/>
      <c r="J1235" s="168"/>
      <c r="K1235" s="168"/>
      <c r="L1235" s="168"/>
      <c r="M1235" s="168"/>
      <c r="N1235" s="168"/>
      <c r="O1235" s="168"/>
      <c r="P1235" s="168"/>
      <c r="Q1235" s="168"/>
      <c r="R1235" s="168"/>
      <c r="S1235" s="168"/>
      <c r="T1235" s="168"/>
      <c r="U1235" s="168"/>
      <c r="V1235" s="168"/>
      <c r="W1235" s="168"/>
      <c r="X1235" s="168"/>
      <c r="Y1235" s="168"/>
      <c r="Z1235" s="168"/>
    </row>
    <row r="1236">
      <c r="A1236" s="168"/>
      <c r="B1236" s="162"/>
      <c r="C1236" s="168"/>
      <c r="D1236" s="168"/>
      <c r="E1236" s="168"/>
      <c r="F1236" s="168"/>
      <c r="G1236" s="168"/>
      <c r="H1236" s="168"/>
      <c r="I1236" s="168"/>
      <c r="J1236" s="168"/>
      <c r="K1236" s="168"/>
      <c r="L1236" s="168"/>
      <c r="M1236" s="168"/>
      <c r="N1236" s="168"/>
      <c r="O1236" s="168"/>
      <c r="P1236" s="168"/>
      <c r="Q1236" s="168"/>
      <c r="R1236" s="168"/>
      <c r="S1236" s="168"/>
      <c r="T1236" s="168"/>
      <c r="U1236" s="168"/>
      <c r="V1236" s="168"/>
      <c r="W1236" s="168"/>
      <c r="X1236" s="168"/>
      <c r="Y1236" s="168"/>
      <c r="Z1236" s="168"/>
    </row>
    <row r="1237">
      <c r="A1237" s="168"/>
      <c r="B1237" s="162"/>
      <c r="C1237" s="168"/>
      <c r="D1237" s="168"/>
      <c r="E1237" s="168"/>
      <c r="F1237" s="168"/>
      <c r="G1237" s="168"/>
      <c r="H1237" s="168"/>
      <c r="I1237" s="168"/>
      <c r="J1237" s="168"/>
      <c r="K1237" s="168"/>
      <c r="L1237" s="168"/>
      <c r="M1237" s="168"/>
      <c r="N1237" s="168"/>
      <c r="O1237" s="168"/>
      <c r="P1237" s="168"/>
      <c r="Q1237" s="168"/>
      <c r="R1237" s="168"/>
      <c r="S1237" s="168"/>
      <c r="T1237" s="168"/>
      <c r="U1237" s="168"/>
      <c r="V1237" s="168"/>
      <c r="W1237" s="168"/>
      <c r="X1237" s="168"/>
      <c r="Y1237" s="168"/>
      <c r="Z1237" s="168"/>
    </row>
    <row r="1238">
      <c r="A1238" s="168"/>
      <c r="B1238" s="162"/>
      <c r="C1238" s="168"/>
      <c r="D1238" s="168"/>
      <c r="E1238" s="168"/>
      <c r="F1238" s="168"/>
      <c r="G1238" s="168"/>
      <c r="H1238" s="168"/>
      <c r="I1238" s="168"/>
      <c r="J1238" s="168"/>
      <c r="K1238" s="168"/>
      <c r="L1238" s="168"/>
      <c r="M1238" s="168"/>
      <c r="N1238" s="168"/>
      <c r="O1238" s="168"/>
      <c r="P1238" s="168"/>
      <c r="Q1238" s="168"/>
      <c r="R1238" s="168"/>
      <c r="S1238" s="168"/>
      <c r="T1238" s="168"/>
      <c r="U1238" s="168"/>
      <c r="V1238" s="168"/>
      <c r="W1238" s="168"/>
      <c r="X1238" s="168"/>
      <c r="Y1238" s="168"/>
      <c r="Z1238" s="168"/>
    </row>
    <row r="1239">
      <c r="A1239" s="168"/>
      <c r="B1239" s="162"/>
      <c r="C1239" s="168"/>
      <c r="D1239" s="168"/>
      <c r="E1239" s="168"/>
      <c r="F1239" s="168"/>
      <c r="G1239" s="168"/>
      <c r="H1239" s="168"/>
      <c r="I1239" s="168"/>
      <c r="J1239" s="168"/>
      <c r="K1239" s="168"/>
      <c r="L1239" s="168"/>
      <c r="M1239" s="168"/>
      <c r="N1239" s="168"/>
      <c r="O1239" s="168"/>
      <c r="P1239" s="168"/>
      <c r="Q1239" s="168"/>
      <c r="R1239" s="168"/>
      <c r="S1239" s="168"/>
      <c r="T1239" s="168"/>
      <c r="U1239" s="168"/>
      <c r="V1239" s="168"/>
      <c r="W1239" s="168"/>
      <c r="X1239" s="168"/>
      <c r="Y1239" s="168"/>
      <c r="Z1239" s="168"/>
    </row>
    <row r="1240">
      <c r="A1240" s="168"/>
      <c r="B1240" s="162"/>
      <c r="C1240" s="168"/>
      <c r="D1240" s="168"/>
      <c r="E1240" s="168"/>
      <c r="F1240" s="168"/>
      <c r="G1240" s="168"/>
      <c r="H1240" s="168"/>
      <c r="I1240" s="168"/>
      <c r="J1240" s="168"/>
      <c r="K1240" s="168"/>
      <c r="L1240" s="168"/>
      <c r="M1240" s="168"/>
      <c r="N1240" s="168"/>
      <c r="O1240" s="168"/>
      <c r="P1240" s="168"/>
      <c r="Q1240" s="168"/>
      <c r="R1240" s="168"/>
      <c r="S1240" s="168"/>
      <c r="T1240" s="168"/>
      <c r="U1240" s="168"/>
      <c r="V1240" s="168"/>
      <c r="W1240" s="168"/>
      <c r="X1240" s="168"/>
      <c r="Y1240" s="168"/>
      <c r="Z1240" s="168"/>
    </row>
    <row r="1241">
      <c r="A1241" s="168"/>
      <c r="B1241" s="162"/>
      <c r="C1241" s="168"/>
      <c r="D1241" s="168"/>
      <c r="E1241" s="168"/>
      <c r="F1241" s="168"/>
      <c r="G1241" s="168"/>
      <c r="H1241" s="168"/>
      <c r="I1241" s="168"/>
      <c r="J1241" s="168"/>
      <c r="K1241" s="168"/>
      <c r="L1241" s="168"/>
      <c r="M1241" s="168"/>
      <c r="N1241" s="168"/>
      <c r="O1241" s="168"/>
      <c r="P1241" s="168"/>
      <c r="Q1241" s="168"/>
      <c r="R1241" s="168"/>
      <c r="S1241" s="168"/>
      <c r="T1241" s="168"/>
      <c r="U1241" s="168"/>
      <c r="V1241" s="168"/>
      <c r="W1241" s="168"/>
      <c r="X1241" s="168"/>
      <c r="Y1241" s="168"/>
      <c r="Z1241" s="168"/>
    </row>
    <row r="1242">
      <c r="A1242" s="168"/>
      <c r="B1242" s="162"/>
      <c r="C1242" s="168"/>
      <c r="D1242" s="168"/>
      <c r="E1242" s="168"/>
      <c r="F1242" s="168"/>
      <c r="G1242" s="168"/>
      <c r="H1242" s="168"/>
      <c r="I1242" s="168"/>
      <c r="J1242" s="168"/>
      <c r="K1242" s="168"/>
      <c r="L1242" s="168"/>
      <c r="M1242" s="168"/>
      <c r="N1242" s="168"/>
      <c r="O1242" s="168"/>
      <c r="P1242" s="168"/>
      <c r="Q1242" s="168"/>
      <c r="R1242" s="168"/>
      <c r="S1242" s="168"/>
      <c r="T1242" s="168"/>
      <c r="U1242" s="168"/>
      <c r="V1242" s="168"/>
      <c r="W1242" s="168"/>
      <c r="X1242" s="168"/>
      <c r="Y1242" s="168"/>
      <c r="Z1242" s="168"/>
    </row>
    <row r="1243">
      <c r="A1243" s="168"/>
      <c r="B1243" s="162"/>
      <c r="C1243" s="168"/>
      <c r="D1243" s="168"/>
      <c r="E1243" s="168"/>
      <c r="F1243" s="168"/>
      <c r="G1243" s="168"/>
      <c r="H1243" s="168"/>
      <c r="I1243" s="168"/>
      <c r="J1243" s="168"/>
      <c r="K1243" s="168"/>
      <c r="L1243" s="168"/>
      <c r="M1243" s="168"/>
      <c r="N1243" s="168"/>
      <c r="O1243" s="168"/>
      <c r="P1243" s="168"/>
      <c r="Q1243" s="168"/>
      <c r="R1243" s="168"/>
      <c r="S1243" s="168"/>
      <c r="T1243" s="168"/>
      <c r="U1243" s="168"/>
      <c r="V1243" s="168"/>
      <c r="W1243" s="168"/>
      <c r="X1243" s="168"/>
      <c r="Y1243" s="168"/>
      <c r="Z1243" s="168"/>
    </row>
    <row r="1244">
      <c r="A1244" s="168"/>
      <c r="B1244" s="162"/>
      <c r="C1244" s="168"/>
      <c r="D1244" s="168"/>
      <c r="E1244" s="168"/>
      <c r="F1244" s="168"/>
      <c r="G1244" s="168"/>
      <c r="H1244" s="168"/>
      <c r="I1244" s="168"/>
      <c r="J1244" s="168"/>
      <c r="K1244" s="168"/>
      <c r="L1244" s="168"/>
      <c r="M1244" s="168"/>
      <c r="N1244" s="168"/>
      <c r="O1244" s="168"/>
      <c r="P1244" s="168"/>
      <c r="Q1244" s="168"/>
      <c r="R1244" s="168"/>
      <c r="S1244" s="168"/>
      <c r="T1244" s="168"/>
      <c r="U1244" s="168"/>
      <c r="V1244" s="168"/>
      <c r="W1244" s="168"/>
      <c r="X1244" s="168"/>
      <c r="Y1244" s="168"/>
      <c r="Z1244" s="168"/>
    </row>
    <row r="1245">
      <c r="A1245" s="168"/>
      <c r="B1245" s="162"/>
      <c r="C1245" s="168"/>
      <c r="D1245" s="168"/>
      <c r="E1245" s="168"/>
      <c r="F1245" s="168"/>
      <c r="G1245" s="168"/>
      <c r="H1245" s="168"/>
      <c r="I1245" s="168"/>
      <c r="J1245" s="168"/>
      <c r="K1245" s="168"/>
      <c r="L1245" s="168"/>
      <c r="M1245" s="168"/>
      <c r="N1245" s="168"/>
      <c r="O1245" s="168"/>
      <c r="P1245" s="168"/>
      <c r="Q1245" s="168"/>
      <c r="R1245" s="168"/>
      <c r="S1245" s="168"/>
      <c r="T1245" s="168"/>
      <c r="U1245" s="168"/>
      <c r="V1245" s="168"/>
      <c r="W1245" s="168"/>
      <c r="X1245" s="168"/>
      <c r="Y1245" s="168"/>
      <c r="Z1245" s="168"/>
    </row>
    <row r="1246">
      <c r="A1246" s="168"/>
      <c r="B1246" s="162"/>
      <c r="C1246" s="168"/>
      <c r="D1246" s="168"/>
      <c r="E1246" s="168"/>
      <c r="F1246" s="168"/>
      <c r="G1246" s="168"/>
      <c r="H1246" s="168"/>
      <c r="I1246" s="168"/>
      <c r="J1246" s="168"/>
      <c r="K1246" s="168"/>
      <c r="L1246" s="168"/>
      <c r="M1246" s="168"/>
      <c r="N1246" s="168"/>
      <c r="O1246" s="168"/>
      <c r="P1246" s="168"/>
      <c r="Q1246" s="168"/>
      <c r="R1246" s="168"/>
      <c r="S1246" s="168"/>
      <c r="T1246" s="168"/>
      <c r="U1246" s="168"/>
      <c r="V1246" s="168"/>
      <c r="W1246" s="168"/>
      <c r="X1246" s="168"/>
      <c r="Y1246" s="168"/>
      <c r="Z1246" s="168"/>
    </row>
    <row r="1247">
      <c r="A1247" s="168"/>
      <c r="B1247" s="162"/>
      <c r="C1247" s="168"/>
      <c r="D1247" s="168"/>
      <c r="E1247" s="168"/>
      <c r="F1247" s="168"/>
      <c r="G1247" s="168"/>
      <c r="H1247" s="168"/>
      <c r="I1247" s="168"/>
      <c r="J1247" s="168"/>
      <c r="K1247" s="168"/>
      <c r="L1247" s="168"/>
      <c r="M1247" s="168"/>
      <c r="N1247" s="168"/>
      <c r="O1247" s="168"/>
      <c r="P1247" s="168"/>
      <c r="Q1247" s="168"/>
      <c r="R1247" s="168"/>
      <c r="S1247" s="168"/>
      <c r="T1247" s="168"/>
      <c r="U1247" s="168"/>
      <c r="V1247" s="168"/>
      <c r="W1247" s="168"/>
      <c r="X1247" s="168"/>
      <c r="Y1247" s="168"/>
      <c r="Z1247" s="168"/>
    </row>
    <row r="1248">
      <c r="A1248" s="168"/>
      <c r="B1248" s="162"/>
      <c r="C1248" s="168"/>
      <c r="D1248" s="168"/>
      <c r="E1248" s="168"/>
      <c r="F1248" s="168"/>
      <c r="G1248" s="168"/>
      <c r="H1248" s="168"/>
      <c r="I1248" s="168"/>
      <c r="J1248" s="168"/>
      <c r="K1248" s="168"/>
      <c r="L1248" s="168"/>
      <c r="M1248" s="168"/>
      <c r="N1248" s="168"/>
      <c r="O1248" s="168"/>
      <c r="P1248" s="168"/>
      <c r="Q1248" s="168"/>
      <c r="R1248" s="168"/>
      <c r="S1248" s="168"/>
      <c r="T1248" s="168"/>
      <c r="U1248" s="168"/>
      <c r="V1248" s="168"/>
      <c r="W1248" s="168"/>
      <c r="X1248" s="168"/>
      <c r="Y1248" s="168"/>
      <c r="Z1248" s="168"/>
    </row>
    <row r="1249">
      <c r="A1249" s="168"/>
      <c r="B1249" s="162"/>
      <c r="C1249" s="168"/>
      <c r="D1249" s="168"/>
      <c r="E1249" s="168"/>
      <c r="F1249" s="168"/>
      <c r="G1249" s="168"/>
      <c r="H1249" s="168"/>
      <c r="I1249" s="168"/>
      <c r="J1249" s="168"/>
      <c r="K1249" s="168"/>
      <c r="L1249" s="168"/>
      <c r="M1249" s="168"/>
      <c r="N1249" s="168"/>
      <c r="O1249" s="168"/>
      <c r="P1249" s="168"/>
      <c r="Q1249" s="168"/>
      <c r="R1249" s="168"/>
      <c r="S1249" s="168"/>
      <c r="T1249" s="168"/>
      <c r="U1249" s="168"/>
      <c r="V1249" s="168"/>
      <c r="W1249" s="168"/>
      <c r="X1249" s="168"/>
      <c r="Y1249" s="168"/>
      <c r="Z1249" s="168"/>
    </row>
    <row r="1250">
      <c r="A1250" s="168"/>
      <c r="B1250" s="162"/>
      <c r="C1250" s="168"/>
      <c r="D1250" s="168"/>
      <c r="E1250" s="168"/>
      <c r="F1250" s="168"/>
      <c r="G1250" s="168"/>
      <c r="H1250" s="168"/>
      <c r="I1250" s="168"/>
      <c r="J1250" s="168"/>
      <c r="K1250" s="168"/>
      <c r="L1250" s="168"/>
      <c r="M1250" s="168"/>
      <c r="N1250" s="168"/>
      <c r="O1250" s="168"/>
      <c r="P1250" s="168"/>
      <c r="Q1250" s="168"/>
      <c r="R1250" s="168"/>
      <c r="S1250" s="168"/>
      <c r="T1250" s="168"/>
      <c r="U1250" s="168"/>
      <c r="V1250" s="168"/>
      <c r="W1250" s="168"/>
      <c r="X1250" s="168"/>
      <c r="Y1250" s="168"/>
      <c r="Z1250" s="168"/>
    </row>
    <row r="1251">
      <c r="A1251" s="168"/>
      <c r="B1251" s="162"/>
      <c r="C1251" s="168"/>
      <c r="D1251" s="168"/>
      <c r="E1251" s="168"/>
      <c r="F1251" s="168"/>
      <c r="G1251" s="168"/>
      <c r="H1251" s="168"/>
      <c r="I1251" s="168"/>
      <c r="J1251" s="168"/>
      <c r="K1251" s="168"/>
      <c r="L1251" s="168"/>
      <c r="M1251" s="168"/>
      <c r="N1251" s="168"/>
      <c r="O1251" s="168"/>
      <c r="P1251" s="168"/>
      <c r="Q1251" s="168"/>
      <c r="R1251" s="168"/>
      <c r="S1251" s="168"/>
      <c r="T1251" s="168"/>
      <c r="U1251" s="168"/>
      <c r="V1251" s="168"/>
      <c r="W1251" s="168"/>
      <c r="X1251" s="168"/>
      <c r="Y1251" s="168"/>
      <c r="Z1251" s="168"/>
    </row>
    <row r="1252">
      <c r="A1252" s="168"/>
      <c r="B1252" s="162"/>
      <c r="C1252" s="168"/>
      <c r="D1252" s="168"/>
      <c r="E1252" s="168"/>
      <c r="F1252" s="168"/>
      <c r="G1252" s="168"/>
      <c r="H1252" s="168"/>
      <c r="I1252" s="168"/>
      <c r="J1252" s="168"/>
      <c r="K1252" s="168"/>
      <c r="L1252" s="168"/>
      <c r="M1252" s="168"/>
      <c r="N1252" s="168"/>
      <c r="O1252" s="168"/>
      <c r="P1252" s="168"/>
      <c r="Q1252" s="168"/>
      <c r="R1252" s="168"/>
      <c r="S1252" s="168"/>
      <c r="T1252" s="168"/>
      <c r="U1252" s="168"/>
      <c r="V1252" s="168"/>
      <c r="W1252" s="168"/>
      <c r="X1252" s="168"/>
      <c r="Y1252" s="168"/>
      <c r="Z1252" s="168"/>
    </row>
    <row r="1253">
      <c r="A1253" s="168"/>
      <c r="B1253" s="162"/>
      <c r="C1253" s="168"/>
      <c r="D1253" s="168"/>
      <c r="E1253" s="168"/>
      <c r="F1253" s="168"/>
      <c r="G1253" s="168"/>
      <c r="H1253" s="168"/>
      <c r="I1253" s="168"/>
      <c r="J1253" s="168"/>
      <c r="K1253" s="168"/>
      <c r="L1253" s="168"/>
      <c r="M1253" s="168"/>
      <c r="N1253" s="168"/>
      <c r="O1253" s="168"/>
      <c r="P1253" s="168"/>
      <c r="Q1253" s="168"/>
      <c r="R1253" s="168"/>
      <c r="S1253" s="168"/>
      <c r="T1253" s="168"/>
      <c r="U1253" s="168"/>
      <c r="V1253" s="168"/>
      <c r="W1253" s="168"/>
      <c r="X1253" s="168"/>
      <c r="Y1253" s="168"/>
      <c r="Z1253" s="168"/>
    </row>
    <row r="1254">
      <c r="A1254" s="168"/>
      <c r="B1254" s="162"/>
      <c r="C1254" s="168"/>
      <c r="D1254" s="168"/>
      <c r="E1254" s="168"/>
      <c r="F1254" s="168"/>
      <c r="G1254" s="168"/>
      <c r="H1254" s="168"/>
      <c r="I1254" s="168"/>
      <c r="J1254" s="168"/>
      <c r="K1254" s="168"/>
      <c r="L1254" s="168"/>
      <c r="M1254" s="168"/>
      <c r="N1254" s="168"/>
      <c r="O1254" s="168"/>
      <c r="P1254" s="168"/>
      <c r="Q1254" s="168"/>
      <c r="R1254" s="168"/>
      <c r="S1254" s="168"/>
      <c r="T1254" s="168"/>
      <c r="U1254" s="168"/>
      <c r="V1254" s="168"/>
      <c r="W1254" s="168"/>
      <c r="X1254" s="168"/>
      <c r="Y1254" s="168"/>
      <c r="Z1254" s="168"/>
    </row>
    <row r="1255">
      <c r="A1255" s="168"/>
      <c r="B1255" s="162"/>
      <c r="C1255" s="168"/>
      <c r="D1255" s="168"/>
      <c r="E1255" s="168"/>
      <c r="F1255" s="168"/>
      <c r="G1255" s="168"/>
      <c r="H1255" s="168"/>
      <c r="I1255" s="168"/>
      <c r="J1255" s="168"/>
      <c r="K1255" s="168"/>
      <c r="L1255" s="168"/>
      <c r="M1255" s="168"/>
      <c r="N1255" s="168"/>
      <c r="O1255" s="168"/>
      <c r="P1255" s="168"/>
      <c r="Q1255" s="168"/>
      <c r="R1255" s="168"/>
      <c r="S1255" s="168"/>
      <c r="T1255" s="168"/>
      <c r="U1255" s="168"/>
      <c r="V1255" s="168"/>
      <c r="W1255" s="168"/>
      <c r="X1255" s="168"/>
      <c r="Y1255" s="168"/>
      <c r="Z1255" s="168"/>
    </row>
    <row r="1256">
      <c r="A1256" s="168"/>
      <c r="B1256" s="162"/>
      <c r="C1256" s="168"/>
      <c r="D1256" s="168"/>
      <c r="E1256" s="168"/>
      <c r="F1256" s="168"/>
      <c r="G1256" s="168"/>
      <c r="H1256" s="168"/>
      <c r="I1256" s="168"/>
      <c r="J1256" s="168"/>
      <c r="K1256" s="168"/>
      <c r="L1256" s="168"/>
      <c r="M1256" s="168"/>
      <c r="N1256" s="168"/>
      <c r="O1256" s="168"/>
      <c r="P1256" s="168"/>
      <c r="Q1256" s="168"/>
      <c r="R1256" s="168"/>
      <c r="S1256" s="168"/>
      <c r="T1256" s="168"/>
      <c r="U1256" s="168"/>
      <c r="V1256" s="168"/>
      <c r="W1256" s="168"/>
      <c r="X1256" s="168"/>
      <c r="Y1256" s="168"/>
      <c r="Z1256" s="168"/>
    </row>
    <row r="1257">
      <c r="A1257" s="168"/>
      <c r="B1257" s="162"/>
      <c r="C1257" s="168"/>
      <c r="D1257" s="168"/>
      <c r="E1257" s="168"/>
      <c r="F1257" s="168"/>
      <c r="G1257" s="168"/>
      <c r="H1257" s="168"/>
      <c r="I1257" s="168"/>
      <c r="J1257" s="168"/>
      <c r="K1257" s="168"/>
      <c r="L1257" s="168"/>
      <c r="M1257" s="168"/>
      <c r="N1257" s="168"/>
      <c r="O1257" s="168"/>
      <c r="P1257" s="168"/>
      <c r="Q1257" s="168"/>
      <c r="R1257" s="168"/>
      <c r="S1257" s="168"/>
      <c r="T1257" s="168"/>
      <c r="U1257" s="168"/>
      <c r="V1257" s="168"/>
      <c r="W1257" s="168"/>
      <c r="X1257" s="168"/>
      <c r="Y1257" s="168"/>
      <c r="Z1257" s="168"/>
    </row>
    <row r="1258">
      <c r="A1258" s="168"/>
      <c r="B1258" s="162"/>
      <c r="C1258" s="168"/>
      <c r="D1258" s="168"/>
      <c r="E1258" s="168"/>
      <c r="F1258" s="168"/>
      <c r="G1258" s="168"/>
      <c r="H1258" s="168"/>
      <c r="I1258" s="168"/>
      <c r="J1258" s="168"/>
      <c r="K1258" s="168"/>
      <c r="L1258" s="168"/>
      <c r="M1258" s="168"/>
      <c r="N1258" s="168"/>
      <c r="O1258" s="168"/>
      <c r="P1258" s="168"/>
      <c r="Q1258" s="168"/>
      <c r="R1258" s="168"/>
      <c r="S1258" s="168"/>
      <c r="T1258" s="168"/>
      <c r="U1258" s="168"/>
      <c r="V1258" s="168"/>
      <c r="W1258" s="168"/>
      <c r="X1258" s="168"/>
      <c r="Y1258" s="168"/>
      <c r="Z1258" s="168"/>
    </row>
    <row r="1259">
      <c r="A1259" s="168"/>
      <c r="B1259" s="162"/>
      <c r="C1259" s="168"/>
      <c r="D1259" s="168"/>
      <c r="E1259" s="168"/>
      <c r="F1259" s="168"/>
      <c r="G1259" s="168"/>
      <c r="H1259" s="168"/>
      <c r="I1259" s="168"/>
      <c r="J1259" s="168"/>
      <c r="K1259" s="168"/>
      <c r="L1259" s="168"/>
      <c r="M1259" s="168"/>
      <c r="N1259" s="168"/>
      <c r="O1259" s="168"/>
      <c r="P1259" s="168"/>
      <c r="Q1259" s="168"/>
      <c r="R1259" s="168"/>
      <c r="S1259" s="168"/>
      <c r="T1259" s="168"/>
      <c r="U1259" s="168"/>
      <c r="V1259" s="168"/>
      <c r="W1259" s="168"/>
      <c r="X1259" s="168"/>
      <c r="Y1259" s="168"/>
      <c r="Z1259" s="168"/>
    </row>
    <row r="1260">
      <c r="A1260" s="168"/>
      <c r="B1260" s="162"/>
      <c r="C1260" s="168"/>
      <c r="D1260" s="168"/>
      <c r="E1260" s="168"/>
      <c r="F1260" s="168"/>
      <c r="G1260" s="168"/>
      <c r="H1260" s="168"/>
      <c r="I1260" s="168"/>
      <c r="J1260" s="168"/>
      <c r="K1260" s="168"/>
      <c r="L1260" s="168"/>
      <c r="M1260" s="168"/>
      <c r="N1260" s="168"/>
      <c r="O1260" s="168"/>
      <c r="P1260" s="168"/>
      <c r="Q1260" s="168"/>
      <c r="R1260" s="168"/>
      <c r="S1260" s="168"/>
      <c r="T1260" s="168"/>
      <c r="U1260" s="168"/>
      <c r="V1260" s="168"/>
      <c r="W1260" s="168"/>
      <c r="X1260" s="168"/>
      <c r="Y1260" s="168"/>
      <c r="Z1260" s="168"/>
    </row>
    <row r="1261">
      <c r="A1261" s="168"/>
      <c r="B1261" s="162"/>
      <c r="C1261" s="168"/>
      <c r="D1261" s="168"/>
      <c r="E1261" s="168"/>
      <c r="F1261" s="168"/>
      <c r="G1261" s="168"/>
      <c r="H1261" s="168"/>
      <c r="I1261" s="168"/>
      <c r="J1261" s="168"/>
      <c r="K1261" s="168"/>
      <c r="L1261" s="168"/>
      <c r="M1261" s="168"/>
      <c r="N1261" s="168"/>
      <c r="O1261" s="168"/>
      <c r="P1261" s="168"/>
      <c r="Q1261" s="168"/>
      <c r="R1261" s="168"/>
      <c r="S1261" s="168"/>
      <c r="T1261" s="168"/>
      <c r="U1261" s="168"/>
      <c r="V1261" s="168"/>
      <c r="W1261" s="168"/>
      <c r="X1261" s="168"/>
      <c r="Y1261" s="168"/>
      <c r="Z1261" s="168"/>
    </row>
    <row r="1262">
      <c r="A1262" s="168"/>
      <c r="B1262" s="162"/>
      <c r="C1262" s="168"/>
      <c r="D1262" s="168"/>
      <c r="E1262" s="168"/>
      <c r="F1262" s="168"/>
      <c r="G1262" s="168"/>
      <c r="H1262" s="168"/>
      <c r="I1262" s="168"/>
      <c r="J1262" s="168"/>
      <c r="K1262" s="168"/>
      <c r="L1262" s="168"/>
      <c r="M1262" s="168"/>
      <c r="N1262" s="168"/>
      <c r="O1262" s="168"/>
      <c r="P1262" s="168"/>
      <c r="Q1262" s="168"/>
      <c r="R1262" s="168"/>
      <c r="S1262" s="168"/>
      <c r="T1262" s="168"/>
      <c r="U1262" s="168"/>
      <c r="V1262" s="168"/>
      <c r="W1262" s="168"/>
      <c r="X1262" s="168"/>
      <c r="Y1262" s="168"/>
      <c r="Z1262" s="168"/>
    </row>
    <row r="1263">
      <c r="A1263" s="168"/>
      <c r="B1263" s="162"/>
      <c r="C1263" s="168"/>
      <c r="D1263" s="168"/>
      <c r="E1263" s="168"/>
      <c r="F1263" s="168"/>
      <c r="G1263" s="168"/>
      <c r="H1263" s="168"/>
      <c r="I1263" s="168"/>
      <c r="J1263" s="168"/>
      <c r="K1263" s="168"/>
      <c r="L1263" s="168"/>
      <c r="M1263" s="168"/>
      <c r="N1263" s="168"/>
      <c r="O1263" s="168"/>
      <c r="P1263" s="168"/>
      <c r="Q1263" s="168"/>
      <c r="R1263" s="168"/>
      <c r="S1263" s="168"/>
      <c r="T1263" s="168"/>
      <c r="U1263" s="168"/>
      <c r="V1263" s="168"/>
      <c r="W1263" s="168"/>
      <c r="X1263" s="168"/>
      <c r="Y1263" s="168"/>
      <c r="Z1263" s="168"/>
    </row>
    <row r="1264">
      <c r="A1264" s="168"/>
      <c r="B1264" s="162"/>
      <c r="C1264" s="168"/>
      <c r="D1264" s="168"/>
      <c r="E1264" s="168"/>
      <c r="F1264" s="168"/>
      <c r="G1264" s="168"/>
      <c r="H1264" s="168"/>
      <c r="I1264" s="168"/>
      <c r="J1264" s="168"/>
      <c r="K1264" s="168"/>
      <c r="L1264" s="168"/>
      <c r="M1264" s="168"/>
      <c r="N1264" s="168"/>
      <c r="O1264" s="168"/>
      <c r="P1264" s="168"/>
      <c r="Q1264" s="168"/>
      <c r="R1264" s="168"/>
      <c r="S1264" s="168"/>
      <c r="T1264" s="168"/>
      <c r="U1264" s="168"/>
      <c r="V1264" s="168"/>
      <c r="W1264" s="168"/>
      <c r="X1264" s="168"/>
      <c r="Y1264" s="168"/>
      <c r="Z1264" s="168"/>
    </row>
    <row r="1265">
      <c r="A1265" s="168"/>
      <c r="B1265" s="162"/>
      <c r="C1265" s="168"/>
      <c r="D1265" s="168"/>
      <c r="E1265" s="168"/>
      <c r="F1265" s="168"/>
      <c r="G1265" s="168"/>
      <c r="H1265" s="168"/>
      <c r="I1265" s="168"/>
      <c r="J1265" s="168"/>
      <c r="K1265" s="168"/>
      <c r="L1265" s="168"/>
      <c r="M1265" s="168"/>
      <c r="N1265" s="168"/>
      <c r="O1265" s="168"/>
      <c r="P1265" s="168"/>
      <c r="Q1265" s="168"/>
      <c r="R1265" s="168"/>
      <c r="S1265" s="168"/>
      <c r="T1265" s="168"/>
      <c r="U1265" s="168"/>
      <c r="V1265" s="168"/>
      <c r="W1265" s="168"/>
      <c r="X1265" s="168"/>
      <c r="Y1265" s="168"/>
      <c r="Z1265" s="168"/>
    </row>
    <row r="1266">
      <c r="A1266" s="168"/>
      <c r="B1266" s="162"/>
      <c r="C1266" s="168"/>
      <c r="D1266" s="168"/>
      <c r="E1266" s="168"/>
      <c r="F1266" s="168"/>
      <c r="G1266" s="168"/>
      <c r="H1266" s="168"/>
      <c r="I1266" s="168"/>
      <c r="J1266" s="168"/>
      <c r="K1266" s="168"/>
      <c r="L1266" s="168"/>
      <c r="M1266" s="168"/>
      <c r="N1266" s="168"/>
      <c r="O1266" s="168"/>
      <c r="P1266" s="168"/>
      <c r="Q1266" s="168"/>
      <c r="R1266" s="168"/>
      <c r="S1266" s="168"/>
      <c r="T1266" s="168"/>
      <c r="U1266" s="168"/>
      <c r="V1266" s="168"/>
      <c r="W1266" s="168"/>
      <c r="X1266" s="168"/>
      <c r="Y1266" s="168"/>
      <c r="Z1266" s="168"/>
    </row>
    <row r="1267">
      <c r="A1267" s="168"/>
      <c r="B1267" s="162"/>
      <c r="C1267" s="168"/>
      <c r="D1267" s="168"/>
      <c r="E1267" s="168"/>
      <c r="F1267" s="168"/>
      <c r="G1267" s="168"/>
      <c r="H1267" s="168"/>
      <c r="I1267" s="168"/>
      <c r="J1267" s="168"/>
      <c r="K1267" s="168"/>
      <c r="L1267" s="168"/>
      <c r="M1267" s="168"/>
      <c r="N1267" s="168"/>
      <c r="O1267" s="168"/>
      <c r="P1267" s="168"/>
      <c r="Q1267" s="168"/>
      <c r="R1267" s="168"/>
      <c r="S1267" s="168"/>
      <c r="T1267" s="168"/>
      <c r="U1267" s="168"/>
      <c r="V1267" s="168"/>
      <c r="W1267" s="168"/>
      <c r="X1267" s="168"/>
      <c r="Y1267" s="168"/>
      <c r="Z1267" s="168"/>
    </row>
    <row r="1268">
      <c r="A1268" s="168"/>
      <c r="B1268" s="162"/>
      <c r="C1268" s="168"/>
      <c r="D1268" s="168"/>
      <c r="E1268" s="168"/>
      <c r="F1268" s="168"/>
      <c r="G1268" s="168"/>
      <c r="H1268" s="168"/>
      <c r="I1268" s="168"/>
      <c r="J1268" s="168"/>
      <c r="K1268" s="168"/>
      <c r="L1268" s="168"/>
      <c r="M1268" s="168"/>
      <c r="N1268" s="168"/>
      <c r="O1268" s="168"/>
      <c r="P1268" s="168"/>
      <c r="Q1268" s="168"/>
      <c r="R1268" s="168"/>
      <c r="S1268" s="168"/>
      <c r="T1268" s="168"/>
      <c r="U1268" s="168"/>
      <c r="V1268" s="168"/>
      <c r="W1268" s="168"/>
      <c r="X1268" s="168"/>
      <c r="Y1268" s="168"/>
      <c r="Z1268" s="168"/>
    </row>
    <row r="1269">
      <c r="A1269" s="168"/>
      <c r="B1269" s="162"/>
      <c r="C1269" s="168"/>
      <c r="D1269" s="168"/>
      <c r="E1269" s="168"/>
      <c r="F1269" s="168"/>
      <c r="G1269" s="168"/>
      <c r="H1269" s="168"/>
      <c r="I1269" s="168"/>
      <c r="J1269" s="168"/>
      <c r="K1269" s="168"/>
      <c r="L1269" s="168"/>
      <c r="M1269" s="168"/>
      <c r="N1269" s="168"/>
      <c r="O1269" s="168"/>
      <c r="P1269" s="168"/>
      <c r="Q1269" s="168"/>
      <c r="R1269" s="168"/>
      <c r="S1269" s="168"/>
      <c r="T1269" s="168"/>
      <c r="U1269" s="168"/>
      <c r="V1269" s="168"/>
      <c r="W1269" s="168"/>
      <c r="X1269" s="168"/>
      <c r="Y1269" s="168"/>
      <c r="Z1269" s="168"/>
    </row>
    <row r="1270">
      <c r="A1270" s="168"/>
      <c r="B1270" s="162"/>
      <c r="C1270" s="168"/>
      <c r="D1270" s="168"/>
      <c r="E1270" s="168"/>
      <c r="F1270" s="168"/>
      <c r="G1270" s="168"/>
      <c r="H1270" s="168"/>
      <c r="I1270" s="168"/>
      <c r="J1270" s="168"/>
      <c r="K1270" s="168"/>
      <c r="L1270" s="168"/>
      <c r="M1270" s="168"/>
      <c r="N1270" s="168"/>
      <c r="O1270" s="168"/>
      <c r="P1270" s="168"/>
      <c r="Q1270" s="168"/>
      <c r="R1270" s="168"/>
      <c r="S1270" s="168"/>
      <c r="T1270" s="168"/>
      <c r="U1270" s="168"/>
      <c r="V1270" s="168"/>
      <c r="W1270" s="168"/>
      <c r="X1270" s="168"/>
      <c r="Y1270" s="168"/>
      <c r="Z1270" s="168"/>
    </row>
    <row r="1271">
      <c r="A1271" s="168"/>
      <c r="B1271" s="162"/>
      <c r="C1271" s="168"/>
      <c r="D1271" s="168"/>
      <c r="E1271" s="168"/>
      <c r="F1271" s="168"/>
      <c r="G1271" s="168"/>
      <c r="H1271" s="168"/>
      <c r="I1271" s="168"/>
      <c r="J1271" s="168"/>
      <c r="K1271" s="168"/>
      <c r="L1271" s="168"/>
      <c r="M1271" s="168"/>
      <c r="N1271" s="168"/>
      <c r="O1271" s="168"/>
      <c r="P1271" s="168"/>
      <c r="Q1271" s="168"/>
      <c r="R1271" s="168"/>
      <c r="S1271" s="168"/>
      <c r="T1271" s="168"/>
      <c r="U1271" s="168"/>
      <c r="V1271" s="168"/>
      <c r="W1271" s="168"/>
      <c r="X1271" s="168"/>
      <c r="Y1271" s="168"/>
      <c r="Z1271" s="168"/>
    </row>
    <row r="1272">
      <c r="A1272" s="168"/>
      <c r="B1272" s="162"/>
      <c r="C1272" s="168"/>
      <c r="D1272" s="168"/>
      <c r="E1272" s="168"/>
      <c r="F1272" s="168"/>
      <c r="G1272" s="168"/>
      <c r="H1272" s="168"/>
      <c r="I1272" s="168"/>
      <c r="J1272" s="168"/>
      <c r="K1272" s="168"/>
      <c r="L1272" s="168"/>
      <c r="M1272" s="168"/>
      <c r="N1272" s="168"/>
      <c r="O1272" s="168"/>
      <c r="P1272" s="168"/>
      <c r="Q1272" s="168"/>
      <c r="R1272" s="168"/>
      <c r="S1272" s="168"/>
      <c r="T1272" s="168"/>
      <c r="U1272" s="168"/>
      <c r="V1272" s="168"/>
      <c r="W1272" s="168"/>
      <c r="X1272" s="168"/>
      <c r="Y1272" s="168"/>
      <c r="Z1272" s="168"/>
    </row>
    <row r="1273">
      <c r="A1273" s="168"/>
      <c r="B1273" s="162"/>
      <c r="C1273" s="168"/>
      <c r="D1273" s="168"/>
      <c r="E1273" s="168"/>
      <c r="F1273" s="168"/>
      <c r="G1273" s="168"/>
      <c r="H1273" s="168"/>
      <c r="I1273" s="168"/>
      <c r="J1273" s="168"/>
      <c r="K1273" s="168"/>
      <c r="L1273" s="168"/>
      <c r="M1273" s="168"/>
      <c r="N1273" s="168"/>
      <c r="O1273" s="168"/>
      <c r="P1273" s="168"/>
      <c r="Q1273" s="168"/>
      <c r="R1273" s="168"/>
      <c r="S1273" s="168"/>
      <c r="T1273" s="168"/>
      <c r="U1273" s="168"/>
      <c r="V1273" s="168"/>
      <c r="W1273" s="168"/>
      <c r="X1273" s="168"/>
      <c r="Y1273" s="168"/>
      <c r="Z1273" s="168"/>
    </row>
    <row r="1274">
      <c r="A1274" s="168"/>
      <c r="B1274" s="162"/>
      <c r="C1274" s="168"/>
      <c r="D1274" s="168"/>
      <c r="E1274" s="168"/>
      <c r="F1274" s="168"/>
      <c r="G1274" s="168"/>
      <c r="H1274" s="168"/>
      <c r="I1274" s="168"/>
      <c r="J1274" s="168"/>
      <c r="K1274" s="168"/>
      <c r="L1274" s="168"/>
      <c r="M1274" s="168"/>
      <c r="N1274" s="168"/>
      <c r="O1274" s="168"/>
      <c r="P1274" s="168"/>
      <c r="Q1274" s="168"/>
      <c r="R1274" s="168"/>
      <c r="S1274" s="168"/>
      <c r="T1274" s="168"/>
      <c r="U1274" s="168"/>
      <c r="V1274" s="168"/>
      <c r="W1274" s="168"/>
      <c r="X1274" s="168"/>
      <c r="Y1274" s="168"/>
      <c r="Z1274" s="168"/>
    </row>
    <row r="1275">
      <c r="A1275" s="168"/>
      <c r="B1275" s="162"/>
      <c r="C1275" s="168"/>
      <c r="D1275" s="168"/>
      <c r="E1275" s="168"/>
      <c r="F1275" s="168"/>
      <c r="G1275" s="168"/>
      <c r="H1275" s="168"/>
      <c r="I1275" s="168"/>
      <c r="J1275" s="168"/>
      <c r="K1275" s="168"/>
      <c r="L1275" s="168"/>
      <c r="M1275" s="168"/>
      <c r="N1275" s="168"/>
      <c r="O1275" s="168"/>
      <c r="P1275" s="168"/>
      <c r="Q1275" s="168"/>
      <c r="R1275" s="168"/>
      <c r="S1275" s="168"/>
      <c r="T1275" s="168"/>
      <c r="U1275" s="168"/>
      <c r="V1275" s="168"/>
      <c r="W1275" s="168"/>
      <c r="X1275" s="168"/>
      <c r="Y1275" s="168"/>
      <c r="Z1275" s="168"/>
    </row>
    <row r="1276">
      <c r="A1276" s="168"/>
      <c r="B1276" s="162"/>
      <c r="C1276" s="168"/>
      <c r="D1276" s="168"/>
      <c r="E1276" s="168"/>
      <c r="F1276" s="168"/>
      <c r="G1276" s="168"/>
      <c r="H1276" s="168"/>
      <c r="I1276" s="168"/>
      <c r="J1276" s="168"/>
      <c r="K1276" s="168"/>
      <c r="L1276" s="168"/>
      <c r="M1276" s="168"/>
      <c r="N1276" s="168"/>
      <c r="O1276" s="168"/>
      <c r="P1276" s="168"/>
      <c r="Q1276" s="168"/>
      <c r="R1276" s="168"/>
      <c r="S1276" s="168"/>
      <c r="T1276" s="168"/>
      <c r="U1276" s="168"/>
      <c r="V1276" s="168"/>
      <c r="W1276" s="168"/>
      <c r="X1276" s="168"/>
      <c r="Y1276" s="168"/>
      <c r="Z1276" s="168"/>
    </row>
    <row r="1277">
      <c r="A1277" s="168"/>
      <c r="B1277" s="162"/>
      <c r="C1277" s="168"/>
      <c r="D1277" s="168"/>
      <c r="E1277" s="168"/>
      <c r="F1277" s="168"/>
      <c r="G1277" s="168"/>
      <c r="H1277" s="168"/>
      <c r="I1277" s="168"/>
      <c r="J1277" s="168"/>
      <c r="K1277" s="168"/>
      <c r="L1277" s="168"/>
      <c r="M1277" s="168"/>
      <c r="N1277" s="168"/>
      <c r="O1277" s="168"/>
      <c r="P1277" s="168"/>
      <c r="Q1277" s="168"/>
      <c r="R1277" s="168"/>
      <c r="S1277" s="168"/>
      <c r="T1277" s="168"/>
      <c r="U1277" s="168"/>
      <c r="V1277" s="168"/>
      <c r="W1277" s="168"/>
      <c r="X1277" s="168"/>
      <c r="Y1277" s="168"/>
      <c r="Z1277" s="168"/>
    </row>
    <row r="1278">
      <c r="A1278" s="168"/>
      <c r="B1278" s="162"/>
      <c r="C1278" s="168"/>
      <c r="D1278" s="168"/>
      <c r="E1278" s="168"/>
      <c r="F1278" s="168"/>
      <c r="G1278" s="168"/>
      <c r="H1278" s="168"/>
      <c r="I1278" s="168"/>
      <c r="J1278" s="168"/>
      <c r="K1278" s="168"/>
      <c r="L1278" s="168"/>
      <c r="M1278" s="168"/>
      <c r="N1278" s="168"/>
      <c r="O1278" s="168"/>
      <c r="P1278" s="168"/>
      <c r="Q1278" s="168"/>
      <c r="R1278" s="168"/>
      <c r="S1278" s="168"/>
      <c r="T1278" s="168"/>
      <c r="U1278" s="168"/>
      <c r="V1278" s="168"/>
      <c r="W1278" s="168"/>
      <c r="X1278" s="168"/>
      <c r="Y1278" s="168"/>
      <c r="Z1278" s="168"/>
    </row>
    <row r="1279">
      <c r="A1279" s="168"/>
      <c r="B1279" s="162"/>
      <c r="C1279" s="168"/>
      <c r="D1279" s="168"/>
      <c r="E1279" s="168"/>
      <c r="F1279" s="168"/>
      <c r="G1279" s="168"/>
      <c r="H1279" s="168"/>
      <c r="I1279" s="168"/>
      <c r="J1279" s="168"/>
      <c r="K1279" s="168"/>
      <c r="L1279" s="168"/>
      <c r="M1279" s="168"/>
      <c r="N1279" s="168"/>
      <c r="O1279" s="168"/>
      <c r="P1279" s="168"/>
      <c r="Q1279" s="168"/>
      <c r="R1279" s="168"/>
      <c r="S1279" s="168"/>
      <c r="T1279" s="168"/>
      <c r="U1279" s="168"/>
      <c r="V1279" s="168"/>
      <c r="W1279" s="168"/>
      <c r="X1279" s="168"/>
      <c r="Y1279" s="168"/>
      <c r="Z1279" s="168"/>
    </row>
    <row r="1280">
      <c r="A1280" s="168"/>
      <c r="B1280" s="162"/>
      <c r="C1280" s="168"/>
      <c r="D1280" s="168"/>
      <c r="E1280" s="168"/>
      <c r="F1280" s="168"/>
      <c r="G1280" s="168"/>
      <c r="H1280" s="168"/>
      <c r="I1280" s="168"/>
      <c r="J1280" s="168"/>
      <c r="K1280" s="168"/>
      <c r="L1280" s="168"/>
      <c r="M1280" s="168"/>
      <c r="N1280" s="168"/>
      <c r="O1280" s="168"/>
      <c r="P1280" s="168"/>
      <c r="Q1280" s="168"/>
      <c r="R1280" s="168"/>
      <c r="S1280" s="168"/>
      <c r="T1280" s="168"/>
      <c r="U1280" s="168"/>
      <c r="V1280" s="168"/>
      <c r="W1280" s="168"/>
      <c r="X1280" s="168"/>
      <c r="Y1280" s="168"/>
      <c r="Z1280" s="168"/>
    </row>
    <row r="1281">
      <c r="A1281" s="168"/>
      <c r="B1281" s="162"/>
      <c r="C1281" s="168"/>
      <c r="D1281" s="168"/>
      <c r="E1281" s="168"/>
      <c r="F1281" s="168"/>
      <c r="G1281" s="168"/>
      <c r="H1281" s="168"/>
      <c r="I1281" s="168"/>
      <c r="J1281" s="168"/>
      <c r="K1281" s="168"/>
      <c r="L1281" s="168"/>
      <c r="M1281" s="168"/>
      <c r="N1281" s="168"/>
      <c r="O1281" s="168"/>
      <c r="P1281" s="168"/>
      <c r="Q1281" s="168"/>
      <c r="R1281" s="168"/>
      <c r="S1281" s="168"/>
      <c r="T1281" s="168"/>
      <c r="U1281" s="168"/>
      <c r="V1281" s="168"/>
      <c r="W1281" s="168"/>
      <c r="X1281" s="168"/>
      <c r="Y1281" s="168"/>
      <c r="Z1281" s="168"/>
    </row>
    <row r="1282">
      <c r="A1282" s="168"/>
      <c r="B1282" s="162"/>
      <c r="C1282" s="168"/>
      <c r="D1282" s="168"/>
      <c r="E1282" s="168"/>
      <c r="F1282" s="168"/>
      <c r="G1282" s="168"/>
      <c r="H1282" s="168"/>
      <c r="I1282" s="168"/>
      <c r="J1282" s="168"/>
      <c r="K1282" s="168"/>
      <c r="L1282" s="168"/>
      <c r="M1282" s="168"/>
      <c r="N1282" s="168"/>
      <c r="O1282" s="168"/>
      <c r="P1282" s="168"/>
      <c r="Q1282" s="168"/>
      <c r="R1282" s="168"/>
      <c r="S1282" s="168"/>
      <c r="T1282" s="168"/>
      <c r="U1282" s="168"/>
      <c r="V1282" s="168"/>
      <c r="W1282" s="168"/>
      <c r="X1282" s="168"/>
      <c r="Y1282" s="168"/>
      <c r="Z1282" s="168"/>
    </row>
    <row r="1283">
      <c r="A1283" s="168"/>
      <c r="B1283" s="162"/>
      <c r="C1283" s="168"/>
      <c r="D1283" s="168"/>
      <c r="E1283" s="168"/>
      <c r="F1283" s="168"/>
      <c r="G1283" s="168"/>
      <c r="H1283" s="168"/>
      <c r="I1283" s="168"/>
      <c r="J1283" s="168"/>
      <c r="K1283" s="168"/>
      <c r="L1283" s="168"/>
      <c r="M1283" s="168"/>
      <c r="N1283" s="168"/>
      <c r="O1283" s="168"/>
      <c r="P1283" s="168"/>
      <c r="Q1283" s="168"/>
      <c r="R1283" s="168"/>
      <c r="S1283" s="168"/>
      <c r="T1283" s="168"/>
      <c r="U1283" s="168"/>
      <c r="V1283" s="168"/>
      <c r="W1283" s="168"/>
      <c r="X1283" s="168"/>
      <c r="Y1283" s="168"/>
      <c r="Z1283" s="168"/>
    </row>
    <row r="1284">
      <c r="A1284" s="168"/>
      <c r="B1284" s="162"/>
      <c r="C1284" s="168"/>
      <c r="D1284" s="168"/>
      <c r="E1284" s="168"/>
      <c r="F1284" s="168"/>
      <c r="G1284" s="168"/>
      <c r="H1284" s="168"/>
      <c r="I1284" s="168"/>
      <c r="J1284" s="168"/>
      <c r="K1284" s="168"/>
      <c r="L1284" s="168"/>
      <c r="M1284" s="168"/>
      <c r="N1284" s="168"/>
      <c r="O1284" s="168"/>
      <c r="P1284" s="168"/>
      <c r="Q1284" s="168"/>
      <c r="R1284" s="168"/>
      <c r="S1284" s="168"/>
      <c r="T1284" s="168"/>
      <c r="U1284" s="168"/>
      <c r="V1284" s="168"/>
      <c r="W1284" s="168"/>
      <c r="X1284" s="168"/>
      <c r="Y1284" s="168"/>
      <c r="Z1284" s="168"/>
    </row>
    <row r="1285">
      <c r="A1285" s="168"/>
      <c r="B1285" s="162"/>
      <c r="C1285" s="168"/>
      <c r="D1285" s="168"/>
      <c r="E1285" s="168"/>
      <c r="F1285" s="168"/>
      <c r="G1285" s="168"/>
      <c r="H1285" s="168"/>
      <c r="I1285" s="168"/>
      <c r="J1285" s="168"/>
      <c r="K1285" s="168"/>
      <c r="L1285" s="168"/>
      <c r="M1285" s="168"/>
      <c r="N1285" s="168"/>
      <c r="O1285" s="168"/>
      <c r="P1285" s="168"/>
      <c r="Q1285" s="168"/>
      <c r="R1285" s="168"/>
      <c r="S1285" s="168"/>
      <c r="T1285" s="168"/>
      <c r="U1285" s="168"/>
      <c r="V1285" s="168"/>
      <c r="W1285" s="168"/>
      <c r="X1285" s="168"/>
      <c r="Y1285" s="168"/>
      <c r="Z1285" s="168"/>
    </row>
    <row r="1286">
      <c r="A1286" s="168"/>
      <c r="B1286" s="162"/>
      <c r="C1286" s="168"/>
      <c r="D1286" s="168"/>
      <c r="E1286" s="168"/>
      <c r="F1286" s="168"/>
      <c r="G1286" s="168"/>
      <c r="H1286" s="168"/>
      <c r="I1286" s="168"/>
      <c r="J1286" s="168"/>
      <c r="K1286" s="168"/>
      <c r="L1286" s="168"/>
      <c r="M1286" s="168"/>
      <c r="N1286" s="168"/>
      <c r="O1286" s="168"/>
      <c r="P1286" s="168"/>
      <c r="Q1286" s="168"/>
      <c r="R1286" s="168"/>
      <c r="S1286" s="168"/>
      <c r="T1286" s="168"/>
      <c r="U1286" s="168"/>
      <c r="V1286" s="168"/>
      <c r="W1286" s="168"/>
      <c r="X1286" s="168"/>
      <c r="Y1286" s="168"/>
      <c r="Z1286" s="168"/>
    </row>
    <row r="1287">
      <c r="A1287" s="168"/>
      <c r="B1287" s="162"/>
      <c r="C1287" s="168"/>
      <c r="D1287" s="168"/>
      <c r="E1287" s="168"/>
      <c r="F1287" s="168"/>
      <c r="G1287" s="168"/>
      <c r="H1287" s="168"/>
      <c r="I1287" s="168"/>
      <c r="J1287" s="168"/>
      <c r="K1287" s="168"/>
      <c r="L1287" s="168"/>
      <c r="M1287" s="168"/>
      <c r="N1287" s="168"/>
      <c r="O1287" s="168"/>
      <c r="P1287" s="168"/>
      <c r="Q1287" s="168"/>
      <c r="R1287" s="168"/>
      <c r="S1287" s="168"/>
      <c r="T1287" s="168"/>
      <c r="U1287" s="168"/>
      <c r="V1287" s="168"/>
      <c r="W1287" s="168"/>
      <c r="X1287" s="168"/>
      <c r="Y1287" s="168"/>
      <c r="Z1287" s="168"/>
    </row>
    <row r="1288">
      <c r="A1288" s="168"/>
      <c r="B1288" s="162"/>
      <c r="C1288" s="168"/>
      <c r="D1288" s="168"/>
      <c r="E1288" s="168"/>
      <c r="F1288" s="168"/>
      <c r="G1288" s="168"/>
      <c r="H1288" s="168"/>
      <c r="I1288" s="168"/>
      <c r="J1288" s="168"/>
      <c r="K1288" s="168"/>
      <c r="L1288" s="168"/>
      <c r="M1288" s="168"/>
      <c r="N1288" s="168"/>
      <c r="O1288" s="168"/>
      <c r="P1288" s="168"/>
      <c r="Q1288" s="168"/>
      <c r="R1288" s="168"/>
      <c r="S1288" s="168"/>
      <c r="T1288" s="168"/>
      <c r="U1288" s="168"/>
      <c r="V1288" s="168"/>
      <c r="W1288" s="168"/>
      <c r="X1288" s="168"/>
      <c r="Y1288" s="168"/>
      <c r="Z1288" s="168"/>
    </row>
    <row r="1289">
      <c r="A1289" s="168"/>
      <c r="B1289" s="162"/>
      <c r="C1289" s="168"/>
      <c r="D1289" s="168"/>
      <c r="E1289" s="168"/>
      <c r="F1289" s="168"/>
      <c r="G1289" s="168"/>
      <c r="H1289" s="168"/>
      <c r="I1289" s="168"/>
      <c r="J1289" s="168"/>
      <c r="K1289" s="168"/>
      <c r="L1289" s="168"/>
      <c r="M1289" s="168"/>
      <c r="N1289" s="168"/>
      <c r="O1289" s="168"/>
      <c r="P1289" s="168"/>
      <c r="Q1289" s="168"/>
      <c r="R1289" s="168"/>
      <c r="S1289" s="168"/>
      <c r="T1289" s="168"/>
      <c r="U1289" s="168"/>
      <c r="V1289" s="168"/>
      <c r="W1289" s="168"/>
      <c r="X1289" s="168"/>
      <c r="Y1289" s="168"/>
      <c r="Z1289" s="168"/>
    </row>
    <row r="1290">
      <c r="A1290" s="168"/>
      <c r="B1290" s="162"/>
      <c r="C1290" s="168"/>
      <c r="D1290" s="168"/>
      <c r="E1290" s="168"/>
      <c r="F1290" s="168"/>
      <c r="G1290" s="168"/>
      <c r="H1290" s="168"/>
      <c r="I1290" s="168"/>
      <c r="J1290" s="168"/>
      <c r="K1290" s="168"/>
      <c r="L1290" s="168"/>
      <c r="M1290" s="168"/>
      <c r="N1290" s="168"/>
      <c r="O1290" s="168"/>
      <c r="P1290" s="168"/>
      <c r="Q1290" s="168"/>
      <c r="R1290" s="168"/>
      <c r="S1290" s="168"/>
      <c r="T1290" s="168"/>
      <c r="U1290" s="168"/>
      <c r="V1290" s="168"/>
      <c r="W1290" s="168"/>
      <c r="X1290" s="168"/>
      <c r="Y1290" s="168"/>
      <c r="Z1290" s="168"/>
    </row>
    <row r="1291">
      <c r="A1291" s="168"/>
      <c r="B1291" s="162"/>
      <c r="C1291" s="168"/>
      <c r="D1291" s="168"/>
      <c r="E1291" s="168"/>
      <c r="F1291" s="168"/>
      <c r="G1291" s="168"/>
      <c r="H1291" s="168"/>
      <c r="I1291" s="168"/>
      <c r="J1291" s="168"/>
      <c r="K1291" s="168"/>
      <c r="L1291" s="168"/>
      <c r="M1291" s="168"/>
      <c r="N1291" s="168"/>
      <c r="O1291" s="168"/>
      <c r="P1291" s="168"/>
      <c r="Q1291" s="168"/>
      <c r="R1291" s="168"/>
      <c r="S1291" s="168"/>
      <c r="T1291" s="168"/>
      <c r="U1291" s="168"/>
      <c r="V1291" s="168"/>
      <c r="W1291" s="168"/>
      <c r="X1291" s="168"/>
      <c r="Y1291" s="168"/>
      <c r="Z1291" s="168"/>
    </row>
    <row r="1292">
      <c r="A1292" s="168"/>
      <c r="B1292" s="162"/>
      <c r="C1292" s="168"/>
      <c r="D1292" s="168"/>
      <c r="E1292" s="168"/>
      <c r="F1292" s="168"/>
      <c r="G1292" s="168"/>
      <c r="H1292" s="168"/>
      <c r="I1292" s="168"/>
      <c r="J1292" s="168"/>
      <c r="K1292" s="168"/>
      <c r="L1292" s="168"/>
      <c r="M1292" s="168"/>
      <c r="N1292" s="168"/>
      <c r="O1292" s="168"/>
      <c r="P1292" s="168"/>
      <c r="Q1292" s="168"/>
      <c r="R1292" s="168"/>
      <c r="S1292" s="168"/>
      <c r="T1292" s="168"/>
      <c r="U1292" s="168"/>
      <c r="V1292" s="168"/>
      <c r="W1292" s="168"/>
      <c r="X1292" s="168"/>
      <c r="Y1292" s="168"/>
      <c r="Z1292" s="168"/>
    </row>
    <row r="1293">
      <c r="A1293" s="168"/>
      <c r="B1293" s="162"/>
      <c r="C1293" s="168"/>
      <c r="D1293" s="168"/>
      <c r="E1293" s="168"/>
      <c r="F1293" s="168"/>
      <c r="G1293" s="168"/>
      <c r="H1293" s="168"/>
      <c r="I1293" s="168"/>
      <c r="J1293" s="168"/>
      <c r="K1293" s="168"/>
      <c r="L1293" s="168"/>
      <c r="M1293" s="168"/>
      <c r="N1293" s="168"/>
      <c r="O1293" s="168"/>
      <c r="P1293" s="168"/>
      <c r="Q1293" s="168"/>
      <c r="R1293" s="168"/>
      <c r="S1293" s="168"/>
      <c r="T1293" s="168"/>
      <c r="U1293" s="168"/>
      <c r="V1293" s="168"/>
      <c r="W1293" s="168"/>
      <c r="X1293" s="168"/>
      <c r="Y1293" s="168"/>
      <c r="Z1293" s="168"/>
    </row>
    <row r="1294">
      <c r="A1294" s="168"/>
      <c r="B1294" s="162"/>
      <c r="C1294" s="168"/>
      <c r="D1294" s="168"/>
      <c r="E1294" s="168"/>
      <c r="F1294" s="168"/>
      <c r="G1294" s="168"/>
      <c r="H1294" s="168"/>
      <c r="I1294" s="168"/>
      <c r="J1294" s="168"/>
      <c r="K1294" s="168"/>
      <c r="L1294" s="168"/>
      <c r="M1294" s="168"/>
      <c r="N1294" s="168"/>
      <c r="O1294" s="168"/>
      <c r="P1294" s="168"/>
      <c r="Q1294" s="168"/>
      <c r="R1294" s="168"/>
      <c r="S1294" s="168"/>
      <c r="T1294" s="168"/>
      <c r="U1294" s="168"/>
      <c r="V1294" s="168"/>
      <c r="W1294" s="168"/>
      <c r="X1294" s="168"/>
      <c r="Y1294" s="168"/>
      <c r="Z1294" s="168"/>
    </row>
    <row r="1295">
      <c r="A1295" s="168"/>
      <c r="B1295" s="162"/>
      <c r="C1295" s="168"/>
      <c r="D1295" s="168"/>
      <c r="E1295" s="168"/>
      <c r="F1295" s="168"/>
      <c r="G1295" s="168"/>
      <c r="H1295" s="168"/>
      <c r="I1295" s="168"/>
      <c r="J1295" s="168"/>
      <c r="K1295" s="168"/>
      <c r="L1295" s="168"/>
      <c r="M1295" s="168"/>
      <c r="N1295" s="168"/>
      <c r="O1295" s="168"/>
      <c r="P1295" s="168"/>
      <c r="Q1295" s="168"/>
      <c r="R1295" s="168"/>
      <c r="S1295" s="168"/>
      <c r="T1295" s="168"/>
      <c r="U1295" s="168"/>
      <c r="V1295" s="168"/>
      <c r="W1295" s="168"/>
      <c r="X1295" s="168"/>
      <c r="Y1295" s="168"/>
      <c r="Z1295" s="168"/>
    </row>
    <row r="1296">
      <c r="A1296" s="168"/>
      <c r="B1296" s="162"/>
      <c r="C1296" s="168"/>
      <c r="D1296" s="168"/>
      <c r="E1296" s="168"/>
      <c r="F1296" s="168"/>
      <c r="G1296" s="168"/>
      <c r="H1296" s="168"/>
      <c r="I1296" s="168"/>
      <c r="J1296" s="168"/>
      <c r="K1296" s="168"/>
      <c r="L1296" s="168"/>
      <c r="M1296" s="168"/>
      <c r="N1296" s="168"/>
      <c r="O1296" s="168"/>
      <c r="P1296" s="168"/>
      <c r="Q1296" s="168"/>
      <c r="R1296" s="168"/>
      <c r="S1296" s="168"/>
      <c r="T1296" s="168"/>
      <c r="U1296" s="168"/>
      <c r="V1296" s="168"/>
      <c r="W1296" s="168"/>
      <c r="X1296" s="168"/>
      <c r="Y1296" s="168"/>
      <c r="Z1296" s="168"/>
    </row>
    <row r="1297">
      <c r="A1297" s="168"/>
      <c r="B1297" s="162"/>
      <c r="C1297" s="168"/>
      <c r="D1297" s="168"/>
      <c r="E1297" s="168"/>
      <c r="F1297" s="168"/>
      <c r="G1297" s="168"/>
      <c r="H1297" s="168"/>
      <c r="I1297" s="168"/>
      <c r="J1297" s="168"/>
      <c r="K1297" s="168"/>
      <c r="L1297" s="168"/>
      <c r="M1297" s="168"/>
      <c r="N1297" s="168"/>
      <c r="O1297" s="168"/>
      <c r="P1297" s="168"/>
      <c r="Q1297" s="168"/>
      <c r="R1297" s="168"/>
      <c r="S1297" s="168"/>
      <c r="T1297" s="168"/>
      <c r="U1297" s="168"/>
      <c r="V1297" s="168"/>
      <c r="W1297" s="168"/>
      <c r="X1297" s="168"/>
      <c r="Y1297" s="168"/>
      <c r="Z1297" s="168"/>
    </row>
    <row r="1298">
      <c r="A1298" s="168"/>
      <c r="B1298" s="162"/>
      <c r="C1298" s="168"/>
      <c r="D1298" s="168"/>
      <c r="E1298" s="168"/>
      <c r="F1298" s="168"/>
      <c r="G1298" s="168"/>
      <c r="H1298" s="168"/>
      <c r="I1298" s="168"/>
      <c r="J1298" s="168"/>
      <c r="K1298" s="168"/>
      <c r="L1298" s="168"/>
      <c r="M1298" s="168"/>
      <c r="N1298" s="168"/>
      <c r="O1298" s="168"/>
      <c r="P1298" s="168"/>
      <c r="Q1298" s="168"/>
      <c r="R1298" s="168"/>
      <c r="S1298" s="168"/>
      <c r="T1298" s="168"/>
      <c r="U1298" s="168"/>
      <c r="V1298" s="168"/>
      <c r="W1298" s="168"/>
      <c r="X1298" s="168"/>
      <c r="Y1298" s="168"/>
      <c r="Z1298" s="168"/>
    </row>
    <row r="1299">
      <c r="A1299" s="168"/>
      <c r="B1299" s="162"/>
      <c r="C1299" s="168"/>
      <c r="D1299" s="168"/>
      <c r="E1299" s="168"/>
      <c r="F1299" s="168"/>
      <c r="G1299" s="168"/>
      <c r="H1299" s="168"/>
      <c r="I1299" s="168"/>
      <c r="J1299" s="168"/>
      <c r="K1299" s="168"/>
      <c r="L1299" s="168"/>
      <c r="M1299" s="168"/>
      <c r="N1299" s="168"/>
      <c r="O1299" s="168"/>
      <c r="P1299" s="168"/>
      <c r="Q1299" s="168"/>
      <c r="R1299" s="168"/>
      <c r="S1299" s="168"/>
      <c r="T1299" s="168"/>
      <c r="U1299" s="168"/>
      <c r="V1299" s="168"/>
      <c r="W1299" s="168"/>
      <c r="X1299" s="168"/>
      <c r="Y1299" s="168"/>
      <c r="Z1299" s="168"/>
    </row>
    <row r="1300">
      <c r="A1300" s="168"/>
      <c r="B1300" s="162"/>
      <c r="C1300" s="168"/>
      <c r="D1300" s="168"/>
      <c r="E1300" s="168"/>
      <c r="F1300" s="168"/>
      <c r="G1300" s="168"/>
      <c r="H1300" s="168"/>
      <c r="I1300" s="168"/>
      <c r="J1300" s="168"/>
      <c r="K1300" s="168"/>
      <c r="L1300" s="168"/>
      <c r="M1300" s="168"/>
      <c r="N1300" s="168"/>
      <c r="O1300" s="168"/>
      <c r="P1300" s="168"/>
      <c r="Q1300" s="168"/>
      <c r="R1300" s="168"/>
      <c r="S1300" s="168"/>
      <c r="T1300" s="168"/>
      <c r="U1300" s="168"/>
      <c r="V1300" s="168"/>
      <c r="W1300" s="168"/>
      <c r="X1300" s="168"/>
      <c r="Y1300" s="168"/>
      <c r="Z1300" s="168"/>
    </row>
    <row r="1301">
      <c r="A1301" s="168"/>
      <c r="B1301" s="162"/>
      <c r="C1301" s="168"/>
      <c r="D1301" s="168"/>
      <c r="E1301" s="168"/>
      <c r="F1301" s="168"/>
      <c r="G1301" s="168"/>
      <c r="H1301" s="168"/>
      <c r="I1301" s="168"/>
      <c r="J1301" s="168"/>
      <c r="K1301" s="168"/>
      <c r="L1301" s="168"/>
      <c r="M1301" s="168"/>
      <c r="N1301" s="168"/>
      <c r="O1301" s="168"/>
      <c r="P1301" s="168"/>
      <c r="Q1301" s="168"/>
      <c r="R1301" s="168"/>
      <c r="S1301" s="168"/>
      <c r="T1301" s="168"/>
      <c r="U1301" s="168"/>
      <c r="V1301" s="168"/>
      <c r="W1301" s="168"/>
      <c r="X1301" s="168"/>
      <c r="Y1301" s="168"/>
      <c r="Z1301" s="168"/>
    </row>
    <row r="1302">
      <c r="A1302" s="168"/>
      <c r="B1302" s="162"/>
      <c r="C1302" s="168"/>
      <c r="D1302" s="168"/>
      <c r="E1302" s="168"/>
      <c r="F1302" s="168"/>
      <c r="G1302" s="168"/>
      <c r="H1302" s="168"/>
      <c r="I1302" s="168"/>
      <c r="J1302" s="168"/>
      <c r="K1302" s="168"/>
      <c r="L1302" s="168"/>
      <c r="M1302" s="168"/>
      <c r="N1302" s="168"/>
      <c r="O1302" s="168"/>
      <c r="P1302" s="168"/>
      <c r="Q1302" s="168"/>
      <c r="R1302" s="168"/>
      <c r="S1302" s="168"/>
      <c r="T1302" s="168"/>
      <c r="U1302" s="168"/>
      <c r="V1302" s="168"/>
      <c r="W1302" s="168"/>
      <c r="X1302" s="168"/>
      <c r="Y1302" s="168"/>
      <c r="Z1302" s="168"/>
    </row>
    <row r="1303">
      <c r="A1303" s="168"/>
      <c r="B1303" s="162"/>
      <c r="C1303" s="168"/>
      <c r="D1303" s="168"/>
      <c r="E1303" s="168"/>
      <c r="F1303" s="168"/>
      <c r="G1303" s="168"/>
      <c r="H1303" s="168"/>
      <c r="I1303" s="168"/>
      <c r="J1303" s="168"/>
      <c r="K1303" s="168"/>
      <c r="L1303" s="168"/>
      <c r="M1303" s="168"/>
      <c r="N1303" s="168"/>
      <c r="O1303" s="168"/>
      <c r="P1303" s="168"/>
      <c r="Q1303" s="168"/>
      <c r="R1303" s="168"/>
      <c r="S1303" s="168"/>
      <c r="T1303" s="168"/>
      <c r="U1303" s="168"/>
      <c r="V1303" s="168"/>
      <c r="W1303" s="168"/>
      <c r="X1303" s="168"/>
      <c r="Y1303" s="168"/>
      <c r="Z1303" s="168"/>
    </row>
    <row r="1304">
      <c r="A1304" s="168"/>
      <c r="B1304" s="162"/>
      <c r="C1304" s="168"/>
      <c r="D1304" s="168"/>
      <c r="E1304" s="168"/>
      <c r="F1304" s="168"/>
      <c r="G1304" s="168"/>
      <c r="H1304" s="168"/>
      <c r="I1304" s="168"/>
      <c r="J1304" s="168"/>
      <c r="K1304" s="168"/>
      <c r="L1304" s="168"/>
      <c r="M1304" s="168"/>
      <c r="N1304" s="168"/>
      <c r="O1304" s="168"/>
      <c r="P1304" s="168"/>
      <c r="Q1304" s="168"/>
      <c r="R1304" s="168"/>
      <c r="S1304" s="168"/>
      <c r="T1304" s="168"/>
      <c r="U1304" s="168"/>
      <c r="V1304" s="168"/>
      <c r="W1304" s="168"/>
      <c r="X1304" s="168"/>
      <c r="Y1304" s="168"/>
      <c r="Z1304" s="168"/>
    </row>
    <row r="1305">
      <c r="A1305" s="168"/>
      <c r="B1305" s="162"/>
      <c r="C1305" s="168"/>
      <c r="D1305" s="168"/>
      <c r="E1305" s="168"/>
      <c r="F1305" s="168"/>
      <c r="G1305" s="168"/>
      <c r="H1305" s="168"/>
      <c r="I1305" s="168"/>
      <c r="J1305" s="168"/>
      <c r="K1305" s="168"/>
      <c r="L1305" s="168"/>
      <c r="M1305" s="168"/>
      <c r="N1305" s="168"/>
      <c r="O1305" s="168"/>
      <c r="P1305" s="168"/>
      <c r="Q1305" s="168"/>
      <c r="R1305" s="168"/>
      <c r="S1305" s="168"/>
      <c r="T1305" s="168"/>
      <c r="U1305" s="168"/>
      <c r="V1305" s="168"/>
      <c r="W1305" s="168"/>
      <c r="X1305" s="168"/>
      <c r="Y1305" s="168"/>
      <c r="Z1305" s="168"/>
    </row>
    <row r="1306">
      <c r="A1306" s="168"/>
      <c r="B1306" s="162"/>
      <c r="C1306" s="168"/>
      <c r="D1306" s="168"/>
      <c r="E1306" s="168"/>
      <c r="F1306" s="168"/>
      <c r="G1306" s="168"/>
      <c r="H1306" s="168"/>
      <c r="I1306" s="168"/>
      <c r="J1306" s="168"/>
      <c r="K1306" s="168"/>
      <c r="L1306" s="168"/>
      <c r="M1306" s="168"/>
      <c r="N1306" s="168"/>
      <c r="O1306" s="168"/>
      <c r="P1306" s="168"/>
      <c r="Q1306" s="168"/>
      <c r="R1306" s="168"/>
      <c r="S1306" s="168"/>
      <c r="T1306" s="168"/>
      <c r="U1306" s="168"/>
      <c r="V1306" s="168"/>
      <c r="W1306" s="168"/>
      <c r="X1306" s="168"/>
      <c r="Y1306" s="168"/>
      <c r="Z1306" s="168"/>
    </row>
    <row r="1307">
      <c r="A1307" s="168"/>
      <c r="B1307" s="162"/>
      <c r="C1307" s="168"/>
      <c r="D1307" s="168"/>
      <c r="E1307" s="168"/>
      <c r="F1307" s="168"/>
      <c r="G1307" s="168"/>
      <c r="H1307" s="168"/>
      <c r="I1307" s="168"/>
      <c r="J1307" s="168"/>
      <c r="K1307" s="168"/>
      <c r="L1307" s="168"/>
      <c r="M1307" s="168"/>
      <c r="N1307" s="168"/>
      <c r="O1307" s="168"/>
      <c r="P1307" s="168"/>
      <c r="Q1307" s="168"/>
      <c r="R1307" s="168"/>
      <c r="S1307" s="168"/>
      <c r="T1307" s="168"/>
      <c r="U1307" s="168"/>
      <c r="V1307" s="168"/>
      <c r="W1307" s="168"/>
      <c r="X1307" s="168"/>
      <c r="Y1307" s="168"/>
      <c r="Z1307" s="168"/>
    </row>
    <row r="1308">
      <c r="A1308" s="168"/>
      <c r="B1308" s="162"/>
      <c r="C1308" s="168"/>
      <c r="D1308" s="168"/>
      <c r="E1308" s="168"/>
      <c r="F1308" s="168"/>
      <c r="G1308" s="168"/>
      <c r="H1308" s="168"/>
      <c r="I1308" s="168"/>
      <c r="J1308" s="168"/>
      <c r="K1308" s="168"/>
      <c r="L1308" s="168"/>
      <c r="M1308" s="168"/>
      <c r="N1308" s="168"/>
      <c r="O1308" s="168"/>
      <c r="P1308" s="168"/>
      <c r="Q1308" s="168"/>
      <c r="R1308" s="168"/>
      <c r="S1308" s="168"/>
      <c r="T1308" s="168"/>
      <c r="U1308" s="168"/>
      <c r="V1308" s="168"/>
      <c r="W1308" s="168"/>
      <c r="X1308" s="168"/>
      <c r="Y1308" s="168"/>
      <c r="Z1308" s="168"/>
    </row>
    <row r="1309">
      <c r="A1309" s="168"/>
      <c r="B1309" s="162"/>
      <c r="C1309" s="168"/>
      <c r="D1309" s="168"/>
      <c r="E1309" s="168"/>
      <c r="F1309" s="168"/>
      <c r="G1309" s="168"/>
      <c r="H1309" s="168"/>
      <c r="I1309" s="168"/>
      <c r="J1309" s="168"/>
      <c r="K1309" s="168"/>
      <c r="L1309" s="168"/>
      <c r="M1309" s="168"/>
      <c r="N1309" s="168"/>
      <c r="O1309" s="168"/>
      <c r="P1309" s="168"/>
      <c r="Q1309" s="168"/>
      <c r="R1309" s="168"/>
      <c r="S1309" s="168"/>
      <c r="T1309" s="168"/>
      <c r="U1309" s="168"/>
      <c r="V1309" s="168"/>
      <c r="W1309" s="168"/>
      <c r="X1309" s="168"/>
      <c r="Y1309" s="168"/>
      <c r="Z1309" s="168"/>
    </row>
    <row r="1310">
      <c r="A1310" s="168"/>
      <c r="B1310" s="162"/>
      <c r="C1310" s="168"/>
      <c r="D1310" s="168"/>
      <c r="E1310" s="168"/>
      <c r="F1310" s="168"/>
      <c r="G1310" s="168"/>
      <c r="H1310" s="168"/>
      <c r="I1310" s="168"/>
      <c r="J1310" s="168"/>
      <c r="K1310" s="168"/>
      <c r="L1310" s="168"/>
      <c r="M1310" s="168"/>
      <c r="N1310" s="168"/>
      <c r="O1310" s="168"/>
      <c r="P1310" s="168"/>
      <c r="Q1310" s="168"/>
      <c r="R1310" s="168"/>
      <c r="S1310" s="168"/>
      <c r="T1310" s="168"/>
      <c r="U1310" s="168"/>
      <c r="V1310" s="168"/>
      <c r="W1310" s="168"/>
      <c r="X1310" s="168"/>
      <c r="Y1310" s="168"/>
      <c r="Z1310" s="168"/>
    </row>
    <row r="1311">
      <c r="A1311" s="168"/>
      <c r="B1311" s="162"/>
      <c r="C1311" s="168"/>
      <c r="D1311" s="168"/>
      <c r="E1311" s="168"/>
      <c r="F1311" s="168"/>
      <c r="G1311" s="168"/>
      <c r="H1311" s="168"/>
      <c r="I1311" s="168"/>
      <c r="J1311" s="168"/>
      <c r="K1311" s="168"/>
      <c r="L1311" s="168"/>
      <c r="M1311" s="168"/>
      <c r="N1311" s="168"/>
      <c r="O1311" s="168"/>
      <c r="P1311" s="168"/>
      <c r="Q1311" s="168"/>
      <c r="R1311" s="168"/>
      <c r="S1311" s="168"/>
      <c r="T1311" s="168"/>
      <c r="U1311" s="168"/>
      <c r="V1311" s="168"/>
      <c r="W1311" s="168"/>
      <c r="X1311" s="168"/>
      <c r="Y1311" s="168"/>
      <c r="Z1311" s="168"/>
    </row>
    <row r="1312">
      <c r="A1312" s="168"/>
      <c r="B1312" s="162"/>
      <c r="C1312" s="168"/>
      <c r="D1312" s="168"/>
      <c r="E1312" s="168"/>
      <c r="F1312" s="168"/>
      <c r="G1312" s="168"/>
      <c r="H1312" s="168"/>
      <c r="I1312" s="168"/>
      <c r="J1312" s="168"/>
      <c r="K1312" s="168"/>
      <c r="L1312" s="168"/>
      <c r="M1312" s="168"/>
      <c r="N1312" s="168"/>
      <c r="O1312" s="168"/>
      <c r="P1312" s="168"/>
      <c r="Q1312" s="168"/>
      <c r="R1312" s="168"/>
      <c r="S1312" s="168"/>
      <c r="T1312" s="168"/>
      <c r="U1312" s="168"/>
      <c r="V1312" s="168"/>
      <c r="W1312" s="168"/>
      <c r="X1312" s="168"/>
      <c r="Y1312" s="168"/>
      <c r="Z1312" s="168"/>
    </row>
    <row r="1313">
      <c r="A1313" s="168"/>
      <c r="B1313" s="162"/>
      <c r="C1313" s="168"/>
      <c r="D1313" s="168"/>
      <c r="E1313" s="168"/>
      <c r="F1313" s="168"/>
      <c r="G1313" s="168"/>
      <c r="H1313" s="168"/>
      <c r="I1313" s="168"/>
      <c r="J1313" s="168"/>
      <c r="K1313" s="168"/>
      <c r="L1313" s="168"/>
      <c r="M1313" s="168"/>
      <c r="N1313" s="168"/>
      <c r="O1313" s="168"/>
      <c r="P1313" s="168"/>
      <c r="Q1313" s="168"/>
      <c r="R1313" s="168"/>
      <c r="S1313" s="168"/>
      <c r="T1313" s="168"/>
      <c r="U1313" s="168"/>
      <c r="V1313" s="168"/>
      <c r="W1313" s="168"/>
      <c r="X1313" s="168"/>
      <c r="Y1313" s="168"/>
      <c r="Z1313" s="168"/>
    </row>
    <row r="1314">
      <c r="A1314" s="168"/>
      <c r="B1314" s="162"/>
      <c r="C1314" s="168"/>
      <c r="D1314" s="168"/>
      <c r="E1314" s="168"/>
      <c r="F1314" s="168"/>
      <c r="G1314" s="168"/>
      <c r="H1314" s="168"/>
      <c r="I1314" s="168"/>
      <c r="J1314" s="168"/>
      <c r="K1314" s="168"/>
      <c r="L1314" s="168"/>
      <c r="M1314" s="168"/>
      <c r="N1314" s="168"/>
      <c r="O1314" s="168"/>
      <c r="P1314" s="168"/>
      <c r="Q1314" s="168"/>
      <c r="R1314" s="168"/>
      <c r="S1314" s="168"/>
      <c r="T1314" s="168"/>
      <c r="U1314" s="168"/>
      <c r="V1314" s="168"/>
      <c r="W1314" s="168"/>
      <c r="X1314" s="168"/>
      <c r="Y1314" s="168"/>
      <c r="Z1314" s="168"/>
    </row>
    <row r="1315">
      <c r="A1315" s="168"/>
      <c r="B1315" s="162"/>
      <c r="C1315" s="168"/>
      <c r="D1315" s="168"/>
      <c r="E1315" s="168"/>
      <c r="F1315" s="168"/>
      <c r="G1315" s="168"/>
      <c r="H1315" s="168"/>
      <c r="I1315" s="168"/>
      <c r="J1315" s="168"/>
      <c r="K1315" s="168"/>
      <c r="L1315" s="168"/>
      <c r="M1315" s="168"/>
      <c r="N1315" s="168"/>
      <c r="O1315" s="168"/>
      <c r="P1315" s="168"/>
      <c r="Q1315" s="168"/>
      <c r="R1315" s="168"/>
      <c r="S1315" s="168"/>
      <c r="T1315" s="168"/>
      <c r="U1315" s="168"/>
      <c r="V1315" s="168"/>
      <c r="W1315" s="168"/>
      <c r="X1315" s="168"/>
      <c r="Y1315" s="168"/>
      <c r="Z1315" s="168"/>
    </row>
    <row r="1316">
      <c r="A1316" s="168"/>
      <c r="B1316" s="162"/>
      <c r="C1316" s="168"/>
      <c r="D1316" s="168"/>
      <c r="E1316" s="168"/>
      <c r="F1316" s="168"/>
      <c r="G1316" s="168"/>
      <c r="H1316" s="168"/>
      <c r="I1316" s="168"/>
      <c r="J1316" s="168"/>
      <c r="K1316" s="168"/>
      <c r="L1316" s="168"/>
      <c r="M1316" s="168"/>
      <c r="N1316" s="168"/>
      <c r="O1316" s="168"/>
      <c r="P1316" s="168"/>
      <c r="Q1316" s="168"/>
      <c r="R1316" s="168"/>
      <c r="S1316" s="168"/>
      <c r="T1316" s="168"/>
      <c r="U1316" s="168"/>
      <c r="V1316" s="168"/>
      <c r="W1316" s="168"/>
      <c r="X1316" s="168"/>
      <c r="Y1316" s="168"/>
      <c r="Z1316" s="168"/>
    </row>
    <row r="1317">
      <c r="A1317" s="168"/>
      <c r="B1317" s="162"/>
      <c r="C1317" s="168"/>
      <c r="D1317" s="168"/>
      <c r="E1317" s="168"/>
      <c r="F1317" s="168"/>
      <c r="G1317" s="168"/>
      <c r="H1317" s="168"/>
      <c r="I1317" s="168"/>
      <c r="J1317" s="168"/>
      <c r="K1317" s="168"/>
      <c r="L1317" s="168"/>
      <c r="M1317" s="168"/>
      <c r="N1317" s="168"/>
      <c r="O1317" s="168"/>
      <c r="P1317" s="168"/>
      <c r="Q1317" s="168"/>
      <c r="R1317" s="168"/>
      <c r="S1317" s="168"/>
      <c r="T1317" s="168"/>
      <c r="U1317" s="168"/>
      <c r="V1317" s="168"/>
      <c r="W1317" s="168"/>
      <c r="X1317" s="168"/>
      <c r="Y1317" s="168"/>
      <c r="Z1317" s="168"/>
    </row>
    <row r="1318">
      <c r="A1318" s="168"/>
      <c r="B1318" s="162"/>
      <c r="C1318" s="168"/>
      <c r="D1318" s="168"/>
      <c r="E1318" s="168"/>
      <c r="F1318" s="168"/>
      <c r="G1318" s="168"/>
      <c r="H1318" s="168"/>
      <c r="I1318" s="168"/>
      <c r="J1318" s="168"/>
      <c r="K1318" s="168"/>
      <c r="L1318" s="168"/>
      <c r="M1318" s="168"/>
      <c r="N1318" s="168"/>
      <c r="O1318" s="168"/>
      <c r="P1318" s="168"/>
      <c r="Q1318" s="168"/>
      <c r="R1318" s="168"/>
      <c r="S1318" s="168"/>
      <c r="T1318" s="168"/>
      <c r="U1318" s="168"/>
      <c r="V1318" s="168"/>
      <c r="W1318" s="168"/>
      <c r="X1318" s="168"/>
      <c r="Y1318" s="168"/>
      <c r="Z1318" s="168"/>
    </row>
    <row r="1319">
      <c r="A1319" s="168"/>
      <c r="B1319" s="162"/>
      <c r="C1319" s="168"/>
      <c r="D1319" s="168"/>
      <c r="E1319" s="168"/>
      <c r="F1319" s="168"/>
      <c r="G1319" s="168"/>
      <c r="H1319" s="168"/>
      <c r="I1319" s="168"/>
      <c r="J1319" s="168"/>
      <c r="K1319" s="168"/>
      <c r="L1319" s="168"/>
      <c r="M1319" s="168"/>
      <c r="N1319" s="168"/>
      <c r="O1319" s="168"/>
      <c r="P1319" s="168"/>
      <c r="Q1319" s="168"/>
      <c r="R1319" s="168"/>
      <c r="S1319" s="168"/>
      <c r="T1319" s="168"/>
      <c r="U1319" s="168"/>
      <c r="V1319" s="168"/>
      <c r="W1319" s="168"/>
      <c r="X1319" s="168"/>
      <c r="Y1319" s="168"/>
      <c r="Z1319" s="168"/>
    </row>
    <row r="1320">
      <c r="A1320" s="168"/>
      <c r="B1320" s="162"/>
      <c r="C1320" s="168"/>
      <c r="D1320" s="168"/>
      <c r="E1320" s="168"/>
      <c r="F1320" s="168"/>
      <c r="G1320" s="168"/>
      <c r="H1320" s="168"/>
      <c r="I1320" s="168"/>
      <c r="J1320" s="168"/>
      <c r="K1320" s="168"/>
      <c r="L1320" s="168"/>
      <c r="M1320" s="168"/>
      <c r="N1320" s="168"/>
      <c r="O1320" s="168"/>
      <c r="P1320" s="168"/>
      <c r="Q1320" s="168"/>
      <c r="R1320" s="168"/>
      <c r="S1320" s="168"/>
      <c r="T1320" s="168"/>
      <c r="U1320" s="168"/>
      <c r="V1320" s="168"/>
      <c r="W1320" s="168"/>
      <c r="X1320" s="168"/>
      <c r="Y1320" s="168"/>
      <c r="Z1320" s="168"/>
    </row>
    <row r="1321">
      <c r="A1321" s="168"/>
      <c r="B1321" s="162"/>
      <c r="C1321" s="168"/>
      <c r="D1321" s="168"/>
      <c r="E1321" s="168"/>
      <c r="F1321" s="168"/>
      <c r="G1321" s="168"/>
      <c r="H1321" s="168"/>
      <c r="I1321" s="168"/>
      <c r="J1321" s="168"/>
      <c r="K1321" s="168"/>
      <c r="L1321" s="168"/>
      <c r="M1321" s="168"/>
      <c r="N1321" s="168"/>
      <c r="O1321" s="168"/>
      <c r="P1321" s="168"/>
      <c r="Q1321" s="168"/>
      <c r="R1321" s="168"/>
      <c r="S1321" s="168"/>
      <c r="T1321" s="168"/>
      <c r="U1321" s="168"/>
      <c r="V1321" s="168"/>
      <c r="W1321" s="168"/>
      <c r="X1321" s="168"/>
      <c r="Y1321" s="168"/>
      <c r="Z1321" s="168"/>
    </row>
    <row r="1322">
      <c r="A1322" s="168"/>
      <c r="B1322" s="162"/>
      <c r="C1322" s="168"/>
      <c r="D1322" s="168"/>
      <c r="E1322" s="168"/>
      <c r="F1322" s="168"/>
      <c r="G1322" s="168"/>
      <c r="H1322" s="168"/>
      <c r="I1322" s="168"/>
      <c r="J1322" s="168"/>
      <c r="K1322" s="168"/>
      <c r="L1322" s="168"/>
      <c r="M1322" s="168"/>
      <c r="N1322" s="168"/>
      <c r="O1322" s="168"/>
      <c r="P1322" s="168"/>
      <c r="Q1322" s="168"/>
      <c r="R1322" s="168"/>
      <c r="S1322" s="168"/>
      <c r="T1322" s="168"/>
      <c r="U1322" s="168"/>
      <c r="V1322" s="168"/>
      <c r="W1322" s="168"/>
      <c r="X1322" s="168"/>
      <c r="Y1322" s="168"/>
      <c r="Z1322" s="168"/>
    </row>
    <row r="1323">
      <c r="A1323" s="168"/>
      <c r="B1323" s="162"/>
      <c r="C1323" s="168"/>
      <c r="D1323" s="168"/>
      <c r="E1323" s="168"/>
      <c r="F1323" s="168"/>
      <c r="G1323" s="168"/>
      <c r="H1323" s="168"/>
      <c r="I1323" s="168"/>
      <c r="J1323" s="168"/>
      <c r="K1323" s="168"/>
      <c r="L1323" s="168"/>
      <c r="M1323" s="168"/>
      <c r="N1323" s="168"/>
      <c r="O1323" s="168"/>
      <c r="P1323" s="168"/>
      <c r="Q1323" s="168"/>
      <c r="R1323" s="168"/>
      <c r="S1323" s="168"/>
      <c r="T1323" s="168"/>
      <c r="U1323" s="168"/>
      <c r="V1323" s="168"/>
      <c r="W1323" s="168"/>
      <c r="X1323" s="168"/>
      <c r="Y1323" s="168"/>
      <c r="Z1323" s="168"/>
    </row>
    <row r="1324">
      <c r="A1324" s="168"/>
      <c r="B1324" s="162"/>
      <c r="C1324" s="168"/>
      <c r="D1324" s="168"/>
      <c r="E1324" s="168"/>
      <c r="F1324" s="168"/>
      <c r="G1324" s="168"/>
      <c r="H1324" s="168"/>
      <c r="I1324" s="168"/>
      <c r="J1324" s="168"/>
      <c r="K1324" s="168"/>
      <c r="L1324" s="168"/>
      <c r="M1324" s="168"/>
      <c r="N1324" s="168"/>
      <c r="O1324" s="168"/>
      <c r="P1324" s="168"/>
      <c r="Q1324" s="168"/>
      <c r="R1324" s="168"/>
      <c r="S1324" s="168"/>
      <c r="T1324" s="168"/>
      <c r="U1324" s="168"/>
      <c r="V1324" s="168"/>
      <c r="W1324" s="168"/>
      <c r="X1324" s="168"/>
      <c r="Y1324" s="168"/>
      <c r="Z1324" s="168"/>
    </row>
    <row r="1325">
      <c r="A1325" s="168"/>
      <c r="B1325" s="162"/>
      <c r="C1325" s="168"/>
      <c r="D1325" s="168"/>
      <c r="E1325" s="168"/>
      <c r="F1325" s="168"/>
      <c r="G1325" s="168"/>
      <c r="H1325" s="168"/>
      <c r="I1325" s="168"/>
      <c r="J1325" s="168"/>
      <c r="K1325" s="168"/>
      <c r="L1325" s="168"/>
      <c r="M1325" s="168"/>
      <c r="N1325" s="168"/>
      <c r="O1325" s="168"/>
      <c r="P1325" s="168"/>
      <c r="Q1325" s="168"/>
      <c r="R1325" s="168"/>
      <c r="S1325" s="168"/>
      <c r="T1325" s="168"/>
      <c r="U1325" s="168"/>
      <c r="V1325" s="168"/>
      <c r="W1325" s="168"/>
      <c r="X1325" s="168"/>
      <c r="Y1325" s="168"/>
      <c r="Z1325" s="168"/>
    </row>
    <row r="1326">
      <c r="A1326" s="168"/>
      <c r="B1326" s="162"/>
      <c r="C1326" s="168"/>
      <c r="D1326" s="168"/>
      <c r="E1326" s="168"/>
      <c r="F1326" s="168"/>
      <c r="G1326" s="168"/>
      <c r="H1326" s="168"/>
      <c r="I1326" s="168"/>
      <c r="J1326" s="168"/>
      <c r="K1326" s="168"/>
      <c r="L1326" s="168"/>
      <c r="M1326" s="168"/>
      <c r="N1326" s="168"/>
      <c r="O1326" s="168"/>
      <c r="P1326" s="168"/>
      <c r="Q1326" s="168"/>
      <c r="R1326" s="168"/>
      <c r="S1326" s="168"/>
      <c r="T1326" s="168"/>
      <c r="U1326" s="168"/>
      <c r="V1326" s="168"/>
      <c r="W1326" s="168"/>
      <c r="X1326" s="168"/>
      <c r="Y1326" s="168"/>
      <c r="Z1326" s="168"/>
    </row>
    <row r="1327">
      <c r="A1327" s="168"/>
      <c r="B1327" s="162"/>
      <c r="C1327" s="168"/>
      <c r="D1327" s="168"/>
      <c r="E1327" s="168"/>
      <c r="F1327" s="168"/>
      <c r="G1327" s="168"/>
      <c r="H1327" s="168"/>
      <c r="I1327" s="168"/>
      <c r="J1327" s="168"/>
      <c r="K1327" s="168"/>
      <c r="L1327" s="168"/>
      <c r="M1327" s="168"/>
      <c r="N1327" s="168"/>
      <c r="O1327" s="168"/>
      <c r="P1327" s="168"/>
      <c r="Q1327" s="168"/>
      <c r="R1327" s="168"/>
      <c r="S1327" s="168"/>
      <c r="T1327" s="168"/>
      <c r="U1327" s="168"/>
      <c r="V1327" s="168"/>
      <c r="W1327" s="168"/>
      <c r="X1327" s="168"/>
      <c r="Y1327" s="168"/>
      <c r="Z1327" s="168"/>
    </row>
    <row r="1328">
      <c r="A1328" s="168"/>
      <c r="B1328" s="162"/>
      <c r="C1328" s="168"/>
      <c r="D1328" s="168"/>
      <c r="E1328" s="168"/>
      <c r="F1328" s="168"/>
      <c r="G1328" s="168"/>
      <c r="H1328" s="168"/>
      <c r="I1328" s="168"/>
      <c r="J1328" s="168"/>
      <c r="K1328" s="168"/>
      <c r="L1328" s="168"/>
      <c r="M1328" s="168"/>
      <c r="N1328" s="168"/>
      <c r="O1328" s="168"/>
      <c r="P1328" s="168"/>
      <c r="Q1328" s="168"/>
      <c r="R1328" s="168"/>
      <c r="S1328" s="168"/>
      <c r="T1328" s="168"/>
      <c r="U1328" s="168"/>
      <c r="V1328" s="168"/>
      <c r="W1328" s="168"/>
      <c r="X1328" s="168"/>
      <c r="Y1328" s="168"/>
      <c r="Z1328" s="168"/>
    </row>
    <row r="1329">
      <c r="A1329" s="168"/>
      <c r="B1329" s="162"/>
      <c r="C1329" s="168"/>
      <c r="D1329" s="168"/>
      <c r="E1329" s="168"/>
      <c r="F1329" s="168"/>
      <c r="G1329" s="168"/>
      <c r="H1329" s="168"/>
      <c r="I1329" s="168"/>
      <c r="J1329" s="168"/>
      <c r="K1329" s="168"/>
      <c r="L1329" s="168"/>
      <c r="M1329" s="168"/>
      <c r="N1329" s="168"/>
      <c r="O1329" s="168"/>
      <c r="P1329" s="168"/>
      <c r="Q1329" s="168"/>
      <c r="R1329" s="168"/>
      <c r="S1329" s="168"/>
      <c r="T1329" s="168"/>
      <c r="U1329" s="168"/>
      <c r="V1329" s="168"/>
      <c r="W1329" s="168"/>
      <c r="X1329" s="168"/>
      <c r="Y1329" s="168"/>
      <c r="Z1329" s="168"/>
    </row>
    <row r="1330">
      <c r="A1330" s="168"/>
      <c r="B1330" s="162"/>
      <c r="C1330" s="168"/>
      <c r="D1330" s="168"/>
      <c r="E1330" s="168"/>
      <c r="F1330" s="168"/>
      <c r="G1330" s="168"/>
      <c r="H1330" s="168"/>
      <c r="I1330" s="168"/>
      <c r="J1330" s="168"/>
      <c r="K1330" s="168"/>
      <c r="L1330" s="168"/>
      <c r="M1330" s="168"/>
      <c r="N1330" s="168"/>
      <c r="O1330" s="168"/>
      <c r="P1330" s="168"/>
      <c r="Q1330" s="168"/>
      <c r="R1330" s="168"/>
      <c r="S1330" s="168"/>
      <c r="T1330" s="168"/>
      <c r="U1330" s="168"/>
      <c r="V1330" s="168"/>
      <c r="W1330" s="168"/>
      <c r="X1330" s="168"/>
      <c r="Y1330" s="168"/>
      <c r="Z1330" s="168"/>
    </row>
    <row r="1331">
      <c r="A1331" s="168"/>
      <c r="B1331" s="162"/>
      <c r="C1331" s="168"/>
      <c r="D1331" s="168"/>
      <c r="E1331" s="168"/>
      <c r="F1331" s="168"/>
      <c r="G1331" s="168"/>
      <c r="H1331" s="168"/>
      <c r="I1331" s="168"/>
      <c r="J1331" s="168"/>
      <c r="K1331" s="168"/>
      <c r="L1331" s="168"/>
      <c r="M1331" s="168"/>
      <c r="N1331" s="168"/>
      <c r="O1331" s="168"/>
      <c r="P1331" s="168"/>
      <c r="Q1331" s="168"/>
      <c r="R1331" s="168"/>
      <c r="S1331" s="168"/>
      <c r="T1331" s="168"/>
      <c r="U1331" s="168"/>
      <c r="V1331" s="168"/>
      <c r="W1331" s="168"/>
      <c r="X1331" s="168"/>
      <c r="Y1331" s="168"/>
      <c r="Z1331" s="168"/>
    </row>
    <row r="1332">
      <c r="A1332" s="168"/>
      <c r="B1332" s="162"/>
      <c r="C1332" s="168"/>
      <c r="D1332" s="168"/>
      <c r="E1332" s="168"/>
      <c r="F1332" s="168"/>
      <c r="G1332" s="168"/>
      <c r="H1332" s="168"/>
      <c r="I1332" s="168"/>
      <c r="J1332" s="168"/>
      <c r="K1332" s="168"/>
      <c r="L1332" s="168"/>
      <c r="M1332" s="168"/>
      <c r="N1332" s="168"/>
      <c r="O1332" s="168"/>
      <c r="P1332" s="168"/>
      <c r="Q1332" s="168"/>
      <c r="R1332" s="168"/>
      <c r="S1332" s="168"/>
      <c r="T1332" s="168"/>
      <c r="U1332" s="168"/>
      <c r="V1332" s="168"/>
      <c r="W1332" s="168"/>
      <c r="X1332" s="168"/>
      <c r="Y1332" s="168"/>
      <c r="Z1332" s="168"/>
    </row>
    <row r="1333">
      <c r="A1333" s="168"/>
      <c r="B1333" s="162"/>
      <c r="C1333" s="168"/>
      <c r="D1333" s="168"/>
      <c r="E1333" s="168"/>
      <c r="F1333" s="168"/>
      <c r="G1333" s="168"/>
      <c r="H1333" s="168"/>
      <c r="I1333" s="168"/>
      <c r="J1333" s="168"/>
      <c r="K1333" s="168"/>
      <c r="L1333" s="168"/>
      <c r="M1333" s="168"/>
      <c r="N1333" s="168"/>
      <c r="O1333" s="168"/>
      <c r="P1333" s="168"/>
      <c r="Q1333" s="168"/>
      <c r="R1333" s="168"/>
      <c r="S1333" s="168"/>
      <c r="T1333" s="168"/>
      <c r="U1333" s="168"/>
      <c r="V1333" s="168"/>
      <c r="W1333" s="168"/>
      <c r="X1333" s="168"/>
      <c r="Y1333" s="168"/>
      <c r="Z1333" s="168"/>
    </row>
    <row r="1334">
      <c r="A1334" s="168"/>
      <c r="B1334" s="162"/>
      <c r="C1334" s="168"/>
      <c r="D1334" s="168"/>
      <c r="E1334" s="168"/>
      <c r="F1334" s="168"/>
      <c r="G1334" s="168"/>
      <c r="H1334" s="168"/>
      <c r="I1334" s="168"/>
      <c r="J1334" s="168"/>
      <c r="K1334" s="168"/>
      <c r="L1334" s="168"/>
      <c r="M1334" s="168"/>
      <c r="N1334" s="168"/>
      <c r="O1334" s="168"/>
      <c r="P1334" s="168"/>
      <c r="Q1334" s="168"/>
      <c r="R1334" s="168"/>
      <c r="S1334" s="168"/>
      <c r="T1334" s="168"/>
      <c r="U1334" s="168"/>
      <c r="V1334" s="168"/>
      <c r="W1334" s="168"/>
      <c r="X1334" s="168"/>
      <c r="Y1334" s="168"/>
      <c r="Z1334" s="168"/>
    </row>
    <row r="1335">
      <c r="A1335" s="168"/>
      <c r="B1335" s="162"/>
      <c r="C1335" s="168"/>
      <c r="D1335" s="168"/>
      <c r="E1335" s="168"/>
      <c r="F1335" s="168"/>
      <c r="G1335" s="168"/>
      <c r="H1335" s="168"/>
      <c r="I1335" s="168"/>
      <c r="J1335" s="168"/>
      <c r="K1335" s="168"/>
      <c r="L1335" s="168"/>
      <c r="M1335" s="168"/>
      <c r="N1335" s="168"/>
      <c r="O1335" s="168"/>
      <c r="P1335" s="168"/>
      <c r="Q1335" s="168"/>
      <c r="R1335" s="168"/>
      <c r="S1335" s="168"/>
      <c r="T1335" s="168"/>
      <c r="U1335" s="168"/>
      <c r="V1335" s="168"/>
      <c r="W1335" s="168"/>
      <c r="X1335" s="168"/>
      <c r="Y1335" s="168"/>
      <c r="Z1335" s="168"/>
    </row>
    <row r="1336">
      <c r="A1336" s="168"/>
      <c r="B1336" s="162"/>
      <c r="C1336" s="168"/>
      <c r="D1336" s="168"/>
      <c r="E1336" s="168"/>
      <c r="F1336" s="168"/>
      <c r="G1336" s="168"/>
      <c r="H1336" s="168"/>
      <c r="I1336" s="168"/>
      <c r="J1336" s="168"/>
      <c r="K1336" s="168"/>
      <c r="L1336" s="168"/>
      <c r="M1336" s="168"/>
      <c r="N1336" s="168"/>
      <c r="O1336" s="168"/>
      <c r="P1336" s="168"/>
      <c r="Q1336" s="168"/>
      <c r="R1336" s="168"/>
      <c r="S1336" s="168"/>
      <c r="T1336" s="168"/>
      <c r="U1336" s="168"/>
      <c r="V1336" s="168"/>
      <c r="W1336" s="168"/>
      <c r="X1336" s="168"/>
      <c r="Y1336" s="168"/>
      <c r="Z1336" s="168"/>
    </row>
    <row r="1337">
      <c r="A1337" s="168"/>
      <c r="B1337" s="162"/>
      <c r="C1337" s="168"/>
      <c r="D1337" s="168"/>
      <c r="E1337" s="168"/>
      <c r="F1337" s="168"/>
      <c r="G1337" s="168"/>
      <c r="H1337" s="168"/>
      <c r="I1337" s="168"/>
      <c r="J1337" s="168"/>
      <c r="K1337" s="168"/>
      <c r="L1337" s="168"/>
      <c r="M1337" s="168"/>
      <c r="N1337" s="168"/>
      <c r="O1337" s="168"/>
      <c r="P1337" s="168"/>
      <c r="Q1337" s="168"/>
      <c r="R1337" s="168"/>
      <c r="S1337" s="168"/>
      <c r="T1337" s="168"/>
      <c r="U1337" s="168"/>
      <c r="V1337" s="168"/>
      <c r="W1337" s="168"/>
      <c r="X1337" s="168"/>
      <c r="Y1337" s="168"/>
      <c r="Z1337" s="168"/>
    </row>
    <row r="1338">
      <c r="A1338" s="168"/>
      <c r="B1338" s="162"/>
      <c r="C1338" s="168"/>
      <c r="D1338" s="168"/>
      <c r="E1338" s="168"/>
      <c r="F1338" s="168"/>
      <c r="G1338" s="168"/>
      <c r="H1338" s="168"/>
      <c r="I1338" s="168"/>
      <c r="J1338" s="168"/>
      <c r="K1338" s="168"/>
      <c r="L1338" s="168"/>
      <c r="M1338" s="168"/>
      <c r="N1338" s="168"/>
      <c r="O1338" s="168"/>
      <c r="P1338" s="168"/>
      <c r="Q1338" s="168"/>
      <c r="R1338" s="168"/>
      <c r="S1338" s="168"/>
      <c r="T1338" s="168"/>
      <c r="U1338" s="168"/>
      <c r="V1338" s="168"/>
      <c r="W1338" s="168"/>
      <c r="X1338" s="168"/>
      <c r="Y1338" s="168"/>
      <c r="Z1338" s="168"/>
    </row>
    <row r="1339">
      <c r="A1339" s="168"/>
      <c r="B1339" s="162"/>
      <c r="C1339" s="168"/>
      <c r="D1339" s="168"/>
      <c r="E1339" s="168"/>
      <c r="F1339" s="168"/>
      <c r="G1339" s="168"/>
      <c r="H1339" s="168"/>
      <c r="I1339" s="168"/>
      <c r="J1339" s="168"/>
      <c r="K1339" s="168"/>
      <c r="L1339" s="168"/>
      <c r="M1339" s="168"/>
      <c r="N1339" s="168"/>
      <c r="O1339" s="168"/>
      <c r="P1339" s="168"/>
      <c r="Q1339" s="168"/>
      <c r="R1339" s="168"/>
      <c r="S1339" s="168"/>
      <c r="T1339" s="168"/>
      <c r="U1339" s="168"/>
      <c r="V1339" s="168"/>
      <c r="W1339" s="168"/>
      <c r="X1339" s="168"/>
      <c r="Y1339" s="168"/>
      <c r="Z1339" s="168"/>
    </row>
    <row r="1340">
      <c r="A1340" s="168"/>
      <c r="B1340" s="162"/>
      <c r="C1340" s="168"/>
      <c r="D1340" s="168"/>
      <c r="E1340" s="168"/>
      <c r="F1340" s="168"/>
      <c r="G1340" s="168"/>
      <c r="H1340" s="168"/>
      <c r="I1340" s="168"/>
      <c r="J1340" s="168"/>
      <c r="K1340" s="168"/>
      <c r="L1340" s="168"/>
      <c r="M1340" s="168"/>
      <c r="N1340" s="168"/>
      <c r="O1340" s="168"/>
      <c r="P1340" s="168"/>
      <c r="Q1340" s="168"/>
      <c r="R1340" s="168"/>
      <c r="S1340" s="168"/>
      <c r="T1340" s="168"/>
      <c r="U1340" s="168"/>
      <c r="V1340" s="168"/>
      <c r="W1340" s="168"/>
      <c r="X1340" s="168"/>
      <c r="Y1340" s="168"/>
      <c r="Z1340" s="168"/>
    </row>
    <row r="1341">
      <c r="A1341" s="168"/>
      <c r="B1341" s="162"/>
      <c r="C1341" s="168"/>
      <c r="D1341" s="168"/>
      <c r="E1341" s="168"/>
      <c r="F1341" s="168"/>
      <c r="G1341" s="168"/>
      <c r="H1341" s="168"/>
      <c r="I1341" s="168"/>
      <c r="J1341" s="168"/>
      <c r="K1341" s="168"/>
      <c r="L1341" s="168"/>
      <c r="M1341" s="168"/>
      <c r="N1341" s="168"/>
      <c r="O1341" s="168"/>
      <c r="P1341" s="168"/>
      <c r="Q1341" s="168"/>
      <c r="R1341" s="168"/>
      <c r="S1341" s="168"/>
      <c r="T1341" s="168"/>
      <c r="U1341" s="168"/>
      <c r="V1341" s="168"/>
      <c r="W1341" s="168"/>
      <c r="X1341" s="168"/>
      <c r="Y1341" s="168"/>
      <c r="Z1341" s="168"/>
    </row>
    <row r="1342">
      <c r="A1342" s="168"/>
      <c r="B1342" s="162"/>
      <c r="C1342" s="168"/>
      <c r="D1342" s="168"/>
      <c r="E1342" s="168"/>
      <c r="F1342" s="168"/>
      <c r="G1342" s="168"/>
      <c r="H1342" s="168"/>
      <c r="I1342" s="168"/>
      <c r="J1342" s="168"/>
      <c r="K1342" s="168"/>
      <c r="L1342" s="168"/>
      <c r="M1342" s="168"/>
      <c r="N1342" s="168"/>
      <c r="O1342" s="168"/>
      <c r="P1342" s="168"/>
      <c r="Q1342" s="168"/>
      <c r="R1342" s="168"/>
      <c r="S1342" s="168"/>
      <c r="T1342" s="168"/>
      <c r="U1342" s="168"/>
      <c r="V1342" s="168"/>
      <c r="W1342" s="168"/>
      <c r="X1342" s="168"/>
      <c r="Y1342" s="168"/>
      <c r="Z1342" s="168"/>
    </row>
    <row r="1343">
      <c r="A1343" s="168"/>
      <c r="B1343" s="162"/>
      <c r="C1343" s="168"/>
      <c r="D1343" s="168"/>
      <c r="E1343" s="168"/>
      <c r="F1343" s="168"/>
      <c r="G1343" s="168"/>
      <c r="H1343" s="168"/>
      <c r="I1343" s="168"/>
      <c r="J1343" s="168"/>
      <c r="K1343" s="168"/>
      <c r="L1343" s="168"/>
      <c r="M1343" s="168"/>
      <c r="N1343" s="168"/>
      <c r="O1343" s="168"/>
      <c r="P1343" s="168"/>
      <c r="Q1343" s="168"/>
      <c r="R1343" s="168"/>
      <c r="S1343" s="168"/>
      <c r="T1343" s="168"/>
      <c r="U1343" s="168"/>
      <c r="V1343" s="168"/>
      <c r="W1343" s="168"/>
      <c r="X1343" s="168"/>
      <c r="Y1343" s="168"/>
      <c r="Z1343" s="168"/>
    </row>
    <row r="1344">
      <c r="A1344" s="168"/>
      <c r="B1344" s="162"/>
      <c r="C1344" s="168"/>
      <c r="D1344" s="168"/>
      <c r="E1344" s="168"/>
      <c r="F1344" s="168"/>
      <c r="G1344" s="168"/>
      <c r="H1344" s="168"/>
      <c r="I1344" s="168"/>
      <c r="J1344" s="168"/>
      <c r="K1344" s="168"/>
      <c r="L1344" s="168"/>
      <c r="M1344" s="168"/>
      <c r="N1344" s="168"/>
      <c r="O1344" s="168"/>
      <c r="P1344" s="168"/>
      <c r="Q1344" s="168"/>
      <c r="R1344" s="168"/>
      <c r="S1344" s="168"/>
      <c r="T1344" s="168"/>
      <c r="U1344" s="168"/>
      <c r="V1344" s="168"/>
      <c r="W1344" s="168"/>
      <c r="X1344" s="168"/>
      <c r="Y1344" s="168"/>
      <c r="Z1344" s="168"/>
    </row>
    <row r="1345">
      <c r="A1345" s="168"/>
      <c r="B1345" s="162"/>
      <c r="C1345" s="168"/>
      <c r="D1345" s="168"/>
      <c r="E1345" s="168"/>
      <c r="F1345" s="168"/>
      <c r="G1345" s="168"/>
      <c r="H1345" s="168"/>
      <c r="I1345" s="168"/>
      <c r="J1345" s="168"/>
      <c r="K1345" s="168"/>
      <c r="L1345" s="168"/>
      <c r="M1345" s="168"/>
      <c r="N1345" s="168"/>
      <c r="O1345" s="168"/>
      <c r="P1345" s="168"/>
      <c r="Q1345" s="168"/>
      <c r="R1345" s="168"/>
      <c r="S1345" s="168"/>
      <c r="T1345" s="168"/>
      <c r="U1345" s="168"/>
      <c r="V1345" s="168"/>
      <c r="W1345" s="168"/>
      <c r="X1345" s="168"/>
      <c r="Y1345" s="168"/>
      <c r="Z1345" s="168"/>
    </row>
    <row r="1346">
      <c r="A1346" s="168"/>
      <c r="B1346" s="162"/>
      <c r="C1346" s="168"/>
      <c r="D1346" s="168"/>
      <c r="E1346" s="168"/>
      <c r="F1346" s="168"/>
      <c r="G1346" s="168"/>
      <c r="H1346" s="168"/>
      <c r="I1346" s="168"/>
      <c r="J1346" s="168"/>
      <c r="K1346" s="168"/>
      <c r="L1346" s="168"/>
      <c r="M1346" s="168"/>
      <c r="N1346" s="168"/>
      <c r="O1346" s="168"/>
      <c r="P1346" s="168"/>
      <c r="Q1346" s="168"/>
      <c r="R1346" s="168"/>
      <c r="S1346" s="168"/>
      <c r="T1346" s="168"/>
      <c r="U1346" s="168"/>
      <c r="V1346" s="168"/>
      <c r="W1346" s="168"/>
      <c r="X1346" s="168"/>
      <c r="Y1346" s="168"/>
      <c r="Z1346" s="168"/>
    </row>
    <row r="1347">
      <c r="A1347" s="168"/>
      <c r="B1347" s="162"/>
      <c r="C1347" s="168"/>
      <c r="D1347" s="168"/>
      <c r="E1347" s="168"/>
      <c r="F1347" s="168"/>
      <c r="G1347" s="168"/>
      <c r="H1347" s="168"/>
      <c r="I1347" s="168"/>
      <c r="J1347" s="168"/>
      <c r="K1347" s="168"/>
      <c r="L1347" s="168"/>
      <c r="M1347" s="168"/>
      <c r="N1347" s="168"/>
      <c r="O1347" s="168"/>
      <c r="P1347" s="168"/>
      <c r="Q1347" s="168"/>
      <c r="R1347" s="168"/>
      <c r="S1347" s="168"/>
      <c r="T1347" s="168"/>
      <c r="U1347" s="168"/>
      <c r="V1347" s="168"/>
      <c r="W1347" s="168"/>
      <c r="X1347" s="168"/>
      <c r="Y1347" s="168"/>
      <c r="Z1347" s="168"/>
    </row>
    <row r="1348">
      <c r="A1348" s="168"/>
      <c r="B1348" s="162"/>
      <c r="C1348" s="168"/>
      <c r="D1348" s="168"/>
      <c r="E1348" s="168"/>
      <c r="F1348" s="168"/>
      <c r="G1348" s="168"/>
      <c r="H1348" s="168"/>
      <c r="I1348" s="168"/>
      <c r="J1348" s="168"/>
      <c r="K1348" s="168"/>
      <c r="L1348" s="168"/>
      <c r="M1348" s="168"/>
      <c r="N1348" s="168"/>
      <c r="O1348" s="168"/>
      <c r="P1348" s="168"/>
      <c r="Q1348" s="168"/>
      <c r="R1348" s="168"/>
      <c r="S1348" s="168"/>
      <c r="T1348" s="168"/>
      <c r="U1348" s="168"/>
      <c r="V1348" s="168"/>
      <c r="W1348" s="168"/>
      <c r="X1348" s="168"/>
      <c r="Y1348" s="168"/>
      <c r="Z1348" s="168"/>
    </row>
    <row r="1349">
      <c r="A1349" s="168"/>
      <c r="B1349" s="162"/>
      <c r="C1349" s="168"/>
      <c r="D1349" s="168"/>
      <c r="E1349" s="168"/>
      <c r="F1349" s="168"/>
      <c r="G1349" s="168"/>
      <c r="H1349" s="168"/>
      <c r="I1349" s="168"/>
      <c r="J1349" s="168"/>
      <c r="K1349" s="168"/>
      <c r="L1349" s="168"/>
      <c r="M1349" s="168"/>
      <c r="N1349" s="168"/>
      <c r="O1349" s="168"/>
      <c r="P1349" s="168"/>
      <c r="Q1349" s="168"/>
      <c r="R1349" s="168"/>
      <c r="S1349" s="168"/>
      <c r="T1349" s="168"/>
      <c r="U1349" s="168"/>
      <c r="V1349" s="168"/>
      <c r="W1349" s="168"/>
      <c r="X1349" s="168"/>
      <c r="Y1349" s="168"/>
      <c r="Z1349" s="168"/>
    </row>
    <row r="1350">
      <c r="A1350" s="168"/>
      <c r="B1350" s="162"/>
      <c r="C1350" s="168"/>
      <c r="D1350" s="168"/>
      <c r="E1350" s="168"/>
      <c r="F1350" s="168"/>
      <c r="G1350" s="168"/>
      <c r="H1350" s="168"/>
      <c r="I1350" s="168"/>
      <c r="J1350" s="168"/>
      <c r="K1350" s="168"/>
      <c r="L1350" s="168"/>
      <c r="M1350" s="168"/>
      <c r="N1350" s="168"/>
      <c r="O1350" s="168"/>
      <c r="P1350" s="168"/>
      <c r="Q1350" s="168"/>
      <c r="R1350" s="168"/>
      <c r="S1350" s="168"/>
      <c r="T1350" s="168"/>
      <c r="U1350" s="168"/>
      <c r="V1350" s="168"/>
      <c r="W1350" s="168"/>
      <c r="X1350" s="168"/>
      <c r="Y1350" s="168"/>
      <c r="Z1350" s="168"/>
    </row>
    <row r="1351">
      <c r="A1351" s="168"/>
      <c r="B1351" s="162"/>
      <c r="C1351" s="168"/>
      <c r="D1351" s="168"/>
      <c r="E1351" s="168"/>
      <c r="F1351" s="168"/>
      <c r="G1351" s="168"/>
      <c r="H1351" s="168"/>
      <c r="I1351" s="168"/>
      <c r="J1351" s="168"/>
      <c r="K1351" s="168"/>
      <c r="L1351" s="168"/>
      <c r="M1351" s="168"/>
      <c r="N1351" s="168"/>
      <c r="O1351" s="168"/>
      <c r="P1351" s="168"/>
      <c r="Q1351" s="168"/>
      <c r="R1351" s="168"/>
      <c r="S1351" s="168"/>
      <c r="T1351" s="168"/>
      <c r="U1351" s="168"/>
      <c r="V1351" s="168"/>
      <c r="W1351" s="168"/>
      <c r="X1351" s="168"/>
      <c r="Y1351" s="168"/>
      <c r="Z1351" s="168"/>
    </row>
    <row r="1352">
      <c r="A1352" s="168"/>
      <c r="B1352" s="162"/>
      <c r="C1352" s="168"/>
      <c r="D1352" s="168"/>
      <c r="E1352" s="168"/>
      <c r="F1352" s="168"/>
      <c r="G1352" s="168"/>
      <c r="H1352" s="168"/>
      <c r="I1352" s="168"/>
      <c r="J1352" s="168"/>
      <c r="K1352" s="168"/>
      <c r="L1352" s="168"/>
      <c r="M1352" s="168"/>
      <c r="N1352" s="168"/>
      <c r="O1352" s="168"/>
      <c r="P1352" s="168"/>
      <c r="Q1352" s="168"/>
      <c r="R1352" s="168"/>
      <c r="S1352" s="168"/>
      <c r="T1352" s="168"/>
      <c r="U1352" s="168"/>
      <c r="V1352" s="168"/>
      <c r="W1352" s="168"/>
      <c r="X1352" s="168"/>
      <c r="Y1352" s="168"/>
      <c r="Z1352" s="168"/>
    </row>
    <row r="1353">
      <c r="A1353" s="168"/>
      <c r="B1353" s="162"/>
      <c r="C1353" s="168"/>
      <c r="D1353" s="168"/>
      <c r="E1353" s="168"/>
      <c r="F1353" s="168"/>
      <c r="G1353" s="168"/>
      <c r="H1353" s="168"/>
      <c r="I1353" s="168"/>
      <c r="J1353" s="168"/>
      <c r="K1353" s="168"/>
      <c r="L1353" s="168"/>
      <c r="M1353" s="168"/>
      <c r="N1353" s="168"/>
      <c r="O1353" s="168"/>
      <c r="P1353" s="168"/>
      <c r="Q1353" s="168"/>
      <c r="R1353" s="168"/>
      <c r="S1353" s="168"/>
      <c r="T1353" s="168"/>
      <c r="U1353" s="168"/>
      <c r="V1353" s="168"/>
      <c r="W1353" s="168"/>
      <c r="X1353" s="168"/>
      <c r="Y1353" s="168"/>
      <c r="Z1353" s="168"/>
    </row>
    <row r="1354">
      <c r="A1354" s="168"/>
      <c r="B1354" s="162"/>
      <c r="C1354" s="168"/>
      <c r="D1354" s="168"/>
      <c r="E1354" s="168"/>
      <c r="F1354" s="168"/>
      <c r="G1354" s="168"/>
      <c r="H1354" s="168"/>
      <c r="I1354" s="168"/>
      <c r="J1354" s="168"/>
      <c r="K1354" s="168"/>
      <c r="L1354" s="168"/>
      <c r="M1354" s="168"/>
      <c r="N1354" s="168"/>
      <c r="O1354" s="168"/>
      <c r="P1354" s="168"/>
      <c r="Q1354" s="168"/>
      <c r="R1354" s="168"/>
      <c r="S1354" s="168"/>
      <c r="T1354" s="168"/>
      <c r="U1354" s="168"/>
      <c r="V1354" s="168"/>
      <c r="W1354" s="168"/>
      <c r="X1354" s="168"/>
      <c r="Y1354" s="168"/>
      <c r="Z1354" s="168"/>
    </row>
    <row r="1355">
      <c r="A1355" s="168"/>
      <c r="B1355" s="162"/>
      <c r="C1355" s="168"/>
      <c r="D1355" s="168"/>
      <c r="E1355" s="168"/>
      <c r="F1355" s="168"/>
      <c r="G1355" s="168"/>
      <c r="H1355" s="168"/>
      <c r="I1355" s="168"/>
      <c r="J1355" s="168"/>
      <c r="K1355" s="168"/>
      <c r="L1355" s="168"/>
      <c r="M1355" s="168"/>
      <c r="N1355" s="168"/>
      <c r="O1355" s="168"/>
      <c r="P1355" s="168"/>
      <c r="Q1355" s="168"/>
      <c r="R1355" s="168"/>
      <c r="S1355" s="168"/>
      <c r="T1355" s="168"/>
      <c r="U1355" s="168"/>
      <c r="V1355" s="168"/>
      <c r="W1355" s="168"/>
      <c r="X1355" s="168"/>
      <c r="Y1355" s="168"/>
      <c r="Z1355" s="168"/>
    </row>
    <row r="1356">
      <c r="A1356" s="168"/>
      <c r="B1356" s="162"/>
      <c r="C1356" s="168"/>
      <c r="D1356" s="168"/>
      <c r="E1356" s="168"/>
      <c r="F1356" s="168"/>
      <c r="G1356" s="168"/>
      <c r="H1356" s="168"/>
      <c r="I1356" s="168"/>
      <c r="J1356" s="168"/>
      <c r="K1356" s="168"/>
      <c r="L1356" s="168"/>
      <c r="M1356" s="168"/>
      <c r="N1356" s="168"/>
      <c r="O1356" s="168"/>
      <c r="P1356" s="168"/>
      <c r="Q1356" s="168"/>
      <c r="R1356" s="168"/>
      <c r="S1356" s="168"/>
      <c r="T1356" s="168"/>
      <c r="U1356" s="168"/>
      <c r="V1356" s="168"/>
      <c r="W1356" s="168"/>
      <c r="X1356" s="168"/>
      <c r="Y1356" s="168"/>
      <c r="Z1356" s="168"/>
    </row>
    <row r="1357">
      <c r="A1357" s="168"/>
      <c r="B1357" s="162"/>
      <c r="C1357" s="168"/>
      <c r="D1357" s="168"/>
      <c r="E1357" s="168"/>
      <c r="F1357" s="168"/>
      <c r="G1357" s="168"/>
      <c r="H1357" s="168"/>
      <c r="I1357" s="168"/>
      <c r="J1357" s="168"/>
      <c r="K1357" s="168"/>
      <c r="L1357" s="168"/>
      <c r="M1357" s="168"/>
      <c r="N1357" s="168"/>
      <c r="O1357" s="168"/>
      <c r="P1357" s="168"/>
      <c r="Q1357" s="168"/>
      <c r="R1357" s="168"/>
      <c r="S1357" s="168"/>
      <c r="T1357" s="168"/>
      <c r="U1357" s="168"/>
      <c r="V1357" s="168"/>
      <c r="W1357" s="168"/>
      <c r="X1357" s="168"/>
      <c r="Y1357" s="168"/>
      <c r="Z1357" s="168"/>
    </row>
    <row r="1358">
      <c r="A1358" s="168"/>
      <c r="B1358" s="162"/>
      <c r="C1358" s="168"/>
      <c r="D1358" s="168"/>
      <c r="E1358" s="168"/>
      <c r="F1358" s="168"/>
      <c r="G1358" s="168"/>
      <c r="H1358" s="168"/>
      <c r="I1358" s="168"/>
      <c r="J1358" s="168"/>
      <c r="K1358" s="168"/>
      <c r="L1358" s="168"/>
      <c r="M1358" s="168"/>
      <c r="N1358" s="168"/>
      <c r="O1358" s="168"/>
      <c r="P1358" s="168"/>
      <c r="Q1358" s="168"/>
      <c r="R1358" s="168"/>
      <c r="S1358" s="168"/>
      <c r="T1358" s="168"/>
      <c r="U1358" s="168"/>
      <c r="V1358" s="168"/>
      <c r="W1358" s="168"/>
      <c r="X1358" s="168"/>
      <c r="Y1358" s="168"/>
      <c r="Z1358" s="168"/>
    </row>
    <row r="1359">
      <c r="A1359" s="168"/>
      <c r="B1359" s="162"/>
      <c r="C1359" s="168"/>
      <c r="D1359" s="168"/>
      <c r="E1359" s="168"/>
      <c r="F1359" s="168"/>
      <c r="G1359" s="168"/>
      <c r="H1359" s="168"/>
      <c r="I1359" s="168"/>
      <c r="J1359" s="168"/>
      <c r="K1359" s="168"/>
      <c r="L1359" s="168"/>
      <c r="M1359" s="168"/>
      <c r="N1359" s="168"/>
      <c r="O1359" s="168"/>
      <c r="P1359" s="168"/>
      <c r="Q1359" s="168"/>
      <c r="R1359" s="168"/>
      <c r="S1359" s="168"/>
      <c r="T1359" s="168"/>
      <c r="U1359" s="168"/>
      <c r="V1359" s="168"/>
      <c r="W1359" s="168"/>
      <c r="X1359" s="168"/>
      <c r="Y1359" s="168"/>
      <c r="Z1359" s="168"/>
    </row>
    <row r="1360">
      <c r="A1360" s="168"/>
      <c r="B1360" s="162"/>
      <c r="C1360" s="168"/>
      <c r="D1360" s="168"/>
      <c r="E1360" s="168"/>
      <c r="F1360" s="168"/>
      <c r="G1360" s="168"/>
      <c r="H1360" s="168"/>
      <c r="I1360" s="168"/>
      <c r="J1360" s="168"/>
      <c r="K1360" s="168"/>
      <c r="L1360" s="168"/>
      <c r="M1360" s="168"/>
      <c r="N1360" s="168"/>
      <c r="O1360" s="168"/>
      <c r="P1360" s="168"/>
      <c r="Q1360" s="168"/>
      <c r="R1360" s="168"/>
      <c r="S1360" s="168"/>
      <c r="T1360" s="168"/>
      <c r="U1360" s="168"/>
      <c r="V1360" s="168"/>
      <c r="W1360" s="168"/>
      <c r="X1360" s="168"/>
      <c r="Y1360" s="168"/>
      <c r="Z1360" s="168"/>
    </row>
    <row r="1361">
      <c r="A1361" s="168"/>
      <c r="B1361" s="162"/>
      <c r="C1361" s="168"/>
      <c r="D1361" s="168"/>
      <c r="E1361" s="168"/>
      <c r="F1361" s="168"/>
      <c r="G1361" s="168"/>
      <c r="H1361" s="168"/>
      <c r="I1361" s="168"/>
      <c r="J1361" s="168"/>
      <c r="K1361" s="168"/>
      <c r="L1361" s="168"/>
      <c r="M1361" s="168"/>
      <c r="N1361" s="168"/>
      <c r="O1361" s="168"/>
      <c r="P1361" s="168"/>
      <c r="Q1361" s="168"/>
      <c r="R1361" s="168"/>
      <c r="S1361" s="168"/>
      <c r="T1361" s="168"/>
      <c r="U1361" s="168"/>
      <c r="V1361" s="168"/>
      <c r="W1361" s="168"/>
      <c r="X1361" s="168"/>
      <c r="Y1361" s="168"/>
      <c r="Z1361" s="168"/>
    </row>
    <row r="1362">
      <c r="A1362" s="168"/>
      <c r="B1362" s="162"/>
      <c r="C1362" s="168"/>
      <c r="D1362" s="168"/>
      <c r="E1362" s="168"/>
      <c r="F1362" s="168"/>
      <c r="G1362" s="168"/>
      <c r="H1362" s="168"/>
      <c r="I1362" s="168"/>
      <c r="J1362" s="168"/>
      <c r="K1362" s="168"/>
      <c r="L1362" s="168"/>
      <c r="M1362" s="168"/>
      <c r="N1362" s="168"/>
      <c r="O1362" s="168"/>
      <c r="P1362" s="168"/>
      <c r="Q1362" s="168"/>
      <c r="R1362" s="168"/>
      <c r="S1362" s="168"/>
      <c r="T1362" s="168"/>
      <c r="U1362" s="168"/>
      <c r="V1362" s="168"/>
      <c r="W1362" s="168"/>
      <c r="X1362" s="168"/>
      <c r="Y1362" s="168"/>
      <c r="Z1362" s="168"/>
    </row>
    <row r="1363">
      <c r="A1363" s="168"/>
      <c r="B1363" s="162"/>
      <c r="C1363" s="168"/>
      <c r="D1363" s="168"/>
      <c r="E1363" s="168"/>
      <c r="F1363" s="168"/>
      <c r="G1363" s="168"/>
      <c r="H1363" s="168"/>
      <c r="I1363" s="168"/>
      <c r="J1363" s="168"/>
      <c r="K1363" s="168"/>
      <c r="L1363" s="168"/>
      <c r="M1363" s="168"/>
      <c r="N1363" s="168"/>
      <c r="O1363" s="168"/>
      <c r="P1363" s="168"/>
      <c r="Q1363" s="168"/>
      <c r="R1363" s="168"/>
      <c r="S1363" s="168"/>
      <c r="T1363" s="168"/>
      <c r="U1363" s="168"/>
      <c r="V1363" s="168"/>
      <c r="W1363" s="168"/>
      <c r="X1363" s="168"/>
      <c r="Y1363" s="168"/>
      <c r="Z1363" s="168"/>
    </row>
    <row r="1364">
      <c r="A1364" s="168"/>
      <c r="B1364" s="162"/>
      <c r="C1364" s="168"/>
      <c r="D1364" s="168"/>
      <c r="E1364" s="168"/>
      <c r="F1364" s="168"/>
      <c r="G1364" s="168"/>
      <c r="H1364" s="168"/>
      <c r="I1364" s="168"/>
      <c r="J1364" s="168"/>
      <c r="K1364" s="168"/>
      <c r="L1364" s="168"/>
      <c r="M1364" s="168"/>
      <c r="N1364" s="168"/>
      <c r="O1364" s="168"/>
      <c r="P1364" s="168"/>
      <c r="Q1364" s="168"/>
      <c r="R1364" s="168"/>
      <c r="S1364" s="168"/>
      <c r="T1364" s="168"/>
      <c r="U1364" s="168"/>
      <c r="V1364" s="168"/>
      <c r="W1364" s="168"/>
      <c r="X1364" s="168"/>
      <c r="Y1364" s="168"/>
      <c r="Z1364" s="168"/>
    </row>
    <row r="1365">
      <c r="A1365" s="168"/>
      <c r="B1365" s="162"/>
      <c r="C1365" s="168"/>
      <c r="D1365" s="168"/>
      <c r="E1365" s="168"/>
      <c r="F1365" s="168"/>
      <c r="G1365" s="168"/>
      <c r="H1365" s="168"/>
      <c r="I1365" s="168"/>
      <c r="J1365" s="168"/>
      <c r="K1365" s="168"/>
      <c r="L1365" s="168"/>
      <c r="M1365" s="168"/>
      <c r="N1365" s="168"/>
      <c r="O1365" s="168"/>
      <c r="P1365" s="168"/>
      <c r="Q1365" s="168"/>
      <c r="R1365" s="168"/>
      <c r="S1365" s="168"/>
      <c r="T1365" s="168"/>
      <c r="U1365" s="168"/>
      <c r="V1365" s="168"/>
      <c r="W1365" s="168"/>
      <c r="X1365" s="168"/>
      <c r="Y1365" s="168"/>
      <c r="Z1365" s="168"/>
    </row>
    <row r="1366">
      <c r="A1366" s="168"/>
      <c r="B1366" s="162"/>
      <c r="C1366" s="168"/>
      <c r="D1366" s="168"/>
      <c r="E1366" s="168"/>
      <c r="F1366" s="168"/>
      <c r="G1366" s="168"/>
      <c r="H1366" s="168"/>
      <c r="I1366" s="168"/>
      <c r="J1366" s="168"/>
      <c r="K1366" s="168"/>
      <c r="L1366" s="168"/>
      <c r="M1366" s="168"/>
      <c r="N1366" s="168"/>
      <c r="O1366" s="168"/>
      <c r="P1366" s="168"/>
      <c r="Q1366" s="168"/>
      <c r="R1366" s="168"/>
      <c r="S1366" s="168"/>
      <c r="T1366" s="168"/>
      <c r="U1366" s="168"/>
      <c r="V1366" s="168"/>
      <c r="W1366" s="168"/>
      <c r="X1366" s="168"/>
      <c r="Y1366" s="168"/>
      <c r="Z1366" s="168"/>
    </row>
    <row r="1367">
      <c r="A1367" s="168"/>
      <c r="B1367" s="162"/>
      <c r="C1367" s="168"/>
      <c r="D1367" s="168"/>
      <c r="E1367" s="168"/>
      <c r="F1367" s="168"/>
      <c r="G1367" s="168"/>
      <c r="H1367" s="168"/>
      <c r="I1367" s="168"/>
      <c r="J1367" s="168"/>
      <c r="K1367" s="168"/>
      <c r="L1367" s="168"/>
      <c r="M1367" s="168"/>
      <c r="N1367" s="168"/>
      <c r="O1367" s="168"/>
      <c r="P1367" s="168"/>
      <c r="Q1367" s="168"/>
      <c r="R1367" s="168"/>
      <c r="S1367" s="168"/>
      <c r="T1367" s="168"/>
      <c r="U1367" s="168"/>
      <c r="V1367" s="168"/>
      <c r="W1367" s="168"/>
      <c r="X1367" s="168"/>
      <c r="Y1367" s="168"/>
      <c r="Z1367" s="168"/>
    </row>
    <row r="1368">
      <c r="A1368" s="168"/>
      <c r="B1368" s="162"/>
      <c r="C1368" s="168"/>
      <c r="D1368" s="168"/>
      <c r="E1368" s="168"/>
      <c r="F1368" s="168"/>
      <c r="G1368" s="168"/>
      <c r="H1368" s="168"/>
      <c r="I1368" s="168"/>
      <c r="J1368" s="168"/>
      <c r="K1368" s="168"/>
      <c r="L1368" s="168"/>
      <c r="M1368" s="168"/>
      <c r="N1368" s="168"/>
      <c r="O1368" s="168"/>
      <c r="P1368" s="168"/>
      <c r="Q1368" s="168"/>
      <c r="R1368" s="168"/>
      <c r="S1368" s="168"/>
      <c r="T1368" s="168"/>
      <c r="U1368" s="168"/>
      <c r="V1368" s="168"/>
      <c r="W1368" s="168"/>
      <c r="X1368" s="168"/>
      <c r="Y1368" s="168"/>
      <c r="Z1368" s="168"/>
    </row>
    <row r="1369">
      <c r="A1369" s="168"/>
      <c r="B1369" s="162"/>
      <c r="C1369" s="168"/>
      <c r="D1369" s="168"/>
      <c r="E1369" s="168"/>
      <c r="F1369" s="168"/>
      <c r="G1369" s="168"/>
      <c r="H1369" s="168"/>
      <c r="I1369" s="168"/>
      <c r="J1369" s="168"/>
      <c r="K1369" s="168"/>
      <c r="L1369" s="168"/>
      <c r="M1369" s="168"/>
      <c r="N1369" s="168"/>
      <c r="O1369" s="168"/>
      <c r="P1369" s="168"/>
      <c r="Q1369" s="168"/>
      <c r="R1369" s="168"/>
      <c r="S1369" s="168"/>
      <c r="T1369" s="168"/>
      <c r="U1369" s="168"/>
      <c r="V1369" s="168"/>
      <c r="W1369" s="168"/>
      <c r="X1369" s="168"/>
      <c r="Y1369" s="168"/>
      <c r="Z1369" s="168"/>
    </row>
    <row r="1370">
      <c r="A1370" s="168"/>
      <c r="B1370" s="162"/>
      <c r="C1370" s="168"/>
      <c r="D1370" s="168"/>
      <c r="E1370" s="168"/>
      <c r="F1370" s="168"/>
      <c r="G1370" s="168"/>
      <c r="H1370" s="168"/>
      <c r="I1370" s="168"/>
      <c r="J1370" s="168"/>
      <c r="K1370" s="168"/>
      <c r="L1370" s="168"/>
      <c r="M1370" s="168"/>
      <c r="N1370" s="168"/>
      <c r="O1370" s="168"/>
      <c r="P1370" s="168"/>
      <c r="Q1370" s="168"/>
      <c r="R1370" s="168"/>
      <c r="S1370" s="168"/>
      <c r="T1370" s="168"/>
      <c r="U1370" s="168"/>
      <c r="V1370" s="168"/>
      <c r="W1370" s="168"/>
      <c r="X1370" s="168"/>
      <c r="Y1370" s="168"/>
      <c r="Z1370" s="168"/>
    </row>
    <row r="1371">
      <c r="A1371" s="168"/>
      <c r="B1371" s="162"/>
      <c r="C1371" s="168"/>
      <c r="D1371" s="168"/>
      <c r="E1371" s="168"/>
      <c r="F1371" s="168"/>
      <c r="G1371" s="168"/>
      <c r="H1371" s="168"/>
      <c r="I1371" s="168"/>
      <c r="J1371" s="168"/>
      <c r="K1371" s="168"/>
      <c r="L1371" s="168"/>
      <c r="M1371" s="168"/>
      <c r="N1371" s="168"/>
      <c r="O1371" s="168"/>
      <c r="P1371" s="168"/>
      <c r="Q1371" s="168"/>
      <c r="R1371" s="168"/>
      <c r="S1371" s="168"/>
      <c r="T1371" s="168"/>
      <c r="U1371" s="168"/>
      <c r="V1371" s="168"/>
      <c r="W1371" s="168"/>
      <c r="X1371" s="168"/>
      <c r="Y1371" s="168"/>
      <c r="Z1371" s="168"/>
    </row>
    <row r="1372">
      <c r="A1372" s="168"/>
      <c r="B1372" s="162"/>
      <c r="C1372" s="168"/>
      <c r="D1372" s="168"/>
      <c r="E1372" s="168"/>
      <c r="F1372" s="168"/>
      <c r="G1372" s="168"/>
      <c r="H1372" s="168"/>
      <c r="I1372" s="168"/>
      <c r="J1372" s="168"/>
      <c r="K1372" s="168"/>
      <c r="L1372" s="168"/>
      <c r="M1372" s="168"/>
      <c r="N1372" s="168"/>
      <c r="O1372" s="168"/>
      <c r="P1372" s="168"/>
      <c r="Q1372" s="168"/>
      <c r="R1372" s="168"/>
      <c r="S1372" s="168"/>
      <c r="T1372" s="168"/>
      <c r="U1372" s="168"/>
      <c r="V1372" s="168"/>
      <c r="W1372" s="168"/>
      <c r="X1372" s="168"/>
      <c r="Y1372" s="168"/>
      <c r="Z1372" s="168"/>
    </row>
    <row r="1373">
      <c r="A1373" s="168"/>
      <c r="B1373" s="162"/>
      <c r="C1373" s="168"/>
      <c r="D1373" s="168"/>
      <c r="E1373" s="168"/>
      <c r="F1373" s="168"/>
      <c r="G1373" s="168"/>
      <c r="H1373" s="168"/>
      <c r="I1373" s="168"/>
      <c r="J1373" s="168"/>
      <c r="K1373" s="168"/>
      <c r="L1373" s="168"/>
      <c r="M1373" s="168"/>
      <c r="N1373" s="168"/>
      <c r="O1373" s="168"/>
      <c r="P1373" s="168"/>
      <c r="Q1373" s="168"/>
      <c r="R1373" s="168"/>
      <c r="S1373" s="168"/>
      <c r="T1373" s="168"/>
      <c r="U1373" s="168"/>
      <c r="V1373" s="168"/>
      <c r="W1373" s="168"/>
      <c r="X1373" s="168"/>
      <c r="Y1373" s="168"/>
      <c r="Z1373" s="168"/>
    </row>
    <row r="1374">
      <c r="A1374" s="168"/>
      <c r="B1374" s="162"/>
      <c r="C1374" s="168"/>
      <c r="D1374" s="168"/>
      <c r="E1374" s="168"/>
      <c r="F1374" s="168"/>
      <c r="G1374" s="168"/>
      <c r="H1374" s="168"/>
      <c r="I1374" s="168"/>
      <c r="J1374" s="168"/>
      <c r="K1374" s="168"/>
      <c r="L1374" s="168"/>
      <c r="M1374" s="168"/>
      <c r="N1374" s="168"/>
      <c r="O1374" s="168"/>
      <c r="P1374" s="168"/>
      <c r="Q1374" s="168"/>
      <c r="R1374" s="168"/>
      <c r="S1374" s="168"/>
      <c r="T1374" s="168"/>
      <c r="U1374" s="168"/>
      <c r="V1374" s="168"/>
      <c r="W1374" s="168"/>
      <c r="X1374" s="168"/>
      <c r="Y1374" s="168"/>
      <c r="Z1374" s="168"/>
    </row>
    <row r="1375">
      <c r="A1375" s="168"/>
      <c r="B1375" s="162"/>
      <c r="C1375" s="168"/>
      <c r="D1375" s="168"/>
      <c r="E1375" s="168"/>
      <c r="F1375" s="168"/>
      <c r="G1375" s="168"/>
      <c r="H1375" s="168"/>
      <c r="I1375" s="168"/>
      <c r="J1375" s="168"/>
      <c r="K1375" s="168"/>
      <c r="L1375" s="168"/>
      <c r="M1375" s="168"/>
      <c r="N1375" s="168"/>
      <c r="O1375" s="168"/>
      <c r="P1375" s="168"/>
      <c r="Q1375" s="168"/>
      <c r="R1375" s="168"/>
      <c r="S1375" s="168"/>
      <c r="T1375" s="168"/>
      <c r="U1375" s="168"/>
      <c r="V1375" s="168"/>
      <c r="W1375" s="168"/>
      <c r="X1375" s="168"/>
      <c r="Y1375" s="168"/>
      <c r="Z1375" s="168"/>
    </row>
    <row r="1376">
      <c r="A1376" s="168"/>
      <c r="B1376" s="162"/>
      <c r="C1376" s="168"/>
      <c r="D1376" s="168"/>
      <c r="E1376" s="168"/>
      <c r="F1376" s="168"/>
      <c r="G1376" s="168"/>
      <c r="H1376" s="168"/>
      <c r="I1376" s="168"/>
      <c r="J1376" s="168"/>
      <c r="K1376" s="168"/>
      <c r="L1376" s="168"/>
      <c r="M1376" s="168"/>
      <c r="N1376" s="168"/>
      <c r="O1376" s="168"/>
      <c r="P1376" s="168"/>
      <c r="Q1376" s="168"/>
      <c r="R1376" s="168"/>
      <c r="S1376" s="168"/>
      <c r="T1376" s="168"/>
      <c r="U1376" s="168"/>
      <c r="V1376" s="168"/>
      <c r="W1376" s="168"/>
      <c r="X1376" s="168"/>
      <c r="Y1376" s="168"/>
      <c r="Z1376" s="168"/>
    </row>
    <row r="1377">
      <c r="A1377" s="168"/>
      <c r="B1377" s="162"/>
      <c r="C1377" s="168"/>
      <c r="D1377" s="168"/>
      <c r="E1377" s="168"/>
      <c r="F1377" s="168"/>
      <c r="G1377" s="168"/>
      <c r="H1377" s="168"/>
      <c r="I1377" s="168"/>
      <c r="J1377" s="168"/>
      <c r="K1377" s="168"/>
      <c r="L1377" s="168"/>
      <c r="M1377" s="168"/>
      <c r="N1377" s="168"/>
      <c r="O1377" s="168"/>
      <c r="P1377" s="168"/>
      <c r="Q1377" s="168"/>
      <c r="R1377" s="168"/>
      <c r="S1377" s="168"/>
      <c r="T1377" s="168"/>
      <c r="U1377" s="168"/>
      <c r="V1377" s="168"/>
      <c r="W1377" s="168"/>
      <c r="X1377" s="168"/>
      <c r="Y1377" s="168"/>
      <c r="Z1377" s="168"/>
    </row>
    <row r="1378">
      <c r="A1378" s="168"/>
      <c r="B1378" s="162"/>
      <c r="C1378" s="168"/>
      <c r="D1378" s="168"/>
      <c r="E1378" s="168"/>
      <c r="F1378" s="168"/>
      <c r="G1378" s="168"/>
      <c r="H1378" s="168"/>
      <c r="I1378" s="168"/>
      <c r="J1378" s="168"/>
      <c r="K1378" s="168"/>
      <c r="L1378" s="168"/>
      <c r="M1378" s="168"/>
      <c r="N1378" s="168"/>
      <c r="O1378" s="168"/>
      <c r="P1378" s="168"/>
      <c r="Q1378" s="168"/>
      <c r="R1378" s="168"/>
      <c r="S1378" s="168"/>
      <c r="T1378" s="168"/>
      <c r="U1378" s="168"/>
      <c r="V1378" s="168"/>
      <c r="W1378" s="168"/>
      <c r="X1378" s="168"/>
      <c r="Y1378" s="168"/>
      <c r="Z1378" s="168"/>
    </row>
    <row r="1379">
      <c r="A1379" s="168"/>
      <c r="B1379" s="162"/>
      <c r="C1379" s="168"/>
      <c r="D1379" s="168"/>
      <c r="E1379" s="168"/>
      <c r="F1379" s="168"/>
      <c r="G1379" s="168"/>
      <c r="H1379" s="168"/>
      <c r="I1379" s="168"/>
      <c r="J1379" s="168"/>
      <c r="K1379" s="168"/>
      <c r="L1379" s="168"/>
      <c r="M1379" s="168"/>
      <c r="N1379" s="168"/>
      <c r="O1379" s="168"/>
      <c r="P1379" s="168"/>
      <c r="Q1379" s="168"/>
      <c r="R1379" s="168"/>
      <c r="S1379" s="168"/>
      <c r="T1379" s="168"/>
      <c r="U1379" s="168"/>
      <c r="V1379" s="168"/>
      <c r="W1379" s="168"/>
      <c r="X1379" s="168"/>
      <c r="Y1379" s="168"/>
      <c r="Z1379" s="168"/>
    </row>
    <row r="1380">
      <c r="A1380" s="168"/>
      <c r="B1380" s="162"/>
      <c r="C1380" s="168"/>
      <c r="D1380" s="168"/>
      <c r="E1380" s="168"/>
      <c r="F1380" s="168"/>
      <c r="G1380" s="168"/>
      <c r="H1380" s="168"/>
      <c r="I1380" s="168"/>
      <c r="J1380" s="168"/>
      <c r="K1380" s="168"/>
      <c r="L1380" s="168"/>
      <c r="M1380" s="168"/>
      <c r="N1380" s="168"/>
      <c r="O1380" s="168"/>
      <c r="P1380" s="168"/>
      <c r="Q1380" s="168"/>
      <c r="R1380" s="168"/>
      <c r="S1380" s="168"/>
      <c r="T1380" s="168"/>
      <c r="U1380" s="168"/>
      <c r="V1380" s="168"/>
      <c r="W1380" s="168"/>
      <c r="X1380" s="168"/>
      <c r="Y1380" s="168"/>
      <c r="Z1380" s="168"/>
    </row>
    <row r="1381">
      <c r="A1381" s="168"/>
      <c r="B1381" s="162"/>
      <c r="C1381" s="168"/>
      <c r="D1381" s="168"/>
      <c r="E1381" s="168"/>
      <c r="F1381" s="168"/>
      <c r="G1381" s="168"/>
      <c r="H1381" s="168"/>
      <c r="I1381" s="168"/>
      <c r="J1381" s="168"/>
      <c r="K1381" s="168"/>
      <c r="L1381" s="168"/>
      <c r="M1381" s="168"/>
      <c r="N1381" s="168"/>
      <c r="O1381" s="168"/>
      <c r="P1381" s="168"/>
      <c r="Q1381" s="168"/>
      <c r="R1381" s="168"/>
      <c r="S1381" s="168"/>
      <c r="T1381" s="168"/>
      <c r="U1381" s="168"/>
      <c r="V1381" s="168"/>
      <c r="W1381" s="168"/>
      <c r="X1381" s="168"/>
      <c r="Y1381" s="168"/>
      <c r="Z1381" s="168"/>
    </row>
    <row r="1382">
      <c r="A1382" s="168"/>
      <c r="B1382" s="162"/>
      <c r="C1382" s="168"/>
      <c r="D1382" s="168"/>
      <c r="E1382" s="168"/>
      <c r="F1382" s="168"/>
      <c r="G1382" s="168"/>
      <c r="H1382" s="168"/>
      <c r="I1382" s="168"/>
      <c r="J1382" s="168"/>
      <c r="K1382" s="168"/>
      <c r="L1382" s="168"/>
      <c r="M1382" s="168"/>
      <c r="N1382" s="168"/>
      <c r="O1382" s="168"/>
      <c r="P1382" s="168"/>
      <c r="Q1382" s="168"/>
      <c r="R1382" s="168"/>
      <c r="S1382" s="168"/>
      <c r="T1382" s="168"/>
      <c r="U1382" s="168"/>
      <c r="V1382" s="168"/>
      <c r="W1382" s="168"/>
      <c r="X1382" s="168"/>
      <c r="Y1382" s="168"/>
      <c r="Z1382" s="168"/>
    </row>
    <row r="1383">
      <c r="A1383" s="168"/>
      <c r="B1383" s="162"/>
      <c r="C1383" s="168"/>
      <c r="D1383" s="168"/>
      <c r="E1383" s="168"/>
      <c r="F1383" s="168"/>
      <c r="G1383" s="168"/>
      <c r="H1383" s="168"/>
      <c r="I1383" s="168"/>
      <c r="J1383" s="168"/>
      <c r="K1383" s="168"/>
      <c r="L1383" s="168"/>
      <c r="M1383" s="168"/>
      <c r="N1383" s="168"/>
      <c r="O1383" s="168"/>
      <c r="P1383" s="168"/>
      <c r="Q1383" s="168"/>
      <c r="R1383" s="168"/>
      <c r="S1383" s="168"/>
      <c r="T1383" s="168"/>
      <c r="U1383" s="168"/>
      <c r="V1383" s="168"/>
      <c r="W1383" s="168"/>
      <c r="X1383" s="168"/>
      <c r="Y1383" s="168"/>
      <c r="Z1383" s="168"/>
    </row>
    <row r="1384">
      <c r="A1384" s="168"/>
      <c r="B1384" s="162"/>
      <c r="C1384" s="168"/>
      <c r="D1384" s="168"/>
      <c r="E1384" s="168"/>
      <c r="F1384" s="168"/>
      <c r="G1384" s="168"/>
      <c r="H1384" s="168"/>
      <c r="I1384" s="168"/>
      <c r="J1384" s="168"/>
      <c r="K1384" s="168"/>
      <c r="L1384" s="168"/>
      <c r="M1384" s="168"/>
      <c r="N1384" s="168"/>
      <c r="O1384" s="168"/>
      <c r="P1384" s="168"/>
      <c r="Q1384" s="168"/>
      <c r="R1384" s="168"/>
      <c r="S1384" s="168"/>
      <c r="T1384" s="168"/>
      <c r="U1384" s="168"/>
      <c r="V1384" s="168"/>
      <c r="W1384" s="168"/>
      <c r="X1384" s="168"/>
      <c r="Y1384" s="168"/>
      <c r="Z1384" s="168"/>
    </row>
    <row r="1385">
      <c r="A1385" s="168"/>
      <c r="B1385" s="162"/>
      <c r="C1385" s="168"/>
      <c r="D1385" s="168"/>
      <c r="E1385" s="168"/>
      <c r="F1385" s="168"/>
      <c r="G1385" s="168"/>
      <c r="H1385" s="168"/>
      <c r="I1385" s="168"/>
      <c r="J1385" s="168"/>
      <c r="K1385" s="168"/>
      <c r="L1385" s="168"/>
      <c r="M1385" s="168"/>
      <c r="N1385" s="168"/>
      <c r="O1385" s="168"/>
      <c r="P1385" s="168"/>
      <c r="Q1385" s="168"/>
      <c r="R1385" s="168"/>
      <c r="S1385" s="168"/>
      <c r="T1385" s="168"/>
      <c r="U1385" s="168"/>
      <c r="V1385" s="168"/>
      <c r="W1385" s="168"/>
      <c r="X1385" s="168"/>
      <c r="Y1385" s="168"/>
      <c r="Z1385" s="168"/>
    </row>
    <row r="1386">
      <c r="A1386" s="168"/>
      <c r="B1386" s="162"/>
      <c r="C1386" s="168"/>
      <c r="D1386" s="168"/>
      <c r="E1386" s="168"/>
      <c r="F1386" s="168"/>
      <c r="G1386" s="168"/>
      <c r="H1386" s="168"/>
      <c r="I1386" s="168"/>
      <c r="J1386" s="168"/>
      <c r="K1386" s="168"/>
      <c r="L1386" s="168"/>
      <c r="M1386" s="168"/>
      <c r="N1386" s="168"/>
      <c r="O1386" s="168"/>
      <c r="P1386" s="168"/>
      <c r="Q1386" s="168"/>
      <c r="R1386" s="168"/>
      <c r="S1386" s="168"/>
      <c r="T1386" s="168"/>
      <c r="U1386" s="168"/>
      <c r="V1386" s="168"/>
      <c r="W1386" s="168"/>
      <c r="X1386" s="168"/>
      <c r="Y1386" s="168"/>
      <c r="Z1386" s="168"/>
    </row>
    <row r="1387">
      <c r="A1387" s="168"/>
      <c r="B1387" s="162"/>
      <c r="C1387" s="168"/>
      <c r="D1387" s="168"/>
      <c r="E1387" s="168"/>
      <c r="F1387" s="168"/>
      <c r="G1387" s="168"/>
      <c r="H1387" s="168"/>
      <c r="I1387" s="168"/>
      <c r="J1387" s="168"/>
      <c r="K1387" s="168"/>
      <c r="L1387" s="168"/>
      <c r="M1387" s="168"/>
      <c r="N1387" s="168"/>
      <c r="O1387" s="168"/>
      <c r="P1387" s="168"/>
      <c r="Q1387" s="168"/>
      <c r="R1387" s="168"/>
      <c r="S1387" s="168"/>
      <c r="T1387" s="168"/>
      <c r="U1387" s="168"/>
      <c r="V1387" s="168"/>
      <c r="W1387" s="168"/>
      <c r="X1387" s="168"/>
      <c r="Y1387" s="168"/>
      <c r="Z1387" s="168"/>
    </row>
    <row r="1388">
      <c r="A1388" s="168"/>
      <c r="B1388" s="162"/>
      <c r="C1388" s="168"/>
      <c r="D1388" s="168"/>
      <c r="E1388" s="168"/>
      <c r="F1388" s="168"/>
      <c r="G1388" s="168"/>
      <c r="H1388" s="168"/>
      <c r="I1388" s="168"/>
      <c r="J1388" s="168"/>
      <c r="K1388" s="168"/>
      <c r="L1388" s="168"/>
      <c r="M1388" s="168"/>
      <c r="N1388" s="168"/>
      <c r="O1388" s="168"/>
      <c r="P1388" s="168"/>
      <c r="Q1388" s="168"/>
      <c r="R1388" s="168"/>
      <c r="S1388" s="168"/>
      <c r="T1388" s="168"/>
      <c r="U1388" s="168"/>
      <c r="V1388" s="168"/>
      <c r="W1388" s="168"/>
      <c r="X1388" s="168"/>
      <c r="Y1388" s="168"/>
      <c r="Z1388" s="168"/>
    </row>
    <row r="1389">
      <c r="A1389" s="168"/>
      <c r="B1389" s="162"/>
      <c r="C1389" s="168"/>
      <c r="D1389" s="168"/>
      <c r="E1389" s="168"/>
      <c r="F1389" s="168"/>
      <c r="G1389" s="168"/>
      <c r="H1389" s="168"/>
      <c r="I1389" s="168"/>
      <c r="J1389" s="168"/>
      <c r="K1389" s="168"/>
      <c r="L1389" s="168"/>
      <c r="M1389" s="168"/>
      <c r="N1389" s="168"/>
      <c r="O1389" s="168"/>
      <c r="P1389" s="168"/>
      <c r="Q1389" s="168"/>
      <c r="R1389" s="168"/>
      <c r="S1389" s="168"/>
      <c r="T1389" s="168"/>
      <c r="U1389" s="168"/>
      <c r="V1389" s="168"/>
      <c r="W1389" s="168"/>
      <c r="X1389" s="168"/>
      <c r="Y1389" s="168"/>
      <c r="Z1389" s="168"/>
    </row>
    <row r="1390">
      <c r="A1390" s="168"/>
      <c r="B1390" s="162"/>
      <c r="C1390" s="168"/>
      <c r="D1390" s="168"/>
      <c r="E1390" s="168"/>
      <c r="F1390" s="168"/>
      <c r="G1390" s="168"/>
      <c r="H1390" s="168"/>
      <c r="I1390" s="168"/>
      <c r="J1390" s="168"/>
      <c r="K1390" s="168"/>
      <c r="L1390" s="168"/>
      <c r="M1390" s="168"/>
      <c r="N1390" s="168"/>
      <c r="O1390" s="168"/>
      <c r="P1390" s="168"/>
      <c r="Q1390" s="168"/>
      <c r="R1390" s="168"/>
      <c r="S1390" s="168"/>
      <c r="T1390" s="168"/>
      <c r="U1390" s="168"/>
      <c r="V1390" s="168"/>
      <c r="W1390" s="168"/>
      <c r="X1390" s="168"/>
      <c r="Y1390" s="168"/>
      <c r="Z1390" s="168"/>
    </row>
    <row r="1391">
      <c r="A1391" s="168"/>
      <c r="B1391" s="162"/>
      <c r="C1391" s="168"/>
      <c r="D1391" s="168"/>
      <c r="E1391" s="168"/>
      <c r="F1391" s="168"/>
      <c r="G1391" s="168"/>
      <c r="H1391" s="168"/>
      <c r="I1391" s="168"/>
      <c r="J1391" s="168"/>
      <c r="K1391" s="168"/>
      <c r="L1391" s="168"/>
      <c r="M1391" s="168"/>
      <c r="N1391" s="168"/>
      <c r="O1391" s="168"/>
      <c r="P1391" s="168"/>
      <c r="Q1391" s="168"/>
      <c r="R1391" s="168"/>
      <c r="S1391" s="168"/>
      <c r="T1391" s="168"/>
      <c r="U1391" s="168"/>
      <c r="V1391" s="168"/>
      <c r="W1391" s="168"/>
      <c r="X1391" s="168"/>
      <c r="Y1391" s="168"/>
      <c r="Z1391" s="168"/>
    </row>
    <row r="1392">
      <c r="A1392" s="168"/>
      <c r="B1392" s="162"/>
      <c r="C1392" s="168"/>
      <c r="D1392" s="168"/>
      <c r="E1392" s="168"/>
      <c r="F1392" s="168"/>
      <c r="G1392" s="168"/>
      <c r="H1392" s="168"/>
      <c r="I1392" s="168"/>
      <c r="J1392" s="168"/>
      <c r="K1392" s="168"/>
      <c r="L1392" s="168"/>
      <c r="M1392" s="168"/>
      <c r="N1392" s="168"/>
      <c r="O1392" s="168"/>
      <c r="P1392" s="168"/>
      <c r="Q1392" s="168"/>
      <c r="R1392" s="168"/>
      <c r="S1392" s="168"/>
      <c r="T1392" s="168"/>
      <c r="U1392" s="168"/>
      <c r="V1392" s="168"/>
      <c r="W1392" s="168"/>
      <c r="X1392" s="168"/>
      <c r="Y1392" s="168"/>
      <c r="Z1392" s="168"/>
    </row>
    <row r="1393">
      <c r="A1393" s="168"/>
      <c r="B1393" s="162"/>
      <c r="C1393" s="168"/>
      <c r="D1393" s="168"/>
      <c r="E1393" s="168"/>
      <c r="F1393" s="168"/>
      <c r="G1393" s="168"/>
      <c r="H1393" s="168"/>
      <c r="I1393" s="168"/>
      <c r="J1393" s="168"/>
      <c r="K1393" s="168"/>
      <c r="L1393" s="168"/>
      <c r="M1393" s="168"/>
      <c r="N1393" s="168"/>
      <c r="O1393" s="168"/>
      <c r="P1393" s="168"/>
      <c r="Q1393" s="168"/>
      <c r="R1393" s="168"/>
      <c r="S1393" s="168"/>
      <c r="T1393" s="168"/>
      <c r="U1393" s="168"/>
      <c r="V1393" s="168"/>
      <c r="W1393" s="168"/>
      <c r="X1393" s="168"/>
      <c r="Y1393" s="168"/>
      <c r="Z1393" s="168"/>
    </row>
    <row r="1394">
      <c r="A1394" s="168"/>
      <c r="B1394" s="162"/>
      <c r="C1394" s="168"/>
      <c r="D1394" s="168"/>
      <c r="E1394" s="168"/>
      <c r="F1394" s="168"/>
      <c r="G1394" s="168"/>
      <c r="H1394" s="168"/>
      <c r="I1394" s="168"/>
      <c r="J1394" s="168"/>
      <c r="K1394" s="168"/>
      <c r="L1394" s="168"/>
      <c r="M1394" s="168"/>
      <c r="N1394" s="168"/>
      <c r="O1394" s="168"/>
      <c r="P1394" s="168"/>
      <c r="Q1394" s="168"/>
      <c r="R1394" s="168"/>
      <c r="S1394" s="168"/>
      <c r="T1394" s="168"/>
      <c r="U1394" s="168"/>
      <c r="V1394" s="168"/>
      <c r="W1394" s="168"/>
      <c r="X1394" s="168"/>
      <c r="Y1394" s="168"/>
      <c r="Z1394" s="168"/>
    </row>
    <row r="1395">
      <c r="A1395" s="168"/>
      <c r="B1395" s="162"/>
      <c r="C1395" s="168"/>
      <c r="D1395" s="168"/>
      <c r="E1395" s="168"/>
      <c r="F1395" s="168"/>
      <c r="G1395" s="168"/>
      <c r="H1395" s="168"/>
      <c r="I1395" s="168"/>
      <c r="J1395" s="168"/>
      <c r="K1395" s="168"/>
      <c r="L1395" s="168"/>
      <c r="M1395" s="168"/>
      <c r="N1395" s="168"/>
      <c r="O1395" s="168"/>
      <c r="P1395" s="168"/>
      <c r="Q1395" s="168"/>
      <c r="R1395" s="168"/>
      <c r="S1395" s="168"/>
      <c r="T1395" s="168"/>
      <c r="U1395" s="168"/>
      <c r="V1395" s="168"/>
      <c r="W1395" s="168"/>
      <c r="X1395" s="168"/>
      <c r="Y1395" s="168"/>
      <c r="Z1395" s="168"/>
    </row>
    <row r="1396">
      <c r="A1396" s="168"/>
      <c r="B1396" s="162"/>
      <c r="C1396" s="168"/>
      <c r="D1396" s="168"/>
      <c r="E1396" s="168"/>
      <c r="F1396" s="168"/>
      <c r="G1396" s="168"/>
      <c r="H1396" s="168"/>
      <c r="I1396" s="168"/>
      <c r="J1396" s="168"/>
      <c r="K1396" s="168"/>
      <c r="L1396" s="168"/>
      <c r="M1396" s="168"/>
      <c r="N1396" s="168"/>
      <c r="O1396" s="168"/>
      <c r="P1396" s="168"/>
      <c r="Q1396" s="168"/>
      <c r="R1396" s="168"/>
      <c r="S1396" s="168"/>
      <c r="T1396" s="168"/>
      <c r="U1396" s="168"/>
      <c r="V1396" s="168"/>
      <c r="W1396" s="168"/>
      <c r="X1396" s="168"/>
      <c r="Y1396" s="168"/>
      <c r="Z1396" s="168"/>
    </row>
    <row r="1397">
      <c r="A1397" s="168"/>
      <c r="B1397" s="162"/>
      <c r="C1397" s="168"/>
      <c r="D1397" s="168"/>
      <c r="E1397" s="168"/>
      <c r="F1397" s="168"/>
      <c r="G1397" s="168"/>
      <c r="H1397" s="168"/>
      <c r="I1397" s="168"/>
      <c r="J1397" s="168"/>
      <c r="K1397" s="168"/>
      <c r="L1397" s="168"/>
      <c r="M1397" s="168"/>
      <c r="N1397" s="168"/>
      <c r="O1397" s="168"/>
      <c r="P1397" s="168"/>
      <c r="Q1397" s="168"/>
      <c r="R1397" s="168"/>
      <c r="S1397" s="168"/>
      <c r="T1397" s="168"/>
      <c r="U1397" s="168"/>
      <c r="V1397" s="168"/>
      <c r="W1397" s="168"/>
      <c r="X1397" s="168"/>
      <c r="Y1397" s="168"/>
      <c r="Z1397" s="168"/>
    </row>
    <row r="1398">
      <c r="A1398" s="168"/>
      <c r="B1398" s="162"/>
      <c r="C1398" s="168"/>
      <c r="D1398" s="168"/>
      <c r="E1398" s="168"/>
      <c r="F1398" s="168"/>
      <c r="G1398" s="168"/>
      <c r="H1398" s="168"/>
      <c r="I1398" s="168"/>
      <c r="J1398" s="168"/>
      <c r="K1398" s="168"/>
      <c r="L1398" s="168"/>
      <c r="M1398" s="168"/>
      <c r="N1398" s="168"/>
      <c r="O1398" s="168"/>
      <c r="P1398" s="168"/>
      <c r="Q1398" s="168"/>
      <c r="R1398" s="168"/>
      <c r="S1398" s="168"/>
      <c r="T1398" s="168"/>
      <c r="U1398" s="168"/>
      <c r="V1398" s="168"/>
      <c r="W1398" s="168"/>
      <c r="X1398" s="168"/>
      <c r="Y1398" s="168"/>
      <c r="Z1398" s="168"/>
    </row>
    <row r="1399">
      <c r="A1399" s="168"/>
      <c r="B1399" s="162"/>
      <c r="C1399" s="168"/>
      <c r="D1399" s="168"/>
      <c r="E1399" s="168"/>
      <c r="F1399" s="168"/>
      <c r="G1399" s="168"/>
      <c r="H1399" s="168"/>
      <c r="I1399" s="168"/>
      <c r="J1399" s="168"/>
      <c r="K1399" s="168"/>
      <c r="L1399" s="168"/>
      <c r="M1399" s="168"/>
      <c r="N1399" s="168"/>
      <c r="O1399" s="168"/>
      <c r="P1399" s="168"/>
      <c r="Q1399" s="168"/>
      <c r="R1399" s="168"/>
      <c r="S1399" s="168"/>
      <c r="T1399" s="168"/>
      <c r="U1399" s="168"/>
      <c r="V1399" s="168"/>
      <c r="W1399" s="168"/>
      <c r="X1399" s="168"/>
      <c r="Y1399" s="168"/>
      <c r="Z1399" s="168"/>
    </row>
    <row r="1400">
      <c r="A1400" s="168"/>
      <c r="B1400" s="162"/>
      <c r="C1400" s="168"/>
      <c r="D1400" s="168"/>
      <c r="E1400" s="168"/>
      <c r="F1400" s="168"/>
      <c r="G1400" s="168"/>
      <c r="H1400" s="168"/>
      <c r="I1400" s="168"/>
      <c r="J1400" s="168"/>
      <c r="K1400" s="168"/>
      <c r="L1400" s="168"/>
      <c r="M1400" s="168"/>
      <c r="N1400" s="168"/>
      <c r="O1400" s="168"/>
      <c r="P1400" s="168"/>
      <c r="Q1400" s="168"/>
      <c r="R1400" s="168"/>
      <c r="S1400" s="168"/>
      <c r="T1400" s="168"/>
      <c r="U1400" s="168"/>
      <c r="V1400" s="168"/>
      <c r="W1400" s="168"/>
      <c r="X1400" s="168"/>
      <c r="Y1400" s="168"/>
      <c r="Z1400" s="168"/>
    </row>
    <row r="1401">
      <c r="A1401" s="168"/>
      <c r="B1401" s="162"/>
      <c r="C1401" s="168"/>
      <c r="D1401" s="168"/>
      <c r="E1401" s="168"/>
      <c r="F1401" s="168"/>
      <c r="G1401" s="168"/>
      <c r="H1401" s="168"/>
      <c r="I1401" s="168"/>
      <c r="J1401" s="168"/>
      <c r="K1401" s="168"/>
      <c r="L1401" s="168"/>
      <c r="M1401" s="168"/>
      <c r="N1401" s="168"/>
      <c r="O1401" s="168"/>
      <c r="P1401" s="168"/>
      <c r="Q1401" s="168"/>
      <c r="R1401" s="168"/>
      <c r="S1401" s="168"/>
      <c r="T1401" s="168"/>
      <c r="U1401" s="168"/>
      <c r="V1401" s="168"/>
      <c r="W1401" s="168"/>
      <c r="X1401" s="168"/>
      <c r="Y1401" s="168"/>
      <c r="Z1401" s="168"/>
    </row>
    <row r="1402">
      <c r="A1402" s="168"/>
      <c r="B1402" s="162"/>
      <c r="C1402" s="168"/>
      <c r="D1402" s="168"/>
      <c r="E1402" s="168"/>
      <c r="F1402" s="168"/>
      <c r="G1402" s="168"/>
      <c r="H1402" s="168"/>
      <c r="I1402" s="168"/>
      <c r="J1402" s="168"/>
      <c r="K1402" s="168"/>
      <c r="L1402" s="168"/>
      <c r="M1402" s="168"/>
      <c r="N1402" s="168"/>
      <c r="O1402" s="168"/>
      <c r="P1402" s="168"/>
      <c r="Q1402" s="168"/>
      <c r="R1402" s="168"/>
      <c r="S1402" s="168"/>
      <c r="T1402" s="168"/>
      <c r="U1402" s="168"/>
      <c r="V1402" s="168"/>
      <c r="W1402" s="168"/>
      <c r="X1402" s="168"/>
      <c r="Y1402" s="168"/>
      <c r="Z1402" s="168"/>
    </row>
    <row r="1403">
      <c r="A1403" s="168"/>
      <c r="B1403" s="162"/>
      <c r="C1403" s="168"/>
      <c r="D1403" s="168"/>
      <c r="E1403" s="168"/>
      <c r="F1403" s="168"/>
      <c r="G1403" s="168"/>
      <c r="H1403" s="168"/>
      <c r="I1403" s="168"/>
      <c r="J1403" s="168"/>
      <c r="K1403" s="168"/>
      <c r="L1403" s="168"/>
      <c r="M1403" s="168"/>
      <c r="N1403" s="168"/>
      <c r="O1403" s="168"/>
      <c r="P1403" s="168"/>
      <c r="Q1403" s="168"/>
      <c r="R1403" s="168"/>
      <c r="S1403" s="168"/>
      <c r="T1403" s="168"/>
      <c r="U1403" s="168"/>
      <c r="V1403" s="168"/>
      <c r="W1403" s="168"/>
      <c r="X1403" s="168"/>
      <c r="Y1403" s="168"/>
      <c r="Z1403" s="168"/>
    </row>
    <row r="1404">
      <c r="A1404" s="168"/>
      <c r="B1404" s="162"/>
      <c r="C1404" s="168"/>
      <c r="D1404" s="168"/>
      <c r="E1404" s="168"/>
      <c r="F1404" s="168"/>
      <c r="G1404" s="168"/>
      <c r="H1404" s="168"/>
      <c r="I1404" s="168"/>
      <c r="J1404" s="168"/>
      <c r="K1404" s="168"/>
      <c r="L1404" s="168"/>
      <c r="M1404" s="168"/>
      <c r="N1404" s="168"/>
      <c r="O1404" s="168"/>
      <c r="P1404" s="168"/>
      <c r="Q1404" s="168"/>
      <c r="R1404" s="168"/>
      <c r="S1404" s="168"/>
      <c r="T1404" s="168"/>
      <c r="U1404" s="168"/>
      <c r="V1404" s="168"/>
      <c r="W1404" s="168"/>
      <c r="X1404" s="168"/>
      <c r="Y1404" s="168"/>
      <c r="Z1404" s="168"/>
    </row>
    <row r="1405">
      <c r="A1405" s="168"/>
      <c r="B1405" s="162"/>
      <c r="C1405" s="168"/>
      <c r="D1405" s="168"/>
      <c r="E1405" s="168"/>
      <c r="F1405" s="168"/>
      <c r="G1405" s="168"/>
      <c r="H1405" s="168"/>
      <c r="I1405" s="168"/>
      <c r="J1405" s="168"/>
      <c r="K1405" s="168"/>
      <c r="L1405" s="168"/>
      <c r="M1405" s="168"/>
      <c r="N1405" s="168"/>
      <c r="O1405" s="168"/>
      <c r="P1405" s="168"/>
      <c r="Q1405" s="168"/>
      <c r="R1405" s="168"/>
      <c r="S1405" s="168"/>
      <c r="T1405" s="168"/>
      <c r="U1405" s="168"/>
      <c r="V1405" s="168"/>
      <c r="W1405" s="168"/>
      <c r="X1405" s="168"/>
      <c r="Y1405" s="168"/>
      <c r="Z1405" s="168"/>
    </row>
    <row r="1406">
      <c r="A1406" s="168"/>
      <c r="B1406" s="162"/>
      <c r="C1406" s="168"/>
      <c r="D1406" s="168"/>
      <c r="E1406" s="168"/>
      <c r="F1406" s="168"/>
      <c r="G1406" s="168"/>
      <c r="H1406" s="168"/>
      <c r="I1406" s="168"/>
      <c r="J1406" s="168"/>
      <c r="K1406" s="168"/>
      <c r="L1406" s="168"/>
      <c r="M1406" s="168"/>
      <c r="N1406" s="168"/>
      <c r="O1406" s="168"/>
      <c r="P1406" s="168"/>
      <c r="Q1406" s="168"/>
      <c r="R1406" s="168"/>
      <c r="S1406" s="168"/>
      <c r="T1406" s="168"/>
      <c r="U1406" s="168"/>
      <c r="V1406" s="168"/>
      <c r="W1406" s="168"/>
      <c r="X1406" s="168"/>
      <c r="Y1406" s="168"/>
      <c r="Z1406" s="168"/>
    </row>
    <row r="1407">
      <c r="A1407" s="168"/>
      <c r="B1407" s="162"/>
      <c r="C1407" s="168"/>
      <c r="D1407" s="168"/>
      <c r="E1407" s="168"/>
      <c r="F1407" s="168"/>
      <c r="G1407" s="168"/>
      <c r="H1407" s="168"/>
      <c r="I1407" s="168"/>
      <c r="J1407" s="168"/>
      <c r="K1407" s="168"/>
      <c r="L1407" s="168"/>
      <c r="M1407" s="168"/>
      <c r="N1407" s="168"/>
      <c r="O1407" s="168"/>
      <c r="P1407" s="168"/>
      <c r="Q1407" s="168"/>
      <c r="R1407" s="168"/>
      <c r="S1407" s="168"/>
      <c r="T1407" s="168"/>
      <c r="U1407" s="168"/>
      <c r="V1407" s="168"/>
      <c r="W1407" s="168"/>
      <c r="X1407" s="168"/>
      <c r="Y1407" s="168"/>
      <c r="Z1407" s="168"/>
    </row>
    <row r="1408">
      <c r="A1408" s="168"/>
      <c r="B1408" s="162"/>
      <c r="C1408" s="168"/>
      <c r="D1408" s="168"/>
      <c r="E1408" s="168"/>
      <c r="F1408" s="168"/>
      <c r="G1408" s="168"/>
      <c r="H1408" s="168"/>
      <c r="I1408" s="168"/>
      <c r="J1408" s="168"/>
      <c r="K1408" s="168"/>
      <c r="L1408" s="168"/>
      <c r="M1408" s="168"/>
      <c r="N1408" s="168"/>
      <c r="O1408" s="168"/>
      <c r="P1408" s="168"/>
      <c r="Q1408" s="168"/>
      <c r="R1408" s="168"/>
      <c r="S1408" s="168"/>
      <c r="T1408" s="168"/>
      <c r="U1408" s="168"/>
      <c r="V1408" s="168"/>
      <c r="W1408" s="168"/>
      <c r="X1408" s="168"/>
      <c r="Y1408" s="168"/>
      <c r="Z1408" s="168"/>
    </row>
    <row r="1409">
      <c r="A1409" s="168"/>
      <c r="B1409" s="162"/>
      <c r="C1409" s="168"/>
      <c r="D1409" s="168"/>
      <c r="E1409" s="168"/>
      <c r="F1409" s="168"/>
      <c r="G1409" s="168"/>
      <c r="H1409" s="168"/>
      <c r="I1409" s="168"/>
      <c r="J1409" s="168"/>
      <c r="K1409" s="168"/>
      <c r="L1409" s="168"/>
      <c r="M1409" s="168"/>
      <c r="N1409" s="168"/>
      <c r="O1409" s="168"/>
      <c r="P1409" s="168"/>
      <c r="Q1409" s="168"/>
      <c r="R1409" s="168"/>
      <c r="S1409" s="168"/>
      <c r="T1409" s="168"/>
      <c r="U1409" s="168"/>
      <c r="V1409" s="168"/>
      <c r="W1409" s="168"/>
      <c r="X1409" s="168"/>
      <c r="Y1409" s="168"/>
      <c r="Z1409" s="168"/>
    </row>
    <row r="1410">
      <c r="A1410" s="168"/>
      <c r="B1410" s="162"/>
      <c r="C1410" s="168"/>
      <c r="D1410" s="168"/>
      <c r="E1410" s="168"/>
      <c r="F1410" s="168"/>
      <c r="G1410" s="168"/>
      <c r="H1410" s="168"/>
      <c r="I1410" s="168"/>
      <c r="J1410" s="168"/>
      <c r="K1410" s="168"/>
      <c r="L1410" s="168"/>
      <c r="M1410" s="168"/>
      <c r="N1410" s="168"/>
      <c r="O1410" s="168"/>
      <c r="P1410" s="168"/>
      <c r="Q1410" s="168"/>
      <c r="R1410" s="168"/>
      <c r="S1410" s="168"/>
      <c r="T1410" s="168"/>
      <c r="U1410" s="168"/>
      <c r="V1410" s="168"/>
      <c r="W1410" s="168"/>
      <c r="X1410" s="168"/>
      <c r="Y1410" s="168"/>
      <c r="Z1410" s="168"/>
    </row>
    <row r="1411">
      <c r="A1411" s="168"/>
      <c r="B1411" s="162"/>
      <c r="C1411" s="168"/>
      <c r="D1411" s="168"/>
      <c r="E1411" s="168"/>
      <c r="F1411" s="168"/>
      <c r="G1411" s="168"/>
      <c r="H1411" s="168"/>
      <c r="I1411" s="168"/>
      <c r="J1411" s="168"/>
      <c r="K1411" s="168"/>
      <c r="L1411" s="168"/>
      <c r="M1411" s="168"/>
      <c r="N1411" s="168"/>
      <c r="O1411" s="168"/>
      <c r="P1411" s="168"/>
      <c r="Q1411" s="168"/>
      <c r="R1411" s="168"/>
      <c r="S1411" s="168"/>
      <c r="T1411" s="168"/>
      <c r="U1411" s="168"/>
      <c r="V1411" s="168"/>
      <c r="W1411" s="168"/>
      <c r="X1411" s="168"/>
      <c r="Y1411" s="168"/>
      <c r="Z1411" s="168"/>
    </row>
    <row r="1412">
      <c r="A1412" s="168"/>
      <c r="B1412" s="162"/>
      <c r="C1412" s="168"/>
      <c r="D1412" s="168"/>
      <c r="E1412" s="168"/>
      <c r="F1412" s="168"/>
      <c r="G1412" s="168"/>
      <c r="H1412" s="168"/>
      <c r="I1412" s="168"/>
      <c r="J1412" s="168"/>
      <c r="K1412" s="168"/>
      <c r="L1412" s="168"/>
      <c r="M1412" s="168"/>
      <c r="N1412" s="168"/>
      <c r="O1412" s="168"/>
      <c r="P1412" s="168"/>
      <c r="Q1412" s="168"/>
      <c r="R1412" s="168"/>
      <c r="S1412" s="168"/>
      <c r="T1412" s="168"/>
      <c r="U1412" s="168"/>
      <c r="V1412" s="168"/>
      <c r="W1412" s="168"/>
      <c r="X1412" s="168"/>
      <c r="Y1412" s="168"/>
      <c r="Z1412" s="168"/>
    </row>
    <row r="1413">
      <c r="A1413" s="168"/>
      <c r="B1413" s="162"/>
      <c r="C1413" s="168"/>
      <c r="D1413" s="168"/>
      <c r="E1413" s="168"/>
      <c r="F1413" s="168"/>
      <c r="G1413" s="168"/>
      <c r="H1413" s="168"/>
      <c r="I1413" s="168"/>
      <c r="J1413" s="168"/>
      <c r="K1413" s="168"/>
      <c r="L1413" s="168"/>
      <c r="M1413" s="168"/>
      <c r="N1413" s="168"/>
      <c r="O1413" s="168"/>
      <c r="P1413" s="168"/>
      <c r="Q1413" s="168"/>
      <c r="R1413" s="168"/>
      <c r="S1413" s="168"/>
      <c r="T1413" s="168"/>
      <c r="U1413" s="168"/>
      <c r="V1413" s="168"/>
      <c r="W1413" s="168"/>
      <c r="X1413" s="168"/>
      <c r="Y1413" s="168"/>
      <c r="Z1413" s="168"/>
    </row>
    <row r="1414">
      <c r="A1414" s="168"/>
      <c r="B1414" s="162"/>
      <c r="C1414" s="168"/>
      <c r="D1414" s="168"/>
      <c r="E1414" s="168"/>
      <c r="F1414" s="168"/>
      <c r="G1414" s="168"/>
      <c r="H1414" s="168"/>
      <c r="I1414" s="168"/>
      <c r="J1414" s="168"/>
      <c r="K1414" s="168"/>
      <c r="L1414" s="168"/>
      <c r="M1414" s="168"/>
      <c r="N1414" s="168"/>
      <c r="O1414" s="168"/>
      <c r="P1414" s="168"/>
      <c r="Q1414" s="168"/>
      <c r="R1414" s="168"/>
      <c r="S1414" s="168"/>
      <c r="T1414" s="168"/>
      <c r="U1414" s="168"/>
      <c r="V1414" s="168"/>
      <c r="W1414" s="168"/>
      <c r="X1414" s="168"/>
      <c r="Y1414" s="168"/>
      <c r="Z1414" s="168"/>
    </row>
    <row r="1415">
      <c r="A1415" s="168"/>
      <c r="B1415" s="162"/>
      <c r="C1415" s="168"/>
      <c r="D1415" s="168"/>
      <c r="E1415" s="168"/>
      <c r="F1415" s="168"/>
      <c r="G1415" s="168"/>
      <c r="H1415" s="168"/>
      <c r="I1415" s="168"/>
      <c r="J1415" s="168"/>
      <c r="K1415" s="168"/>
      <c r="L1415" s="168"/>
      <c r="M1415" s="168"/>
      <c r="N1415" s="168"/>
      <c r="O1415" s="168"/>
      <c r="P1415" s="168"/>
      <c r="Q1415" s="168"/>
      <c r="R1415" s="168"/>
      <c r="S1415" s="168"/>
      <c r="T1415" s="168"/>
      <c r="U1415" s="168"/>
      <c r="V1415" s="168"/>
      <c r="W1415" s="168"/>
      <c r="X1415" s="168"/>
      <c r="Y1415" s="168"/>
      <c r="Z1415" s="168"/>
    </row>
    <row r="1416">
      <c r="A1416" s="168"/>
      <c r="B1416" s="162"/>
      <c r="C1416" s="168"/>
      <c r="D1416" s="168"/>
      <c r="E1416" s="168"/>
      <c r="F1416" s="168"/>
      <c r="G1416" s="168"/>
      <c r="H1416" s="168"/>
      <c r="I1416" s="168"/>
      <c r="J1416" s="168"/>
      <c r="K1416" s="168"/>
      <c r="L1416" s="168"/>
      <c r="M1416" s="168"/>
      <c r="N1416" s="168"/>
      <c r="O1416" s="168"/>
      <c r="P1416" s="168"/>
      <c r="Q1416" s="168"/>
      <c r="R1416" s="168"/>
      <c r="S1416" s="168"/>
      <c r="T1416" s="168"/>
      <c r="U1416" s="168"/>
      <c r="V1416" s="168"/>
      <c r="W1416" s="168"/>
      <c r="X1416" s="168"/>
      <c r="Y1416" s="168"/>
      <c r="Z1416" s="168"/>
    </row>
    <row r="1417">
      <c r="A1417" s="168"/>
      <c r="B1417" s="162"/>
      <c r="C1417" s="168"/>
      <c r="D1417" s="168"/>
      <c r="E1417" s="168"/>
      <c r="F1417" s="168"/>
      <c r="G1417" s="168"/>
      <c r="H1417" s="168"/>
      <c r="I1417" s="168"/>
      <c r="J1417" s="168"/>
      <c r="K1417" s="168"/>
      <c r="L1417" s="168"/>
      <c r="M1417" s="168"/>
      <c r="N1417" s="168"/>
      <c r="O1417" s="168"/>
      <c r="P1417" s="168"/>
      <c r="Q1417" s="168"/>
      <c r="R1417" s="168"/>
      <c r="S1417" s="168"/>
      <c r="T1417" s="168"/>
      <c r="U1417" s="168"/>
      <c r="V1417" s="168"/>
      <c r="W1417" s="168"/>
      <c r="X1417" s="168"/>
      <c r="Y1417" s="168"/>
      <c r="Z1417" s="168"/>
    </row>
    <row r="1418">
      <c r="A1418" s="168"/>
      <c r="B1418" s="162"/>
      <c r="C1418" s="168"/>
      <c r="D1418" s="168"/>
      <c r="E1418" s="168"/>
      <c r="F1418" s="168"/>
      <c r="G1418" s="168"/>
      <c r="H1418" s="168"/>
      <c r="I1418" s="168"/>
      <c r="J1418" s="168"/>
      <c r="K1418" s="168"/>
      <c r="L1418" s="168"/>
      <c r="M1418" s="168"/>
      <c r="N1418" s="168"/>
      <c r="O1418" s="168"/>
      <c r="P1418" s="168"/>
      <c r="Q1418" s="168"/>
      <c r="R1418" s="168"/>
      <c r="S1418" s="168"/>
      <c r="T1418" s="168"/>
      <c r="U1418" s="168"/>
      <c r="V1418" s="168"/>
      <c r="W1418" s="168"/>
      <c r="X1418" s="168"/>
      <c r="Y1418" s="168"/>
      <c r="Z1418" s="168"/>
    </row>
    <row r="1419">
      <c r="A1419" s="168"/>
      <c r="B1419" s="162"/>
      <c r="C1419" s="168"/>
      <c r="D1419" s="168"/>
      <c r="E1419" s="168"/>
      <c r="F1419" s="168"/>
      <c r="G1419" s="168"/>
      <c r="H1419" s="168"/>
      <c r="I1419" s="168"/>
      <c r="J1419" s="168"/>
      <c r="K1419" s="168"/>
      <c r="L1419" s="168"/>
      <c r="M1419" s="168"/>
      <c r="N1419" s="168"/>
      <c r="O1419" s="168"/>
      <c r="P1419" s="168"/>
      <c r="Q1419" s="168"/>
      <c r="R1419" s="168"/>
      <c r="S1419" s="168"/>
      <c r="T1419" s="168"/>
      <c r="U1419" s="168"/>
      <c r="V1419" s="168"/>
      <c r="W1419" s="168"/>
      <c r="X1419" s="168"/>
      <c r="Y1419" s="168"/>
      <c r="Z1419" s="168"/>
    </row>
    <row r="1420">
      <c r="A1420" s="168"/>
      <c r="B1420" s="162"/>
      <c r="C1420" s="168"/>
      <c r="D1420" s="168"/>
      <c r="E1420" s="168"/>
      <c r="F1420" s="168"/>
      <c r="G1420" s="168"/>
      <c r="H1420" s="168"/>
      <c r="I1420" s="168"/>
      <c r="J1420" s="168"/>
      <c r="K1420" s="168"/>
      <c r="L1420" s="168"/>
      <c r="M1420" s="168"/>
      <c r="N1420" s="168"/>
      <c r="O1420" s="168"/>
      <c r="P1420" s="168"/>
      <c r="Q1420" s="168"/>
      <c r="R1420" s="168"/>
      <c r="S1420" s="168"/>
      <c r="T1420" s="168"/>
      <c r="U1420" s="168"/>
      <c r="V1420" s="168"/>
      <c r="W1420" s="168"/>
      <c r="X1420" s="168"/>
      <c r="Y1420" s="168"/>
      <c r="Z1420" s="168"/>
    </row>
    <row r="1421">
      <c r="A1421" s="168"/>
      <c r="B1421" s="162"/>
      <c r="C1421" s="168"/>
      <c r="D1421" s="168"/>
      <c r="E1421" s="168"/>
      <c r="F1421" s="168"/>
      <c r="G1421" s="168"/>
      <c r="H1421" s="168"/>
      <c r="I1421" s="168"/>
      <c r="J1421" s="168"/>
      <c r="K1421" s="168"/>
      <c r="L1421" s="168"/>
      <c r="M1421" s="168"/>
      <c r="N1421" s="168"/>
      <c r="O1421" s="168"/>
      <c r="P1421" s="168"/>
      <c r="Q1421" s="168"/>
      <c r="R1421" s="168"/>
      <c r="S1421" s="168"/>
      <c r="T1421" s="168"/>
      <c r="U1421" s="168"/>
      <c r="V1421" s="168"/>
      <c r="W1421" s="168"/>
      <c r="X1421" s="168"/>
      <c r="Y1421" s="168"/>
      <c r="Z1421" s="168"/>
    </row>
    <row r="1422">
      <c r="A1422" s="168"/>
      <c r="B1422" s="162"/>
      <c r="C1422" s="168"/>
      <c r="D1422" s="168"/>
      <c r="E1422" s="168"/>
      <c r="F1422" s="168"/>
      <c r="G1422" s="168"/>
      <c r="H1422" s="168"/>
      <c r="I1422" s="168"/>
      <c r="J1422" s="168"/>
      <c r="K1422" s="168"/>
      <c r="L1422" s="168"/>
      <c r="M1422" s="168"/>
      <c r="N1422" s="168"/>
      <c r="O1422" s="168"/>
      <c r="P1422" s="168"/>
      <c r="Q1422" s="168"/>
      <c r="R1422" s="168"/>
      <c r="S1422" s="168"/>
      <c r="T1422" s="168"/>
      <c r="U1422" s="168"/>
      <c r="V1422" s="168"/>
      <c r="W1422" s="168"/>
      <c r="X1422" s="168"/>
      <c r="Y1422" s="168"/>
      <c r="Z1422" s="168"/>
    </row>
    <row r="1423">
      <c r="A1423" s="168"/>
      <c r="B1423" s="162"/>
      <c r="C1423" s="168"/>
      <c r="D1423" s="168"/>
      <c r="E1423" s="168"/>
      <c r="F1423" s="168"/>
      <c r="G1423" s="168"/>
      <c r="H1423" s="168"/>
      <c r="I1423" s="168"/>
      <c r="J1423" s="168"/>
      <c r="K1423" s="168"/>
      <c r="L1423" s="168"/>
      <c r="M1423" s="168"/>
      <c r="N1423" s="168"/>
      <c r="O1423" s="168"/>
      <c r="P1423" s="168"/>
      <c r="Q1423" s="168"/>
      <c r="R1423" s="168"/>
      <c r="S1423" s="168"/>
      <c r="T1423" s="168"/>
      <c r="U1423" s="168"/>
      <c r="V1423" s="168"/>
      <c r="W1423" s="168"/>
      <c r="X1423" s="168"/>
      <c r="Y1423" s="168"/>
      <c r="Z1423" s="168"/>
    </row>
    <row r="1424">
      <c r="A1424" s="168"/>
      <c r="B1424" s="162"/>
      <c r="C1424" s="168"/>
      <c r="D1424" s="168"/>
      <c r="E1424" s="168"/>
      <c r="F1424" s="168"/>
      <c r="G1424" s="168"/>
      <c r="H1424" s="168"/>
      <c r="I1424" s="168"/>
      <c r="J1424" s="168"/>
      <c r="K1424" s="168"/>
      <c r="L1424" s="168"/>
      <c r="M1424" s="168"/>
      <c r="N1424" s="168"/>
      <c r="O1424" s="168"/>
      <c r="P1424" s="168"/>
      <c r="Q1424" s="168"/>
      <c r="R1424" s="168"/>
      <c r="S1424" s="168"/>
      <c r="T1424" s="168"/>
      <c r="U1424" s="168"/>
      <c r="V1424" s="168"/>
      <c r="W1424" s="168"/>
      <c r="X1424" s="168"/>
      <c r="Y1424" s="168"/>
      <c r="Z1424" s="168"/>
    </row>
    <row r="1425">
      <c r="A1425" s="168"/>
      <c r="B1425" s="162"/>
      <c r="C1425" s="168"/>
      <c r="D1425" s="168"/>
      <c r="E1425" s="168"/>
      <c r="F1425" s="168"/>
      <c r="G1425" s="168"/>
      <c r="H1425" s="168"/>
      <c r="I1425" s="168"/>
      <c r="J1425" s="168"/>
      <c r="K1425" s="168"/>
      <c r="L1425" s="168"/>
      <c r="M1425" s="168"/>
      <c r="N1425" s="168"/>
      <c r="O1425" s="168"/>
      <c r="P1425" s="168"/>
      <c r="Q1425" s="168"/>
      <c r="R1425" s="168"/>
      <c r="S1425" s="168"/>
      <c r="T1425" s="168"/>
      <c r="U1425" s="168"/>
      <c r="V1425" s="168"/>
      <c r="W1425" s="168"/>
      <c r="X1425" s="168"/>
      <c r="Y1425" s="168"/>
      <c r="Z1425" s="168"/>
    </row>
    <row r="1426">
      <c r="A1426" s="168"/>
      <c r="B1426" s="162"/>
      <c r="C1426" s="168"/>
      <c r="D1426" s="168"/>
      <c r="E1426" s="168"/>
      <c r="F1426" s="168"/>
      <c r="G1426" s="168"/>
      <c r="H1426" s="168"/>
      <c r="I1426" s="168"/>
      <c r="J1426" s="168"/>
      <c r="K1426" s="168"/>
      <c r="L1426" s="168"/>
      <c r="M1426" s="168"/>
      <c r="N1426" s="168"/>
      <c r="O1426" s="168"/>
      <c r="P1426" s="168"/>
      <c r="Q1426" s="168"/>
      <c r="R1426" s="168"/>
      <c r="S1426" s="168"/>
      <c r="T1426" s="168"/>
      <c r="U1426" s="168"/>
      <c r="V1426" s="168"/>
      <c r="W1426" s="168"/>
      <c r="X1426" s="168"/>
      <c r="Y1426" s="168"/>
      <c r="Z1426" s="168"/>
    </row>
    <row r="1427">
      <c r="A1427" s="168"/>
      <c r="B1427" s="162"/>
      <c r="C1427" s="168"/>
      <c r="D1427" s="168"/>
      <c r="E1427" s="168"/>
      <c r="F1427" s="168"/>
      <c r="G1427" s="168"/>
      <c r="H1427" s="168"/>
      <c r="I1427" s="168"/>
      <c r="J1427" s="168"/>
      <c r="K1427" s="168"/>
      <c r="L1427" s="168"/>
      <c r="M1427" s="168"/>
      <c r="N1427" s="168"/>
      <c r="O1427" s="168"/>
      <c r="P1427" s="168"/>
      <c r="Q1427" s="168"/>
      <c r="R1427" s="168"/>
      <c r="S1427" s="168"/>
      <c r="T1427" s="168"/>
      <c r="U1427" s="168"/>
      <c r="V1427" s="168"/>
      <c r="W1427" s="168"/>
      <c r="X1427" s="168"/>
      <c r="Y1427" s="168"/>
      <c r="Z1427" s="168"/>
    </row>
    <row r="1428">
      <c r="A1428" s="168"/>
      <c r="B1428" s="162"/>
      <c r="C1428" s="168"/>
      <c r="D1428" s="168"/>
      <c r="E1428" s="168"/>
      <c r="F1428" s="168"/>
      <c r="G1428" s="168"/>
      <c r="H1428" s="168"/>
      <c r="I1428" s="168"/>
      <c r="J1428" s="168"/>
      <c r="K1428" s="168"/>
      <c r="L1428" s="168"/>
      <c r="M1428" s="168"/>
      <c r="N1428" s="168"/>
      <c r="O1428" s="168"/>
      <c r="P1428" s="168"/>
      <c r="Q1428" s="168"/>
      <c r="R1428" s="168"/>
      <c r="S1428" s="168"/>
      <c r="T1428" s="168"/>
      <c r="U1428" s="168"/>
      <c r="V1428" s="168"/>
      <c r="W1428" s="168"/>
      <c r="X1428" s="168"/>
      <c r="Y1428" s="168"/>
      <c r="Z1428" s="168"/>
    </row>
    <row r="1429">
      <c r="A1429" s="168"/>
      <c r="B1429" s="162"/>
      <c r="C1429" s="168"/>
      <c r="D1429" s="168"/>
      <c r="E1429" s="168"/>
      <c r="F1429" s="168"/>
      <c r="G1429" s="168"/>
      <c r="H1429" s="168"/>
      <c r="I1429" s="168"/>
      <c r="J1429" s="168"/>
      <c r="K1429" s="168"/>
      <c r="L1429" s="168"/>
      <c r="M1429" s="168"/>
      <c r="N1429" s="168"/>
      <c r="O1429" s="168"/>
      <c r="P1429" s="168"/>
      <c r="Q1429" s="168"/>
      <c r="R1429" s="168"/>
      <c r="S1429" s="168"/>
      <c r="T1429" s="168"/>
      <c r="U1429" s="168"/>
      <c r="V1429" s="168"/>
      <c r="W1429" s="168"/>
      <c r="X1429" s="168"/>
      <c r="Y1429" s="168"/>
      <c r="Z1429" s="168"/>
    </row>
    <row r="1430">
      <c r="A1430" s="168"/>
      <c r="B1430" s="162"/>
      <c r="C1430" s="168"/>
      <c r="D1430" s="168"/>
      <c r="E1430" s="168"/>
      <c r="F1430" s="168"/>
      <c r="G1430" s="168"/>
      <c r="H1430" s="168"/>
      <c r="I1430" s="168"/>
      <c r="J1430" s="168"/>
      <c r="K1430" s="168"/>
      <c r="L1430" s="168"/>
      <c r="M1430" s="168"/>
      <c r="N1430" s="168"/>
      <c r="O1430" s="168"/>
      <c r="P1430" s="168"/>
      <c r="Q1430" s="168"/>
      <c r="R1430" s="168"/>
      <c r="S1430" s="168"/>
      <c r="T1430" s="168"/>
      <c r="U1430" s="168"/>
      <c r="V1430" s="168"/>
      <c r="W1430" s="168"/>
      <c r="X1430" s="168"/>
      <c r="Y1430" s="168"/>
      <c r="Z1430" s="168"/>
    </row>
    <row r="1431">
      <c r="A1431" s="168"/>
      <c r="B1431" s="162"/>
      <c r="C1431" s="168"/>
      <c r="D1431" s="168"/>
      <c r="E1431" s="168"/>
      <c r="F1431" s="168"/>
      <c r="G1431" s="168"/>
      <c r="H1431" s="168"/>
      <c r="I1431" s="168"/>
      <c r="J1431" s="168"/>
      <c r="K1431" s="168"/>
      <c r="L1431" s="168"/>
      <c r="M1431" s="168"/>
      <c r="N1431" s="168"/>
      <c r="O1431" s="168"/>
      <c r="P1431" s="168"/>
      <c r="Q1431" s="168"/>
      <c r="R1431" s="168"/>
      <c r="S1431" s="168"/>
      <c r="T1431" s="168"/>
      <c r="U1431" s="168"/>
      <c r="V1431" s="168"/>
      <c r="W1431" s="168"/>
      <c r="X1431" s="168"/>
      <c r="Y1431" s="168"/>
      <c r="Z1431" s="168"/>
    </row>
    <row r="1432">
      <c r="A1432" s="168"/>
      <c r="B1432" s="162"/>
      <c r="C1432" s="168"/>
      <c r="D1432" s="168"/>
      <c r="E1432" s="168"/>
      <c r="F1432" s="168"/>
      <c r="G1432" s="168"/>
      <c r="H1432" s="168"/>
      <c r="I1432" s="168"/>
      <c r="J1432" s="168"/>
      <c r="K1432" s="168"/>
      <c r="L1432" s="168"/>
      <c r="M1432" s="168"/>
      <c r="N1432" s="168"/>
      <c r="O1432" s="168"/>
      <c r="P1432" s="168"/>
      <c r="Q1432" s="168"/>
      <c r="R1432" s="168"/>
      <c r="S1432" s="168"/>
      <c r="T1432" s="168"/>
      <c r="U1432" s="168"/>
      <c r="V1432" s="168"/>
      <c r="W1432" s="168"/>
      <c r="X1432" s="168"/>
      <c r="Y1432" s="168"/>
      <c r="Z1432" s="168"/>
    </row>
    <row r="1433">
      <c r="A1433" s="168"/>
      <c r="B1433" s="162"/>
      <c r="C1433" s="168"/>
      <c r="D1433" s="168"/>
      <c r="E1433" s="168"/>
      <c r="F1433" s="168"/>
      <c r="G1433" s="168"/>
      <c r="H1433" s="168"/>
      <c r="I1433" s="168"/>
      <c r="J1433" s="168"/>
      <c r="K1433" s="168"/>
      <c r="L1433" s="168"/>
      <c r="M1433" s="168"/>
      <c r="N1433" s="168"/>
      <c r="O1433" s="168"/>
      <c r="P1433" s="168"/>
      <c r="Q1433" s="168"/>
      <c r="R1433" s="168"/>
      <c r="S1433" s="168"/>
      <c r="T1433" s="168"/>
      <c r="U1433" s="168"/>
      <c r="V1433" s="168"/>
      <c r="W1433" s="168"/>
      <c r="X1433" s="168"/>
      <c r="Y1433" s="168"/>
      <c r="Z1433" s="168"/>
    </row>
    <row r="1434">
      <c r="A1434" s="168"/>
      <c r="B1434" s="162"/>
      <c r="C1434" s="168"/>
      <c r="D1434" s="168"/>
      <c r="E1434" s="168"/>
      <c r="F1434" s="168"/>
      <c r="G1434" s="168"/>
      <c r="H1434" s="168"/>
      <c r="I1434" s="168"/>
      <c r="J1434" s="168"/>
      <c r="K1434" s="168"/>
      <c r="L1434" s="168"/>
      <c r="M1434" s="168"/>
      <c r="N1434" s="168"/>
      <c r="O1434" s="168"/>
      <c r="P1434" s="168"/>
      <c r="Q1434" s="168"/>
      <c r="R1434" s="168"/>
      <c r="S1434" s="168"/>
      <c r="T1434" s="168"/>
      <c r="U1434" s="168"/>
      <c r="V1434" s="168"/>
      <c r="W1434" s="168"/>
      <c r="X1434" s="168"/>
      <c r="Y1434" s="168"/>
      <c r="Z1434" s="168"/>
    </row>
    <row r="1435">
      <c r="A1435" s="168"/>
      <c r="B1435" s="162"/>
      <c r="C1435" s="168"/>
      <c r="D1435" s="168"/>
      <c r="E1435" s="168"/>
      <c r="F1435" s="168"/>
      <c r="G1435" s="168"/>
      <c r="H1435" s="168"/>
      <c r="I1435" s="168"/>
      <c r="J1435" s="168"/>
      <c r="K1435" s="168"/>
      <c r="L1435" s="168"/>
      <c r="M1435" s="168"/>
      <c r="N1435" s="168"/>
      <c r="O1435" s="168"/>
      <c r="P1435" s="168"/>
      <c r="Q1435" s="168"/>
      <c r="R1435" s="168"/>
      <c r="S1435" s="168"/>
      <c r="T1435" s="168"/>
      <c r="U1435" s="168"/>
      <c r="V1435" s="168"/>
      <c r="W1435" s="168"/>
      <c r="X1435" s="168"/>
      <c r="Y1435" s="168"/>
      <c r="Z1435" s="168"/>
    </row>
    <row r="1436">
      <c r="A1436" s="168"/>
      <c r="B1436" s="162"/>
      <c r="C1436" s="168"/>
      <c r="D1436" s="168"/>
      <c r="E1436" s="168"/>
      <c r="F1436" s="168"/>
      <c r="G1436" s="168"/>
      <c r="H1436" s="168"/>
      <c r="I1436" s="168"/>
      <c r="J1436" s="168"/>
      <c r="K1436" s="168"/>
      <c r="L1436" s="168"/>
      <c r="M1436" s="168"/>
      <c r="N1436" s="168"/>
      <c r="O1436" s="168"/>
      <c r="P1436" s="168"/>
      <c r="Q1436" s="168"/>
      <c r="R1436" s="168"/>
      <c r="S1436" s="168"/>
      <c r="T1436" s="168"/>
      <c r="U1436" s="168"/>
      <c r="V1436" s="168"/>
      <c r="W1436" s="168"/>
      <c r="X1436" s="168"/>
      <c r="Y1436" s="168"/>
      <c r="Z1436" s="168"/>
    </row>
    <row r="1437">
      <c r="A1437" s="168"/>
      <c r="B1437" s="162"/>
      <c r="C1437" s="168"/>
      <c r="D1437" s="168"/>
      <c r="E1437" s="168"/>
      <c r="F1437" s="168"/>
      <c r="G1437" s="168"/>
      <c r="H1437" s="168"/>
      <c r="I1437" s="168"/>
      <c r="J1437" s="168"/>
      <c r="K1437" s="168"/>
      <c r="L1437" s="168"/>
      <c r="M1437" s="168"/>
      <c r="N1437" s="168"/>
      <c r="O1437" s="168"/>
      <c r="P1437" s="168"/>
      <c r="Q1437" s="168"/>
      <c r="R1437" s="168"/>
      <c r="S1437" s="168"/>
      <c r="T1437" s="168"/>
      <c r="U1437" s="168"/>
      <c r="V1437" s="168"/>
      <c r="W1437" s="168"/>
      <c r="X1437" s="168"/>
      <c r="Y1437" s="168"/>
      <c r="Z1437" s="168"/>
    </row>
    <row r="1438">
      <c r="A1438" s="168"/>
      <c r="B1438" s="162"/>
      <c r="C1438" s="168"/>
      <c r="D1438" s="168"/>
      <c r="E1438" s="168"/>
      <c r="F1438" s="168"/>
      <c r="G1438" s="168"/>
      <c r="H1438" s="168"/>
      <c r="I1438" s="168"/>
      <c r="J1438" s="168"/>
      <c r="K1438" s="168"/>
      <c r="L1438" s="168"/>
      <c r="M1438" s="168"/>
      <c r="N1438" s="168"/>
      <c r="O1438" s="168"/>
      <c r="P1438" s="168"/>
      <c r="Q1438" s="168"/>
      <c r="R1438" s="168"/>
      <c r="S1438" s="168"/>
      <c r="T1438" s="168"/>
      <c r="U1438" s="168"/>
      <c r="V1438" s="168"/>
      <c r="W1438" s="168"/>
      <c r="X1438" s="168"/>
      <c r="Y1438" s="168"/>
      <c r="Z1438" s="168"/>
    </row>
    <row r="1439">
      <c r="A1439" s="168"/>
      <c r="B1439" s="162"/>
      <c r="C1439" s="168"/>
      <c r="D1439" s="168"/>
      <c r="E1439" s="168"/>
      <c r="F1439" s="168"/>
      <c r="G1439" s="168"/>
      <c r="H1439" s="168"/>
      <c r="I1439" s="168"/>
      <c r="J1439" s="168"/>
      <c r="K1439" s="168"/>
      <c r="L1439" s="168"/>
      <c r="M1439" s="168"/>
      <c r="N1439" s="168"/>
      <c r="O1439" s="168"/>
      <c r="P1439" s="168"/>
      <c r="Q1439" s="168"/>
      <c r="R1439" s="168"/>
      <c r="S1439" s="168"/>
      <c r="T1439" s="168"/>
      <c r="U1439" s="168"/>
      <c r="V1439" s="168"/>
      <c r="W1439" s="168"/>
      <c r="X1439" s="168"/>
      <c r="Y1439" s="168"/>
      <c r="Z1439" s="168"/>
    </row>
    <row r="1440">
      <c r="A1440" s="168"/>
      <c r="B1440" s="162"/>
      <c r="C1440" s="168"/>
      <c r="D1440" s="168"/>
      <c r="E1440" s="168"/>
      <c r="F1440" s="168"/>
      <c r="G1440" s="168"/>
      <c r="H1440" s="168"/>
      <c r="I1440" s="168"/>
      <c r="J1440" s="168"/>
      <c r="K1440" s="168"/>
      <c r="L1440" s="168"/>
      <c r="M1440" s="168"/>
      <c r="N1440" s="168"/>
      <c r="O1440" s="168"/>
      <c r="P1440" s="168"/>
      <c r="Q1440" s="168"/>
      <c r="R1440" s="168"/>
      <c r="S1440" s="168"/>
      <c r="T1440" s="168"/>
      <c r="U1440" s="168"/>
      <c r="V1440" s="168"/>
      <c r="W1440" s="168"/>
      <c r="X1440" s="168"/>
      <c r="Y1440" s="168"/>
      <c r="Z1440" s="168"/>
    </row>
    <row r="1441">
      <c r="A1441" s="168"/>
      <c r="B1441" s="162"/>
      <c r="C1441" s="168"/>
      <c r="D1441" s="168"/>
      <c r="E1441" s="168"/>
      <c r="F1441" s="168"/>
      <c r="G1441" s="168"/>
      <c r="H1441" s="168"/>
      <c r="I1441" s="168"/>
      <c r="J1441" s="168"/>
      <c r="K1441" s="168"/>
      <c r="L1441" s="168"/>
      <c r="M1441" s="168"/>
      <c r="N1441" s="168"/>
      <c r="O1441" s="168"/>
      <c r="P1441" s="168"/>
      <c r="Q1441" s="168"/>
      <c r="R1441" s="168"/>
      <c r="S1441" s="168"/>
      <c r="T1441" s="168"/>
      <c r="U1441" s="168"/>
      <c r="V1441" s="168"/>
      <c r="W1441" s="168"/>
      <c r="X1441" s="168"/>
      <c r="Y1441" s="168"/>
      <c r="Z1441" s="168"/>
    </row>
    <row r="1442">
      <c r="A1442" s="168"/>
      <c r="B1442" s="162"/>
      <c r="C1442" s="168"/>
      <c r="D1442" s="168"/>
      <c r="E1442" s="168"/>
      <c r="F1442" s="168"/>
      <c r="G1442" s="168"/>
      <c r="H1442" s="168"/>
      <c r="I1442" s="168"/>
      <c r="J1442" s="168"/>
      <c r="K1442" s="168"/>
      <c r="L1442" s="168"/>
      <c r="M1442" s="168"/>
      <c r="N1442" s="168"/>
      <c r="O1442" s="168"/>
      <c r="P1442" s="168"/>
      <c r="Q1442" s="168"/>
      <c r="R1442" s="168"/>
      <c r="S1442" s="168"/>
      <c r="T1442" s="168"/>
      <c r="U1442" s="168"/>
      <c r="V1442" s="168"/>
      <c r="W1442" s="168"/>
      <c r="X1442" s="168"/>
      <c r="Y1442" s="168"/>
      <c r="Z1442" s="168"/>
    </row>
    <row r="1443">
      <c r="A1443" s="168"/>
      <c r="B1443" s="162"/>
      <c r="C1443" s="168"/>
      <c r="D1443" s="168"/>
      <c r="E1443" s="168"/>
      <c r="F1443" s="168"/>
      <c r="G1443" s="168"/>
      <c r="H1443" s="168"/>
      <c r="I1443" s="168"/>
      <c r="J1443" s="168"/>
      <c r="K1443" s="168"/>
      <c r="L1443" s="168"/>
      <c r="M1443" s="168"/>
      <c r="N1443" s="168"/>
      <c r="O1443" s="168"/>
      <c r="P1443" s="168"/>
      <c r="Q1443" s="168"/>
      <c r="R1443" s="168"/>
      <c r="S1443" s="168"/>
      <c r="T1443" s="168"/>
      <c r="U1443" s="168"/>
      <c r="V1443" s="168"/>
      <c r="W1443" s="168"/>
      <c r="X1443" s="168"/>
      <c r="Y1443" s="168"/>
      <c r="Z1443" s="168"/>
    </row>
    <row r="1444">
      <c r="A1444" s="168"/>
      <c r="B1444" s="162"/>
      <c r="C1444" s="168"/>
      <c r="D1444" s="168"/>
      <c r="E1444" s="168"/>
      <c r="F1444" s="168"/>
      <c r="G1444" s="168"/>
      <c r="H1444" s="168"/>
      <c r="I1444" s="168"/>
      <c r="J1444" s="168"/>
      <c r="K1444" s="168"/>
      <c r="L1444" s="168"/>
      <c r="M1444" s="168"/>
      <c r="N1444" s="168"/>
      <c r="O1444" s="168"/>
      <c r="P1444" s="168"/>
      <c r="Q1444" s="168"/>
      <c r="R1444" s="168"/>
      <c r="S1444" s="168"/>
      <c r="T1444" s="168"/>
      <c r="U1444" s="168"/>
      <c r="V1444" s="168"/>
      <c r="W1444" s="168"/>
      <c r="X1444" s="168"/>
      <c r="Y1444" s="168"/>
      <c r="Z1444" s="168"/>
    </row>
    <row r="1445">
      <c r="A1445" s="168"/>
      <c r="B1445" s="162"/>
      <c r="C1445" s="168"/>
      <c r="D1445" s="168"/>
      <c r="E1445" s="168"/>
      <c r="F1445" s="168"/>
      <c r="G1445" s="168"/>
      <c r="H1445" s="168"/>
      <c r="I1445" s="168"/>
      <c r="J1445" s="168"/>
      <c r="K1445" s="168"/>
      <c r="L1445" s="168"/>
      <c r="M1445" s="168"/>
      <c r="N1445" s="168"/>
      <c r="O1445" s="168"/>
      <c r="P1445" s="168"/>
      <c r="Q1445" s="168"/>
      <c r="R1445" s="168"/>
      <c r="S1445" s="168"/>
      <c r="T1445" s="168"/>
      <c r="U1445" s="168"/>
      <c r="V1445" s="168"/>
      <c r="W1445" s="168"/>
      <c r="X1445" s="168"/>
      <c r="Y1445" s="168"/>
      <c r="Z1445" s="168"/>
    </row>
    <row r="1446">
      <c r="A1446" s="168"/>
      <c r="B1446" s="162"/>
      <c r="C1446" s="168"/>
      <c r="D1446" s="168"/>
      <c r="E1446" s="168"/>
      <c r="F1446" s="168"/>
      <c r="G1446" s="168"/>
      <c r="H1446" s="168"/>
      <c r="I1446" s="168"/>
      <c r="J1446" s="168"/>
      <c r="K1446" s="168"/>
      <c r="L1446" s="168"/>
      <c r="M1446" s="168"/>
      <c r="N1446" s="168"/>
      <c r="O1446" s="168"/>
      <c r="P1446" s="168"/>
      <c r="Q1446" s="168"/>
      <c r="R1446" s="168"/>
      <c r="S1446" s="168"/>
      <c r="T1446" s="168"/>
      <c r="U1446" s="168"/>
      <c r="V1446" s="168"/>
      <c r="W1446" s="168"/>
      <c r="X1446" s="168"/>
      <c r="Y1446" s="168"/>
      <c r="Z1446" s="168"/>
    </row>
    <row r="1447">
      <c r="A1447" s="168"/>
      <c r="B1447" s="162"/>
      <c r="C1447" s="168"/>
      <c r="D1447" s="168"/>
      <c r="E1447" s="168"/>
      <c r="F1447" s="168"/>
      <c r="G1447" s="168"/>
      <c r="H1447" s="168"/>
      <c r="I1447" s="168"/>
      <c r="J1447" s="168"/>
      <c r="K1447" s="168"/>
      <c r="L1447" s="168"/>
      <c r="M1447" s="168"/>
      <c r="N1447" s="168"/>
      <c r="O1447" s="168"/>
      <c r="P1447" s="168"/>
      <c r="Q1447" s="168"/>
      <c r="R1447" s="168"/>
      <c r="S1447" s="168"/>
      <c r="T1447" s="168"/>
      <c r="U1447" s="168"/>
      <c r="V1447" s="168"/>
      <c r="W1447" s="168"/>
      <c r="X1447" s="168"/>
      <c r="Y1447" s="168"/>
      <c r="Z1447" s="168"/>
    </row>
    <row r="1448">
      <c r="A1448" s="168"/>
      <c r="B1448" s="162"/>
      <c r="C1448" s="168"/>
      <c r="D1448" s="168"/>
      <c r="E1448" s="168"/>
      <c r="F1448" s="168"/>
      <c r="G1448" s="168"/>
      <c r="H1448" s="168"/>
      <c r="I1448" s="168"/>
      <c r="J1448" s="168"/>
      <c r="K1448" s="168"/>
      <c r="L1448" s="168"/>
      <c r="M1448" s="168"/>
      <c r="N1448" s="168"/>
      <c r="O1448" s="168"/>
      <c r="P1448" s="168"/>
      <c r="Q1448" s="168"/>
      <c r="R1448" s="168"/>
      <c r="S1448" s="168"/>
      <c r="T1448" s="168"/>
      <c r="U1448" s="168"/>
      <c r="V1448" s="168"/>
      <c r="W1448" s="168"/>
      <c r="X1448" s="168"/>
      <c r="Y1448" s="168"/>
      <c r="Z1448" s="168"/>
    </row>
    <row r="1449">
      <c r="A1449" s="168"/>
      <c r="B1449" s="162"/>
      <c r="C1449" s="168"/>
      <c r="D1449" s="168"/>
      <c r="E1449" s="168"/>
      <c r="F1449" s="168"/>
      <c r="G1449" s="168"/>
      <c r="H1449" s="168"/>
      <c r="I1449" s="168"/>
      <c r="J1449" s="168"/>
      <c r="K1449" s="168"/>
      <c r="L1449" s="168"/>
      <c r="M1449" s="168"/>
      <c r="N1449" s="168"/>
      <c r="O1449" s="168"/>
      <c r="P1449" s="168"/>
      <c r="Q1449" s="168"/>
      <c r="R1449" s="168"/>
      <c r="S1449" s="168"/>
      <c r="T1449" s="168"/>
      <c r="U1449" s="168"/>
      <c r="V1449" s="168"/>
      <c r="W1449" s="168"/>
      <c r="X1449" s="168"/>
      <c r="Y1449" s="168"/>
      <c r="Z1449" s="168"/>
    </row>
    <row r="1450">
      <c r="A1450" s="168"/>
      <c r="B1450" s="162"/>
      <c r="C1450" s="168"/>
      <c r="D1450" s="168"/>
      <c r="E1450" s="168"/>
      <c r="F1450" s="168"/>
      <c r="G1450" s="168"/>
      <c r="H1450" s="168"/>
      <c r="I1450" s="168"/>
      <c r="J1450" s="168"/>
      <c r="K1450" s="168"/>
      <c r="L1450" s="168"/>
      <c r="M1450" s="168"/>
      <c r="N1450" s="168"/>
      <c r="O1450" s="168"/>
      <c r="P1450" s="168"/>
      <c r="Q1450" s="168"/>
      <c r="R1450" s="168"/>
      <c r="S1450" s="168"/>
      <c r="T1450" s="168"/>
      <c r="U1450" s="168"/>
      <c r="V1450" s="168"/>
      <c r="W1450" s="168"/>
      <c r="X1450" s="168"/>
      <c r="Y1450" s="168"/>
      <c r="Z1450" s="168"/>
    </row>
    <row r="1451">
      <c r="A1451" s="168"/>
      <c r="B1451" s="162"/>
      <c r="C1451" s="168"/>
      <c r="D1451" s="168"/>
      <c r="E1451" s="168"/>
      <c r="F1451" s="168"/>
      <c r="G1451" s="168"/>
      <c r="H1451" s="168"/>
      <c r="I1451" s="168"/>
      <c r="J1451" s="168"/>
      <c r="K1451" s="168"/>
      <c r="L1451" s="168"/>
      <c r="M1451" s="168"/>
      <c r="N1451" s="168"/>
      <c r="O1451" s="168"/>
      <c r="P1451" s="168"/>
      <c r="Q1451" s="168"/>
      <c r="R1451" s="168"/>
      <c r="S1451" s="168"/>
      <c r="T1451" s="168"/>
      <c r="U1451" s="168"/>
      <c r="V1451" s="168"/>
      <c r="W1451" s="168"/>
      <c r="X1451" s="168"/>
      <c r="Y1451" s="168"/>
      <c r="Z1451" s="168"/>
    </row>
    <row r="1452">
      <c r="A1452" s="168"/>
      <c r="B1452" s="162"/>
      <c r="C1452" s="168"/>
      <c r="D1452" s="168"/>
      <c r="E1452" s="168"/>
      <c r="F1452" s="168"/>
      <c r="G1452" s="168"/>
      <c r="H1452" s="168"/>
      <c r="I1452" s="168"/>
      <c r="J1452" s="168"/>
      <c r="K1452" s="168"/>
      <c r="L1452" s="168"/>
      <c r="M1452" s="168"/>
      <c r="N1452" s="168"/>
      <c r="O1452" s="168"/>
      <c r="P1452" s="168"/>
      <c r="Q1452" s="168"/>
      <c r="R1452" s="168"/>
      <c r="S1452" s="168"/>
      <c r="T1452" s="168"/>
      <c r="U1452" s="168"/>
      <c r="V1452" s="168"/>
      <c r="W1452" s="168"/>
      <c r="X1452" s="168"/>
      <c r="Y1452" s="168"/>
      <c r="Z1452" s="168"/>
    </row>
    <row r="1453">
      <c r="A1453" s="168"/>
      <c r="B1453" s="162"/>
      <c r="C1453" s="168"/>
      <c r="D1453" s="168"/>
      <c r="E1453" s="168"/>
      <c r="F1453" s="168"/>
      <c r="G1453" s="168"/>
      <c r="H1453" s="168"/>
      <c r="I1453" s="168"/>
      <c r="J1453" s="168"/>
      <c r="K1453" s="168"/>
      <c r="L1453" s="168"/>
      <c r="M1453" s="168"/>
      <c r="N1453" s="168"/>
      <c r="O1453" s="168"/>
      <c r="P1453" s="168"/>
      <c r="Q1453" s="168"/>
      <c r="R1453" s="168"/>
      <c r="S1453" s="168"/>
      <c r="T1453" s="168"/>
      <c r="U1453" s="168"/>
      <c r="V1453" s="168"/>
      <c r="W1453" s="168"/>
      <c r="X1453" s="168"/>
      <c r="Y1453" s="168"/>
      <c r="Z1453" s="168"/>
    </row>
    <row r="1454">
      <c r="A1454" s="168"/>
      <c r="B1454" s="162"/>
      <c r="C1454" s="168"/>
      <c r="D1454" s="168"/>
      <c r="E1454" s="168"/>
      <c r="F1454" s="168"/>
      <c r="G1454" s="168"/>
      <c r="H1454" s="168"/>
      <c r="I1454" s="168"/>
      <c r="J1454" s="168"/>
      <c r="K1454" s="168"/>
      <c r="L1454" s="168"/>
      <c r="M1454" s="168"/>
      <c r="N1454" s="168"/>
      <c r="O1454" s="168"/>
      <c r="P1454" s="168"/>
      <c r="Q1454" s="168"/>
      <c r="R1454" s="168"/>
      <c r="S1454" s="168"/>
      <c r="T1454" s="168"/>
      <c r="U1454" s="168"/>
      <c r="V1454" s="168"/>
      <c r="W1454" s="168"/>
      <c r="X1454" s="168"/>
      <c r="Y1454" s="168"/>
      <c r="Z1454" s="168"/>
    </row>
    <row r="1455">
      <c r="A1455" s="168"/>
      <c r="B1455" s="162"/>
      <c r="C1455" s="168"/>
      <c r="D1455" s="168"/>
      <c r="E1455" s="168"/>
      <c r="F1455" s="168"/>
      <c r="G1455" s="168"/>
      <c r="H1455" s="168"/>
      <c r="I1455" s="168"/>
      <c r="J1455" s="168"/>
      <c r="K1455" s="168"/>
      <c r="L1455" s="168"/>
      <c r="M1455" s="168"/>
      <c r="N1455" s="168"/>
      <c r="O1455" s="168"/>
      <c r="P1455" s="168"/>
      <c r="Q1455" s="168"/>
      <c r="R1455" s="168"/>
      <c r="S1455" s="168"/>
      <c r="T1455" s="168"/>
      <c r="U1455" s="168"/>
      <c r="V1455" s="168"/>
      <c r="W1455" s="168"/>
      <c r="X1455" s="168"/>
      <c r="Y1455" s="168"/>
      <c r="Z1455" s="168"/>
    </row>
    <row r="1456">
      <c r="A1456" s="168"/>
      <c r="B1456" s="162"/>
      <c r="C1456" s="168"/>
      <c r="D1456" s="168"/>
      <c r="E1456" s="168"/>
      <c r="F1456" s="168"/>
      <c r="G1456" s="168"/>
      <c r="H1456" s="168"/>
      <c r="I1456" s="168"/>
      <c r="J1456" s="168"/>
      <c r="K1456" s="168"/>
      <c r="L1456" s="168"/>
      <c r="M1456" s="168"/>
      <c r="N1456" s="168"/>
      <c r="O1456" s="168"/>
      <c r="P1456" s="168"/>
      <c r="Q1456" s="168"/>
      <c r="R1456" s="168"/>
      <c r="S1456" s="168"/>
      <c r="T1456" s="168"/>
      <c r="U1456" s="168"/>
      <c r="V1456" s="168"/>
      <c r="W1456" s="168"/>
      <c r="X1456" s="168"/>
      <c r="Y1456" s="168"/>
      <c r="Z1456" s="168"/>
    </row>
    <row r="1457">
      <c r="A1457" s="168"/>
      <c r="B1457" s="162"/>
      <c r="C1457" s="168"/>
      <c r="D1457" s="168"/>
      <c r="E1457" s="168"/>
      <c r="F1457" s="168"/>
      <c r="G1457" s="168"/>
      <c r="H1457" s="168"/>
      <c r="I1457" s="168"/>
      <c r="J1457" s="168"/>
      <c r="K1457" s="168"/>
      <c r="L1457" s="168"/>
      <c r="M1457" s="168"/>
      <c r="N1457" s="168"/>
      <c r="O1457" s="168"/>
      <c r="P1457" s="168"/>
      <c r="Q1457" s="168"/>
      <c r="R1457" s="168"/>
      <c r="S1457" s="168"/>
      <c r="T1457" s="168"/>
      <c r="U1457" s="168"/>
      <c r="V1457" s="168"/>
      <c r="W1457" s="168"/>
      <c r="X1457" s="168"/>
      <c r="Y1457" s="168"/>
      <c r="Z1457" s="168"/>
    </row>
    <row r="1458">
      <c r="A1458" s="168"/>
      <c r="B1458" s="162"/>
      <c r="C1458" s="168"/>
      <c r="D1458" s="168"/>
      <c r="E1458" s="168"/>
      <c r="F1458" s="168"/>
      <c r="G1458" s="168"/>
      <c r="H1458" s="168"/>
      <c r="I1458" s="168"/>
      <c r="J1458" s="168"/>
      <c r="K1458" s="168"/>
      <c r="L1458" s="168"/>
      <c r="M1458" s="168"/>
      <c r="N1458" s="168"/>
      <c r="O1458" s="168"/>
      <c r="P1458" s="168"/>
      <c r="Q1458" s="168"/>
      <c r="R1458" s="168"/>
      <c r="S1458" s="168"/>
      <c r="T1458" s="168"/>
      <c r="U1458" s="168"/>
      <c r="V1458" s="168"/>
      <c r="W1458" s="168"/>
      <c r="X1458" s="168"/>
      <c r="Y1458" s="168"/>
      <c r="Z1458" s="168"/>
    </row>
    <row r="1459">
      <c r="A1459" s="168"/>
      <c r="B1459" s="162"/>
      <c r="C1459" s="168"/>
      <c r="D1459" s="168"/>
      <c r="E1459" s="168"/>
      <c r="F1459" s="168"/>
      <c r="G1459" s="168"/>
      <c r="H1459" s="168"/>
      <c r="I1459" s="168"/>
      <c r="J1459" s="168"/>
      <c r="K1459" s="168"/>
      <c r="L1459" s="168"/>
      <c r="M1459" s="168"/>
      <c r="N1459" s="168"/>
      <c r="O1459" s="168"/>
      <c r="P1459" s="168"/>
      <c r="Q1459" s="168"/>
      <c r="R1459" s="168"/>
      <c r="S1459" s="168"/>
      <c r="T1459" s="168"/>
      <c r="U1459" s="168"/>
      <c r="V1459" s="168"/>
      <c r="W1459" s="168"/>
      <c r="X1459" s="168"/>
      <c r="Y1459" s="168"/>
      <c r="Z1459" s="168"/>
    </row>
    <row r="1460">
      <c r="A1460" s="168"/>
      <c r="B1460" s="162"/>
      <c r="C1460" s="168"/>
      <c r="D1460" s="168"/>
      <c r="E1460" s="168"/>
      <c r="F1460" s="168"/>
      <c r="G1460" s="168"/>
      <c r="H1460" s="168"/>
      <c r="I1460" s="168"/>
      <c r="J1460" s="168"/>
      <c r="K1460" s="168"/>
      <c r="L1460" s="168"/>
      <c r="M1460" s="168"/>
      <c r="N1460" s="168"/>
      <c r="O1460" s="168"/>
      <c r="P1460" s="168"/>
      <c r="Q1460" s="168"/>
      <c r="R1460" s="168"/>
      <c r="S1460" s="168"/>
      <c r="T1460" s="168"/>
      <c r="U1460" s="168"/>
      <c r="V1460" s="168"/>
      <c r="W1460" s="168"/>
      <c r="X1460" s="168"/>
      <c r="Y1460" s="168"/>
      <c r="Z1460" s="168"/>
    </row>
    <row r="1461">
      <c r="A1461" s="168"/>
      <c r="B1461" s="162"/>
      <c r="C1461" s="168"/>
      <c r="D1461" s="168"/>
      <c r="E1461" s="168"/>
      <c r="F1461" s="168"/>
      <c r="G1461" s="168"/>
      <c r="H1461" s="168"/>
      <c r="I1461" s="168"/>
      <c r="J1461" s="168"/>
      <c r="K1461" s="168"/>
      <c r="L1461" s="168"/>
      <c r="M1461" s="168"/>
      <c r="N1461" s="168"/>
      <c r="O1461" s="168"/>
      <c r="P1461" s="168"/>
      <c r="Q1461" s="168"/>
      <c r="R1461" s="168"/>
      <c r="S1461" s="168"/>
      <c r="T1461" s="168"/>
      <c r="U1461" s="168"/>
      <c r="V1461" s="168"/>
      <c r="W1461" s="168"/>
      <c r="X1461" s="168"/>
      <c r="Y1461" s="168"/>
      <c r="Z1461" s="168"/>
    </row>
    <row r="1462">
      <c r="A1462" s="168"/>
      <c r="B1462" s="162"/>
      <c r="C1462" s="168"/>
      <c r="D1462" s="168"/>
      <c r="E1462" s="168"/>
      <c r="F1462" s="168"/>
      <c r="G1462" s="168"/>
      <c r="H1462" s="168"/>
      <c r="I1462" s="168"/>
      <c r="J1462" s="168"/>
      <c r="K1462" s="168"/>
      <c r="L1462" s="168"/>
      <c r="M1462" s="168"/>
      <c r="N1462" s="168"/>
      <c r="O1462" s="168"/>
      <c r="P1462" s="168"/>
      <c r="Q1462" s="168"/>
      <c r="R1462" s="168"/>
      <c r="S1462" s="168"/>
      <c r="T1462" s="168"/>
      <c r="U1462" s="168"/>
      <c r="V1462" s="168"/>
      <c r="W1462" s="168"/>
      <c r="X1462" s="168"/>
      <c r="Y1462" s="168"/>
      <c r="Z1462" s="168"/>
    </row>
    <row r="1463">
      <c r="A1463" s="168"/>
      <c r="B1463" s="162"/>
      <c r="C1463" s="168"/>
      <c r="D1463" s="168"/>
      <c r="E1463" s="168"/>
      <c r="F1463" s="168"/>
      <c r="G1463" s="168"/>
      <c r="H1463" s="168"/>
      <c r="I1463" s="168"/>
      <c r="J1463" s="168"/>
      <c r="K1463" s="168"/>
      <c r="L1463" s="168"/>
      <c r="M1463" s="168"/>
      <c r="N1463" s="168"/>
      <c r="O1463" s="168"/>
      <c r="P1463" s="168"/>
      <c r="Q1463" s="168"/>
      <c r="R1463" s="168"/>
      <c r="S1463" s="168"/>
      <c r="T1463" s="168"/>
      <c r="U1463" s="168"/>
      <c r="V1463" s="168"/>
      <c r="W1463" s="168"/>
      <c r="X1463" s="168"/>
      <c r="Y1463" s="168"/>
      <c r="Z1463" s="168"/>
    </row>
    <row r="1464">
      <c r="A1464" s="168"/>
      <c r="B1464" s="162"/>
      <c r="C1464" s="168"/>
      <c r="D1464" s="168"/>
      <c r="E1464" s="168"/>
      <c r="F1464" s="168"/>
      <c r="G1464" s="168"/>
      <c r="H1464" s="168"/>
      <c r="I1464" s="168"/>
      <c r="J1464" s="168"/>
      <c r="K1464" s="168"/>
      <c r="L1464" s="168"/>
      <c r="M1464" s="168"/>
      <c r="N1464" s="168"/>
      <c r="O1464" s="168"/>
      <c r="P1464" s="168"/>
      <c r="Q1464" s="168"/>
      <c r="R1464" s="168"/>
      <c r="S1464" s="168"/>
      <c r="T1464" s="168"/>
      <c r="U1464" s="168"/>
      <c r="V1464" s="168"/>
      <c r="W1464" s="168"/>
      <c r="X1464" s="168"/>
      <c r="Y1464" s="168"/>
      <c r="Z1464" s="168"/>
    </row>
    <row r="1465">
      <c r="A1465" s="168"/>
      <c r="B1465" s="162"/>
      <c r="C1465" s="168"/>
      <c r="D1465" s="168"/>
      <c r="E1465" s="168"/>
      <c r="F1465" s="168"/>
      <c r="G1465" s="168"/>
      <c r="H1465" s="168"/>
      <c r="I1465" s="168"/>
      <c r="J1465" s="168"/>
      <c r="K1465" s="168"/>
      <c r="L1465" s="168"/>
      <c r="M1465" s="168"/>
      <c r="N1465" s="168"/>
      <c r="O1465" s="168"/>
      <c r="P1465" s="168"/>
      <c r="Q1465" s="168"/>
      <c r="R1465" s="168"/>
      <c r="S1465" s="168"/>
      <c r="T1465" s="168"/>
      <c r="U1465" s="168"/>
      <c r="V1465" s="168"/>
      <c r="W1465" s="168"/>
      <c r="X1465" s="168"/>
      <c r="Y1465" s="168"/>
      <c r="Z1465" s="168"/>
    </row>
    <row r="1466">
      <c r="A1466" s="168"/>
      <c r="B1466" s="162"/>
      <c r="C1466" s="168"/>
      <c r="D1466" s="168"/>
      <c r="E1466" s="168"/>
      <c r="F1466" s="168"/>
      <c r="G1466" s="168"/>
      <c r="H1466" s="168"/>
      <c r="I1466" s="168"/>
      <c r="J1466" s="168"/>
      <c r="K1466" s="168"/>
      <c r="L1466" s="168"/>
      <c r="M1466" s="168"/>
      <c r="N1466" s="168"/>
      <c r="O1466" s="168"/>
      <c r="P1466" s="168"/>
      <c r="Q1466" s="168"/>
      <c r="R1466" s="168"/>
      <c r="S1466" s="168"/>
      <c r="T1466" s="168"/>
      <c r="U1466" s="168"/>
      <c r="V1466" s="168"/>
      <c r="W1466" s="168"/>
      <c r="X1466" s="168"/>
      <c r="Y1466" s="168"/>
      <c r="Z1466" s="168"/>
    </row>
    <row r="1467">
      <c r="A1467" s="168"/>
      <c r="B1467" s="162"/>
      <c r="C1467" s="168"/>
      <c r="D1467" s="168"/>
      <c r="E1467" s="168"/>
      <c r="F1467" s="168"/>
      <c r="G1467" s="168"/>
      <c r="H1467" s="168"/>
      <c r="I1467" s="168"/>
      <c r="J1467" s="168"/>
      <c r="K1467" s="168"/>
      <c r="L1467" s="168"/>
      <c r="M1467" s="168"/>
      <c r="N1467" s="168"/>
      <c r="O1467" s="168"/>
      <c r="P1467" s="168"/>
      <c r="Q1467" s="168"/>
      <c r="R1467" s="168"/>
      <c r="S1467" s="168"/>
      <c r="T1467" s="168"/>
      <c r="U1467" s="168"/>
      <c r="V1467" s="168"/>
      <c r="W1467" s="168"/>
      <c r="X1467" s="168"/>
      <c r="Y1467" s="168"/>
      <c r="Z1467" s="168"/>
    </row>
    <row r="1468">
      <c r="A1468" s="168"/>
      <c r="B1468" s="162"/>
      <c r="C1468" s="168"/>
      <c r="D1468" s="168"/>
      <c r="E1468" s="168"/>
      <c r="F1468" s="168"/>
      <c r="G1468" s="168"/>
      <c r="H1468" s="168"/>
      <c r="I1468" s="168"/>
      <c r="J1468" s="168"/>
      <c r="K1468" s="168"/>
      <c r="L1468" s="168"/>
      <c r="M1468" s="168"/>
      <c r="N1468" s="168"/>
      <c r="O1468" s="168"/>
      <c r="P1468" s="168"/>
      <c r="Q1468" s="168"/>
      <c r="R1468" s="168"/>
      <c r="S1468" s="168"/>
      <c r="T1468" s="168"/>
      <c r="U1468" s="168"/>
      <c r="V1468" s="168"/>
      <c r="W1468" s="168"/>
      <c r="X1468" s="168"/>
      <c r="Y1468" s="168"/>
      <c r="Z1468" s="168"/>
    </row>
    <row r="1469">
      <c r="A1469" s="168"/>
      <c r="B1469" s="162"/>
      <c r="C1469" s="168"/>
      <c r="D1469" s="168"/>
      <c r="E1469" s="168"/>
      <c r="F1469" s="168"/>
      <c r="G1469" s="168"/>
      <c r="H1469" s="168"/>
      <c r="I1469" s="168"/>
      <c r="J1469" s="168"/>
      <c r="K1469" s="168"/>
      <c r="L1469" s="168"/>
      <c r="M1469" s="168"/>
      <c r="N1469" s="168"/>
      <c r="O1469" s="168"/>
      <c r="P1469" s="168"/>
      <c r="Q1469" s="168"/>
      <c r="R1469" s="168"/>
      <c r="S1469" s="168"/>
      <c r="T1469" s="168"/>
      <c r="U1469" s="168"/>
      <c r="V1469" s="168"/>
      <c r="W1469" s="168"/>
      <c r="X1469" s="168"/>
      <c r="Y1469" s="168"/>
      <c r="Z1469" s="168"/>
    </row>
    <row r="1470">
      <c r="A1470" s="168"/>
      <c r="B1470" s="162"/>
      <c r="C1470" s="168"/>
      <c r="D1470" s="168"/>
      <c r="E1470" s="168"/>
      <c r="F1470" s="168"/>
      <c r="G1470" s="168"/>
      <c r="H1470" s="168"/>
      <c r="I1470" s="168"/>
      <c r="J1470" s="168"/>
      <c r="K1470" s="168"/>
      <c r="L1470" s="168"/>
      <c r="M1470" s="168"/>
      <c r="N1470" s="168"/>
      <c r="O1470" s="168"/>
      <c r="P1470" s="168"/>
      <c r="Q1470" s="168"/>
      <c r="R1470" s="168"/>
      <c r="S1470" s="168"/>
      <c r="T1470" s="168"/>
      <c r="U1470" s="168"/>
      <c r="V1470" s="168"/>
      <c r="W1470" s="168"/>
      <c r="X1470" s="168"/>
      <c r="Y1470" s="168"/>
      <c r="Z1470" s="168"/>
    </row>
    <row r="1471">
      <c r="A1471" s="168"/>
      <c r="B1471" s="162"/>
      <c r="C1471" s="168"/>
      <c r="D1471" s="168"/>
      <c r="E1471" s="168"/>
      <c r="F1471" s="168"/>
      <c r="G1471" s="168"/>
      <c r="H1471" s="168"/>
      <c r="I1471" s="168"/>
      <c r="J1471" s="168"/>
      <c r="K1471" s="168"/>
      <c r="L1471" s="168"/>
      <c r="M1471" s="168"/>
      <c r="N1471" s="168"/>
      <c r="O1471" s="168"/>
      <c r="P1471" s="168"/>
      <c r="Q1471" s="168"/>
      <c r="R1471" s="168"/>
      <c r="S1471" s="168"/>
      <c r="T1471" s="168"/>
      <c r="U1471" s="168"/>
      <c r="V1471" s="168"/>
      <c r="W1471" s="168"/>
      <c r="X1471" s="168"/>
      <c r="Y1471" s="168"/>
      <c r="Z1471" s="168"/>
    </row>
    <row r="1472">
      <c r="A1472" s="168"/>
      <c r="B1472" s="162"/>
      <c r="C1472" s="168"/>
      <c r="D1472" s="168"/>
      <c r="E1472" s="168"/>
      <c r="F1472" s="168"/>
      <c r="G1472" s="168"/>
      <c r="H1472" s="168"/>
      <c r="I1472" s="168"/>
      <c r="J1472" s="168"/>
      <c r="K1472" s="168"/>
      <c r="L1472" s="168"/>
      <c r="M1472" s="168"/>
      <c r="N1472" s="168"/>
      <c r="O1472" s="168"/>
      <c r="P1472" s="168"/>
      <c r="Q1472" s="168"/>
      <c r="R1472" s="168"/>
      <c r="S1472" s="168"/>
      <c r="T1472" s="168"/>
      <c r="U1472" s="168"/>
      <c r="V1472" s="168"/>
      <c r="W1472" s="168"/>
      <c r="X1472" s="168"/>
      <c r="Y1472" s="168"/>
      <c r="Z1472" s="168"/>
    </row>
    <row r="1473">
      <c r="A1473" s="168"/>
      <c r="B1473" s="162"/>
      <c r="C1473" s="168"/>
      <c r="D1473" s="168"/>
      <c r="E1473" s="168"/>
      <c r="F1473" s="168"/>
      <c r="G1473" s="168"/>
      <c r="H1473" s="168"/>
      <c r="I1473" s="168"/>
      <c r="J1473" s="168"/>
      <c r="K1473" s="168"/>
      <c r="L1473" s="168"/>
      <c r="M1473" s="168"/>
      <c r="N1473" s="168"/>
      <c r="O1473" s="168"/>
      <c r="P1473" s="168"/>
      <c r="Q1473" s="168"/>
      <c r="R1473" s="168"/>
      <c r="S1473" s="168"/>
      <c r="T1473" s="168"/>
      <c r="U1473" s="168"/>
      <c r="V1473" s="168"/>
      <c r="W1473" s="168"/>
      <c r="X1473" s="168"/>
      <c r="Y1473" s="168"/>
      <c r="Z1473" s="168"/>
    </row>
    <row r="1474">
      <c r="A1474" s="168"/>
      <c r="B1474" s="162"/>
      <c r="C1474" s="168"/>
      <c r="D1474" s="168"/>
      <c r="E1474" s="168"/>
      <c r="F1474" s="168"/>
      <c r="G1474" s="168"/>
      <c r="H1474" s="168"/>
      <c r="I1474" s="168"/>
      <c r="J1474" s="168"/>
      <c r="K1474" s="168"/>
      <c r="L1474" s="168"/>
      <c r="M1474" s="168"/>
      <c r="N1474" s="168"/>
      <c r="O1474" s="168"/>
      <c r="P1474" s="168"/>
      <c r="Q1474" s="168"/>
      <c r="R1474" s="168"/>
      <c r="S1474" s="168"/>
      <c r="T1474" s="168"/>
      <c r="U1474" s="168"/>
      <c r="V1474" s="168"/>
      <c r="W1474" s="168"/>
      <c r="X1474" s="168"/>
      <c r="Y1474" s="168"/>
      <c r="Z1474" s="168"/>
    </row>
    <row r="1475">
      <c r="A1475" s="168"/>
      <c r="B1475" s="162"/>
      <c r="C1475" s="168"/>
      <c r="D1475" s="168"/>
      <c r="E1475" s="168"/>
      <c r="F1475" s="168"/>
      <c r="G1475" s="168"/>
      <c r="H1475" s="168"/>
      <c r="I1475" s="168"/>
      <c r="J1475" s="168"/>
      <c r="K1475" s="168"/>
      <c r="L1475" s="168"/>
      <c r="M1475" s="168"/>
      <c r="N1475" s="168"/>
      <c r="O1475" s="168"/>
      <c r="P1475" s="168"/>
      <c r="Q1475" s="168"/>
      <c r="R1475" s="168"/>
      <c r="S1475" s="168"/>
      <c r="T1475" s="168"/>
      <c r="U1475" s="168"/>
      <c r="V1475" s="168"/>
      <c r="W1475" s="168"/>
      <c r="X1475" s="168"/>
      <c r="Y1475" s="168"/>
      <c r="Z1475" s="168"/>
    </row>
    <row r="1476">
      <c r="A1476" s="168"/>
      <c r="B1476" s="162"/>
      <c r="C1476" s="168"/>
      <c r="D1476" s="168"/>
      <c r="E1476" s="168"/>
      <c r="F1476" s="168"/>
      <c r="G1476" s="168"/>
      <c r="H1476" s="168"/>
      <c r="I1476" s="168"/>
      <c r="J1476" s="168"/>
      <c r="K1476" s="168"/>
      <c r="L1476" s="168"/>
      <c r="M1476" s="168"/>
      <c r="N1476" s="168"/>
      <c r="O1476" s="168"/>
      <c r="P1476" s="168"/>
      <c r="Q1476" s="168"/>
      <c r="R1476" s="168"/>
      <c r="S1476" s="168"/>
      <c r="T1476" s="168"/>
      <c r="U1476" s="168"/>
      <c r="V1476" s="168"/>
      <c r="W1476" s="168"/>
      <c r="X1476" s="168"/>
      <c r="Y1476" s="168"/>
      <c r="Z1476" s="168"/>
    </row>
    <row r="1477">
      <c r="A1477" s="168"/>
      <c r="B1477" s="162"/>
      <c r="C1477" s="168"/>
      <c r="D1477" s="168"/>
      <c r="E1477" s="168"/>
      <c r="F1477" s="168"/>
      <c r="G1477" s="168"/>
      <c r="H1477" s="168"/>
      <c r="I1477" s="168"/>
      <c r="J1477" s="168"/>
      <c r="K1477" s="168"/>
      <c r="L1477" s="168"/>
      <c r="M1477" s="168"/>
      <c r="N1477" s="168"/>
      <c r="O1477" s="168"/>
      <c r="P1477" s="168"/>
      <c r="Q1477" s="168"/>
      <c r="R1477" s="168"/>
      <c r="S1477" s="168"/>
      <c r="T1477" s="168"/>
      <c r="U1477" s="168"/>
      <c r="V1477" s="168"/>
      <c r="W1477" s="168"/>
      <c r="X1477" s="168"/>
      <c r="Y1477" s="168"/>
      <c r="Z1477" s="168"/>
    </row>
    <row r="1478">
      <c r="A1478" s="168"/>
      <c r="B1478" s="162"/>
      <c r="C1478" s="168"/>
      <c r="D1478" s="168"/>
      <c r="E1478" s="168"/>
      <c r="F1478" s="168"/>
      <c r="G1478" s="168"/>
      <c r="H1478" s="168"/>
      <c r="I1478" s="168"/>
      <c r="J1478" s="168"/>
      <c r="K1478" s="168"/>
      <c r="L1478" s="168"/>
      <c r="M1478" s="168"/>
      <c r="N1478" s="168"/>
      <c r="O1478" s="168"/>
      <c r="P1478" s="168"/>
      <c r="Q1478" s="168"/>
      <c r="R1478" s="168"/>
      <c r="S1478" s="168"/>
      <c r="T1478" s="168"/>
      <c r="U1478" s="168"/>
      <c r="V1478" s="168"/>
      <c r="W1478" s="168"/>
      <c r="X1478" s="168"/>
      <c r="Y1478" s="168"/>
      <c r="Z1478" s="168"/>
    </row>
    <row r="1479">
      <c r="A1479" s="168"/>
      <c r="B1479" s="162"/>
      <c r="C1479" s="168"/>
      <c r="D1479" s="168"/>
      <c r="E1479" s="168"/>
      <c r="F1479" s="168"/>
      <c r="G1479" s="168"/>
      <c r="H1479" s="168"/>
      <c r="I1479" s="168"/>
      <c r="J1479" s="168"/>
      <c r="K1479" s="168"/>
      <c r="L1479" s="168"/>
      <c r="M1479" s="168"/>
      <c r="N1479" s="168"/>
      <c r="O1479" s="168"/>
      <c r="P1479" s="168"/>
      <c r="Q1479" s="168"/>
      <c r="R1479" s="168"/>
      <c r="S1479" s="168"/>
      <c r="T1479" s="168"/>
      <c r="U1479" s="168"/>
      <c r="V1479" s="168"/>
      <c r="W1479" s="168"/>
      <c r="X1479" s="168"/>
      <c r="Y1479" s="168"/>
      <c r="Z1479" s="168"/>
    </row>
    <row r="1480">
      <c r="A1480" s="168"/>
      <c r="B1480" s="162"/>
      <c r="C1480" s="168"/>
      <c r="D1480" s="168"/>
      <c r="E1480" s="168"/>
      <c r="F1480" s="168"/>
      <c r="G1480" s="168"/>
      <c r="H1480" s="168"/>
      <c r="I1480" s="168"/>
      <c r="J1480" s="168"/>
      <c r="K1480" s="168"/>
      <c r="L1480" s="168"/>
      <c r="M1480" s="168"/>
      <c r="N1480" s="168"/>
      <c r="O1480" s="168"/>
      <c r="P1480" s="168"/>
      <c r="Q1480" s="168"/>
      <c r="R1480" s="168"/>
      <c r="S1480" s="168"/>
      <c r="T1480" s="168"/>
      <c r="U1480" s="168"/>
      <c r="V1480" s="168"/>
      <c r="W1480" s="168"/>
      <c r="X1480" s="168"/>
      <c r="Y1480" s="168"/>
      <c r="Z1480" s="168"/>
    </row>
    <row r="1481">
      <c r="A1481" s="168"/>
      <c r="B1481" s="162"/>
      <c r="C1481" s="168"/>
      <c r="D1481" s="168"/>
      <c r="E1481" s="168"/>
      <c r="F1481" s="168"/>
      <c r="G1481" s="168"/>
      <c r="H1481" s="168"/>
      <c r="I1481" s="168"/>
      <c r="J1481" s="168"/>
      <c r="K1481" s="168"/>
      <c r="L1481" s="168"/>
      <c r="M1481" s="168"/>
      <c r="N1481" s="168"/>
      <c r="O1481" s="168"/>
      <c r="P1481" s="168"/>
      <c r="Q1481" s="168"/>
      <c r="R1481" s="168"/>
      <c r="S1481" s="168"/>
      <c r="T1481" s="168"/>
      <c r="U1481" s="168"/>
      <c r="V1481" s="168"/>
      <c r="W1481" s="168"/>
      <c r="X1481" s="168"/>
      <c r="Y1481" s="168"/>
      <c r="Z1481" s="168"/>
    </row>
    <row r="1482">
      <c r="A1482" s="168"/>
      <c r="B1482" s="162"/>
      <c r="C1482" s="168"/>
      <c r="D1482" s="168"/>
      <c r="E1482" s="168"/>
      <c r="F1482" s="168"/>
      <c r="G1482" s="168"/>
      <c r="H1482" s="168"/>
      <c r="I1482" s="168"/>
      <c r="J1482" s="168"/>
      <c r="K1482" s="168"/>
      <c r="L1482" s="168"/>
      <c r="M1482" s="168"/>
      <c r="N1482" s="168"/>
      <c r="O1482" s="168"/>
      <c r="P1482" s="168"/>
      <c r="Q1482" s="168"/>
      <c r="R1482" s="168"/>
      <c r="S1482" s="168"/>
      <c r="T1482" s="168"/>
      <c r="U1482" s="168"/>
      <c r="V1482" s="168"/>
      <c r="W1482" s="168"/>
      <c r="X1482" s="168"/>
      <c r="Y1482" s="168"/>
      <c r="Z1482" s="168"/>
    </row>
    <row r="1483">
      <c r="A1483" s="168"/>
      <c r="B1483" s="162"/>
      <c r="C1483" s="168"/>
      <c r="D1483" s="168"/>
      <c r="E1483" s="168"/>
      <c r="F1483" s="168"/>
      <c r="G1483" s="168"/>
      <c r="H1483" s="168"/>
      <c r="I1483" s="168"/>
      <c r="J1483" s="168"/>
      <c r="K1483" s="168"/>
      <c r="L1483" s="168"/>
      <c r="M1483" s="168"/>
      <c r="N1483" s="168"/>
      <c r="O1483" s="168"/>
      <c r="P1483" s="168"/>
      <c r="Q1483" s="168"/>
      <c r="R1483" s="168"/>
      <c r="S1483" s="168"/>
      <c r="T1483" s="168"/>
      <c r="U1483" s="168"/>
      <c r="V1483" s="168"/>
      <c r="W1483" s="168"/>
      <c r="X1483" s="168"/>
      <c r="Y1483" s="168"/>
      <c r="Z1483" s="168"/>
    </row>
    <row r="1484">
      <c r="A1484" s="168"/>
      <c r="B1484" s="162"/>
      <c r="C1484" s="168"/>
      <c r="D1484" s="168"/>
      <c r="E1484" s="168"/>
      <c r="F1484" s="168"/>
      <c r="G1484" s="168"/>
      <c r="H1484" s="168"/>
      <c r="I1484" s="168"/>
      <c r="J1484" s="168"/>
      <c r="K1484" s="168"/>
      <c r="L1484" s="168"/>
      <c r="M1484" s="168"/>
      <c r="N1484" s="168"/>
      <c r="O1484" s="168"/>
      <c r="P1484" s="168"/>
      <c r="Q1484" s="168"/>
      <c r="R1484" s="168"/>
      <c r="S1484" s="168"/>
      <c r="T1484" s="168"/>
      <c r="U1484" s="168"/>
      <c r="V1484" s="168"/>
      <c r="W1484" s="168"/>
      <c r="X1484" s="168"/>
      <c r="Y1484" s="168"/>
      <c r="Z1484" s="168"/>
    </row>
    <row r="1485">
      <c r="A1485" s="168"/>
      <c r="B1485" s="162"/>
      <c r="C1485" s="168"/>
      <c r="D1485" s="168"/>
      <c r="E1485" s="168"/>
      <c r="F1485" s="168"/>
      <c r="G1485" s="168"/>
      <c r="H1485" s="168"/>
      <c r="I1485" s="168"/>
      <c r="J1485" s="168"/>
      <c r="K1485" s="168"/>
      <c r="L1485" s="168"/>
      <c r="M1485" s="168"/>
      <c r="N1485" s="168"/>
      <c r="O1485" s="168"/>
      <c r="P1485" s="168"/>
      <c r="Q1485" s="168"/>
      <c r="R1485" s="168"/>
      <c r="S1485" s="168"/>
      <c r="T1485" s="168"/>
      <c r="U1485" s="168"/>
      <c r="V1485" s="168"/>
      <c r="W1485" s="168"/>
      <c r="X1485" s="168"/>
      <c r="Y1485" s="168"/>
      <c r="Z1485" s="168"/>
    </row>
    <row r="1486">
      <c r="A1486" s="168"/>
      <c r="B1486" s="162"/>
      <c r="C1486" s="168"/>
      <c r="D1486" s="168"/>
      <c r="E1486" s="168"/>
      <c r="F1486" s="168"/>
      <c r="G1486" s="168"/>
      <c r="H1486" s="168"/>
      <c r="I1486" s="168"/>
      <c r="J1486" s="168"/>
      <c r="K1486" s="168"/>
      <c r="L1486" s="168"/>
      <c r="M1486" s="168"/>
      <c r="N1486" s="168"/>
      <c r="O1486" s="168"/>
      <c r="P1486" s="168"/>
      <c r="Q1486" s="168"/>
      <c r="R1486" s="168"/>
      <c r="S1486" s="168"/>
      <c r="T1486" s="168"/>
      <c r="U1486" s="168"/>
      <c r="V1486" s="168"/>
      <c r="W1486" s="168"/>
      <c r="X1486" s="168"/>
      <c r="Y1486" s="168"/>
      <c r="Z1486" s="168"/>
    </row>
    <row r="1487">
      <c r="A1487" s="168"/>
      <c r="B1487" s="162"/>
      <c r="C1487" s="168"/>
      <c r="D1487" s="168"/>
      <c r="E1487" s="168"/>
      <c r="F1487" s="168"/>
      <c r="G1487" s="168"/>
      <c r="H1487" s="168"/>
      <c r="I1487" s="168"/>
      <c r="J1487" s="168"/>
      <c r="K1487" s="168"/>
      <c r="L1487" s="168"/>
      <c r="M1487" s="168"/>
      <c r="N1487" s="168"/>
      <c r="O1487" s="168"/>
      <c r="P1487" s="168"/>
      <c r="Q1487" s="168"/>
      <c r="R1487" s="168"/>
      <c r="S1487" s="168"/>
      <c r="T1487" s="168"/>
      <c r="U1487" s="168"/>
      <c r="V1487" s="168"/>
      <c r="W1487" s="168"/>
      <c r="X1487" s="168"/>
      <c r="Y1487" s="168"/>
      <c r="Z1487" s="168"/>
    </row>
    <row r="1488">
      <c r="A1488" s="168"/>
      <c r="B1488" s="162"/>
      <c r="C1488" s="168"/>
      <c r="D1488" s="168"/>
      <c r="E1488" s="168"/>
      <c r="F1488" s="168"/>
      <c r="G1488" s="168"/>
      <c r="H1488" s="168"/>
      <c r="I1488" s="168"/>
      <c r="J1488" s="168"/>
      <c r="K1488" s="168"/>
      <c r="L1488" s="168"/>
      <c r="M1488" s="168"/>
      <c r="N1488" s="168"/>
      <c r="O1488" s="168"/>
      <c r="P1488" s="168"/>
      <c r="Q1488" s="168"/>
      <c r="R1488" s="168"/>
      <c r="S1488" s="168"/>
      <c r="T1488" s="168"/>
      <c r="U1488" s="168"/>
      <c r="V1488" s="168"/>
      <c r="W1488" s="168"/>
      <c r="X1488" s="168"/>
      <c r="Y1488" s="168"/>
      <c r="Z1488" s="168"/>
    </row>
    <row r="1489">
      <c r="A1489" s="168"/>
      <c r="B1489" s="162"/>
      <c r="C1489" s="168"/>
      <c r="D1489" s="168"/>
      <c r="E1489" s="168"/>
      <c r="F1489" s="168"/>
      <c r="G1489" s="168"/>
      <c r="H1489" s="168"/>
      <c r="I1489" s="168"/>
      <c r="J1489" s="168"/>
      <c r="K1489" s="168"/>
      <c r="L1489" s="168"/>
      <c r="M1489" s="168"/>
      <c r="N1489" s="168"/>
      <c r="O1489" s="168"/>
      <c r="P1489" s="168"/>
      <c r="Q1489" s="168"/>
      <c r="R1489" s="168"/>
      <c r="S1489" s="168"/>
      <c r="T1489" s="168"/>
      <c r="U1489" s="168"/>
      <c r="V1489" s="168"/>
      <c r="W1489" s="168"/>
      <c r="X1489" s="168"/>
      <c r="Y1489" s="168"/>
      <c r="Z1489" s="168"/>
    </row>
    <row r="1490">
      <c r="A1490" s="168"/>
      <c r="B1490" s="162"/>
      <c r="C1490" s="168"/>
      <c r="D1490" s="168"/>
      <c r="E1490" s="168"/>
      <c r="F1490" s="168"/>
      <c r="G1490" s="168"/>
      <c r="H1490" s="168"/>
      <c r="I1490" s="168"/>
      <c r="J1490" s="168"/>
      <c r="K1490" s="168"/>
      <c r="L1490" s="168"/>
      <c r="M1490" s="168"/>
      <c r="N1490" s="168"/>
      <c r="O1490" s="168"/>
      <c r="P1490" s="168"/>
      <c r="Q1490" s="168"/>
      <c r="R1490" s="168"/>
      <c r="S1490" s="168"/>
      <c r="T1490" s="168"/>
      <c r="U1490" s="168"/>
      <c r="V1490" s="168"/>
      <c r="W1490" s="168"/>
      <c r="X1490" s="168"/>
      <c r="Y1490" s="168"/>
      <c r="Z1490" s="168"/>
    </row>
    <row r="1491">
      <c r="A1491" s="168"/>
      <c r="B1491" s="162"/>
      <c r="C1491" s="168"/>
      <c r="D1491" s="168"/>
      <c r="E1491" s="168"/>
      <c r="F1491" s="168"/>
      <c r="G1491" s="168"/>
      <c r="H1491" s="168"/>
      <c r="I1491" s="168"/>
      <c r="J1491" s="168"/>
      <c r="K1491" s="168"/>
      <c r="L1491" s="168"/>
      <c r="M1491" s="168"/>
      <c r="N1491" s="168"/>
      <c r="O1491" s="168"/>
      <c r="P1491" s="168"/>
      <c r="Q1491" s="168"/>
      <c r="R1491" s="168"/>
      <c r="S1491" s="168"/>
      <c r="T1491" s="168"/>
      <c r="U1491" s="168"/>
      <c r="V1491" s="168"/>
      <c r="W1491" s="168"/>
      <c r="X1491" s="168"/>
      <c r="Y1491" s="168"/>
      <c r="Z1491" s="168"/>
    </row>
    <row r="1492">
      <c r="A1492" s="168"/>
      <c r="B1492" s="162"/>
      <c r="C1492" s="168"/>
      <c r="D1492" s="168"/>
      <c r="E1492" s="168"/>
      <c r="F1492" s="168"/>
      <c r="G1492" s="168"/>
      <c r="H1492" s="168"/>
      <c r="I1492" s="168"/>
      <c r="J1492" s="168"/>
      <c r="K1492" s="168"/>
      <c r="L1492" s="168"/>
      <c r="M1492" s="168"/>
      <c r="N1492" s="168"/>
      <c r="O1492" s="168"/>
      <c r="P1492" s="168"/>
      <c r="Q1492" s="168"/>
      <c r="R1492" s="168"/>
      <c r="S1492" s="168"/>
      <c r="T1492" s="168"/>
      <c r="U1492" s="168"/>
      <c r="V1492" s="168"/>
      <c r="W1492" s="168"/>
      <c r="X1492" s="168"/>
      <c r="Y1492" s="168"/>
      <c r="Z1492" s="168"/>
    </row>
    <row r="1493">
      <c r="A1493" s="168"/>
      <c r="B1493" s="162"/>
      <c r="C1493" s="168"/>
      <c r="D1493" s="168"/>
      <c r="E1493" s="168"/>
      <c r="F1493" s="168"/>
      <c r="G1493" s="168"/>
      <c r="H1493" s="168"/>
      <c r="I1493" s="168"/>
      <c r="J1493" s="168"/>
      <c r="K1493" s="168"/>
      <c r="L1493" s="168"/>
      <c r="M1493" s="168"/>
      <c r="N1493" s="168"/>
      <c r="O1493" s="168"/>
      <c r="P1493" s="168"/>
      <c r="Q1493" s="168"/>
      <c r="R1493" s="168"/>
      <c r="S1493" s="168"/>
      <c r="T1493" s="168"/>
      <c r="U1493" s="168"/>
      <c r="V1493" s="168"/>
      <c r="W1493" s="168"/>
      <c r="X1493" s="168"/>
      <c r="Y1493" s="168"/>
      <c r="Z1493" s="168"/>
    </row>
    <row r="1494">
      <c r="A1494" s="168"/>
      <c r="B1494" s="162"/>
      <c r="C1494" s="168"/>
      <c r="D1494" s="168"/>
      <c r="E1494" s="168"/>
      <c r="F1494" s="168"/>
      <c r="G1494" s="168"/>
      <c r="H1494" s="168"/>
      <c r="I1494" s="168"/>
      <c r="J1494" s="168"/>
      <c r="K1494" s="168"/>
      <c r="L1494" s="168"/>
      <c r="M1494" s="168"/>
      <c r="N1494" s="168"/>
      <c r="O1494" s="168"/>
      <c r="P1494" s="168"/>
      <c r="Q1494" s="168"/>
      <c r="R1494" s="168"/>
      <c r="S1494" s="168"/>
      <c r="T1494" s="168"/>
      <c r="U1494" s="168"/>
      <c r="V1494" s="168"/>
      <c r="W1494" s="168"/>
      <c r="X1494" s="168"/>
      <c r="Y1494" s="168"/>
      <c r="Z1494" s="168"/>
    </row>
    <row r="1495">
      <c r="A1495" s="168"/>
      <c r="B1495" s="162"/>
      <c r="C1495" s="168"/>
      <c r="D1495" s="168"/>
      <c r="E1495" s="168"/>
      <c r="F1495" s="168"/>
      <c r="G1495" s="168"/>
      <c r="H1495" s="168"/>
      <c r="I1495" s="168"/>
      <c r="J1495" s="168"/>
      <c r="K1495" s="168"/>
      <c r="L1495" s="168"/>
      <c r="M1495" s="168"/>
      <c r="N1495" s="168"/>
      <c r="O1495" s="168"/>
      <c r="P1495" s="168"/>
      <c r="Q1495" s="168"/>
      <c r="R1495" s="168"/>
      <c r="S1495" s="168"/>
      <c r="T1495" s="168"/>
      <c r="U1495" s="168"/>
      <c r="V1495" s="168"/>
      <c r="W1495" s="168"/>
      <c r="X1495" s="168"/>
      <c r="Y1495" s="168"/>
      <c r="Z1495" s="168"/>
    </row>
    <row r="1496">
      <c r="A1496" s="168"/>
      <c r="B1496" s="162"/>
      <c r="C1496" s="168"/>
      <c r="D1496" s="168"/>
      <c r="E1496" s="168"/>
      <c r="F1496" s="168"/>
      <c r="G1496" s="168"/>
      <c r="H1496" s="168"/>
      <c r="I1496" s="168"/>
      <c r="J1496" s="168"/>
      <c r="K1496" s="168"/>
      <c r="L1496" s="168"/>
      <c r="M1496" s="168"/>
      <c r="N1496" s="168"/>
      <c r="O1496" s="168"/>
      <c r="P1496" s="168"/>
      <c r="Q1496" s="168"/>
      <c r="R1496" s="168"/>
      <c r="S1496" s="168"/>
      <c r="T1496" s="168"/>
      <c r="U1496" s="168"/>
      <c r="V1496" s="168"/>
      <c r="W1496" s="168"/>
      <c r="X1496" s="168"/>
      <c r="Y1496" s="168"/>
      <c r="Z1496" s="168"/>
    </row>
    <row r="1497">
      <c r="A1497" s="168"/>
      <c r="B1497" s="162"/>
      <c r="C1497" s="168"/>
      <c r="D1497" s="168"/>
      <c r="E1497" s="168"/>
      <c r="F1497" s="168"/>
      <c r="G1497" s="168"/>
      <c r="H1497" s="168"/>
      <c r="I1497" s="168"/>
      <c r="J1497" s="168"/>
      <c r="K1497" s="168"/>
      <c r="L1497" s="168"/>
      <c r="M1497" s="168"/>
      <c r="N1497" s="168"/>
      <c r="O1497" s="168"/>
      <c r="P1497" s="168"/>
      <c r="Q1497" s="168"/>
      <c r="R1497" s="168"/>
      <c r="S1497" s="168"/>
      <c r="T1497" s="168"/>
      <c r="U1497" s="168"/>
      <c r="V1497" s="168"/>
      <c r="W1497" s="168"/>
      <c r="X1497" s="168"/>
      <c r="Y1497" s="168"/>
      <c r="Z1497" s="168"/>
    </row>
    <row r="1498">
      <c r="A1498" s="168"/>
      <c r="B1498" s="162"/>
      <c r="C1498" s="168"/>
      <c r="D1498" s="168"/>
      <c r="E1498" s="168"/>
      <c r="F1498" s="168"/>
      <c r="G1498" s="168"/>
      <c r="H1498" s="168"/>
      <c r="I1498" s="168"/>
      <c r="J1498" s="168"/>
      <c r="K1498" s="168"/>
      <c r="L1498" s="168"/>
      <c r="M1498" s="168"/>
      <c r="N1498" s="168"/>
      <c r="O1498" s="168"/>
      <c r="P1498" s="168"/>
      <c r="Q1498" s="168"/>
      <c r="R1498" s="168"/>
      <c r="S1498" s="168"/>
      <c r="T1498" s="168"/>
      <c r="U1498" s="168"/>
      <c r="V1498" s="168"/>
      <c r="W1498" s="168"/>
      <c r="X1498" s="168"/>
      <c r="Y1498" s="168"/>
      <c r="Z1498" s="168"/>
    </row>
    <row r="1499">
      <c r="A1499" s="168"/>
      <c r="B1499" s="162"/>
      <c r="C1499" s="168"/>
      <c r="D1499" s="168"/>
      <c r="E1499" s="168"/>
      <c r="F1499" s="168"/>
      <c r="G1499" s="168"/>
      <c r="H1499" s="168"/>
      <c r="I1499" s="168"/>
      <c r="J1499" s="168"/>
      <c r="K1499" s="168"/>
      <c r="L1499" s="168"/>
      <c r="M1499" s="168"/>
      <c r="N1499" s="168"/>
      <c r="O1499" s="168"/>
      <c r="P1499" s="168"/>
      <c r="Q1499" s="168"/>
      <c r="R1499" s="168"/>
      <c r="S1499" s="168"/>
      <c r="T1499" s="168"/>
      <c r="U1499" s="168"/>
      <c r="V1499" s="168"/>
      <c r="W1499" s="168"/>
      <c r="X1499" s="168"/>
      <c r="Y1499" s="168"/>
      <c r="Z1499" s="168"/>
    </row>
    <row r="1500">
      <c r="A1500" s="168"/>
      <c r="B1500" s="162"/>
      <c r="C1500" s="168"/>
      <c r="D1500" s="168"/>
      <c r="E1500" s="168"/>
      <c r="F1500" s="168"/>
      <c r="G1500" s="168"/>
      <c r="H1500" s="168"/>
      <c r="I1500" s="168"/>
      <c r="J1500" s="168"/>
      <c r="K1500" s="168"/>
      <c r="L1500" s="168"/>
      <c r="M1500" s="168"/>
      <c r="N1500" s="168"/>
      <c r="O1500" s="168"/>
      <c r="P1500" s="168"/>
      <c r="Q1500" s="168"/>
      <c r="R1500" s="168"/>
      <c r="S1500" s="168"/>
      <c r="T1500" s="168"/>
      <c r="U1500" s="168"/>
      <c r="V1500" s="168"/>
      <c r="W1500" s="168"/>
      <c r="X1500" s="168"/>
      <c r="Y1500" s="168"/>
      <c r="Z1500" s="168"/>
    </row>
    <row r="1501">
      <c r="A1501" s="168"/>
      <c r="B1501" s="162"/>
      <c r="C1501" s="168"/>
      <c r="D1501" s="168"/>
      <c r="E1501" s="168"/>
      <c r="F1501" s="168"/>
      <c r="G1501" s="168"/>
      <c r="H1501" s="168"/>
      <c r="I1501" s="168"/>
      <c r="J1501" s="168"/>
      <c r="K1501" s="168"/>
      <c r="L1501" s="168"/>
      <c r="M1501" s="168"/>
      <c r="N1501" s="168"/>
      <c r="O1501" s="168"/>
      <c r="P1501" s="168"/>
      <c r="Q1501" s="168"/>
      <c r="R1501" s="168"/>
      <c r="S1501" s="168"/>
      <c r="T1501" s="168"/>
      <c r="U1501" s="168"/>
      <c r="V1501" s="168"/>
      <c r="W1501" s="168"/>
      <c r="X1501" s="168"/>
      <c r="Y1501" s="168"/>
      <c r="Z1501" s="168"/>
    </row>
    <row r="1502">
      <c r="A1502" s="168"/>
      <c r="B1502" s="162"/>
      <c r="C1502" s="168"/>
      <c r="D1502" s="168"/>
      <c r="E1502" s="168"/>
      <c r="F1502" s="168"/>
      <c r="G1502" s="168"/>
      <c r="H1502" s="168"/>
      <c r="I1502" s="168"/>
      <c r="J1502" s="168"/>
      <c r="K1502" s="168"/>
      <c r="L1502" s="168"/>
      <c r="M1502" s="168"/>
      <c r="N1502" s="168"/>
      <c r="O1502" s="168"/>
      <c r="P1502" s="168"/>
      <c r="Q1502" s="168"/>
      <c r="R1502" s="168"/>
      <c r="S1502" s="168"/>
      <c r="T1502" s="168"/>
      <c r="U1502" s="168"/>
      <c r="V1502" s="168"/>
      <c r="W1502" s="168"/>
      <c r="X1502" s="168"/>
      <c r="Y1502" s="168"/>
      <c r="Z1502" s="168"/>
    </row>
    <row r="1503">
      <c r="A1503" s="168"/>
      <c r="B1503" s="162"/>
      <c r="C1503" s="168"/>
      <c r="D1503" s="168"/>
      <c r="E1503" s="168"/>
      <c r="F1503" s="168"/>
      <c r="G1503" s="168"/>
      <c r="H1503" s="168"/>
      <c r="I1503" s="168"/>
      <c r="J1503" s="168"/>
      <c r="K1503" s="168"/>
      <c r="L1503" s="168"/>
      <c r="M1503" s="168"/>
      <c r="N1503" s="168"/>
      <c r="O1503" s="168"/>
      <c r="P1503" s="168"/>
      <c r="Q1503" s="168"/>
      <c r="R1503" s="168"/>
      <c r="S1503" s="168"/>
      <c r="T1503" s="168"/>
      <c r="U1503" s="168"/>
      <c r="V1503" s="168"/>
      <c r="W1503" s="168"/>
      <c r="X1503" s="168"/>
      <c r="Y1503" s="168"/>
      <c r="Z1503" s="168"/>
    </row>
    <row r="1504">
      <c r="A1504" s="168"/>
      <c r="B1504" s="162"/>
      <c r="C1504" s="168"/>
      <c r="D1504" s="168"/>
      <c r="E1504" s="168"/>
      <c r="F1504" s="168"/>
      <c r="G1504" s="168"/>
      <c r="H1504" s="168"/>
      <c r="I1504" s="168"/>
      <c r="J1504" s="168"/>
      <c r="K1504" s="168"/>
      <c r="L1504" s="168"/>
      <c r="M1504" s="168"/>
      <c r="N1504" s="168"/>
      <c r="O1504" s="168"/>
      <c r="P1504" s="168"/>
      <c r="Q1504" s="168"/>
      <c r="R1504" s="168"/>
      <c r="S1504" s="168"/>
      <c r="T1504" s="168"/>
      <c r="U1504" s="168"/>
      <c r="V1504" s="168"/>
      <c r="W1504" s="168"/>
      <c r="X1504" s="168"/>
      <c r="Y1504" s="168"/>
      <c r="Z1504" s="168"/>
    </row>
    <row r="1505">
      <c r="A1505" s="168"/>
      <c r="B1505" s="162"/>
      <c r="C1505" s="168"/>
      <c r="D1505" s="168"/>
      <c r="E1505" s="168"/>
      <c r="F1505" s="168"/>
      <c r="G1505" s="168"/>
      <c r="H1505" s="168"/>
      <c r="I1505" s="168"/>
      <c r="J1505" s="168"/>
      <c r="K1505" s="168"/>
      <c r="L1505" s="168"/>
      <c r="M1505" s="168"/>
      <c r="N1505" s="168"/>
      <c r="O1505" s="168"/>
      <c r="P1505" s="168"/>
      <c r="Q1505" s="168"/>
      <c r="R1505" s="168"/>
      <c r="S1505" s="168"/>
      <c r="T1505" s="168"/>
      <c r="U1505" s="168"/>
      <c r="V1505" s="168"/>
      <c r="W1505" s="168"/>
      <c r="X1505" s="168"/>
      <c r="Y1505" s="168"/>
      <c r="Z1505" s="168"/>
    </row>
    <row r="1506">
      <c r="A1506" s="168"/>
      <c r="B1506" s="162"/>
      <c r="C1506" s="168"/>
      <c r="D1506" s="168"/>
      <c r="E1506" s="168"/>
      <c r="F1506" s="168"/>
      <c r="G1506" s="168"/>
      <c r="H1506" s="168"/>
      <c r="I1506" s="168"/>
      <c r="J1506" s="168"/>
      <c r="K1506" s="168"/>
      <c r="L1506" s="168"/>
      <c r="M1506" s="168"/>
      <c r="N1506" s="168"/>
      <c r="O1506" s="168"/>
      <c r="P1506" s="168"/>
      <c r="Q1506" s="168"/>
      <c r="R1506" s="168"/>
      <c r="S1506" s="168"/>
      <c r="T1506" s="168"/>
      <c r="U1506" s="168"/>
      <c r="V1506" s="168"/>
      <c r="W1506" s="168"/>
      <c r="X1506" s="168"/>
      <c r="Y1506" s="168"/>
      <c r="Z1506" s="168"/>
    </row>
    <row r="1507">
      <c r="A1507" s="168"/>
      <c r="B1507" s="162"/>
      <c r="C1507" s="168"/>
      <c r="D1507" s="168"/>
      <c r="E1507" s="168"/>
      <c r="F1507" s="168"/>
      <c r="G1507" s="168"/>
      <c r="H1507" s="168"/>
      <c r="I1507" s="168"/>
      <c r="J1507" s="168"/>
      <c r="K1507" s="168"/>
      <c r="L1507" s="168"/>
      <c r="M1507" s="168"/>
      <c r="N1507" s="168"/>
      <c r="O1507" s="168"/>
      <c r="P1507" s="168"/>
      <c r="Q1507" s="168"/>
      <c r="R1507" s="168"/>
      <c r="S1507" s="168"/>
      <c r="T1507" s="168"/>
      <c r="U1507" s="168"/>
      <c r="V1507" s="168"/>
      <c r="W1507" s="168"/>
      <c r="X1507" s="168"/>
      <c r="Y1507" s="168"/>
      <c r="Z1507" s="168"/>
    </row>
    <row r="1508">
      <c r="A1508" s="168"/>
      <c r="B1508" s="162"/>
      <c r="C1508" s="168"/>
      <c r="D1508" s="168"/>
      <c r="E1508" s="168"/>
      <c r="F1508" s="168"/>
      <c r="G1508" s="168"/>
      <c r="H1508" s="168"/>
      <c r="I1508" s="168"/>
      <c r="J1508" s="168"/>
      <c r="K1508" s="168"/>
      <c r="L1508" s="168"/>
      <c r="M1508" s="168"/>
      <c r="N1508" s="168"/>
      <c r="O1508" s="168"/>
      <c r="P1508" s="168"/>
      <c r="Q1508" s="168"/>
      <c r="R1508" s="168"/>
      <c r="S1508" s="168"/>
      <c r="T1508" s="168"/>
      <c r="U1508" s="168"/>
      <c r="V1508" s="168"/>
      <c r="W1508" s="168"/>
      <c r="X1508" s="168"/>
      <c r="Y1508" s="168"/>
      <c r="Z1508" s="168"/>
    </row>
    <row r="1509">
      <c r="A1509" s="168"/>
      <c r="B1509" s="162"/>
      <c r="C1509" s="168"/>
      <c r="D1509" s="168"/>
      <c r="E1509" s="168"/>
      <c r="F1509" s="168"/>
      <c r="G1509" s="168"/>
      <c r="H1509" s="168"/>
      <c r="I1509" s="168"/>
      <c r="J1509" s="168"/>
      <c r="K1509" s="168"/>
      <c r="L1509" s="168"/>
      <c r="M1509" s="168"/>
      <c r="N1509" s="168"/>
      <c r="O1509" s="168"/>
      <c r="P1509" s="168"/>
      <c r="Q1509" s="168"/>
      <c r="R1509" s="168"/>
      <c r="S1509" s="168"/>
      <c r="T1509" s="168"/>
      <c r="U1509" s="168"/>
      <c r="V1509" s="168"/>
      <c r="W1509" s="168"/>
      <c r="X1509" s="168"/>
      <c r="Y1509" s="168"/>
      <c r="Z1509" s="168"/>
    </row>
    <row r="1510">
      <c r="A1510" s="168"/>
      <c r="B1510" s="162"/>
      <c r="C1510" s="168"/>
      <c r="D1510" s="168"/>
      <c r="E1510" s="168"/>
      <c r="F1510" s="168"/>
      <c r="G1510" s="168"/>
      <c r="H1510" s="168"/>
      <c r="I1510" s="168"/>
      <c r="J1510" s="168"/>
      <c r="K1510" s="168"/>
      <c r="L1510" s="168"/>
      <c r="M1510" s="168"/>
      <c r="N1510" s="168"/>
      <c r="O1510" s="168"/>
      <c r="P1510" s="168"/>
      <c r="Q1510" s="168"/>
      <c r="R1510" s="168"/>
      <c r="S1510" s="168"/>
      <c r="T1510" s="168"/>
      <c r="U1510" s="168"/>
      <c r="V1510" s="168"/>
      <c r="W1510" s="168"/>
      <c r="X1510" s="168"/>
      <c r="Y1510" s="168"/>
      <c r="Z1510" s="168"/>
    </row>
    <row r="1511">
      <c r="A1511" s="168"/>
      <c r="B1511" s="162"/>
      <c r="C1511" s="168"/>
      <c r="D1511" s="168"/>
      <c r="E1511" s="168"/>
      <c r="F1511" s="168"/>
      <c r="G1511" s="168"/>
      <c r="H1511" s="168"/>
      <c r="I1511" s="168"/>
      <c r="J1511" s="168"/>
      <c r="K1511" s="168"/>
      <c r="L1511" s="168"/>
      <c r="M1511" s="168"/>
      <c r="N1511" s="168"/>
      <c r="O1511" s="168"/>
      <c r="P1511" s="168"/>
      <c r="Q1511" s="168"/>
      <c r="R1511" s="168"/>
      <c r="S1511" s="168"/>
      <c r="T1511" s="168"/>
      <c r="U1511" s="168"/>
      <c r="V1511" s="168"/>
      <c r="W1511" s="168"/>
      <c r="X1511" s="168"/>
      <c r="Y1511" s="168"/>
      <c r="Z1511" s="168"/>
    </row>
    <row r="1512">
      <c r="A1512" s="168"/>
      <c r="B1512" s="162"/>
      <c r="C1512" s="168"/>
      <c r="D1512" s="168"/>
      <c r="E1512" s="168"/>
      <c r="F1512" s="168"/>
      <c r="G1512" s="168"/>
      <c r="H1512" s="168"/>
      <c r="I1512" s="168"/>
      <c r="J1512" s="168"/>
      <c r="K1512" s="168"/>
      <c r="L1512" s="168"/>
      <c r="M1512" s="168"/>
      <c r="N1512" s="168"/>
      <c r="O1512" s="168"/>
      <c r="P1512" s="168"/>
      <c r="Q1512" s="168"/>
      <c r="R1512" s="168"/>
      <c r="S1512" s="168"/>
      <c r="T1512" s="168"/>
      <c r="U1512" s="168"/>
      <c r="V1512" s="168"/>
      <c r="W1512" s="168"/>
      <c r="X1512" s="168"/>
      <c r="Y1512" s="168"/>
      <c r="Z1512" s="168"/>
    </row>
    <row r="1513">
      <c r="A1513" s="168"/>
      <c r="B1513" s="162"/>
      <c r="C1513" s="168"/>
      <c r="D1513" s="168"/>
      <c r="E1513" s="168"/>
      <c r="F1513" s="168"/>
      <c r="G1513" s="168"/>
      <c r="H1513" s="168"/>
      <c r="I1513" s="168"/>
      <c r="J1513" s="168"/>
      <c r="K1513" s="168"/>
      <c r="L1513" s="168"/>
      <c r="M1513" s="168"/>
      <c r="N1513" s="168"/>
      <c r="O1513" s="168"/>
      <c r="P1513" s="168"/>
      <c r="Q1513" s="168"/>
      <c r="R1513" s="168"/>
      <c r="S1513" s="168"/>
      <c r="T1513" s="168"/>
      <c r="U1513" s="168"/>
      <c r="V1513" s="168"/>
      <c r="W1513" s="168"/>
      <c r="X1513" s="168"/>
      <c r="Y1513" s="168"/>
      <c r="Z1513" s="168"/>
    </row>
    <row r="1514">
      <c r="A1514" s="168"/>
      <c r="B1514" s="162"/>
      <c r="C1514" s="168"/>
      <c r="D1514" s="168"/>
      <c r="E1514" s="168"/>
      <c r="F1514" s="168"/>
      <c r="G1514" s="168"/>
      <c r="H1514" s="168"/>
      <c r="I1514" s="168"/>
      <c r="J1514" s="168"/>
      <c r="K1514" s="168"/>
      <c r="L1514" s="168"/>
      <c r="M1514" s="168"/>
      <c r="N1514" s="168"/>
      <c r="O1514" s="168"/>
      <c r="P1514" s="168"/>
      <c r="Q1514" s="168"/>
      <c r="R1514" s="168"/>
      <c r="S1514" s="168"/>
      <c r="T1514" s="168"/>
      <c r="U1514" s="168"/>
      <c r="V1514" s="168"/>
      <c r="W1514" s="168"/>
      <c r="X1514" s="168"/>
      <c r="Y1514" s="168"/>
      <c r="Z1514" s="168"/>
    </row>
    <row r="1515">
      <c r="A1515" s="168"/>
      <c r="B1515" s="162"/>
      <c r="C1515" s="168"/>
      <c r="D1515" s="168"/>
      <c r="E1515" s="168"/>
      <c r="F1515" s="168"/>
      <c r="G1515" s="168"/>
      <c r="H1515" s="168"/>
      <c r="I1515" s="168"/>
      <c r="J1515" s="168"/>
      <c r="K1515" s="168"/>
      <c r="L1515" s="168"/>
      <c r="M1515" s="168"/>
      <c r="N1515" s="168"/>
      <c r="O1515" s="168"/>
      <c r="P1515" s="168"/>
      <c r="Q1515" s="168"/>
      <c r="R1515" s="168"/>
      <c r="S1515" s="168"/>
      <c r="T1515" s="168"/>
      <c r="U1515" s="168"/>
      <c r="V1515" s="168"/>
      <c r="W1515" s="168"/>
      <c r="X1515" s="168"/>
      <c r="Y1515" s="168"/>
      <c r="Z1515" s="168"/>
    </row>
    <row r="1516">
      <c r="A1516" s="168"/>
      <c r="B1516" s="162"/>
      <c r="C1516" s="168"/>
      <c r="D1516" s="168"/>
      <c r="E1516" s="168"/>
      <c r="F1516" s="168"/>
      <c r="G1516" s="168"/>
      <c r="H1516" s="168"/>
      <c r="I1516" s="168"/>
      <c r="J1516" s="168"/>
      <c r="K1516" s="168"/>
      <c r="L1516" s="168"/>
      <c r="M1516" s="168"/>
      <c r="N1516" s="168"/>
      <c r="O1516" s="168"/>
      <c r="P1516" s="168"/>
      <c r="Q1516" s="168"/>
      <c r="R1516" s="168"/>
      <c r="S1516" s="168"/>
      <c r="T1516" s="168"/>
      <c r="U1516" s="168"/>
      <c r="V1516" s="168"/>
      <c r="W1516" s="168"/>
      <c r="X1516" s="168"/>
      <c r="Y1516" s="168"/>
      <c r="Z1516" s="168"/>
    </row>
    <row r="1517">
      <c r="A1517" s="168"/>
      <c r="B1517" s="162"/>
      <c r="C1517" s="168"/>
      <c r="D1517" s="168"/>
      <c r="E1517" s="168"/>
      <c r="F1517" s="168"/>
      <c r="G1517" s="168"/>
      <c r="H1517" s="168"/>
      <c r="I1517" s="168"/>
      <c r="J1517" s="168"/>
      <c r="K1517" s="168"/>
      <c r="L1517" s="168"/>
      <c r="M1517" s="168"/>
      <c r="N1517" s="168"/>
      <c r="O1517" s="168"/>
      <c r="P1517" s="168"/>
      <c r="Q1517" s="168"/>
      <c r="R1517" s="168"/>
      <c r="S1517" s="168"/>
      <c r="T1517" s="168"/>
      <c r="U1517" s="168"/>
      <c r="V1517" s="168"/>
      <c r="W1517" s="168"/>
      <c r="X1517" s="168"/>
      <c r="Y1517" s="168"/>
      <c r="Z1517" s="168"/>
    </row>
    <row r="1518">
      <c r="A1518" s="168"/>
      <c r="B1518" s="162"/>
      <c r="C1518" s="168"/>
      <c r="D1518" s="168"/>
      <c r="E1518" s="168"/>
      <c r="F1518" s="168"/>
      <c r="G1518" s="168"/>
      <c r="H1518" s="168"/>
      <c r="I1518" s="168"/>
      <c r="J1518" s="168"/>
      <c r="K1518" s="168"/>
      <c r="L1518" s="168"/>
      <c r="M1518" s="168"/>
      <c r="N1518" s="168"/>
      <c r="O1518" s="168"/>
      <c r="P1518" s="168"/>
      <c r="Q1518" s="168"/>
      <c r="R1518" s="168"/>
      <c r="S1518" s="168"/>
      <c r="T1518" s="168"/>
      <c r="U1518" s="168"/>
      <c r="V1518" s="168"/>
      <c r="W1518" s="168"/>
      <c r="X1518" s="168"/>
      <c r="Y1518" s="168"/>
      <c r="Z1518" s="168"/>
    </row>
    <row r="1519">
      <c r="A1519" s="168"/>
      <c r="B1519" s="162"/>
      <c r="C1519" s="168"/>
      <c r="D1519" s="168"/>
      <c r="E1519" s="168"/>
      <c r="F1519" s="168"/>
      <c r="G1519" s="168"/>
      <c r="H1519" s="168"/>
      <c r="I1519" s="168"/>
      <c r="J1519" s="168"/>
      <c r="K1519" s="168"/>
      <c r="L1519" s="168"/>
      <c r="M1519" s="168"/>
      <c r="N1519" s="168"/>
      <c r="O1519" s="168"/>
      <c r="P1519" s="168"/>
      <c r="Q1519" s="168"/>
      <c r="R1519" s="168"/>
      <c r="S1519" s="168"/>
      <c r="T1519" s="168"/>
      <c r="U1519" s="168"/>
      <c r="V1519" s="168"/>
      <c r="W1519" s="168"/>
      <c r="X1519" s="168"/>
      <c r="Y1519" s="168"/>
      <c r="Z1519" s="168"/>
    </row>
    <row r="1520">
      <c r="A1520" s="168"/>
      <c r="B1520" s="162"/>
      <c r="C1520" s="168"/>
      <c r="D1520" s="168"/>
      <c r="E1520" s="168"/>
      <c r="F1520" s="168"/>
      <c r="G1520" s="168"/>
      <c r="H1520" s="168"/>
      <c r="I1520" s="168"/>
      <c r="J1520" s="168"/>
      <c r="K1520" s="168"/>
      <c r="L1520" s="168"/>
      <c r="M1520" s="168"/>
      <c r="N1520" s="168"/>
      <c r="O1520" s="168"/>
      <c r="P1520" s="168"/>
      <c r="Q1520" s="168"/>
      <c r="R1520" s="168"/>
      <c r="S1520" s="168"/>
      <c r="T1520" s="168"/>
      <c r="U1520" s="168"/>
      <c r="V1520" s="168"/>
      <c r="W1520" s="168"/>
      <c r="X1520" s="168"/>
      <c r="Y1520" s="168"/>
      <c r="Z1520" s="168"/>
    </row>
    <row r="1521">
      <c r="A1521" s="168"/>
      <c r="B1521" s="162"/>
      <c r="C1521" s="168"/>
      <c r="D1521" s="168"/>
      <c r="E1521" s="168"/>
      <c r="F1521" s="168"/>
      <c r="G1521" s="168"/>
      <c r="H1521" s="168"/>
      <c r="I1521" s="168"/>
      <c r="J1521" s="168"/>
      <c r="K1521" s="168"/>
      <c r="L1521" s="168"/>
      <c r="M1521" s="168"/>
      <c r="N1521" s="168"/>
      <c r="O1521" s="168"/>
      <c r="P1521" s="168"/>
      <c r="Q1521" s="168"/>
      <c r="R1521" s="168"/>
      <c r="S1521" s="168"/>
      <c r="T1521" s="168"/>
      <c r="U1521" s="168"/>
      <c r="V1521" s="168"/>
      <c r="W1521" s="168"/>
      <c r="X1521" s="168"/>
      <c r="Y1521" s="168"/>
      <c r="Z1521" s="168"/>
    </row>
    <row r="1522">
      <c r="A1522" s="168"/>
      <c r="B1522" s="162"/>
      <c r="C1522" s="168"/>
      <c r="D1522" s="168"/>
      <c r="E1522" s="168"/>
      <c r="F1522" s="168"/>
      <c r="G1522" s="168"/>
      <c r="H1522" s="168"/>
      <c r="I1522" s="168"/>
      <c r="J1522" s="168"/>
      <c r="K1522" s="168"/>
      <c r="L1522" s="168"/>
      <c r="M1522" s="168"/>
      <c r="N1522" s="168"/>
      <c r="O1522" s="168"/>
      <c r="P1522" s="168"/>
      <c r="Q1522" s="168"/>
      <c r="R1522" s="168"/>
      <c r="S1522" s="168"/>
      <c r="T1522" s="168"/>
      <c r="U1522" s="168"/>
      <c r="V1522" s="168"/>
      <c r="W1522" s="168"/>
      <c r="X1522" s="168"/>
      <c r="Y1522" s="168"/>
      <c r="Z1522" s="168"/>
    </row>
    <row r="1523">
      <c r="A1523" s="168"/>
      <c r="B1523" s="162"/>
      <c r="C1523" s="168"/>
      <c r="D1523" s="168"/>
      <c r="E1523" s="168"/>
      <c r="F1523" s="168"/>
      <c r="G1523" s="168"/>
      <c r="H1523" s="168"/>
      <c r="I1523" s="168"/>
      <c r="J1523" s="168"/>
      <c r="K1523" s="168"/>
      <c r="L1523" s="168"/>
      <c r="M1523" s="168"/>
      <c r="N1523" s="168"/>
      <c r="O1523" s="168"/>
      <c r="P1523" s="168"/>
      <c r="Q1523" s="168"/>
      <c r="R1523" s="168"/>
      <c r="S1523" s="168"/>
      <c r="T1523" s="168"/>
      <c r="U1523" s="168"/>
      <c r="V1523" s="168"/>
      <c r="W1523" s="168"/>
      <c r="X1523" s="168"/>
      <c r="Y1523" s="168"/>
      <c r="Z1523" s="168"/>
    </row>
    <row r="1524">
      <c r="A1524" s="168"/>
      <c r="B1524" s="162"/>
      <c r="C1524" s="168"/>
      <c r="D1524" s="168"/>
      <c r="E1524" s="168"/>
      <c r="F1524" s="168"/>
      <c r="G1524" s="168"/>
      <c r="H1524" s="168"/>
      <c r="I1524" s="168"/>
      <c r="J1524" s="168"/>
      <c r="K1524" s="168"/>
      <c r="L1524" s="168"/>
      <c r="M1524" s="168"/>
      <c r="N1524" s="168"/>
      <c r="O1524" s="168"/>
      <c r="P1524" s="168"/>
      <c r="Q1524" s="168"/>
      <c r="R1524" s="168"/>
      <c r="S1524" s="168"/>
      <c r="T1524" s="168"/>
      <c r="U1524" s="168"/>
      <c r="V1524" s="168"/>
      <c r="W1524" s="168"/>
      <c r="X1524" s="168"/>
      <c r="Y1524" s="168"/>
      <c r="Z1524" s="168"/>
    </row>
    <row r="1525">
      <c r="A1525" s="168"/>
      <c r="B1525" s="162"/>
      <c r="C1525" s="168"/>
      <c r="D1525" s="168"/>
      <c r="E1525" s="168"/>
      <c r="F1525" s="168"/>
      <c r="G1525" s="168"/>
      <c r="H1525" s="168"/>
      <c r="I1525" s="168"/>
      <c r="J1525" s="168"/>
      <c r="K1525" s="168"/>
      <c r="L1525" s="168"/>
      <c r="M1525" s="168"/>
      <c r="N1525" s="168"/>
      <c r="O1525" s="168"/>
      <c r="P1525" s="168"/>
      <c r="Q1525" s="168"/>
      <c r="R1525" s="168"/>
      <c r="S1525" s="168"/>
      <c r="T1525" s="168"/>
      <c r="U1525" s="168"/>
      <c r="V1525" s="168"/>
      <c r="W1525" s="168"/>
      <c r="X1525" s="168"/>
      <c r="Y1525" s="168"/>
      <c r="Z1525" s="168"/>
    </row>
    <row r="1526">
      <c r="A1526" s="168"/>
      <c r="B1526" s="162"/>
      <c r="C1526" s="168"/>
      <c r="D1526" s="168"/>
      <c r="E1526" s="168"/>
      <c r="F1526" s="168"/>
      <c r="G1526" s="168"/>
      <c r="H1526" s="168"/>
      <c r="I1526" s="168"/>
      <c r="J1526" s="168"/>
      <c r="K1526" s="168"/>
      <c r="L1526" s="168"/>
      <c r="M1526" s="168"/>
      <c r="N1526" s="168"/>
      <c r="O1526" s="168"/>
      <c r="P1526" s="168"/>
      <c r="Q1526" s="168"/>
      <c r="R1526" s="168"/>
      <c r="S1526" s="168"/>
      <c r="T1526" s="168"/>
      <c r="U1526" s="168"/>
      <c r="V1526" s="168"/>
      <c r="W1526" s="168"/>
      <c r="X1526" s="168"/>
      <c r="Y1526" s="168"/>
      <c r="Z1526" s="168"/>
    </row>
    <row r="1527">
      <c r="A1527" s="168"/>
      <c r="B1527" s="162"/>
      <c r="C1527" s="168"/>
      <c r="D1527" s="168"/>
      <c r="E1527" s="168"/>
      <c r="F1527" s="168"/>
      <c r="G1527" s="168"/>
      <c r="H1527" s="168"/>
      <c r="I1527" s="168"/>
      <c r="J1527" s="168"/>
      <c r="K1527" s="168"/>
      <c r="L1527" s="168"/>
      <c r="M1527" s="168"/>
      <c r="N1527" s="168"/>
      <c r="O1527" s="168"/>
      <c r="P1527" s="168"/>
      <c r="Q1527" s="168"/>
      <c r="R1527" s="168"/>
      <c r="S1527" s="168"/>
      <c r="T1527" s="168"/>
      <c r="U1527" s="168"/>
      <c r="V1527" s="168"/>
      <c r="W1527" s="168"/>
      <c r="X1527" s="168"/>
      <c r="Y1527" s="168"/>
      <c r="Z1527" s="168"/>
    </row>
    <row r="1528">
      <c r="A1528" s="168"/>
      <c r="B1528" s="162"/>
      <c r="C1528" s="168"/>
      <c r="D1528" s="168"/>
      <c r="E1528" s="168"/>
      <c r="F1528" s="168"/>
      <c r="G1528" s="168"/>
      <c r="H1528" s="168"/>
      <c r="I1528" s="168"/>
      <c r="J1528" s="168"/>
      <c r="K1528" s="168"/>
      <c r="L1528" s="168"/>
      <c r="M1528" s="168"/>
      <c r="N1528" s="168"/>
      <c r="O1528" s="168"/>
      <c r="P1528" s="168"/>
      <c r="Q1528" s="168"/>
      <c r="R1528" s="168"/>
      <c r="S1528" s="168"/>
      <c r="T1528" s="168"/>
      <c r="U1528" s="168"/>
      <c r="V1528" s="168"/>
      <c r="W1528" s="168"/>
      <c r="X1528" s="168"/>
      <c r="Y1528" s="168"/>
      <c r="Z1528" s="168"/>
    </row>
    <row r="1529">
      <c r="A1529" s="168"/>
      <c r="B1529" s="162"/>
      <c r="C1529" s="168"/>
      <c r="D1529" s="168"/>
      <c r="E1529" s="168"/>
      <c r="F1529" s="168"/>
      <c r="G1529" s="168"/>
      <c r="H1529" s="168"/>
      <c r="I1529" s="168"/>
      <c r="J1529" s="168"/>
      <c r="K1529" s="168"/>
      <c r="L1529" s="168"/>
      <c r="M1529" s="168"/>
      <c r="N1529" s="168"/>
      <c r="O1529" s="168"/>
      <c r="P1529" s="168"/>
      <c r="Q1529" s="168"/>
      <c r="R1529" s="168"/>
      <c r="S1529" s="168"/>
      <c r="T1529" s="168"/>
      <c r="U1529" s="168"/>
      <c r="V1529" s="168"/>
      <c r="W1529" s="168"/>
      <c r="X1529" s="168"/>
      <c r="Y1529" s="168"/>
      <c r="Z1529" s="168"/>
    </row>
    <row r="1530">
      <c r="A1530" s="168"/>
      <c r="B1530" s="162"/>
      <c r="C1530" s="168"/>
      <c r="D1530" s="168"/>
      <c r="E1530" s="168"/>
      <c r="F1530" s="168"/>
      <c r="G1530" s="168"/>
      <c r="H1530" s="168"/>
      <c r="I1530" s="168"/>
      <c r="J1530" s="168"/>
      <c r="K1530" s="168"/>
      <c r="L1530" s="168"/>
      <c r="M1530" s="168"/>
      <c r="N1530" s="168"/>
      <c r="O1530" s="168"/>
      <c r="P1530" s="168"/>
      <c r="Q1530" s="168"/>
      <c r="R1530" s="168"/>
      <c r="S1530" s="168"/>
      <c r="T1530" s="168"/>
      <c r="U1530" s="168"/>
      <c r="V1530" s="168"/>
      <c r="W1530" s="168"/>
      <c r="X1530" s="168"/>
      <c r="Y1530" s="168"/>
      <c r="Z1530" s="168"/>
    </row>
    <row r="1531">
      <c r="A1531" s="168"/>
      <c r="B1531" s="162"/>
      <c r="C1531" s="168"/>
      <c r="D1531" s="168"/>
      <c r="E1531" s="168"/>
      <c r="F1531" s="168"/>
      <c r="G1531" s="168"/>
      <c r="H1531" s="168"/>
      <c r="I1531" s="168"/>
      <c r="J1531" s="168"/>
      <c r="K1531" s="168"/>
      <c r="L1531" s="168"/>
      <c r="M1531" s="168"/>
      <c r="N1531" s="168"/>
      <c r="O1531" s="168"/>
      <c r="P1531" s="168"/>
      <c r="Q1531" s="168"/>
      <c r="R1531" s="168"/>
      <c r="S1531" s="168"/>
      <c r="T1531" s="168"/>
      <c r="U1531" s="168"/>
      <c r="V1531" s="168"/>
      <c r="W1531" s="168"/>
      <c r="X1531" s="168"/>
      <c r="Y1531" s="168"/>
      <c r="Z1531" s="168"/>
    </row>
    <row r="1532">
      <c r="A1532" s="168"/>
      <c r="B1532" s="162"/>
      <c r="C1532" s="168"/>
      <c r="D1532" s="168"/>
      <c r="E1532" s="168"/>
      <c r="F1532" s="168"/>
      <c r="G1532" s="168"/>
      <c r="H1532" s="168"/>
      <c r="I1532" s="168"/>
      <c r="J1532" s="168"/>
      <c r="K1532" s="168"/>
      <c r="L1532" s="168"/>
      <c r="M1532" s="168"/>
      <c r="N1532" s="168"/>
      <c r="O1532" s="168"/>
      <c r="P1532" s="168"/>
      <c r="Q1532" s="168"/>
      <c r="R1532" s="168"/>
      <c r="S1532" s="168"/>
      <c r="T1532" s="168"/>
      <c r="U1532" s="168"/>
      <c r="V1532" s="168"/>
      <c r="W1532" s="168"/>
      <c r="X1532" s="168"/>
      <c r="Y1532" s="168"/>
      <c r="Z1532" s="168"/>
    </row>
    <row r="1533">
      <c r="A1533" s="168"/>
      <c r="B1533" s="162"/>
      <c r="C1533" s="168"/>
      <c r="D1533" s="168"/>
      <c r="E1533" s="168"/>
      <c r="F1533" s="168"/>
      <c r="G1533" s="168"/>
      <c r="H1533" s="168"/>
      <c r="I1533" s="168"/>
      <c r="J1533" s="168"/>
      <c r="K1533" s="168"/>
      <c r="L1533" s="168"/>
      <c r="M1533" s="168"/>
      <c r="N1533" s="168"/>
      <c r="O1533" s="168"/>
      <c r="P1533" s="168"/>
      <c r="Q1533" s="168"/>
      <c r="R1533" s="168"/>
      <c r="S1533" s="168"/>
      <c r="T1533" s="168"/>
      <c r="U1533" s="168"/>
      <c r="V1533" s="168"/>
      <c r="W1533" s="168"/>
      <c r="X1533" s="168"/>
      <c r="Y1533" s="168"/>
      <c r="Z1533" s="168"/>
    </row>
    <row r="1534">
      <c r="A1534" s="168"/>
      <c r="B1534" s="162"/>
      <c r="C1534" s="168"/>
      <c r="D1534" s="168"/>
      <c r="E1534" s="168"/>
      <c r="F1534" s="168"/>
      <c r="G1534" s="168"/>
      <c r="H1534" s="168"/>
      <c r="I1534" s="168"/>
      <c r="J1534" s="168"/>
      <c r="K1534" s="168"/>
      <c r="L1534" s="168"/>
      <c r="M1534" s="168"/>
      <c r="N1534" s="168"/>
      <c r="O1534" s="168"/>
      <c r="P1534" s="168"/>
      <c r="Q1534" s="168"/>
      <c r="R1534" s="168"/>
      <c r="S1534" s="168"/>
      <c r="T1534" s="168"/>
      <c r="U1534" s="168"/>
      <c r="V1534" s="168"/>
      <c r="W1534" s="168"/>
      <c r="X1534" s="168"/>
      <c r="Y1534" s="168"/>
      <c r="Z1534" s="168"/>
    </row>
    <row r="1535">
      <c r="A1535" s="168"/>
      <c r="B1535" s="162"/>
      <c r="C1535" s="168"/>
      <c r="D1535" s="168"/>
      <c r="E1535" s="168"/>
      <c r="F1535" s="168"/>
      <c r="G1535" s="168"/>
      <c r="H1535" s="168"/>
      <c r="I1535" s="168"/>
      <c r="J1535" s="168"/>
      <c r="K1535" s="168"/>
      <c r="L1535" s="168"/>
      <c r="M1535" s="168"/>
      <c r="N1535" s="168"/>
      <c r="O1535" s="168"/>
      <c r="P1535" s="168"/>
      <c r="Q1535" s="168"/>
      <c r="R1535" s="168"/>
      <c r="S1535" s="168"/>
      <c r="T1535" s="168"/>
      <c r="U1535" s="168"/>
      <c r="V1535" s="168"/>
      <c r="W1535" s="168"/>
      <c r="X1535" s="168"/>
      <c r="Y1535" s="168"/>
      <c r="Z1535" s="168"/>
    </row>
    <row r="1536">
      <c r="A1536" s="168"/>
      <c r="B1536" s="162"/>
      <c r="C1536" s="168"/>
      <c r="D1536" s="168"/>
      <c r="E1536" s="168"/>
      <c r="F1536" s="168"/>
      <c r="G1536" s="168"/>
      <c r="H1536" s="168"/>
      <c r="I1536" s="168"/>
      <c r="J1536" s="168"/>
      <c r="K1536" s="168"/>
      <c r="L1536" s="168"/>
      <c r="M1536" s="168"/>
      <c r="N1536" s="168"/>
      <c r="O1536" s="168"/>
      <c r="P1536" s="168"/>
      <c r="Q1536" s="168"/>
      <c r="R1536" s="168"/>
      <c r="S1536" s="168"/>
      <c r="T1536" s="168"/>
      <c r="U1536" s="168"/>
      <c r="V1536" s="168"/>
      <c r="W1536" s="168"/>
      <c r="X1536" s="168"/>
      <c r="Y1536" s="168"/>
      <c r="Z1536" s="168"/>
    </row>
    <row r="1537">
      <c r="A1537" s="168"/>
      <c r="B1537" s="162"/>
      <c r="C1537" s="168"/>
      <c r="D1537" s="168"/>
      <c r="E1537" s="168"/>
      <c r="F1537" s="168"/>
      <c r="G1537" s="168"/>
      <c r="H1537" s="168"/>
      <c r="I1537" s="168"/>
      <c r="J1537" s="168"/>
      <c r="K1537" s="168"/>
      <c r="L1537" s="168"/>
      <c r="M1537" s="168"/>
      <c r="N1537" s="168"/>
      <c r="O1537" s="168"/>
      <c r="P1537" s="168"/>
      <c r="Q1537" s="168"/>
      <c r="R1537" s="168"/>
      <c r="S1537" s="168"/>
      <c r="T1537" s="168"/>
      <c r="U1537" s="168"/>
      <c r="V1537" s="168"/>
      <c r="W1537" s="168"/>
      <c r="X1537" s="168"/>
      <c r="Y1537" s="168"/>
      <c r="Z1537" s="168"/>
    </row>
    <row r="1538">
      <c r="A1538" s="168"/>
      <c r="B1538" s="162"/>
      <c r="C1538" s="168"/>
      <c r="D1538" s="168"/>
      <c r="E1538" s="168"/>
      <c r="F1538" s="168"/>
      <c r="G1538" s="168"/>
      <c r="H1538" s="168"/>
      <c r="I1538" s="168"/>
      <c r="J1538" s="168"/>
      <c r="K1538" s="168"/>
      <c r="L1538" s="168"/>
      <c r="M1538" s="168"/>
      <c r="N1538" s="168"/>
      <c r="O1538" s="168"/>
      <c r="P1538" s="168"/>
      <c r="Q1538" s="168"/>
      <c r="R1538" s="168"/>
      <c r="S1538" s="168"/>
      <c r="T1538" s="168"/>
      <c r="U1538" s="168"/>
      <c r="V1538" s="168"/>
      <c r="W1538" s="168"/>
      <c r="X1538" s="168"/>
      <c r="Y1538" s="168"/>
      <c r="Z1538" s="168"/>
    </row>
    <row r="1539">
      <c r="A1539" s="168"/>
      <c r="B1539" s="162"/>
      <c r="C1539" s="168"/>
      <c r="D1539" s="168"/>
      <c r="E1539" s="168"/>
      <c r="F1539" s="168"/>
      <c r="G1539" s="168"/>
      <c r="H1539" s="168"/>
      <c r="I1539" s="168"/>
      <c r="J1539" s="168"/>
      <c r="K1539" s="168"/>
      <c r="L1539" s="168"/>
      <c r="M1539" s="168"/>
      <c r="N1539" s="168"/>
      <c r="O1539" s="168"/>
      <c r="P1539" s="168"/>
      <c r="Q1539" s="168"/>
      <c r="R1539" s="168"/>
      <c r="S1539" s="168"/>
      <c r="T1539" s="168"/>
      <c r="U1539" s="168"/>
      <c r="V1539" s="168"/>
      <c r="W1539" s="168"/>
      <c r="X1539" s="168"/>
      <c r="Y1539" s="168"/>
      <c r="Z1539" s="168"/>
    </row>
    <row r="1540">
      <c r="A1540" s="168"/>
      <c r="B1540" s="162"/>
      <c r="C1540" s="168"/>
      <c r="D1540" s="168"/>
      <c r="E1540" s="168"/>
      <c r="F1540" s="168"/>
      <c r="G1540" s="168"/>
      <c r="H1540" s="168"/>
      <c r="I1540" s="168"/>
      <c r="J1540" s="168"/>
      <c r="K1540" s="168"/>
      <c r="L1540" s="168"/>
      <c r="M1540" s="168"/>
      <c r="N1540" s="168"/>
      <c r="O1540" s="168"/>
      <c r="P1540" s="168"/>
      <c r="Q1540" s="168"/>
      <c r="R1540" s="168"/>
      <c r="S1540" s="168"/>
      <c r="T1540" s="168"/>
      <c r="U1540" s="168"/>
      <c r="V1540" s="168"/>
      <c r="W1540" s="168"/>
      <c r="X1540" s="168"/>
      <c r="Y1540" s="168"/>
      <c r="Z1540" s="168"/>
    </row>
    <row r="1541">
      <c r="A1541" s="168"/>
      <c r="B1541" s="162"/>
      <c r="C1541" s="168"/>
      <c r="D1541" s="168"/>
      <c r="E1541" s="168"/>
      <c r="F1541" s="168"/>
      <c r="G1541" s="168"/>
      <c r="H1541" s="168"/>
      <c r="I1541" s="168"/>
      <c r="J1541" s="168"/>
      <c r="K1541" s="168"/>
      <c r="L1541" s="168"/>
      <c r="M1541" s="168"/>
      <c r="N1541" s="168"/>
      <c r="O1541" s="168"/>
      <c r="P1541" s="168"/>
      <c r="Q1541" s="168"/>
      <c r="R1541" s="168"/>
      <c r="S1541" s="168"/>
      <c r="T1541" s="168"/>
      <c r="U1541" s="168"/>
      <c r="V1541" s="168"/>
      <c r="W1541" s="168"/>
      <c r="X1541" s="168"/>
      <c r="Y1541" s="168"/>
      <c r="Z1541" s="168"/>
    </row>
    <row r="1542">
      <c r="A1542" s="168"/>
      <c r="B1542" s="162"/>
      <c r="C1542" s="168"/>
      <c r="D1542" s="168"/>
      <c r="E1542" s="168"/>
      <c r="F1542" s="168"/>
      <c r="G1542" s="168"/>
      <c r="H1542" s="168"/>
      <c r="I1542" s="168"/>
      <c r="J1542" s="168"/>
      <c r="K1542" s="168"/>
      <c r="L1542" s="168"/>
      <c r="M1542" s="168"/>
      <c r="N1542" s="168"/>
      <c r="O1542" s="168"/>
      <c r="P1542" s="168"/>
      <c r="Q1542" s="168"/>
      <c r="R1542" s="168"/>
      <c r="S1542" s="168"/>
      <c r="T1542" s="168"/>
      <c r="U1542" s="168"/>
      <c r="V1542" s="168"/>
      <c r="W1542" s="168"/>
      <c r="X1542" s="168"/>
      <c r="Y1542" s="168"/>
      <c r="Z1542" s="168"/>
    </row>
    <row r="1543">
      <c r="A1543" s="168"/>
      <c r="B1543" s="162"/>
      <c r="C1543" s="168"/>
      <c r="D1543" s="168"/>
      <c r="E1543" s="168"/>
      <c r="F1543" s="168"/>
      <c r="G1543" s="168"/>
      <c r="H1543" s="168"/>
      <c r="I1543" s="168"/>
      <c r="J1543" s="168"/>
      <c r="K1543" s="168"/>
      <c r="L1543" s="168"/>
      <c r="M1543" s="168"/>
      <c r="N1543" s="168"/>
      <c r="O1543" s="168"/>
      <c r="P1543" s="168"/>
      <c r="Q1543" s="168"/>
      <c r="R1543" s="168"/>
      <c r="S1543" s="168"/>
      <c r="T1543" s="168"/>
      <c r="U1543" s="168"/>
      <c r="V1543" s="168"/>
      <c r="W1543" s="168"/>
      <c r="X1543" s="168"/>
      <c r="Y1543" s="168"/>
      <c r="Z1543" s="168"/>
    </row>
    <row r="1544">
      <c r="A1544" s="168"/>
      <c r="B1544" s="162"/>
      <c r="C1544" s="168"/>
      <c r="D1544" s="168"/>
      <c r="E1544" s="168"/>
      <c r="F1544" s="168"/>
      <c r="G1544" s="168"/>
      <c r="H1544" s="168"/>
      <c r="I1544" s="168"/>
      <c r="J1544" s="168"/>
      <c r="K1544" s="168"/>
      <c r="L1544" s="168"/>
      <c r="M1544" s="168"/>
      <c r="N1544" s="168"/>
      <c r="O1544" s="168"/>
      <c r="P1544" s="168"/>
      <c r="Q1544" s="168"/>
      <c r="R1544" s="168"/>
      <c r="S1544" s="168"/>
      <c r="T1544" s="168"/>
      <c r="U1544" s="168"/>
      <c r="V1544" s="168"/>
      <c r="W1544" s="168"/>
      <c r="X1544" s="168"/>
      <c r="Y1544" s="168"/>
      <c r="Z1544" s="168"/>
    </row>
    <row r="1545">
      <c r="A1545" s="168"/>
      <c r="B1545" s="162"/>
      <c r="C1545" s="168"/>
      <c r="D1545" s="168"/>
      <c r="E1545" s="168"/>
      <c r="F1545" s="168"/>
      <c r="G1545" s="168"/>
      <c r="H1545" s="168"/>
      <c r="I1545" s="168"/>
      <c r="J1545" s="168"/>
      <c r="K1545" s="168"/>
      <c r="L1545" s="168"/>
      <c r="M1545" s="168"/>
      <c r="N1545" s="168"/>
      <c r="O1545" s="168"/>
      <c r="P1545" s="168"/>
      <c r="Q1545" s="168"/>
      <c r="R1545" s="168"/>
      <c r="S1545" s="168"/>
      <c r="T1545" s="168"/>
      <c r="U1545" s="168"/>
      <c r="V1545" s="168"/>
      <c r="W1545" s="168"/>
      <c r="X1545" s="168"/>
      <c r="Y1545" s="168"/>
      <c r="Z1545" s="168"/>
    </row>
    <row r="1546">
      <c r="A1546" s="168"/>
      <c r="B1546" s="162"/>
      <c r="C1546" s="168"/>
      <c r="D1546" s="168"/>
      <c r="E1546" s="168"/>
      <c r="F1546" s="168"/>
      <c r="G1546" s="168"/>
      <c r="H1546" s="168"/>
      <c r="I1546" s="168"/>
      <c r="J1546" s="168"/>
      <c r="K1546" s="168"/>
      <c r="L1546" s="168"/>
      <c r="M1546" s="168"/>
      <c r="N1546" s="168"/>
      <c r="O1546" s="168"/>
      <c r="P1546" s="168"/>
      <c r="Q1546" s="168"/>
      <c r="R1546" s="168"/>
      <c r="S1546" s="168"/>
      <c r="T1546" s="168"/>
      <c r="U1546" s="168"/>
      <c r="V1546" s="168"/>
      <c r="W1546" s="168"/>
      <c r="X1546" s="168"/>
      <c r="Y1546" s="168"/>
      <c r="Z1546" s="168"/>
    </row>
    <row r="1547">
      <c r="A1547" s="168"/>
      <c r="B1547" s="162"/>
      <c r="C1547" s="168"/>
      <c r="D1547" s="168"/>
      <c r="E1547" s="168"/>
      <c r="F1547" s="168"/>
      <c r="G1547" s="168"/>
      <c r="H1547" s="168"/>
      <c r="I1547" s="168"/>
      <c r="J1547" s="168"/>
      <c r="K1547" s="168"/>
      <c r="L1547" s="168"/>
      <c r="M1547" s="168"/>
      <c r="N1547" s="168"/>
      <c r="O1547" s="168"/>
      <c r="P1547" s="168"/>
      <c r="Q1547" s="168"/>
      <c r="R1547" s="168"/>
      <c r="S1547" s="168"/>
      <c r="T1547" s="168"/>
      <c r="U1547" s="168"/>
      <c r="V1547" s="168"/>
      <c r="W1547" s="168"/>
      <c r="X1547" s="168"/>
      <c r="Y1547" s="168"/>
      <c r="Z1547" s="168"/>
    </row>
    <row r="1548">
      <c r="A1548" s="168"/>
      <c r="B1548" s="162"/>
      <c r="C1548" s="168"/>
      <c r="D1548" s="168"/>
      <c r="E1548" s="168"/>
      <c r="F1548" s="168"/>
      <c r="G1548" s="168"/>
      <c r="H1548" s="168"/>
      <c r="I1548" s="168"/>
      <c r="J1548" s="168"/>
      <c r="K1548" s="168"/>
      <c r="L1548" s="168"/>
      <c r="M1548" s="168"/>
      <c r="N1548" s="168"/>
      <c r="O1548" s="168"/>
      <c r="P1548" s="168"/>
      <c r="Q1548" s="168"/>
      <c r="R1548" s="168"/>
      <c r="S1548" s="168"/>
      <c r="T1548" s="168"/>
      <c r="U1548" s="168"/>
      <c r="V1548" s="168"/>
      <c r="W1548" s="168"/>
      <c r="X1548" s="168"/>
      <c r="Y1548" s="168"/>
      <c r="Z1548" s="168"/>
    </row>
    <row r="1549">
      <c r="A1549" s="168"/>
      <c r="B1549" s="162"/>
      <c r="C1549" s="168"/>
      <c r="D1549" s="168"/>
      <c r="E1549" s="168"/>
      <c r="F1549" s="168"/>
      <c r="G1549" s="168"/>
      <c r="H1549" s="168"/>
      <c r="I1549" s="168"/>
      <c r="J1549" s="168"/>
      <c r="K1549" s="168"/>
      <c r="L1549" s="168"/>
      <c r="M1549" s="168"/>
      <c r="N1549" s="168"/>
      <c r="O1549" s="168"/>
      <c r="P1549" s="168"/>
      <c r="Q1549" s="168"/>
      <c r="R1549" s="168"/>
      <c r="S1549" s="168"/>
      <c r="T1549" s="168"/>
      <c r="U1549" s="168"/>
      <c r="V1549" s="168"/>
      <c r="W1549" s="168"/>
      <c r="X1549" s="168"/>
      <c r="Y1549" s="168"/>
      <c r="Z1549" s="168"/>
    </row>
    <row r="1550">
      <c r="A1550" s="168"/>
      <c r="B1550" s="162"/>
      <c r="C1550" s="168"/>
      <c r="D1550" s="168"/>
      <c r="E1550" s="168"/>
      <c r="F1550" s="168"/>
      <c r="G1550" s="168"/>
      <c r="H1550" s="168"/>
      <c r="I1550" s="168"/>
      <c r="J1550" s="168"/>
      <c r="K1550" s="168"/>
      <c r="L1550" s="168"/>
      <c r="M1550" s="168"/>
      <c r="N1550" s="168"/>
      <c r="O1550" s="168"/>
      <c r="P1550" s="168"/>
      <c r="Q1550" s="168"/>
      <c r="R1550" s="168"/>
      <c r="S1550" s="168"/>
      <c r="T1550" s="168"/>
      <c r="U1550" s="168"/>
      <c r="V1550" s="168"/>
      <c r="W1550" s="168"/>
      <c r="X1550" s="168"/>
      <c r="Y1550" s="168"/>
      <c r="Z1550" s="168"/>
    </row>
    <row r="1551">
      <c r="A1551" s="168"/>
      <c r="B1551" s="162"/>
      <c r="C1551" s="168"/>
      <c r="D1551" s="168"/>
      <c r="E1551" s="168"/>
      <c r="F1551" s="168"/>
      <c r="G1551" s="168"/>
      <c r="H1551" s="168"/>
      <c r="I1551" s="168"/>
      <c r="J1551" s="168"/>
      <c r="K1551" s="168"/>
      <c r="L1551" s="168"/>
      <c r="M1551" s="168"/>
      <c r="N1551" s="168"/>
      <c r="O1551" s="168"/>
      <c r="P1551" s="168"/>
      <c r="Q1551" s="168"/>
      <c r="R1551" s="168"/>
      <c r="S1551" s="168"/>
      <c r="T1551" s="168"/>
      <c r="U1551" s="168"/>
      <c r="V1551" s="168"/>
      <c r="W1551" s="168"/>
      <c r="X1551" s="168"/>
      <c r="Y1551" s="168"/>
      <c r="Z1551" s="168"/>
    </row>
    <row r="1552">
      <c r="A1552" s="168"/>
      <c r="B1552" s="162"/>
      <c r="C1552" s="168"/>
      <c r="D1552" s="168"/>
      <c r="E1552" s="168"/>
      <c r="F1552" s="168"/>
      <c r="G1552" s="168"/>
      <c r="H1552" s="168"/>
      <c r="I1552" s="168"/>
      <c r="J1552" s="168"/>
      <c r="K1552" s="168"/>
      <c r="L1552" s="168"/>
      <c r="M1552" s="168"/>
      <c r="N1552" s="168"/>
      <c r="O1552" s="168"/>
      <c r="P1552" s="168"/>
      <c r="Q1552" s="168"/>
      <c r="R1552" s="168"/>
      <c r="S1552" s="168"/>
      <c r="T1552" s="168"/>
      <c r="U1552" s="168"/>
      <c r="V1552" s="168"/>
      <c r="W1552" s="168"/>
      <c r="X1552" s="168"/>
      <c r="Y1552" s="168"/>
      <c r="Z1552" s="168"/>
    </row>
    <row r="1553">
      <c r="A1553" s="168"/>
      <c r="B1553" s="162"/>
      <c r="C1553" s="168"/>
      <c r="D1553" s="168"/>
      <c r="E1553" s="168"/>
      <c r="F1553" s="168"/>
      <c r="G1553" s="168"/>
      <c r="H1553" s="168"/>
      <c r="I1553" s="168"/>
      <c r="J1553" s="168"/>
      <c r="K1553" s="168"/>
      <c r="L1553" s="168"/>
      <c r="M1553" s="168"/>
      <c r="N1553" s="168"/>
      <c r="O1553" s="168"/>
      <c r="P1553" s="168"/>
      <c r="Q1553" s="168"/>
      <c r="R1553" s="168"/>
      <c r="S1553" s="168"/>
      <c r="T1553" s="168"/>
      <c r="U1553" s="168"/>
      <c r="V1553" s="168"/>
      <c r="W1553" s="168"/>
      <c r="X1553" s="168"/>
      <c r="Y1553" s="168"/>
      <c r="Z1553" s="168"/>
    </row>
    <row r="1554">
      <c r="A1554" s="168"/>
      <c r="B1554" s="162"/>
      <c r="C1554" s="168"/>
      <c r="D1554" s="168"/>
      <c r="E1554" s="168"/>
      <c r="F1554" s="168"/>
      <c r="G1554" s="168"/>
      <c r="H1554" s="168"/>
      <c r="I1554" s="168"/>
      <c r="J1554" s="168"/>
      <c r="K1554" s="168"/>
      <c r="L1554" s="168"/>
      <c r="M1554" s="168"/>
      <c r="N1554" s="168"/>
      <c r="O1554" s="168"/>
      <c r="P1554" s="168"/>
      <c r="Q1554" s="168"/>
      <c r="R1554" s="168"/>
      <c r="S1554" s="168"/>
      <c r="T1554" s="168"/>
      <c r="U1554" s="168"/>
      <c r="V1554" s="168"/>
      <c r="W1554" s="168"/>
      <c r="X1554" s="168"/>
      <c r="Y1554" s="168"/>
      <c r="Z1554" s="168"/>
    </row>
    <row r="1555">
      <c r="A1555" s="168"/>
      <c r="B1555" s="162"/>
      <c r="C1555" s="168"/>
      <c r="D1555" s="168"/>
      <c r="E1555" s="168"/>
      <c r="F1555" s="168"/>
      <c r="G1555" s="168"/>
      <c r="H1555" s="168"/>
      <c r="I1555" s="168"/>
      <c r="J1555" s="168"/>
      <c r="K1555" s="168"/>
      <c r="L1555" s="168"/>
      <c r="M1555" s="168"/>
      <c r="N1555" s="168"/>
      <c r="O1555" s="168"/>
      <c r="P1555" s="168"/>
      <c r="Q1555" s="168"/>
      <c r="R1555" s="168"/>
      <c r="S1555" s="168"/>
      <c r="T1555" s="168"/>
      <c r="U1555" s="168"/>
      <c r="V1555" s="168"/>
      <c r="W1555" s="168"/>
      <c r="X1555" s="168"/>
      <c r="Y1555" s="168"/>
      <c r="Z1555" s="168"/>
    </row>
    <row r="1556">
      <c r="A1556" s="168"/>
      <c r="B1556" s="162"/>
      <c r="C1556" s="168"/>
      <c r="D1556" s="168"/>
      <c r="E1556" s="168"/>
      <c r="F1556" s="168"/>
      <c r="G1556" s="168"/>
      <c r="H1556" s="168"/>
      <c r="I1556" s="168"/>
      <c r="J1556" s="168"/>
      <c r="K1556" s="168"/>
      <c r="L1556" s="168"/>
      <c r="M1556" s="168"/>
      <c r="N1556" s="168"/>
      <c r="O1556" s="168"/>
      <c r="P1556" s="168"/>
      <c r="Q1556" s="168"/>
      <c r="R1556" s="168"/>
      <c r="S1556" s="168"/>
      <c r="T1556" s="168"/>
      <c r="U1556" s="168"/>
      <c r="V1556" s="168"/>
      <c r="W1556" s="168"/>
      <c r="X1556" s="168"/>
      <c r="Y1556" s="168"/>
      <c r="Z1556" s="168"/>
    </row>
    <row r="1557">
      <c r="A1557" s="168"/>
      <c r="B1557" s="162"/>
      <c r="C1557" s="168"/>
      <c r="D1557" s="168"/>
      <c r="E1557" s="168"/>
      <c r="F1557" s="168"/>
      <c r="G1557" s="168"/>
      <c r="H1557" s="168"/>
      <c r="I1557" s="168"/>
      <c r="J1557" s="168"/>
      <c r="K1557" s="168"/>
      <c r="L1557" s="168"/>
      <c r="M1557" s="168"/>
      <c r="N1557" s="168"/>
      <c r="O1557" s="168"/>
      <c r="P1557" s="168"/>
      <c r="Q1557" s="168"/>
      <c r="R1557" s="168"/>
      <c r="S1557" s="168"/>
      <c r="T1557" s="168"/>
      <c r="U1557" s="168"/>
      <c r="V1557" s="168"/>
      <c r="W1557" s="168"/>
      <c r="X1557" s="168"/>
      <c r="Y1557" s="168"/>
      <c r="Z1557" s="168"/>
    </row>
    <row r="1558">
      <c r="A1558" s="168"/>
      <c r="B1558" s="162"/>
      <c r="C1558" s="168"/>
      <c r="D1558" s="168"/>
      <c r="E1558" s="168"/>
      <c r="F1558" s="168"/>
      <c r="G1558" s="168"/>
      <c r="H1558" s="168"/>
      <c r="I1558" s="168"/>
      <c r="J1558" s="168"/>
      <c r="K1558" s="168"/>
      <c r="L1558" s="168"/>
      <c r="M1558" s="168"/>
      <c r="N1558" s="168"/>
      <c r="O1558" s="168"/>
      <c r="P1558" s="168"/>
      <c r="Q1558" s="168"/>
      <c r="R1558" s="168"/>
      <c r="S1558" s="168"/>
      <c r="T1558" s="168"/>
      <c r="U1558" s="168"/>
      <c r="V1558" s="168"/>
      <c r="W1558" s="168"/>
      <c r="X1558" s="168"/>
      <c r="Y1558" s="168"/>
      <c r="Z1558" s="168"/>
    </row>
    <row r="1559">
      <c r="A1559" s="168"/>
      <c r="B1559" s="162"/>
      <c r="C1559" s="168"/>
      <c r="D1559" s="168"/>
      <c r="E1559" s="168"/>
      <c r="F1559" s="168"/>
      <c r="G1559" s="168"/>
      <c r="H1559" s="168"/>
      <c r="I1559" s="168"/>
      <c r="J1559" s="168"/>
      <c r="K1559" s="168"/>
      <c r="L1559" s="168"/>
      <c r="M1559" s="168"/>
      <c r="N1559" s="168"/>
      <c r="O1559" s="168"/>
      <c r="P1559" s="168"/>
      <c r="Q1559" s="168"/>
      <c r="R1559" s="168"/>
      <c r="S1559" s="168"/>
      <c r="T1559" s="168"/>
      <c r="U1559" s="168"/>
      <c r="V1559" s="168"/>
      <c r="W1559" s="168"/>
      <c r="X1559" s="168"/>
      <c r="Y1559" s="168"/>
      <c r="Z1559" s="168"/>
    </row>
    <row r="1560">
      <c r="A1560" s="168"/>
      <c r="B1560" s="162"/>
      <c r="C1560" s="168"/>
      <c r="D1560" s="168"/>
      <c r="E1560" s="168"/>
      <c r="F1560" s="168"/>
      <c r="G1560" s="168"/>
      <c r="H1560" s="168"/>
      <c r="I1560" s="168"/>
      <c r="J1560" s="168"/>
      <c r="K1560" s="168"/>
      <c r="L1560" s="168"/>
      <c r="M1560" s="168"/>
      <c r="N1560" s="168"/>
      <c r="O1560" s="168"/>
      <c r="P1560" s="168"/>
      <c r="Q1560" s="168"/>
      <c r="R1560" s="168"/>
      <c r="S1560" s="168"/>
      <c r="T1560" s="168"/>
      <c r="U1560" s="168"/>
      <c r="V1560" s="168"/>
      <c r="W1560" s="168"/>
      <c r="X1560" s="168"/>
      <c r="Y1560" s="168"/>
      <c r="Z1560" s="168"/>
    </row>
    <row r="1561">
      <c r="A1561" s="168"/>
      <c r="B1561" s="162"/>
      <c r="C1561" s="168"/>
      <c r="D1561" s="168"/>
      <c r="E1561" s="168"/>
      <c r="F1561" s="168"/>
      <c r="G1561" s="168"/>
      <c r="H1561" s="168"/>
      <c r="I1561" s="168"/>
      <c r="J1561" s="168"/>
      <c r="K1561" s="168"/>
      <c r="L1561" s="168"/>
      <c r="M1561" s="168"/>
      <c r="N1561" s="168"/>
      <c r="O1561" s="168"/>
      <c r="P1561" s="168"/>
      <c r="Q1561" s="168"/>
      <c r="R1561" s="168"/>
      <c r="S1561" s="168"/>
      <c r="T1561" s="168"/>
      <c r="U1561" s="168"/>
      <c r="V1561" s="168"/>
      <c r="W1561" s="168"/>
      <c r="X1561" s="168"/>
      <c r="Y1561" s="168"/>
      <c r="Z1561" s="168"/>
    </row>
    <row r="1562">
      <c r="A1562" s="168"/>
      <c r="B1562" s="162"/>
      <c r="C1562" s="168"/>
      <c r="D1562" s="168"/>
      <c r="E1562" s="168"/>
      <c r="F1562" s="168"/>
      <c r="G1562" s="168"/>
      <c r="H1562" s="168"/>
      <c r="I1562" s="168"/>
      <c r="J1562" s="168"/>
      <c r="K1562" s="168"/>
      <c r="L1562" s="168"/>
      <c r="M1562" s="168"/>
      <c r="N1562" s="168"/>
      <c r="O1562" s="168"/>
      <c r="P1562" s="168"/>
      <c r="Q1562" s="168"/>
      <c r="R1562" s="168"/>
      <c r="S1562" s="168"/>
      <c r="T1562" s="168"/>
      <c r="U1562" s="168"/>
      <c r="V1562" s="168"/>
      <c r="W1562" s="168"/>
      <c r="X1562" s="168"/>
      <c r="Y1562" s="168"/>
      <c r="Z1562" s="168"/>
    </row>
    <row r="1563">
      <c r="A1563" s="168"/>
      <c r="B1563" s="162"/>
      <c r="C1563" s="168"/>
      <c r="D1563" s="168"/>
      <c r="E1563" s="168"/>
      <c r="F1563" s="168"/>
      <c r="G1563" s="168"/>
      <c r="H1563" s="168"/>
      <c r="I1563" s="168"/>
      <c r="J1563" s="168"/>
      <c r="K1563" s="168"/>
      <c r="L1563" s="168"/>
      <c r="M1563" s="168"/>
      <c r="N1563" s="168"/>
      <c r="O1563" s="168"/>
      <c r="P1563" s="168"/>
      <c r="Q1563" s="168"/>
      <c r="R1563" s="168"/>
      <c r="S1563" s="168"/>
      <c r="T1563" s="168"/>
      <c r="U1563" s="168"/>
      <c r="V1563" s="168"/>
      <c r="W1563" s="168"/>
      <c r="X1563" s="168"/>
      <c r="Y1563" s="168"/>
      <c r="Z1563" s="168"/>
    </row>
    <row r="1564">
      <c r="A1564" s="168"/>
      <c r="B1564" s="162"/>
      <c r="C1564" s="168"/>
      <c r="D1564" s="168"/>
      <c r="E1564" s="168"/>
      <c r="F1564" s="168"/>
      <c r="G1564" s="168"/>
      <c r="H1564" s="168"/>
      <c r="I1564" s="168"/>
      <c r="J1564" s="168"/>
      <c r="K1564" s="168"/>
      <c r="L1564" s="168"/>
      <c r="M1564" s="168"/>
      <c r="N1564" s="168"/>
      <c r="O1564" s="168"/>
      <c r="P1564" s="168"/>
      <c r="Q1564" s="168"/>
      <c r="R1564" s="168"/>
      <c r="S1564" s="168"/>
      <c r="T1564" s="168"/>
      <c r="U1564" s="168"/>
      <c r="V1564" s="168"/>
      <c r="W1564" s="168"/>
      <c r="X1564" s="168"/>
      <c r="Y1564" s="168"/>
      <c r="Z1564" s="168"/>
    </row>
    <row r="1565">
      <c r="A1565" s="168"/>
      <c r="B1565" s="162"/>
      <c r="C1565" s="168"/>
      <c r="D1565" s="168"/>
      <c r="E1565" s="168"/>
      <c r="F1565" s="168"/>
      <c r="G1565" s="168"/>
      <c r="H1565" s="168"/>
      <c r="I1565" s="168"/>
      <c r="J1565" s="168"/>
      <c r="K1565" s="168"/>
      <c r="L1565" s="168"/>
      <c r="M1565" s="168"/>
      <c r="N1565" s="168"/>
      <c r="O1565" s="168"/>
      <c r="P1565" s="168"/>
      <c r="Q1565" s="168"/>
      <c r="R1565" s="168"/>
      <c r="S1565" s="168"/>
      <c r="T1565" s="168"/>
      <c r="U1565" s="168"/>
      <c r="V1565" s="168"/>
      <c r="W1565" s="168"/>
      <c r="X1565" s="168"/>
      <c r="Y1565" s="168"/>
      <c r="Z1565" s="168"/>
    </row>
    <row r="1566">
      <c r="A1566" s="168"/>
      <c r="B1566" s="162"/>
      <c r="C1566" s="168"/>
      <c r="D1566" s="168"/>
      <c r="E1566" s="168"/>
      <c r="F1566" s="168"/>
      <c r="G1566" s="168"/>
      <c r="H1566" s="168"/>
      <c r="I1566" s="168"/>
      <c r="J1566" s="168"/>
      <c r="K1566" s="168"/>
      <c r="L1566" s="168"/>
      <c r="M1566" s="168"/>
      <c r="N1566" s="168"/>
      <c r="O1566" s="168"/>
      <c r="P1566" s="168"/>
      <c r="Q1566" s="168"/>
      <c r="R1566" s="168"/>
      <c r="S1566" s="168"/>
      <c r="T1566" s="168"/>
      <c r="U1566" s="168"/>
      <c r="V1566" s="168"/>
      <c r="W1566" s="168"/>
      <c r="X1566" s="168"/>
      <c r="Y1566" s="168"/>
      <c r="Z1566" s="168"/>
    </row>
    <row r="1567">
      <c r="A1567" s="168"/>
      <c r="B1567" s="162"/>
      <c r="C1567" s="168"/>
      <c r="D1567" s="168"/>
      <c r="E1567" s="168"/>
      <c r="F1567" s="168"/>
      <c r="G1567" s="168"/>
      <c r="H1567" s="168"/>
      <c r="I1567" s="168"/>
      <c r="J1567" s="168"/>
      <c r="K1567" s="168"/>
      <c r="L1567" s="168"/>
      <c r="M1567" s="168"/>
      <c r="N1567" s="168"/>
      <c r="O1567" s="168"/>
      <c r="P1567" s="168"/>
      <c r="Q1567" s="168"/>
      <c r="R1567" s="168"/>
      <c r="S1567" s="168"/>
      <c r="T1567" s="168"/>
      <c r="U1567" s="168"/>
      <c r="V1567" s="168"/>
      <c r="W1567" s="168"/>
      <c r="X1567" s="168"/>
      <c r="Y1567" s="168"/>
      <c r="Z1567" s="168"/>
    </row>
    <row r="1568">
      <c r="A1568" s="168"/>
      <c r="B1568" s="162"/>
      <c r="C1568" s="168"/>
      <c r="D1568" s="168"/>
      <c r="E1568" s="168"/>
      <c r="F1568" s="168"/>
      <c r="G1568" s="168"/>
      <c r="H1568" s="168"/>
      <c r="I1568" s="168"/>
      <c r="J1568" s="168"/>
      <c r="K1568" s="168"/>
      <c r="L1568" s="168"/>
      <c r="M1568" s="168"/>
      <c r="N1568" s="168"/>
      <c r="O1568" s="168"/>
      <c r="P1568" s="168"/>
      <c r="Q1568" s="168"/>
      <c r="R1568" s="168"/>
      <c r="S1568" s="168"/>
      <c r="T1568" s="168"/>
      <c r="U1568" s="168"/>
      <c r="V1568" s="168"/>
      <c r="W1568" s="168"/>
      <c r="X1568" s="168"/>
      <c r="Y1568" s="168"/>
      <c r="Z1568" s="168"/>
    </row>
    <row r="1569">
      <c r="A1569" s="168"/>
      <c r="B1569" s="162"/>
      <c r="C1569" s="168"/>
      <c r="D1569" s="168"/>
      <c r="E1569" s="168"/>
      <c r="F1569" s="168"/>
      <c r="G1569" s="168"/>
      <c r="H1569" s="168"/>
      <c r="I1569" s="168"/>
      <c r="J1569" s="168"/>
      <c r="K1569" s="168"/>
      <c r="L1569" s="168"/>
      <c r="M1569" s="168"/>
      <c r="N1569" s="168"/>
      <c r="O1569" s="168"/>
      <c r="P1569" s="168"/>
      <c r="Q1569" s="168"/>
      <c r="R1569" s="168"/>
      <c r="S1569" s="168"/>
      <c r="T1569" s="168"/>
      <c r="U1569" s="168"/>
      <c r="V1569" s="168"/>
      <c r="W1569" s="168"/>
      <c r="X1569" s="168"/>
      <c r="Y1569" s="168"/>
      <c r="Z1569" s="168"/>
    </row>
    <row r="1570">
      <c r="A1570" s="168"/>
      <c r="B1570" s="162"/>
      <c r="C1570" s="168"/>
      <c r="D1570" s="168"/>
      <c r="E1570" s="168"/>
      <c r="F1570" s="168"/>
      <c r="G1570" s="168"/>
      <c r="H1570" s="168"/>
      <c r="I1570" s="168"/>
      <c r="J1570" s="168"/>
      <c r="K1570" s="168"/>
      <c r="L1570" s="168"/>
      <c r="M1570" s="168"/>
      <c r="N1570" s="168"/>
      <c r="O1570" s="168"/>
      <c r="P1570" s="168"/>
      <c r="Q1570" s="168"/>
      <c r="R1570" s="168"/>
      <c r="S1570" s="168"/>
      <c r="T1570" s="168"/>
      <c r="U1570" s="168"/>
      <c r="V1570" s="168"/>
      <c r="W1570" s="168"/>
      <c r="X1570" s="168"/>
      <c r="Y1570" s="168"/>
      <c r="Z1570" s="168"/>
    </row>
    <row r="1571">
      <c r="A1571" s="168"/>
      <c r="B1571" s="162"/>
      <c r="C1571" s="168"/>
      <c r="D1571" s="168"/>
      <c r="E1571" s="168"/>
      <c r="F1571" s="168"/>
      <c r="G1571" s="168"/>
      <c r="H1571" s="168"/>
      <c r="I1571" s="168"/>
      <c r="J1571" s="168"/>
      <c r="K1571" s="168"/>
      <c r="L1571" s="168"/>
      <c r="M1571" s="168"/>
      <c r="N1571" s="168"/>
      <c r="O1571" s="168"/>
      <c r="P1571" s="168"/>
      <c r="Q1571" s="168"/>
      <c r="R1571" s="168"/>
      <c r="S1571" s="168"/>
      <c r="T1571" s="168"/>
      <c r="U1571" s="168"/>
      <c r="V1571" s="168"/>
      <c r="W1571" s="168"/>
      <c r="X1571" s="168"/>
      <c r="Y1571" s="168"/>
      <c r="Z1571" s="168"/>
    </row>
    <row r="1572">
      <c r="A1572" s="168"/>
      <c r="B1572" s="162"/>
      <c r="C1572" s="168"/>
      <c r="D1572" s="168"/>
      <c r="E1572" s="168"/>
      <c r="F1572" s="168"/>
      <c r="G1572" s="168"/>
      <c r="H1572" s="168"/>
      <c r="I1572" s="168"/>
      <c r="J1572" s="168"/>
      <c r="K1572" s="168"/>
      <c r="L1572" s="168"/>
      <c r="M1572" s="168"/>
      <c r="N1572" s="168"/>
      <c r="O1572" s="168"/>
      <c r="P1572" s="168"/>
      <c r="Q1572" s="168"/>
      <c r="R1572" s="168"/>
      <c r="S1572" s="168"/>
      <c r="T1572" s="168"/>
      <c r="U1572" s="168"/>
      <c r="V1572" s="168"/>
      <c r="W1572" s="168"/>
      <c r="X1572" s="168"/>
      <c r="Y1572" s="168"/>
      <c r="Z1572" s="168"/>
    </row>
    <row r="1573">
      <c r="A1573" s="168"/>
      <c r="B1573" s="162"/>
      <c r="C1573" s="168"/>
      <c r="D1573" s="168"/>
      <c r="E1573" s="168"/>
      <c r="F1573" s="168"/>
      <c r="G1573" s="168"/>
      <c r="H1573" s="168"/>
      <c r="I1573" s="168"/>
      <c r="J1573" s="168"/>
      <c r="K1573" s="168"/>
      <c r="L1573" s="168"/>
      <c r="M1573" s="168"/>
      <c r="N1573" s="168"/>
      <c r="O1573" s="168"/>
      <c r="P1573" s="168"/>
      <c r="Q1573" s="168"/>
      <c r="R1573" s="168"/>
      <c r="S1573" s="168"/>
      <c r="T1573" s="168"/>
      <c r="U1573" s="168"/>
      <c r="V1573" s="168"/>
      <c r="W1573" s="168"/>
      <c r="X1573" s="168"/>
      <c r="Y1573" s="168"/>
      <c r="Z1573" s="168"/>
    </row>
    <row r="1574">
      <c r="A1574" s="168"/>
      <c r="B1574" s="162"/>
      <c r="C1574" s="168"/>
      <c r="D1574" s="168"/>
      <c r="E1574" s="168"/>
      <c r="F1574" s="168"/>
      <c r="G1574" s="168"/>
      <c r="H1574" s="168"/>
      <c r="I1574" s="168"/>
      <c r="J1574" s="168"/>
      <c r="K1574" s="168"/>
      <c r="L1574" s="168"/>
      <c r="M1574" s="168"/>
      <c r="N1574" s="168"/>
      <c r="O1574" s="168"/>
      <c r="P1574" s="168"/>
      <c r="Q1574" s="168"/>
      <c r="R1574" s="168"/>
      <c r="S1574" s="168"/>
      <c r="T1574" s="168"/>
      <c r="U1574" s="168"/>
      <c r="V1574" s="168"/>
      <c r="W1574" s="168"/>
      <c r="X1574" s="168"/>
      <c r="Y1574" s="168"/>
      <c r="Z1574" s="168"/>
    </row>
    <row r="1575">
      <c r="A1575" s="168"/>
      <c r="B1575" s="162"/>
      <c r="C1575" s="168"/>
      <c r="D1575" s="168"/>
      <c r="E1575" s="168"/>
      <c r="F1575" s="168"/>
      <c r="G1575" s="168"/>
      <c r="H1575" s="168"/>
      <c r="I1575" s="168"/>
      <c r="J1575" s="168"/>
      <c r="K1575" s="168"/>
      <c r="L1575" s="168"/>
      <c r="M1575" s="168"/>
      <c r="N1575" s="168"/>
      <c r="O1575" s="168"/>
      <c r="P1575" s="168"/>
      <c r="Q1575" s="168"/>
      <c r="R1575" s="168"/>
      <c r="S1575" s="168"/>
      <c r="T1575" s="168"/>
      <c r="U1575" s="168"/>
      <c r="V1575" s="168"/>
      <c r="W1575" s="168"/>
      <c r="X1575" s="168"/>
      <c r="Y1575" s="168"/>
      <c r="Z1575" s="168"/>
    </row>
    <row r="1576">
      <c r="A1576" s="168"/>
      <c r="B1576" s="162"/>
      <c r="C1576" s="168"/>
      <c r="D1576" s="168"/>
      <c r="E1576" s="168"/>
      <c r="F1576" s="168"/>
      <c r="G1576" s="168"/>
      <c r="H1576" s="168"/>
      <c r="I1576" s="168"/>
      <c r="J1576" s="168"/>
      <c r="K1576" s="168"/>
      <c r="L1576" s="168"/>
      <c r="M1576" s="168"/>
      <c r="N1576" s="168"/>
      <c r="O1576" s="168"/>
      <c r="P1576" s="168"/>
      <c r="Q1576" s="168"/>
      <c r="R1576" s="168"/>
      <c r="S1576" s="168"/>
      <c r="T1576" s="168"/>
      <c r="U1576" s="168"/>
      <c r="V1576" s="168"/>
      <c r="W1576" s="168"/>
      <c r="X1576" s="168"/>
      <c r="Y1576" s="168"/>
      <c r="Z1576" s="168"/>
    </row>
    <row r="1577">
      <c r="A1577" s="168"/>
      <c r="B1577" s="162"/>
      <c r="C1577" s="168"/>
      <c r="D1577" s="168"/>
      <c r="E1577" s="168"/>
      <c r="F1577" s="168"/>
      <c r="G1577" s="168"/>
      <c r="H1577" s="168"/>
      <c r="I1577" s="168"/>
      <c r="J1577" s="168"/>
      <c r="K1577" s="168"/>
      <c r="L1577" s="168"/>
      <c r="M1577" s="168"/>
      <c r="N1577" s="168"/>
      <c r="O1577" s="168"/>
      <c r="P1577" s="168"/>
      <c r="Q1577" s="168"/>
      <c r="R1577" s="168"/>
      <c r="S1577" s="168"/>
      <c r="T1577" s="168"/>
      <c r="U1577" s="168"/>
      <c r="V1577" s="168"/>
      <c r="W1577" s="168"/>
      <c r="X1577" s="168"/>
      <c r="Y1577" s="168"/>
      <c r="Z1577" s="168"/>
    </row>
    <row r="1578">
      <c r="A1578" s="168"/>
      <c r="B1578" s="162"/>
      <c r="C1578" s="168"/>
      <c r="D1578" s="168"/>
      <c r="E1578" s="168"/>
      <c r="F1578" s="168"/>
      <c r="G1578" s="168"/>
      <c r="H1578" s="168"/>
      <c r="I1578" s="168"/>
      <c r="J1578" s="168"/>
      <c r="K1578" s="168"/>
      <c r="L1578" s="168"/>
      <c r="M1578" s="168"/>
      <c r="N1578" s="168"/>
      <c r="O1578" s="168"/>
      <c r="P1578" s="168"/>
      <c r="Q1578" s="168"/>
      <c r="R1578" s="168"/>
      <c r="S1578" s="168"/>
      <c r="T1578" s="168"/>
      <c r="U1578" s="168"/>
      <c r="V1578" s="168"/>
      <c r="W1578" s="168"/>
      <c r="X1578" s="168"/>
      <c r="Y1578" s="168"/>
      <c r="Z1578" s="168"/>
    </row>
    <row r="1579">
      <c r="A1579" s="168"/>
      <c r="B1579" s="162"/>
      <c r="C1579" s="168"/>
      <c r="D1579" s="168"/>
      <c r="E1579" s="168"/>
      <c r="F1579" s="168"/>
      <c r="G1579" s="168"/>
      <c r="H1579" s="168"/>
      <c r="I1579" s="168"/>
      <c r="J1579" s="168"/>
      <c r="K1579" s="168"/>
      <c r="L1579" s="168"/>
      <c r="M1579" s="168"/>
      <c r="N1579" s="168"/>
      <c r="O1579" s="168"/>
      <c r="P1579" s="168"/>
      <c r="Q1579" s="168"/>
      <c r="R1579" s="168"/>
      <c r="S1579" s="168"/>
      <c r="T1579" s="168"/>
      <c r="U1579" s="168"/>
      <c r="V1579" s="168"/>
      <c r="W1579" s="168"/>
      <c r="X1579" s="168"/>
      <c r="Y1579" s="168"/>
      <c r="Z1579" s="168"/>
    </row>
    <row r="1580">
      <c r="A1580" s="168"/>
      <c r="B1580" s="162"/>
      <c r="C1580" s="168"/>
      <c r="D1580" s="168"/>
      <c r="E1580" s="168"/>
      <c r="F1580" s="168"/>
      <c r="G1580" s="168"/>
      <c r="H1580" s="168"/>
      <c r="I1580" s="168"/>
      <c r="J1580" s="168"/>
      <c r="K1580" s="168"/>
      <c r="L1580" s="168"/>
      <c r="M1580" s="168"/>
      <c r="N1580" s="168"/>
      <c r="O1580" s="168"/>
      <c r="P1580" s="168"/>
      <c r="Q1580" s="168"/>
      <c r="R1580" s="168"/>
      <c r="S1580" s="168"/>
      <c r="T1580" s="168"/>
      <c r="U1580" s="168"/>
      <c r="V1580" s="168"/>
      <c r="W1580" s="168"/>
      <c r="X1580" s="168"/>
      <c r="Y1580" s="168"/>
      <c r="Z1580" s="168"/>
    </row>
    <row r="1581">
      <c r="A1581" s="168"/>
      <c r="B1581" s="162"/>
      <c r="C1581" s="168"/>
      <c r="D1581" s="168"/>
      <c r="E1581" s="168"/>
      <c r="F1581" s="168"/>
      <c r="G1581" s="168"/>
      <c r="H1581" s="168"/>
      <c r="I1581" s="168"/>
      <c r="J1581" s="168"/>
      <c r="K1581" s="168"/>
      <c r="L1581" s="168"/>
      <c r="M1581" s="168"/>
      <c r="N1581" s="168"/>
      <c r="O1581" s="168"/>
      <c r="P1581" s="168"/>
      <c r="Q1581" s="168"/>
      <c r="R1581" s="168"/>
      <c r="S1581" s="168"/>
      <c r="T1581" s="168"/>
      <c r="U1581" s="168"/>
      <c r="V1581" s="168"/>
      <c r="W1581" s="168"/>
      <c r="X1581" s="168"/>
      <c r="Y1581" s="168"/>
      <c r="Z1581" s="168"/>
    </row>
    <row r="1582">
      <c r="A1582" s="168"/>
      <c r="B1582" s="162"/>
      <c r="C1582" s="168"/>
      <c r="D1582" s="168"/>
      <c r="E1582" s="168"/>
      <c r="F1582" s="168"/>
      <c r="G1582" s="168"/>
      <c r="H1582" s="168"/>
      <c r="I1582" s="168"/>
      <c r="J1582" s="168"/>
      <c r="K1582" s="168"/>
      <c r="L1582" s="168"/>
      <c r="M1582" s="168"/>
      <c r="N1582" s="168"/>
      <c r="O1582" s="168"/>
      <c r="P1582" s="168"/>
      <c r="Q1582" s="168"/>
      <c r="R1582" s="168"/>
      <c r="S1582" s="168"/>
      <c r="T1582" s="168"/>
      <c r="U1582" s="168"/>
      <c r="V1582" s="168"/>
      <c r="W1582" s="168"/>
      <c r="X1582" s="168"/>
      <c r="Y1582" s="168"/>
      <c r="Z1582" s="168"/>
    </row>
    <row r="1583">
      <c r="A1583" s="168"/>
      <c r="B1583" s="162"/>
      <c r="C1583" s="168"/>
      <c r="D1583" s="168"/>
      <c r="E1583" s="168"/>
      <c r="F1583" s="168"/>
      <c r="G1583" s="168"/>
      <c r="H1583" s="168"/>
      <c r="I1583" s="168"/>
      <c r="J1583" s="168"/>
      <c r="K1583" s="168"/>
      <c r="L1583" s="168"/>
      <c r="M1583" s="168"/>
      <c r="N1583" s="168"/>
      <c r="O1583" s="168"/>
      <c r="P1583" s="168"/>
      <c r="Q1583" s="168"/>
      <c r="R1583" s="168"/>
      <c r="S1583" s="168"/>
      <c r="T1583" s="168"/>
      <c r="U1583" s="168"/>
      <c r="V1583" s="168"/>
      <c r="W1583" s="168"/>
      <c r="X1583" s="168"/>
      <c r="Y1583" s="168"/>
      <c r="Z1583" s="168"/>
    </row>
    <row r="1584">
      <c r="A1584" s="168"/>
      <c r="B1584" s="162"/>
      <c r="C1584" s="168"/>
      <c r="D1584" s="168"/>
      <c r="E1584" s="168"/>
      <c r="F1584" s="168"/>
      <c r="G1584" s="168"/>
      <c r="H1584" s="168"/>
      <c r="I1584" s="168"/>
      <c r="J1584" s="168"/>
      <c r="K1584" s="168"/>
      <c r="L1584" s="168"/>
      <c r="M1584" s="168"/>
      <c r="N1584" s="168"/>
      <c r="O1584" s="168"/>
      <c r="P1584" s="168"/>
      <c r="Q1584" s="168"/>
      <c r="R1584" s="168"/>
      <c r="S1584" s="168"/>
      <c r="T1584" s="168"/>
      <c r="U1584" s="168"/>
      <c r="V1584" s="168"/>
      <c r="W1584" s="168"/>
      <c r="X1584" s="168"/>
      <c r="Y1584" s="168"/>
      <c r="Z1584" s="168"/>
    </row>
    <row r="1585">
      <c r="A1585" s="168"/>
      <c r="B1585" s="162"/>
      <c r="C1585" s="168"/>
      <c r="D1585" s="168"/>
      <c r="E1585" s="168"/>
      <c r="F1585" s="168"/>
      <c r="G1585" s="168"/>
      <c r="H1585" s="168"/>
      <c r="I1585" s="168"/>
      <c r="J1585" s="168"/>
      <c r="K1585" s="168"/>
      <c r="L1585" s="168"/>
      <c r="M1585" s="168"/>
      <c r="N1585" s="168"/>
      <c r="O1585" s="168"/>
      <c r="P1585" s="168"/>
      <c r="Q1585" s="168"/>
      <c r="R1585" s="168"/>
      <c r="S1585" s="168"/>
      <c r="T1585" s="168"/>
      <c r="U1585" s="168"/>
      <c r="V1585" s="168"/>
      <c r="W1585" s="168"/>
      <c r="X1585" s="168"/>
      <c r="Y1585" s="168"/>
      <c r="Z1585" s="168"/>
    </row>
    <row r="1586">
      <c r="A1586" s="168"/>
      <c r="B1586" s="162"/>
      <c r="C1586" s="168"/>
      <c r="D1586" s="168"/>
      <c r="E1586" s="168"/>
      <c r="F1586" s="168"/>
      <c r="G1586" s="168"/>
      <c r="H1586" s="168"/>
      <c r="I1586" s="168"/>
      <c r="J1586" s="168"/>
      <c r="K1586" s="168"/>
      <c r="L1586" s="168"/>
      <c r="M1586" s="168"/>
      <c r="N1586" s="168"/>
      <c r="O1586" s="168"/>
      <c r="P1586" s="168"/>
      <c r="Q1586" s="168"/>
      <c r="R1586" s="168"/>
      <c r="S1586" s="168"/>
      <c r="T1586" s="168"/>
      <c r="U1586" s="168"/>
      <c r="V1586" s="168"/>
      <c r="W1586" s="168"/>
      <c r="X1586" s="168"/>
      <c r="Y1586" s="168"/>
      <c r="Z1586" s="168"/>
    </row>
    <row r="1587">
      <c r="A1587" s="168"/>
      <c r="B1587" s="162"/>
      <c r="C1587" s="168"/>
      <c r="D1587" s="168"/>
      <c r="E1587" s="168"/>
      <c r="F1587" s="168"/>
      <c r="G1587" s="168"/>
      <c r="H1587" s="168"/>
      <c r="I1587" s="168"/>
      <c r="J1587" s="168"/>
      <c r="K1587" s="168"/>
      <c r="L1587" s="168"/>
      <c r="M1587" s="168"/>
      <c r="N1587" s="168"/>
      <c r="O1587" s="168"/>
      <c r="P1587" s="168"/>
      <c r="Q1587" s="168"/>
      <c r="R1587" s="168"/>
      <c r="S1587" s="168"/>
      <c r="T1587" s="168"/>
      <c r="U1587" s="168"/>
      <c r="V1587" s="168"/>
      <c r="W1587" s="168"/>
      <c r="X1587" s="168"/>
      <c r="Y1587" s="168"/>
      <c r="Z1587" s="168"/>
    </row>
    <row r="1588">
      <c r="A1588" s="168"/>
      <c r="B1588" s="162"/>
      <c r="C1588" s="168"/>
      <c r="D1588" s="168"/>
      <c r="E1588" s="168"/>
      <c r="F1588" s="168"/>
      <c r="G1588" s="168"/>
      <c r="H1588" s="168"/>
      <c r="I1588" s="168"/>
      <c r="J1588" s="168"/>
      <c r="K1588" s="168"/>
      <c r="L1588" s="168"/>
      <c r="M1588" s="168"/>
      <c r="N1588" s="168"/>
      <c r="O1588" s="168"/>
      <c r="P1588" s="168"/>
      <c r="Q1588" s="168"/>
      <c r="R1588" s="168"/>
      <c r="S1588" s="168"/>
      <c r="T1588" s="168"/>
      <c r="U1588" s="168"/>
      <c r="V1588" s="168"/>
      <c r="W1588" s="168"/>
      <c r="X1588" s="168"/>
      <c r="Y1588" s="168"/>
      <c r="Z1588" s="168"/>
    </row>
    <row r="1589">
      <c r="A1589" s="168"/>
      <c r="B1589" s="162"/>
      <c r="C1589" s="168"/>
      <c r="D1589" s="168"/>
      <c r="E1589" s="168"/>
      <c r="F1589" s="168"/>
      <c r="G1589" s="168"/>
      <c r="H1589" s="168"/>
      <c r="I1589" s="168"/>
      <c r="J1589" s="168"/>
      <c r="K1589" s="168"/>
      <c r="L1589" s="168"/>
      <c r="M1589" s="168"/>
      <c r="N1589" s="168"/>
      <c r="O1589" s="168"/>
      <c r="P1589" s="168"/>
      <c r="Q1589" s="168"/>
      <c r="R1589" s="168"/>
      <c r="S1589" s="168"/>
      <c r="T1589" s="168"/>
      <c r="U1589" s="168"/>
      <c r="V1589" s="168"/>
      <c r="W1589" s="168"/>
      <c r="X1589" s="168"/>
      <c r="Y1589" s="168"/>
      <c r="Z1589" s="168"/>
    </row>
    <row r="1590">
      <c r="A1590" s="168"/>
      <c r="B1590" s="162"/>
      <c r="C1590" s="168"/>
      <c r="D1590" s="168"/>
      <c r="E1590" s="168"/>
      <c r="F1590" s="168"/>
      <c r="G1590" s="168"/>
      <c r="H1590" s="168"/>
      <c r="I1590" s="168"/>
      <c r="J1590" s="168"/>
      <c r="K1590" s="168"/>
      <c r="L1590" s="168"/>
      <c r="M1590" s="168"/>
      <c r="N1590" s="168"/>
      <c r="O1590" s="168"/>
      <c r="P1590" s="168"/>
      <c r="Q1590" s="168"/>
      <c r="R1590" s="168"/>
      <c r="S1590" s="168"/>
      <c r="T1590" s="168"/>
      <c r="U1590" s="168"/>
      <c r="V1590" s="168"/>
      <c r="W1590" s="168"/>
      <c r="X1590" s="168"/>
      <c r="Y1590" s="168"/>
      <c r="Z1590" s="168"/>
    </row>
    <row r="1591">
      <c r="A1591" s="168"/>
      <c r="B1591" s="162"/>
      <c r="C1591" s="168"/>
      <c r="D1591" s="168"/>
      <c r="E1591" s="168"/>
      <c r="F1591" s="168"/>
      <c r="G1591" s="168"/>
      <c r="H1591" s="168"/>
      <c r="I1591" s="168"/>
      <c r="J1591" s="168"/>
      <c r="K1591" s="168"/>
      <c r="L1591" s="168"/>
      <c r="M1591" s="168"/>
      <c r="N1591" s="168"/>
      <c r="O1591" s="168"/>
      <c r="P1591" s="168"/>
      <c r="Q1591" s="168"/>
      <c r="R1591" s="168"/>
      <c r="S1591" s="168"/>
      <c r="T1591" s="168"/>
      <c r="U1591" s="168"/>
      <c r="V1591" s="168"/>
      <c r="W1591" s="168"/>
      <c r="X1591" s="168"/>
      <c r="Y1591" s="168"/>
      <c r="Z1591" s="168"/>
    </row>
    <row r="1592">
      <c r="A1592" s="168"/>
      <c r="B1592" s="162"/>
      <c r="C1592" s="168"/>
      <c r="D1592" s="168"/>
      <c r="E1592" s="168"/>
      <c r="F1592" s="168"/>
      <c r="G1592" s="168"/>
      <c r="H1592" s="168"/>
      <c r="I1592" s="168"/>
      <c r="J1592" s="168"/>
      <c r="K1592" s="168"/>
      <c r="L1592" s="168"/>
      <c r="M1592" s="168"/>
      <c r="N1592" s="168"/>
      <c r="O1592" s="168"/>
      <c r="P1592" s="168"/>
      <c r="Q1592" s="168"/>
      <c r="R1592" s="168"/>
      <c r="S1592" s="168"/>
      <c r="T1592" s="168"/>
      <c r="U1592" s="168"/>
      <c r="V1592" s="168"/>
      <c r="W1592" s="168"/>
      <c r="X1592" s="168"/>
      <c r="Y1592" s="168"/>
      <c r="Z1592" s="168"/>
    </row>
    <row r="1593">
      <c r="A1593" s="168"/>
      <c r="B1593" s="162"/>
      <c r="C1593" s="168"/>
      <c r="D1593" s="168"/>
      <c r="E1593" s="168"/>
      <c r="F1593" s="168"/>
      <c r="G1593" s="168"/>
      <c r="H1593" s="168"/>
      <c r="I1593" s="168"/>
      <c r="J1593" s="168"/>
      <c r="K1593" s="168"/>
      <c r="L1593" s="168"/>
      <c r="M1593" s="168"/>
      <c r="N1593" s="168"/>
      <c r="O1593" s="168"/>
      <c r="P1593" s="168"/>
      <c r="Q1593" s="168"/>
      <c r="R1593" s="168"/>
      <c r="S1593" s="168"/>
      <c r="T1593" s="168"/>
      <c r="U1593" s="168"/>
      <c r="V1593" s="168"/>
      <c r="W1593" s="168"/>
      <c r="X1593" s="168"/>
      <c r="Y1593" s="168"/>
      <c r="Z1593" s="168"/>
    </row>
    <row r="1594">
      <c r="A1594" s="168"/>
      <c r="B1594" s="162"/>
      <c r="C1594" s="168"/>
      <c r="D1594" s="168"/>
      <c r="E1594" s="168"/>
      <c r="F1594" s="168"/>
      <c r="G1594" s="168"/>
      <c r="H1594" s="168"/>
      <c r="I1594" s="168"/>
      <c r="J1594" s="168"/>
      <c r="K1594" s="168"/>
      <c r="L1594" s="168"/>
      <c r="M1594" s="168"/>
      <c r="N1594" s="168"/>
      <c r="O1594" s="168"/>
      <c r="P1594" s="168"/>
      <c r="Q1594" s="168"/>
      <c r="R1594" s="168"/>
      <c r="S1594" s="168"/>
      <c r="T1594" s="168"/>
      <c r="U1594" s="168"/>
      <c r="V1594" s="168"/>
      <c r="W1594" s="168"/>
      <c r="X1594" s="168"/>
      <c r="Y1594" s="168"/>
      <c r="Z1594" s="168"/>
    </row>
    <row r="1595">
      <c r="A1595" s="168"/>
      <c r="B1595" s="162"/>
      <c r="C1595" s="168"/>
      <c r="D1595" s="168"/>
      <c r="E1595" s="168"/>
      <c r="F1595" s="168"/>
      <c r="G1595" s="168"/>
      <c r="H1595" s="168"/>
      <c r="I1595" s="168"/>
      <c r="J1595" s="168"/>
      <c r="K1595" s="168"/>
      <c r="L1595" s="168"/>
      <c r="M1595" s="168"/>
      <c r="N1595" s="168"/>
      <c r="O1595" s="168"/>
      <c r="P1595" s="168"/>
      <c r="Q1595" s="168"/>
      <c r="R1595" s="168"/>
      <c r="S1595" s="168"/>
      <c r="T1595" s="168"/>
      <c r="U1595" s="168"/>
      <c r="V1595" s="168"/>
      <c r="W1595" s="168"/>
      <c r="X1595" s="168"/>
      <c r="Y1595" s="168"/>
      <c r="Z1595" s="168"/>
    </row>
    <row r="1596">
      <c r="A1596" s="168"/>
      <c r="B1596" s="162"/>
      <c r="C1596" s="168"/>
      <c r="D1596" s="168"/>
      <c r="E1596" s="168"/>
      <c r="F1596" s="168"/>
      <c r="G1596" s="168"/>
      <c r="H1596" s="168"/>
      <c r="I1596" s="168"/>
      <c r="J1596" s="168"/>
      <c r="K1596" s="168"/>
      <c r="L1596" s="168"/>
      <c r="M1596" s="168"/>
      <c r="N1596" s="168"/>
      <c r="O1596" s="168"/>
      <c r="P1596" s="168"/>
      <c r="Q1596" s="168"/>
      <c r="R1596" s="168"/>
      <c r="S1596" s="168"/>
      <c r="T1596" s="168"/>
      <c r="U1596" s="168"/>
      <c r="V1596" s="168"/>
      <c r="W1596" s="168"/>
      <c r="X1596" s="168"/>
      <c r="Y1596" s="168"/>
      <c r="Z1596" s="168"/>
    </row>
    <row r="1597">
      <c r="A1597" s="168"/>
      <c r="B1597" s="162"/>
      <c r="C1597" s="168"/>
      <c r="D1597" s="168"/>
      <c r="E1597" s="168"/>
      <c r="F1597" s="168"/>
      <c r="G1597" s="168"/>
      <c r="H1597" s="168"/>
      <c r="I1597" s="168"/>
      <c r="J1597" s="168"/>
      <c r="K1597" s="168"/>
      <c r="L1597" s="168"/>
      <c r="M1597" s="168"/>
      <c r="N1597" s="168"/>
      <c r="O1597" s="168"/>
      <c r="P1597" s="168"/>
      <c r="Q1597" s="168"/>
      <c r="R1597" s="168"/>
      <c r="S1597" s="168"/>
      <c r="T1597" s="168"/>
      <c r="U1597" s="168"/>
      <c r="V1597" s="168"/>
      <c r="W1597" s="168"/>
      <c r="X1597" s="168"/>
      <c r="Y1597" s="168"/>
      <c r="Z1597" s="168"/>
    </row>
    <row r="1598">
      <c r="A1598" s="168"/>
      <c r="B1598" s="162"/>
      <c r="C1598" s="168"/>
      <c r="D1598" s="168"/>
      <c r="E1598" s="168"/>
      <c r="F1598" s="168"/>
      <c r="G1598" s="168"/>
      <c r="H1598" s="168"/>
      <c r="I1598" s="168"/>
      <c r="J1598" s="168"/>
      <c r="K1598" s="168"/>
      <c r="L1598" s="168"/>
      <c r="M1598" s="168"/>
      <c r="N1598" s="168"/>
      <c r="O1598" s="168"/>
      <c r="P1598" s="168"/>
      <c r="Q1598" s="168"/>
      <c r="R1598" s="168"/>
      <c r="S1598" s="168"/>
      <c r="T1598" s="168"/>
      <c r="U1598" s="168"/>
      <c r="V1598" s="168"/>
      <c r="W1598" s="168"/>
      <c r="X1598" s="168"/>
      <c r="Y1598" s="168"/>
      <c r="Z1598" s="168"/>
    </row>
    <row r="1599">
      <c r="A1599" s="168"/>
      <c r="B1599" s="162"/>
      <c r="C1599" s="168"/>
      <c r="D1599" s="168"/>
      <c r="E1599" s="168"/>
      <c r="F1599" s="168"/>
      <c r="G1599" s="168"/>
      <c r="H1599" s="168"/>
      <c r="I1599" s="168"/>
      <c r="J1599" s="168"/>
      <c r="K1599" s="168"/>
      <c r="L1599" s="168"/>
      <c r="M1599" s="168"/>
      <c r="N1599" s="168"/>
      <c r="O1599" s="168"/>
      <c r="P1599" s="168"/>
      <c r="Q1599" s="168"/>
      <c r="R1599" s="168"/>
      <c r="S1599" s="168"/>
      <c r="T1599" s="168"/>
      <c r="U1599" s="168"/>
      <c r="V1599" s="168"/>
      <c r="W1599" s="168"/>
      <c r="X1599" s="168"/>
      <c r="Y1599" s="168"/>
      <c r="Z1599" s="168"/>
    </row>
    <row r="1600">
      <c r="A1600" s="168"/>
      <c r="B1600" s="162"/>
      <c r="C1600" s="168"/>
      <c r="D1600" s="168"/>
      <c r="E1600" s="168"/>
      <c r="F1600" s="168"/>
      <c r="G1600" s="168"/>
      <c r="H1600" s="168"/>
      <c r="I1600" s="168"/>
      <c r="J1600" s="168"/>
      <c r="K1600" s="168"/>
      <c r="L1600" s="168"/>
      <c r="M1600" s="168"/>
      <c r="N1600" s="168"/>
      <c r="O1600" s="168"/>
      <c r="P1600" s="168"/>
      <c r="Q1600" s="168"/>
      <c r="R1600" s="168"/>
      <c r="S1600" s="168"/>
      <c r="T1600" s="168"/>
      <c r="U1600" s="168"/>
      <c r="V1600" s="168"/>
      <c r="W1600" s="168"/>
      <c r="X1600" s="168"/>
      <c r="Y1600" s="168"/>
      <c r="Z1600" s="168"/>
    </row>
    <row r="1601">
      <c r="A1601" s="168"/>
      <c r="B1601" s="162"/>
      <c r="C1601" s="168"/>
      <c r="D1601" s="168"/>
      <c r="E1601" s="168"/>
      <c r="F1601" s="168"/>
      <c r="G1601" s="168"/>
      <c r="H1601" s="168"/>
      <c r="I1601" s="168"/>
      <c r="J1601" s="168"/>
      <c r="K1601" s="168"/>
      <c r="L1601" s="168"/>
      <c r="M1601" s="168"/>
      <c r="N1601" s="168"/>
      <c r="O1601" s="168"/>
      <c r="P1601" s="168"/>
      <c r="Q1601" s="168"/>
      <c r="R1601" s="168"/>
      <c r="S1601" s="168"/>
      <c r="T1601" s="168"/>
      <c r="U1601" s="168"/>
      <c r="V1601" s="168"/>
      <c r="W1601" s="168"/>
      <c r="X1601" s="168"/>
      <c r="Y1601" s="168"/>
      <c r="Z1601" s="168"/>
    </row>
    <row r="1602">
      <c r="A1602" s="168"/>
      <c r="B1602" s="162"/>
      <c r="C1602" s="168"/>
      <c r="D1602" s="168"/>
      <c r="E1602" s="168"/>
      <c r="F1602" s="168"/>
      <c r="G1602" s="168"/>
      <c r="H1602" s="168"/>
      <c r="I1602" s="168"/>
      <c r="J1602" s="168"/>
      <c r="K1602" s="168"/>
      <c r="L1602" s="168"/>
      <c r="M1602" s="168"/>
      <c r="N1602" s="168"/>
      <c r="O1602" s="168"/>
      <c r="P1602" s="168"/>
      <c r="Q1602" s="168"/>
      <c r="R1602" s="168"/>
      <c r="S1602" s="168"/>
      <c r="T1602" s="168"/>
      <c r="U1602" s="168"/>
      <c r="V1602" s="168"/>
      <c r="W1602" s="168"/>
      <c r="X1602" s="168"/>
      <c r="Y1602" s="168"/>
      <c r="Z1602" s="168"/>
    </row>
    <row r="1603">
      <c r="A1603" s="168"/>
      <c r="B1603" s="162"/>
      <c r="C1603" s="168"/>
      <c r="D1603" s="168"/>
      <c r="E1603" s="168"/>
      <c r="F1603" s="168"/>
      <c r="G1603" s="168"/>
      <c r="H1603" s="168"/>
      <c r="I1603" s="168"/>
      <c r="J1603" s="168"/>
      <c r="K1603" s="168"/>
      <c r="L1603" s="168"/>
      <c r="M1603" s="168"/>
      <c r="N1603" s="168"/>
      <c r="O1603" s="168"/>
      <c r="P1603" s="168"/>
      <c r="Q1603" s="168"/>
      <c r="R1603" s="168"/>
      <c r="S1603" s="168"/>
      <c r="T1603" s="168"/>
      <c r="U1603" s="168"/>
      <c r="V1603" s="168"/>
      <c r="W1603" s="168"/>
      <c r="X1603" s="168"/>
      <c r="Y1603" s="168"/>
      <c r="Z1603" s="168"/>
    </row>
    <row r="1604">
      <c r="A1604" s="168"/>
      <c r="B1604" s="162"/>
      <c r="C1604" s="168"/>
      <c r="D1604" s="168"/>
      <c r="E1604" s="168"/>
      <c r="F1604" s="168"/>
      <c r="G1604" s="168"/>
      <c r="H1604" s="168"/>
      <c r="I1604" s="168"/>
      <c r="J1604" s="168"/>
      <c r="K1604" s="168"/>
      <c r="L1604" s="168"/>
      <c r="M1604" s="168"/>
      <c r="N1604" s="168"/>
      <c r="O1604" s="168"/>
      <c r="P1604" s="168"/>
      <c r="Q1604" s="168"/>
      <c r="R1604" s="168"/>
      <c r="S1604" s="168"/>
      <c r="T1604" s="168"/>
      <c r="U1604" s="168"/>
      <c r="V1604" s="168"/>
      <c r="W1604" s="168"/>
      <c r="X1604" s="168"/>
      <c r="Y1604" s="168"/>
      <c r="Z1604" s="168"/>
    </row>
    <row r="1605">
      <c r="A1605" s="168"/>
      <c r="B1605" s="162"/>
      <c r="C1605" s="168"/>
      <c r="D1605" s="168"/>
      <c r="E1605" s="168"/>
      <c r="F1605" s="168"/>
      <c r="G1605" s="168"/>
      <c r="H1605" s="168"/>
      <c r="I1605" s="168"/>
      <c r="J1605" s="168"/>
      <c r="K1605" s="168"/>
      <c r="L1605" s="168"/>
      <c r="M1605" s="168"/>
      <c r="N1605" s="168"/>
      <c r="O1605" s="168"/>
      <c r="P1605" s="168"/>
      <c r="Q1605" s="168"/>
      <c r="R1605" s="168"/>
      <c r="S1605" s="168"/>
      <c r="T1605" s="168"/>
      <c r="U1605" s="168"/>
      <c r="V1605" s="168"/>
      <c r="W1605" s="168"/>
      <c r="X1605" s="168"/>
      <c r="Y1605" s="168"/>
      <c r="Z1605" s="168"/>
    </row>
    <row r="1606">
      <c r="A1606" s="168"/>
      <c r="B1606" s="162"/>
      <c r="C1606" s="168"/>
      <c r="D1606" s="168"/>
      <c r="E1606" s="168"/>
      <c r="F1606" s="168"/>
      <c r="G1606" s="168"/>
      <c r="H1606" s="168"/>
      <c r="I1606" s="168"/>
      <c r="J1606" s="168"/>
      <c r="K1606" s="168"/>
      <c r="L1606" s="168"/>
      <c r="M1606" s="168"/>
      <c r="N1606" s="168"/>
      <c r="O1606" s="168"/>
      <c r="P1606" s="168"/>
      <c r="Q1606" s="168"/>
      <c r="R1606" s="168"/>
      <c r="S1606" s="168"/>
      <c r="T1606" s="168"/>
      <c r="U1606" s="168"/>
      <c r="V1606" s="168"/>
      <c r="W1606" s="168"/>
      <c r="X1606" s="168"/>
      <c r="Y1606" s="168"/>
      <c r="Z1606" s="168"/>
    </row>
    <row r="1607">
      <c r="A1607" s="168"/>
      <c r="B1607" s="162"/>
      <c r="C1607" s="168"/>
      <c r="D1607" s="168"/>
      <c r="E1607" s="168"/>
      <c r="F1607" s="168"/>
      <c r="G1607" s="168"/>
      <c r="H1607" s="168"/>
      <c r="I1607" s="168"/>
      <c r="J1607" s="168"/>
      <c r="K1607" s="168"/>
      <c r="L1607" s="168"/>
      <c r="M1607" s="168"/>
      <c r="N1607" s="168"/>
      <c r="O1607" s="168"/>
      <c r="P1607" s="168"/>
      <c r="Q1607" s="168"/>
      <c r="R1607" s="168"/>
      <c r="S1607" s="168"/>
      <c r="T1607" s="168"/>
      <c r="U1607" s="168"/>
      <c r="V1607" s="168"/>
      <c r="W1607" s="168"/>
      <c r="X1607" s="168"/>
      <c r="Y1607" s="168"/>
      <c r="Z1607" s="168"/>
    </row>
    <row r="1608">
      <c r="A1608" s="168"/>
      <c r="B1608" s="162"/>
      <c r="C1608" s="168"/>
      <c r="D1608" s="168"/>
      <c r="E1608" s="168"/>
      <c r="F1608" s="168"/>
      <c r="G1608" s="168"/>
      <c r="H1608" s="168"/>
      <c r="I1608" s="168"/>
      <c r="J1608" s="168"/>
      <c r="K1608" s="168"/>
      <c r="L1608" s="168"/>
      <c r="M1608" s="168"/>
      <c r="N1608" s="168"/>
      <c r="O1608" s="168"/>
      <c r="P1608" s="168"/>
      <c r="Q1608" s="168"/>
      <c r="R1608" s="168"/>
      <c r="S1608" s="168"/>
      <c r="T1608" s="168"/>
      <c r="U1608" s="168"/>
      <c r="V1608" s="168"/>
      <c r="W1608" s="168"/>
      <c r="X1608" s="168"/>
      <c r="Y1608" s="168"/>
      <c r="Z1608" s="168"/>
    </row>
    <row r="1609">
      <c r="A1609" s="168"/>
      <c r="B1609" s="162"/>
      <c r="C1609" s="168"/>
      <c r="D1609" s="168"/>
      <c r="E1609" s="168"/>
      <c r="F1609" s="168"/>
      <c r="G1609" s="168"/>
      <c r="H1609" s="168"/>
      <c r="I1609" s="168"/>
      <c r="J1609" s="168"/>
      <c r="K1609" s="168"/>
      <c r="L1609" s="168"/>
      <c r="M1609" s="168"/>
      <c r="N1609" s="168"/>
      <c r="O1609" s="168"/>
      <c r="P1609" s="168"/>
      <c r="Q1609" s="168"/>
      <c r="R1609" s="168"/>
      <c r="S1609" s="168"/>
      <c r="T1609" s="168"/>
      <c r="U1609" s="168"/>
      <c r="V1609" s="168"/>
      <c r="W1609" s="168"/>
      <c r="X1609" s="168"/>
      <c r="Y1609" s="168"/>
      <c r="Z1609" s="168"/>
    </row>
    <row r="1610">
      <c r="A1610" s="168"/>
      <c r="B1610" s="162"/>
      <c r="C1610" s="168"/>
      <c r="D1610" s="168"/>
      <c r="E1610" s="168"/>
      <c r="F1610" s="168"/>
      <c r="G1610" s="168"/>
      <c r="H1610" s="168"/>
      <c r="I1610" s="168"/>
      <c r="J1610" s="168"/>
      <c r="K1610" s="168"/>
      <c r="L1610" s="168"/>
      <c r="M1610" s="168"/>
      <c r="N1610" s="168"/>
      <c r="O1610" s="168"/>
      <c r="P1610" s="168"/>
      <c r="Q1610" s="168"/>
      <c r="R1610" s="168"/>
      <c r="S1610" s="168"/>
      <c r="T1610" s="168"/>
      <c r="U1610" s="168"/>
      <c r="V1610" s="168"/>
      <c r="W1610" s="168"/>
      <c r="X1610" s="168"/>
      <c r="Y1610" s="168"/>
      <c r="Z1610" s="168"/>
    </row>
    <row r="1611">
      <c r="A1611" s="168"/>
      <c r="B1611" s="162"/>
      <c r="C1611" s="168"/>
      <c r="D1611" s="168"/>
      <c r="E1611" s="168"/>
      <c r="F1611" s="168"/>
      <c r="G1611" s="168"/>
      <c r="H1611" s="168"/>
      <c r="I1611" s="168"/>
      <c r="J1611" s="168"/>
      <c r="K1611" s="168"/>
      <c r="L1611" s="168"/>
      <c r="M1611" s="168"/>
      <c r="N1611" s="168"/>
      <c r="O1611" s="168"/>
      <c r="P1611" s="168"/>
      <c r="Q1611" s="168"/>
      <c r="R1611" s="168"/>
      <c r="S1611" s="168"/>
      <c r="T1611" s="168"/>
      <c r="U1611" s="168"/>
      <c r="V1611" s="168"/>
      <c r="W1611" s="168"/>
      <c r="X1611" s="168"/>
      <c r="Y1611" s="168"/>
      <c r="Z1611" s="168"/>
    </row>
    <row r="1612">
      <c r="A1612" s="168"/>
      <c r="B1612" s="162"/>
      <c r="C1612" s="168"/>
      <c r="D1612" s="168"/>
      <c r="E1612" s="168"/>
      <c r="F1612" s="168"/>
      <c r="G1612" s="168"/>
      <c r="H1612" s="168"/>
      <c r="I1612" s="168"/>
      <c r="J1612" s="168"/>
      <c r="K1612" s="168"/>
      <c r="L1612" s="168"/>
      <c r="M1612" s="168"/>
      <c r="N1612" s="168"/>
      <c r="O1612" s="168"/>
      <c r="P1612" s="168"/>
      <c r="Q1612" s="168"/>
      <c r="R1612" s="168"/>
      <c r="S1612" s="168"/>
      <c r="T1612" s="168"/>
      <c r="U1612" s="168"/>
      <c r="V1612" s="168"/>
      <c r="W1612" s="168"/>
      <c r="X1612" s="168"/>
      <c r="Y1612" s="168"/>
      <c r="Z1612" s="168"/>
    </row>
    <row r="1613">
      <c r="A1613" s="168"/>
      <c r="B1613" s="162"/>
      <c r="C1613" s="168"/>
      <c r="D1613" s="168"/>
      <c r="E1613" s="168"/>
      <c r="F1613" s="168"/>
      <c r="G1613" s="168"/>
      <c r="H1613" s="168"/>
      <c r="I1613" s="168"/>
      <c r="J1613" s="168"/>
      <c r="K1613" s="168"/>
      <c r="L1613" s="168"/>
      <c r="M1613" s="168"/>
      <c r="N1613" s="168"/>
      <c r="O1613" s="168"/>
      <c r="P1613" s="168"/>
      <c r="Q1613" s="168"/>
      <c r="R1613" s="168"/>
      <c r="S1613" s="168"/>
      <c r="T1613" s="168"/>
      <c r="U1613" s="168"/>
      <c r="V1613" s="168"/>
      <c r="W1613" s="168"/>
      <c r="X1613" s="168"/>
      <c r="Y1613" s="168"/>
      <c r="Z1613" s="168"/>
    </row>
    <row r="1614">
      <c r="A1614" s="168"/>
      <c r="B1614" s="162"/>
      <c r="C1614" s="168"/>
      <c r="D1614" s="168"/>
      <c r="E1614" s="168"/>
      <c r="F1614" s="168"/>
      <c r="G1614" s="168"/>
      <c r="H1614" s="168"/>
      <c r="I1614" s="168"/>
      <c r="J1614" s="168"/>
      <c r="K1614" s="168"/>
      <c r="L1614" s="168"/>
      <c r="M1614" s="168"/>
      <c r="N1614" s="168"/>
      <c r="O1614" s="168"/>
      <c r="P1614" s="168"/>
      <c r="Q1614" s="168"/>
      <c r="R1614" s="168"/>
      <c r="S1614" s="168"/>
      <c r="T1614" s="168"/>
      <c r="U1614" s="168"/>
      <c r="V1614" s="168"/>
      <c r="W1614" s="168"/>
      <c r="X1614" s="168"/>
      <c r="Y1614" s="168"/>
      <c r="Z1614" s="168"/>
    </row>
    <row r="1615">
      <c r="A1615" s="168"/>
      <c r="B1615" s="162"/>
      <c r="C1615" s="168"/>
      <c r="D1615" s="168"/>
      <c r="E1615" s="168"/>
      <c r="F1615" s="168"/>
      <c r="G1615" s="168"/>
      <c r="H1615" s="168"/>
      <c r="I1615" s="168"/>
      <c r="J1615" s="168"/>
      <c r="K1615" s="168"/>
      <c r="L1615" s="168"/>
      <c r="M1615" s="168"/>
      <c r="N1615" s="168"/>
      <c r="O1615" s="168"/>
      <c r="P1615" s="168"/>
      <c r="Q1615" s="168"/>
      <c r="R1615" s="168"/>
      <c r="S1615" s="168"/>
      <c r="T1615" s="168"/>
      <c r="U1615" s="168"/>
      <c r="V1615" s="168"/>
      <c r="W1615" s="168"/>
      <c r="X1615" s="168"/>
      <c r="Y1615" s="168"/>
      <c r="Z1615" s="168"/>
    </row>
    <row r="1616">
      <c r="A1616" s="168"/>
      <c r="B1616" s="162"/>
      <c r="C1616" s="168"/>
      <c r="D1616" s="168"/>
      <c r="E1616" s="168"/>
      <c r="F1616" s="168"/>
      <c r="G1616" s="168"/>
      <c r="H1616" s="168"/>
      <c r="I1616" s="168"/>
      <c r="J1616" s="168"/>
      <c r="K1616" s="168"/>
      <c r="L1616" s="168"/>
      <c r="M1616" s="168"/>
      <c r="N1616" s="168"/>
      <c r="O1616" s="168"/>
      <c r="P1616" s="168"/>
      <c r="Q1616" s="168"/>
      <c r="R1616" s="168"/>
      <c r="S1616" s="168"/>
      <c r="T1616" s="168"/>
      <c r="U1616" s="168"/>
      <c r="V1616" s="168"/>
      <c r="W1616" s="168"/>
      <c r="X1616" s="168"/>
      <c r="Y1616" s="168"/>
      <c r="Z1616" s="168"/>
    </row>
    <row r="1617">
      <c r="A1617" s="168"/>
      <c r="B1617" s="162"/>
      <c r="C1617" s="168"/>
      <c r="D1617" s="168"/>
      <c r="E1617" s="168"/>
      <c r="F1617" s="168"/>
      <c r="G1617" s="168"/>
      <c r="H1617" s="168"/>
      <c r="I1617" s="168"/>
      <c r="J1617" s="168"/>
      <c r="K1617" s="168"/>
      <c r="L1617" s="168"/>
      <c r="M1617" s="168"/>
      <c r="N1617" s="168"/>
      <c r="O1617" s="168"/>
      <c r="P1617" s="168"/>
      <c r="Q1617" s="168"/>
      <c r="R1617" s="168"/>
      <c r="S1617" s="168"/>
      <c r="T1617" s="168"/>
      <c r="U1617" s="168"/>
      <c r="V1617" s="168"/>
      <c r="W1617" s="168"/>
      <c r="X1617" s="168"/>
      <c r="Y1617" s="168"/>
      <c r="Z1617" s="168"/>
    </row>
    <row r="1618">
      <c r="A1618" s="168"/>
      <c r="B1618" s="162"/>
      <c r="C1618" s="168"/>
      <c r="D1618" s="168"/>
      <c r="E1618" s="168"/>
      <c r="F1618" s="168"/>
      <c r="G1618" s="168"/>
      <c r="H1618" s="168"/>
      <c r="I1618" s="168"/>
      <c r="J1618" s="168"/>
      <c r="K1618" s="168"/>
      <c r="L1618" s="168"/>
      <c r="M1618" s="168"/>
      <c r="N1618" s="168"/>
      <c r="O1618" s="168"/>
      <c r="P1618" s="168"/>
      <c r="Q1618" s="168"/>
      <c r="R1618" s="168"/>
      <c r="S1618" s="168"/>
      <c r="T1618" s="168"/>
      <c r="U1618" s="168"/>
      <c r="V1618" s="168"/>
      <c r="W1618" s="168"/>
      <c r="X1618" s="168"/>
      <c r="Y1618" s="168"/>
      <c r="Z1618" s="168"/>
    </row>
    <row r="1619">
      <c r="A1619" s="168"/>
      <c r="B1619" s="162"/>
      <c r="C1619" s="168"/>
      <c r="D1619" s="168"/>
      <c r="E1619" s="168"/>
      <c r="F1619" s="168"/>
      <c r="G1619" s="168"/>
      <c r="H1619" s="168"/>
      <c r="I1619" s="168"/>
      <c r="J1619" s="168"/>
      <c r="K1619" s="168"/>
      <c r="L1619" s="168"/>
      <c r="M1619" s="168"/>
      <c r="N1619" s="168"/>
      <c r="O1619" s="168"/>
      <c r="P1619" s="168"/>
      <c r="Q1619" s="168"/>
      <c r="R1619" s="168"/>
      <c r="S1619" s="168"/>
      <c r="T1619" s="168"/>
      <c r="U1619" s="168"/>
      <c r="V1619" s="168"/>
      <c r="W1619" s="168"/>
      <c r="X1619" s="168"/>
      <c r="Y1619" s="168"/>
      <c r="Z1619" s="168"/>
    </row>
    <row r="1620">
      <c r="A1620" s="168"/>
      <c r="B1620" s="162"/>
      <c r="C1620" s="168"/>
      <c r="D1620" s="168"/>
      <c r="E1620" s="168"/>
      <c r="F1620" s="168"/>
      <c r="G1620" s="168"/>
      <c r="H1620" s="168"/>
      <c r="I1620" s="168"/>
      <c r="J1620" s="168"/>
      <c r="K1620" s="168"/>
      <c r="L1620" s="168"/>
      <c r="M1620" s="168"/>
      <c r="N1620" s="168"/>
      <c r="O1620" s="168"/>
      <c r="P1620" s="168"/>
      <c r="Q1620" s="168"/>
      <c r="R1620" s="168"/>
      <c r="S1620" s="168"/>
      <c r="T1620" s="168"/>
      <c r="U1620" s="168"/>
      <c r="V1620" s="168"/>
      <c r="W1620" s="168"/>
      <c r="X1620" s="168"/>
      <c r="Y1620" s="168"/>
      <c r="Z1620" s="168"/>
    </row>
    <row r="1621">
      <c r="A1621" s="168"/>
      <c r="B1621" s="162"/>
      <c r="C1621" s="168"/>
      <c r="D1621" s="168"/>
      <c r="E1621" s="168"/>
      <c r="F1621" s="168"/>
      <c r="G1621" s="168"/>
      <c r="H1621" s="168"/>
      <c r="I1621" s="168"/>
      <c r="J1621" s="168"/>
      <c r="K1621" s="168"/>
      <c r="L1621" s="168"/>
      <c r="M1621" s="168"/>
      <c r="N1621" s="168"/>
      <c r="O1621" s="168"/>
      <c r="P1621" s="168"/>
      <c r="Q1621" s="168"/>
      <c r="R1621" s="168"/>
      <c r="S1621" s="168"/>
      <c r="T1621" s="168"/>
      <c r="U1621" s="168"/>
      <c r="V1621" s="168"/>
      <c r="W1621" s="168"/>
      <c r="X1621" s="168"/>
      <c r="Y1621" s="168"/>
      <c r="Z1621" s="168"/>
    </row>
    <row r="1622">
      <c r="A1622" s="168"/>
      <c r="B1622" s="162"/>
      <c r="C1622" s="168"/>
      <c r="D1622" s="168"/>
      <c r="E1622" s="168"/>
      <c r="F1622" s="168"/>
      <c r="G1622" s="168"/>
      <c r="H1622" s="168"/>
      <c r="I1622" s="168"/>
      <c r="J1622" s="168"/>
      <c r="K1622" s="168"/>
      <c r="L1622" s="168"/>
      <c r="M1622" s="168"/>
      <c r="N1622" s="168"/>
      <c r="O1622" s="168"/>
      <c r="P1622" s="168"/>
      <c r="Q1622" s="168"/>
      <c r="R1622" s="168"/>
      <c r="S1622" s="168"/>
      <c r="T1622" s="168"/>
      <c r="U1622" s="168"/>
      <c r="V1622" s="168"/>
      <c r="W1622" s="168"/>
      <c r="X1622" s="168"/>
      <c r="Y1622" s="168"/>
      <c r="Z1622" s="168"/>
    </row>
    <row r="1623">
      <c r="A1623" s="168"/>
      <c r="B1623" s="162"/>
      <c r="C1623" s="168"/>
      <c r="D1623" s="168"/>
      <c r="E1623" s="168"/>
      <c r="F1623" s="168"/>
      <c r="G1623" s="168"/>
      <c r="H1623" s="168"/>
      <c r="I1623" s="168"/>
      <c r="J1623" s="168"/>
      <c r="K1623" s="168"/>
      <c r="L1623" s="168"/>
      <c r="M1623" s="168"/>
      <c r="N1623" s="168"/>
      <c r="O1623" s="168"/>
      <c r="P1623" s="168"/>
      <c r="Q1623" s="168"/>
      <c r="R1623" s="168"/>
      <c r="S1623" s="168"/>
      <c r="T1623" s="168"/>
      <c r="U1623" s="168"/>
      <c r="V1623" s="168"/>
      <c r="W1623" s="168"/>
      <c r="X1623" s="168"/>
      <c r="Y1623" s="168"/>
      <c r="Z1623" s="168"/>
    </row>
    <row r="1624">
      <c r="A1624" s="168"/>
      <c r="B1624" s="162"/>
      <c r="C1624" s="168"/>
      <c r="D1624" s="168"/>
      <c r="E1624" s="168"/>
      <c r="F1624" s="168"/>
      <c r="G1624" s="168"/>
      <c r="H1624" s="168"/>
      <c r="I1624" s="168"/>
      <c r="J1624" s="168"/>
      <c r="K1624" s="168"/>
      <c r="L1624" s="168"/>
      <c r="M1624" s="168"/>
      <c r="N1624" s="168"/>
      <c r="O1624" s="168"/>
      <c r="P1624" s="168"/>
      <c r="Q1624" s="168"/>
      <c r="R1624" s="168"/>
      <c r="S1624" s="168"/>
      <c r="T1624" s="168"/>
      <c r="U1624" s="168"/>
      <c r="V1624" s="168"/>
      <c r="W1624" s="168"/>
      <c r="X1624" s="168"/>
      <c r="Y1624" s="168"/>
      <c r="Z1624" s="168"/>
    </row>
    <row r="1625">
      <c r="A1625" s="168"/>
      <c r="B1625" s="162"/>
      <c r="C1625" s="168"/>
      <c r="D1625" s="168"/>
      <c r="E1625" s="168"/>
      <c r="F1625" s="168"/>
      <c r="G1625" s="168"/>
      <c r="H1625" s="168"/>
      <c r="I1625" s="168"/>
      <c r="J1625" s="168"/>
      <c r="K1625" s="168"/>
      <c r="L1625" s="168"/>
      <c r="M1625" s="168"/>
      <c r="N1625" s="168"/>
      <c r="O1625" s="168"/>
      <c r="P1625" s="168"/>
      <c r="Q1625" s="168"/>
      <c r="R1625" s="168"/>
      <c r="S1625" s="168"/>
      <c r="T1625" s="168"/>
      <c r="U1625" s="168"/>
      <c r="V1625" s="168"/>
      <c r="W1625" s="168"/>
      <c r="X1625" s="168"/>
      <c r="Y1625" s="168"/>
      <c r="Z1625" s="168"/>
    </row>
    <row r="1626">
      <c r="A1626" s="168"/>
      <c r="B1626" s="162"/>
      <c r="C1626" s="168"/>
      <c r="D1626" s="168"/>
      <c r="E1626" s="168"/>
      <c r="F1626" s="168"/>
      <c r="G1626" s="168"/>
      <c r="H1626" s="168"/>
      <c r="I1626" s="168"/>
      <c r="J1626" s="168"/>
      <c r="K1626" s="168"/>
      <c r="L1626" s="168"/>
      <c r="M1626" s="168"/>
      <c r="N1626" s="168"/>
      <c r="O1626" s="168"/>
      <c r="P1626" s="168"/>
      <c r="Q1626" s="168"/>
      <c r="R1626" s="168"/>
      <c r="S1626" s="168"/>
      <c r="T1626" s="168"/>
      <c r="U1626" s="168"/>
      <c r="V1626" s="168"/>
      <c r="W1626" s="168"/>
      <c r="X1626" s="168"/>
      <c r="Y1626" s="168"/>
      <c r="Z1626" s="168"/>
    </row>
    <row r="1627">
      <c r="A1627" s="168"/>
      <c r="B1627" s="162"/>
      <c r="C1627" s="168"/>
      <c r="D1627" s="168"/>
      <c r="E1627" s="168"/>
      <c r="F1627" s="168"/>
      <c r="G1627" s="168"/>
      <c r="H1627" s="168"/>
      <c r="I1627" s="168"/>
      <c r="J1627" s="168"/>
      <c r="K1627" s="168"/>
      <c r="L1627" s="168"/>
      <c r="M1627" s="168"/>
      <c r="N1627" s="168"/>
      <c r="O1627" s="168"/>
      <c r="P1627" s="168"/>
      <c r="Q1627" s="168"/>
      <c r="R1627" s="168"/>
      <c r="S1627" s="168"/>
      <c r="T1627" s="168"/>
      <c r="U1627" s="168"/>
      <c r="V1627" s="168"/>
      <c r="W1627" s="168"/>
      <c r="X1627" s="168"/>
      <c r="Y1627" s="168"/>
      <c r="Z1627" s="168"/>
    </row>
    <row r="1628">
      <c r="A1628" s="168"/>
      <c r="B1628" s="162"/>
      <c r="C1628" s="168"/>
      <c r="D1628" s="168"/>
      <c r="E1628" s="168"/>
      <c r="F1628" s="168"/>
      <c r="G1628" s="168"/>
      <c r="H1628" s="168"/>
      <c r="I1628" s="168"/>
      <c r="J1628" s="168"/>
      <c r="K1628" s="168"/>
      <c r="L1628" s="168"/>
      <c r="M1628" s="168"/>
      <c r="N1628" s="168"/>
      <c r="O1628" s="168"/>
      <c r="P1628" s="168"/>
      <c r="Q1628" s="168"/>
      <c r="R1628" s="168"/>
      <c r="S1628" s="168"/>
      <c r="T1628" s="168"/>
      <c r="U1628" s="168"/>
      <c r="V1628" s="168"/>
      <c r="W1628" s="168"/>
      <c r="X1628" s="168"/>
      <c r="Y1628" s="168"/>
      <c r="Z1628" s="168"/>
    </row>
    <row r="1629">
      <c r="A1629" s="168"/>
      <c r="B1629" s="162"/>
      <c r="C1629" s="168"/>
      <c r="D1629" s="168"/>
      <c r="E1629" s="168"/>
      <c r="F1629" s="168"/>
      <c r="G1629" s="168"/>
      <c r="H1629" s="168"/>
      <c r="I1629" s="168"/>
      <c r="J1629" s="168"/>
      <c r="K1629" s="168"/>
      <c r="L1629" s="168"/>
      <c r="M1629" s="168"/>
      <c r="N1629" s="168"/>
      <c r="O1629" s="168"/>
      <c r="P1629" s="168"/>
      <c r="Q1629" s="168"/>
      <c r="R1629" s="168"/>
      <c r="S1629" s="168"/>
      <c r="T1629" s="168"/>
      <c r="U1629" s="168"/>
      <c r="V1629" s="168"/>
      <c r="W1629" s="168"/>
      <c r="X1629" s="168"/>
      <c r="Y1629" s="168"/>
      <c r="Z1629" s="168"/>
    </row>
    <row r="1630">
      <c r="A1630" s="168"/>
      <c r="B1630" s="162"/>
      <c r="C1630" s="168"/>
      <c r="D1630" s="168"/>
      <c r="E1630" s="168"/>
      <c r="F1630" s="168"/>
      <c r="G1630" s="168"/>
      <c r="H1630" s="168"/>
      <c r="I1630" s="168"/>
      <c r="J1630" s="168"/>
      <c r="K1630" s="168"/>
      <c r="L1630" s="168"/>
      <c r="M1630" s="168"/>
      <c r="N1630" s="168"/>
      <c r="O1630" s="168"/>
      <c r="P1630" s="168"/>
      <c r="Q1630" s="168"/>
      <c r="R1630" s="168"/>
      <c r="S1630" s="168"/>
      <c r="T1630" s="168"/>
      <c r="U1630" s="168"/>
      <c r="V1630" s="168"/>
      <c r="W1630" s="168"/>
      <c r="X1630" s="168"/>
      <c r="Y1630" s="168"/>
      <c r="Z1630" s="168"/>
    </row>
    <row r="1631">
      <c r="A1631" s="168"/>
      <c r="B1631" s="162"/>
      <c r="C1631" s="168"/>
      <c r="D1631" s="168"/>
      <c r="E1631" s="168"/>
      <c r="F1631" s="168"/>
      <c r="G1631" s="168"/>
      <c r="H1631" s="168"/>
      <c r="I1631" s="168"/>
      <c r="J1631" s="168"/>
      <c r="K1631" s="168"/>
      <c r="L1631" s="168"/>
      <c r="M1631" s="168"/>
      <c r="N1631" s="168"/>
      <c r="O1631" s="168"/>
      <c r="P1631" s="168"/>
      <c r="Q1631" s="168"/>
      <c r="R1631" s="168"/>
      <c r="S1631" s="168"/>
      <c r="T1631" s="168"/>
      <c r="U1631" s="168"/>
      <c r="V1631" s="168"/>
      <c r="W1631" s="168"/>
      <c r="X1631" s="168"/>
      <c r="Y1631" s="168"/>
      <c r="Z1631" s="168"/>
    </row>
    <row r="1632">
      <c r="A1632" s="168"/>
      <c r="B1632" s="162"/>
      <c r="C1632" s="168"/>
      <c r="D1632" s="168"/>
      <c r="E1632" s="168"/>
      <c r="F1632" s="168"/>
      <c r="G1632" s="168"/>
      <c r="H1632" s="168"/>
      <c r="I1632" s="168"/>
      <c r="J1632" s="168"/>
      <c r="K1632" s="168"/>
      <c r="L1632" s="168"/>
      <c r="M1632" s="168"/>
      <c r="N1632" s="168"/>
      <c r="O1632" s="168"/>
      <c r="P1632" s="168"/>
      <c r="Q1632" s="168"/>
      <c r="R1632" s="168"/>
      <c r="S1632" s="168"/>
      <c r="T1632" s="168"/>
      <c r="U1632" s="168"/>
      <c r="V1632" s="168"/>
      <c r="W1632" s="168"/>
      <c r="X1632" s="168"/>
      <c r="Y1632" s="168"/>
      <c r="Z1632" s="168"/>
    </row>
    <row r="1633">
      <c r="A1633" s="168"/>
      <c r="B1633" s="162"/>
      <c r="C1633" s="168"/>
      <c r="D1633" s="168"/>
      <c r="E1633" s="168"/>
      <c r="F1633" s="168"/>
      <c r="G1633" s="168"/>
      <c r="H1633" s="168"/>
      <c r="I1633" s="168"/>
      <c r="J1633" s="168"/>
      <c r="K1633" s="168"/>
      <c r="L1633" s="168"/>
      <c r="M1633" s="168"/>
      <c r="N1633" s="168"/>
      <c r="O1633" s="168"/>
      <c r="P1633" s="168"/>
      <c r="Q1633" s="168"/>
      <c r="R1633" s="168"/>
      <c r="S1633" s="168"/>
      <c r="T1633" s="168"/>
      <c r="U1633" s="168"/>
      <c r="V1633" s="168"/>
      <c r="W1633" s="168"/>
      <c r="X1633" s="168"/>
      <c r="Y1633" s="168"/>
      <c r="Z1633" s="168"/>
    </row>
    <row r="1634">
      <c r="A1634" s="168"/>
      <c r="B1634" s="162"/>
      <c r="C1634" s="168"/>
      <c r="D1634" s="168"/>
      <c r="E1634" s="168"/>
      <c r="F1634" s="168"/>
      <c r="G1634" s="168"/>
      <c r="H1634" s="168"/>
      <c r="I1634" s="168"/>
      <c r="J1634" s="168"/>
      <c r="K1634" s="168"/>
      <c r="L1634" s="168"/>
      <c r="M1634" s="168"/>
      <c r="N1634" s="168"/>
      <c r="O1634" s="168"/>
      <c r="P1634" s="168"/>
      <c r="Q1634" s="168"/>
      <c r="R1634" s="168"/>
      <c r="S1634" s="168"/>
      <c r="T1634" s="168"/>
      <c r="U1634" s="168"/>
      <c r="V1634" s="168"/>
      <c r="W1634" s="168"/>
      <c r="X1634" s="168"/>
      <c r="Y1634" s="168"/>
      <c r="Z1634" s="168"/>
    </row>
    <row r="1635">
      <c r="A1635" s="168"/>
      <c r="B1635" s="162"/>
      <c r="C1635" s="168"/>
      <c r="D1635" s="168"/>
      <c r="E1635" s="168"/>
      <c r="F1635" s="168"/>
      <c r="G1635" s="168"/>
      <c r="H1635" s="168"/>
      <c r="I1635" s="168"/>
      <c r="J1635" s="168"/>
      <c r="K1635" s="168"/>
      <c r="L1635" s="168"/>
      <c r="M1635" s="168"/>
      <c r="N1635" s="168"/>
      <c r="O1635" s="168"/>
      <c r="P1635" s="168"/>
      <c r="Q1635" s="168"/>
      <c r="R1635" s="168"/>
      <c r="S1635" s="168"/>
      <c r="T1635" s="168"/>
      <c r="U1635" s="168"/>
      <c r="V1635" s="168"/>
      <c r="W1635" s="168"/>
      <c r="X1635" s="168"/>
      <c r="Y1635" s="168"/>
      <c r="Z1635" s="168"/>
    </row>
    <row r="1636">
      <c r="A1636" s="168"/>
      <c r="B1636" s="162"/>
      <c r="C1636" s="168"/>
      <c r="D1636" s="168"/>
      <c r="E1636" s="168"/>
      <c r="F1636" s="168"/>
      <c r="G1636" s="168"/>
      <c r="H1636" s="168"/>
      <c r="I1636" s="168"/>
      <c r="J1636" s="168"/>
      <c r="K1636" s="168"/>
      <c r="L1636" s="168"/>
      <c r="M1636" s="168"/>
      <c r="N1636" s="168"/>
      <c r="O1636" s="168"/>
      <c r="P1636" s="168"/>
      <c r="Q1636" s="168"/>
      <c r="R1636" s="168"/>
      <c r="S1636" s="168"/>
      <c r="T1636" s="168"/>
      <c r="U1636" s="168"/>
      <c r="V1636" s="168"/>
      <c r="W1636" s="168"/>
      <c r="X1636" s="168"/>
      <c r="Y1636" s="168"/>
      <c r="Z1636" s="168"/>
    </row>
    <row r="1637">
      <c r="A1637" s="168"/>
      <c r="B1637" s="162"/>
      <c r="C1637" s="168"/>
      <c r="D1637" s="168"/>
      <c r="E1637" s="168"/>
      <c r="F1637" s="168"/>
      <c r="G1637" s="168"/>
      <c r="H1637" s="168"/>
      <c r="I1637" s="168"/>
      <c r="J1637" s="168"/>
      <c r="K1637" s="168"/>
      <c r="L1637" s="168"/>
      <c r="M1637" s="168"/>
      <c r="N1637" s="168"/>
      <c r="O1637" s="168"/>
      <c r="P1637" s="168"/>
      <c r="Q1637" s="168"/>
      <c r="R1637" s="168"/>
      <c r="S1637" s="168"/>
      <c r="T1637" s="168"/>
      <c r="U1637" s="168"/>
      <c r="V1637" s="168"/>
      <c r="W1637" s="168"/>
      <c r="X1637" s="168"/>
      <c r="Y1637" s="168"/>
      <c r="Z1637" s="168"/>
    </row>
    <row r="1638">
      <c r="A1638" s="168"/>
      <c r="B1638" s="162"/>
      <c r="C1638" s="168"/>
      <c r="D1638" s="168"/>
      <c r="E1638" s="168"/>
      <c r="F1638" s="168"/>
      <c r="G1638" s="168"/>
      <c r="H1638" s="168"/>
      <c r="I1638" s="168"/>
      <c r="J1638" s="168"/>
      <c r="K1638" s="168"/>
      <c r="L1638" s="168"/>
      <c r="M1638" s="168"/>
      <c r="N1638" s="168"/>
      <c r="O1638" s="168"/>
      <c r="P1638" s="168"/>
      <c r="Q1638" s="168"/>
      <c r="R1638" s="168"/>
      <c r="S1638" s="168"/>
      <c r="T1638" s="168"/>
      <c r="U1638" s="168"/>
      <c r="V1638" s="168"/>
      <c r="W1638" s="168"/>
      <c r="X1638" s="168"/>
      <c r="Y1638" s="168"/>
      <c r="Z1638" s="168"/>
    </row>
    <row r="1639">
      <c r="A1639" s="168"/>
      <c r="B1639" s="162"/>
      <c r="C1639" s="168"/>
      <c r="D1639" s="168"/>
      <c r="E1639" s="168"/>
      <c r="F1639" s="168"/>
      <c r="G1639" s="168"/>
      <c r="H1639" s="168"/>
      <c r="I1639" s="168"/>
      <c r="J1639" s="168"/>
      <c r="K1639" s="168"/>
      <c r="L1639" s="168"/>
      <c r="M1639" s="168"/>
      <c r="N1639" s="168"/>
      <c r="O1639" s="168"/>
      <c r="P1639" s="168"/>
      <c r="Q1639" s="168"/>
      <c r="R1639" s="168"/>
      <c r="S1639" s="168"/>
      <c r="T1639" s="168"/>
      <c r="U1639" s="168"/>
      <c r="V1639" s="168"/>
      <c r="W1639" s="168"/>
      <c r="X1639" s="168"/>
      <c r="Y1639" s="168"/>
      <c r="Z1639" s="168"/>
    </row>
    <row r="1640">
      <c r="A1640" s="168"/>
      <c r="B1640" s="162"/>
      <c r="C1640" s="168"/>
      <c r="D1640" s="168"/>
      <c r="E1640" s="168"/>
      <c r="F1640" s="168"/>
      <c r="G1640" s="168"/>
      <c r="H1640" s="168"/>
      <c r="I1640" s="168"/>
      <c r="J1640" s="168"/>
      <c r="K1640" s="168"/>
      <c r="L1640" s="168"/>
      <c r="M1640" s="168"/>
      <c r="N1640" s="168"/>
      <c r="O1640" s="168"/>
      <c r="P1640" s="168"/>
      <c r="Q1640" s="168"/>
      <c r="R1640" s="168"/>
      <c r="S1640" s="168"/>
      <c r="T1640" s="168"/>
      <c r="U1640" s="168"/>
      <c r="V1640" s="168"/>
      <c r="W1640" s="168"/>
      <c r="X1640" s="168"/>
      <c r="Y1640" s="168"/>
      <c r="Z1640" s="168"/>
    </row>
    <row r="1641">
      <c r="A1641" s="168"/>
      <c r="B1641" s="162"/>
      <c r="C1641" s="168"/>
      <c r="D1641" s="168"/>
      <c r="E1641" s="168"/>
      <c r="F1641" s="168"/>
      <c r="G1641" s="168"/>
      <c r="H1641" s="168"/>
      <c r="I1641" s="168"/>
      <c r="J1641" s="168"/>
      <c r="K1641" s="168"/>
      <c r="L1641" s="168"/>
      <c r="M1641" s="168"/>
      <c r="N1641" s="168"/>
      <c r="O1641" s="168"/>
      <c r="P1641" s="168"/>
      <c r="Q1641" s="168"/>
      <c r="R1641" s="168"/>
      <c r="S1641" s="168"/>
      <c r="T1641" s="168"/>
      <c r="U1641" s="168"/>
      <c r="V1641" s="168"/>
      <c r="W1641" s="168"/>
      <c r="X1641" s="168"/>
      <c r="Y1641" s="168"/>
      <c r="Z1641" s="168"/>
    </row>
    <row r="1642">
      <c r="A1642" s="168"/>
      <c r="B1642" s="162"/>
      <c r="C1642" s="168"/>
      <c r="D1642" s="168"/>
      <c r="E1642" s="168"/>
      <c r="F1642" s="168"/>
      <c r="G1642" s="168"/>
      <c r="H1642" s="168"/>
      <c r="I1642" s="168"/>
      <c r="J1642" s="168"/>
      <c r="K1642" s="168"/>
      <c r="L1642" s="168"/>
      <c r="M1642" s="168"/>
      <c r="N1642" s="168"/>
      <c r="O1642" s="168"/>
      <c r="P1642" s="168"/>
      <c r="Q1642" s="168"/>
      <c r="R1642" s="168"/>
      <c r="S1642" s="168"/>
      <c r="T1642" s="168"/>
      <c r="U1642" s="168"/>
      <c r="V1642" s="168"/>
      <c r="W1642" s="168"/>
      <c r="X1642" s="168"/>
      <c r="Y1642" s="168"/>
      <c r="Z1642" s="168"/>
    </row>
    <row r="1643">
      <c r="A1643" s="168"/>
      <c r="B1643" s="162"/>
      <c r="C1643" s="168"/>
      <c r="D1643" s="168"/>
      <c r="E1643" s="168"/>
      <c r="F1643" s="168"/>
      <c r="G1643" s="168"/>
      <c r="H1643" s="168"/>
      <c r="I1643" s="168"/>
      <c r="J1643" s="168"/>
      <c r="K1643" s="168"/>
      <c r="L1643" s="168"/>
      <c r="M1643" s="168"/>
      <c r="N1643" s="168"/>
      <c r="O1643" s="168"/>
      <c r="P1643" s="168"/>
      <c r="Q1643" s="168"/>
      <c r="R1643" s="168"/>
      <c r="S1643" s="168"/>
      <c r="T1643" s="168"/>
      <c r="U1643" s="168"/>
      <c r="V1643" s="168"/>
      <c r="W1643" s="168"/>
      <c r="X1643" s="168"/>
      <c r="Y1643" s="168"/>
      <c r="Z1643" s="168"/>
    </row>
    <row r="1644">
      <c r="A1644" s="168"/>
      <c r="B1644" s="162"/>
      <c r="C1644" s="168"/>
      <c r="D1644" s="168"/>
      <c r="E1644" s="168"/>
      <c r="F1644" s="168"/>
      <c r="G1644" s="168"/>
      <c r="H1644" s="168"/>
      <c r="I1644" s="168"/>
      <c r="J1644" s="168"/>
      <c r="K1644" s="168"/>
      <c r="L1644" s="168"/>
      <c r="M1644" s="168"/>
      <c r="N1644" s="168"/>
      <c r="O1644" s="168"/>
      <c r="P1644" s="168"/>
      <c r="Q1644" s="168"/>
      <c r="R1644" s="168"/>
      <c r="S1644" s="168"/>
      <c r="T1644" s="168"/>
      <c r="U1644" s="168"/>
      <c r="V1644" s="168"/>
      <c r="W1644" s="168"/>
      <c r="X1644" s="168"/>
      <c r="Y1644" s="168"/>
      <c r="Z1644" s="168"/>
    </row>
    <row r="1645">
      <c r="A1645" s="168"/>
      <c r="B1645" s="162"/>
      <c r="C1645" s="168"/>
      <c r="D1645" s="168"/>
      <c r="E1645" s="168"/>
      <c r="F1645" s="168"/>
      <c r="G1645" s="168"/>
      <c r="H1645" s="168"/>
      <c r="I1645" s="168"/>
      <c r="J1645" s="168"/>
      <c r="K1645" s="168"/>
      <c r="L1645" s="168"/>
      <c r="M1645" s="168"/>
      <c r="N1645" s="168"/>
      <c r="O1645" s="168"/>
      <c r="P1645" s="168"/>
      <c r="Q1645" s="168"/>
      <c r="R1645" s="168"/>
      <c r="S1645" s="168"/>
      <c r="T1645" s="168"/>
      <c r="U1645" s="168"/>
      <c r="V1645" s="168"/>
      <c r="W1645" s="168"/>
      <c r="X1645" s="168"/>
      <c r="Y1645" s="168"/>
      <c r="Z1645" s="168"/>
    </row>
    <row r="1646">
      <c r="A1646" s="168"/>
      <c r="B1646" s="162"/>
      <c r="C1646" s="168"/>
      <c r="D1646" s="168"/>
      <c r="E1646" s="168"/>
      <c r="F1646" s="168"/>
      <c r="G1646" s="168"/>
      <c r="H1646" s="168"/>
      <c r="I1646" s="168"/>
      <c r="J1646" s="168"/>
      <c r="K1646" s="168"/>
      <c r="L1646" s="168"/>
      <c r="M1646" s="168"/>
      <c r="N1646" s="168"/>
      <c r="O1646" s="168"/>
      <c r="P1646" s="168"/>
      <c r="Q1646" s="168"/>
      <c r="R1646" s="168"/>
      <c r="S1646" s="168"/>
      <c r="T1646" s="168"/>
      <c r="U1646" s="168"/>
      <c r="V1646" s="168"/>
      <c r="W1646" s="168"/>
      <c r="X1646" s="168"/>
      <c r="Y1646" s="168"/>
      <c r="Z1646" s="168"/>
    </row>
    <row r="1647">
      <c r="A1647" s="168"/>
      <c r="B1647" s="162"/>
      <c r="C1647" s="168"/>
      <c r="D1647" s="168"/>
      <c r="E1647" s="168"/>
      <c r="F1647" s="168"/>
      <c r="G1647" s="168"/>
      <c r="H1647" s="168"/>
      <c r="I1647" s="168"/>
      <c r="J1647" s="168"/>
      <c r="K1647" s="168"/>
      <c r="L1647" s="168"/>
      <c r="M1647" s="168"/>
      <c r="N1647" s="168"/>
      <c r="O1647" s="168"/>
      <c r="P1647" s="168"/>
      <c r="Q1647" s="168"/>
      <c r="R1647" s="168"/>
      <c r="S1647" s="168"/>
      <c r="T1647" s="168"/>
      <c r="U1647" s="168"/>
      <c r="V1647" s="168"/>
      <c r="W1647" s="168"/>
      <c r="X1647" s="168"/>
      <c r="Y1647" s="168"/>
      <c r="Z1647" s="168"/>
    </row>
    <row r="1648">
      <c r="A1648" s="168"/>
      <c r="B1648" s="162"/>
      <c r="C1648" s="168"/>
      <c r="D1648" s="168"/>
      <c r="E1648" s="168"/>
      <c r="F1648" s="168"/>
      <c r="G1648" s="168"/>
      <c r="H1648" s="168"/>
      <c r="I1648" s="168"/>
      <c r="J1648" s="168"/>
      <c r="K1648" s="168"/>
      <c r="L1648" s="168"/>
      <c r="M1648" s="168"/>
      <c r="N1648" s="168"/>
      <c r="O1648" s="168"/>
      <c r="P1648" s="168"/>
      <c r="Q1648" s="168"/>
      <c r="R1648" s="168"/>
      <c r="S1648" s="168"/>
      <c r="T1648" s="168"/>
      <c r="U1648" s="168"/>
      <c r="V1648" s="168"/>
      <c r="W1648" s="168"/>
      <c r="X1648" s="168"/>
      <c r="Y1648" s="168"/>
      <c r="Z1648" s="168"/>
    </row>
    <row r="1649">
      <c r="A1649" s="168"/>
      <c r="B1649" s="162"/>
      <c r="C1649" s="168"/>
      <c r="D1649" s="168"/>
      <c r="E1649" s="168"/>
      <c r="F1649" s="168"/>
      <c r="G1649" s="168"/>
      <c r="H1649" s="168"/>
      <c r="I1649" s="168"/>
      <c r="J1649" s="168"/>
      <c r="K1649" s="168"/>
      <c r="L1649" s="168"/>
      <c r="M1649" s="168"/>
      <c r="N1649" s="168"/>
      <c r="O1649" s="168"/>
      <c r="P1649" s="168"/>
      <c r="Q1649" s="168"/>
      <c r="R1649" s="168"/>
      <c r="S1649" s="168"/>
      <c r="T1649" s="168"/>
      <c r="U1649" s="168"/>
      <c r="V1649" s="168"/>
      <c r="W1649" s="168"/>
      <c r="X1649" s="168"/>
      <c r="Y1649" s="168"/>
      <c r="Z1649" s="168"/>
    </row>
    <row r="1650">
      <c r="A1650" s="168"/>
      <c r="B1650" s="162"/>
      <c r="C1650" s="168"/>
      <c r="D1650" s="168"/>
      <c r="E1650" s="168"/>
      <c r="F1650" s="168"/>
      <c r="G1650" s="168"/>
      <c r="H1650" s="168"/>
      <c r="I1650" s="168"/>
      <c r="J1650" s="168"/>
      <c r="K1650" s="168"/>
      <c r="L1650" s="168"/>
      <c r="M1650" s="168"/>
      <c r="N1650" s="168"/>
      <c r="O1650" s="168"/>
      <c r="P1650" s="168"/>
      <c r="Q1650" s="168"/>
      <c r="R1650" s="168"/>
      <c r="S1650" s="168"/>
      <c r="T1650" s="168"/>
      <c r="U1650" s="168"/>
      <c r="V1650" s="168"/>
      <c r="W1650" s="168"/>
      <c r="X1650" s="168"/>
      <c r="Y1650" s="168"/>
      <c r="Z1650" s="168"/>
    </row>
    <row r="1651">
      <c r="A1651" s="168"/>
      <c r="B1651" s="162"/>
      <c r="C1651" s="168"/>
      <c r="D1651" s="168"/>
      <c r="E1651" s="168"/>
      <c r="F1651" s="168"/>
      <c r="G1651" s="168"/>
      <c r="H1651" s="168"/>
      <c r="I1651" s="168"/>
      <c r="J1651" s="168"/>
      <c r="K1651" s="168"/>
      <c r="L1651" s="168"/>
      <c r="M1651" s="168"/>
      <c r="N1651" s="168"/>
      <c r="O1651" s="168"/>
      <c r="P1651" s="168"/>
      <c r="Q1651" s="168"/>
      <c r="R1651" s="168"/>
      <c r="S1651" s="168"/>
      <c r="T1651" s="168"/>
      <c r="U1651" s="168"/>
      <c r="V1651" s="168"/>
      <c r="W1651" s="168"/>
      <c r="X1651" s="168"/>
      <c r="Y1651" s="168"/>
      <c r="Z1651" s="168"/>
    </row>
    <row r="1652">
      <c r="A1652" s="168"/>
      <c r="B1652" s="162"/>
      <c r="C1652" s="168"/>
      <c r="D1652" s="168"/>
      <c r="E1652" s="168"/>
      <c r="F1652" s="168"/>
      <c r="G1652" s="168"/>
      <c r="H1652" s="168"/>
      <c r="I1652" s="168"/>
      <c r="J1652" s="168"/>
      <c r="K1652" s="168"/>
      <c r="L1652" s="168"/>
      <c r="M1652" s="168"/>
      <c r="N1652" s="168"/>
      <c r="O1652" s="168"/>
      <c r="P1652" s="168"/>
      <c r="Q1652" s="168"/>
      <c r="R1652" s="168"/>
      <c r="S1652" s="168"/>
      <c r="T1652" s="168"/>
      <c r="U1652" s="168"/>
      <c r="V1652" s="168"/>
      <c r="W1652" s="168"/>
      <c r="X1652" s="168"/>
      <c r="Y1652" s="168"/>
      <c r="Z1652" s="168"/>
    </row>
    <row r="1653">
      <c r="A1653" s="168"/>
      <c r="B1653" s="162"/>
      <c r="C1653" s="168"/>
      <c r="D1653" s="168"/>
      <c r="E1653" s="168"/>
      <c r="F1653" s="168"/>
      <c r="G1653" s="168"/>
      <c r="H1653" s="168"/>
      <c r="I1653" s="168"/>
      <c r="J1653" s="168"/>
      <c r="K1653" s="168"/>
      <c r="L1653" s="168"/>
      <c r="M1653" s="168"/>
      <c r="N1653" s="168"/>
      <c r="O1653" s="168"/>
      <c r="P1653" s="168"/>
      <c r="Q1653" s="168"/>
      <c r="R1653" s="168"/>
      <c r="S1653" s="168"/>
      <c r="T1653" s="168"/>
      <c r="U1653" s="168"/>
      <c r="V1653" s="168"/>
      <c r="W1653" s="168"/>
      <c r="X1653" s="168"/>
      <c r="Y1653" s="168"/>
      <c r="Z1653" s="168"/>
    </row>
    <row r="1654">
      <c r="A1654" s="168"/>
      <c r="B1654" s="162"/>
      <c r="C1654" s="168"/>
      <c r="D1654" s="168"/>
      <c r="E1654" s="168"/>
      <c r="F1654" s="168"/>
      <c r="G1654" s="168"/>
      <c r="H1654" s="168"/>
      <c r="I1654" s="168"/>
      <c r="J1654" s="168"/>
      <c r="K1654" s="168"/>
      <c r="L1654" s="168"/>
      <c r="M1654" s="168"/>
      <c r="N1654" s="168"/>
      <c r="O1654" s="168"/>
      <c r="P1654" s="168"/>
      <c r="Q1654" s="168"/>
      <c r="R1654" s="168"/>
      <c r="S1654" s="168"/>
      <c r="T1654" s="168"/>
      <c r="U1654" s="168"/>
      <c r="V1654" s="168"/>
      <c r="W1654" s="168"/>
      <c r="X1654" s="168"/>
      <c r="Y1654" s="168"/>
      <c r="Z1654" s="168"/>
    </row>
    <row r="1655">
      <c r="A1655" s="168"/>
      <c r="B1655" s="162"/>
      <c r="C1655" s="168"/>
      <c r="D1655" s="168"/>
      <c r="E1655" s="168"/>
      <c r="F1655" s="168"/>
      <c r="G1655" s="168"/>
      <c r="H1655" s="168"/>
      <c r="I1655" s="168"/>
      <c r="J1655" s="168"/>
      <c r="K1655" s="168"/>
      <c r="L1655" s="168"/>
      <c r="M1655" s="168"/>
      <c r="N1655" s="168"/>
      <c r="O1655" s="168"/>
      <c r="P1655" s="168"/>
      <c r="Q1655" s="168"/>
      <c r="R1655" s="168"/>
      <c r="S1655" s="168"/>
      <c r="T1655" s="168"/>
      <c r="U1655" s="168"/>
      <c r="V1655" s="168"/>
      <c r="W1655" s="168"/>
      <c r="X1655" s="168"/>
      <c r="Y1655" s="168"/>
      <c r="Z1655" s="168"/>
    </row>
    <row r="1656">
      <c r="A1656" s="168"/>
      <c r="B1656" s="162"/>
      <c r="C1656" s="168"/>
      <c r="D1656" s="168"/>
      <c r="E1656" s="168"/>
      <c r="F1656" s="168"/>
      <c r="G1656" s="168"/>
      <c r="H1656" s="168"/>
      <c r="I1656" s="168"/>
      <c r="J1656" s="168"/>
      <c r="K1656" s="168"/>
      <c r="L1656" s="168"/>
      <c r="M1656" s="168"/>
      <c r="N1656" s="168"/>
      <c r="O1656" s="168"/>
      <c r="P1656" s="168"/>
      <c r="Q1656" s="168"/>
      <c r="R1656" s="168"/>
      <c r="S1656" s="168"/>
      <c r="T1656" s="168"/>
      <c r="U1656" s="168"/>
      <c r="V1656" s="168"/>
      <c r="W1656" s="168"/>
      <c r="X1656" s="168"/>
      <c r="Y1656" s="168"/>
      <c r="Z1656" s="168"/>
    </row>
    <row r="1657">
      <c r="A1657" s="168"/>
      <c r="B1657" s="162"/>
      <c r="C1657" s="168"/>
      <c r="D1657" s="168"/>
      <c r="E1657" s="168"/>
      <c r="F1657" s="168"/>
      <c r="G1657" s="168"/>
      <c r="H1657" s="168"/>
      <c r="I1657" s="168"/>
      <c r="J1657" s="168"/>
      <c r="K1657" s="168"/>
      <c r="L1657" s="168"/>
      <c r="M1657" s="168"/>
      <c r="N1657" s="168"/>
      <c r="O1657" s="168"/>
      <c r="P1657" s="168"/>
      <c r="Q1657" s="168"/>
      <c r="R1657" s="168"/>
      <c r="S1657" s="168"/>
      <c r="T1657" s="168"/>
      <c r="U1657" s="168"/>
      <c r="V1657" s="168"/>
      <c r="W1657" s="168"/>
      <c r="X1657" s="168"/>
      <c r="Y1657" s="168"/>
      <c r="Z1657" s="168"/>
    </row>
    <row r="1658">
      <c r="A1658" s="168"/>
      <c r="B1658" s="162"/>
      <c r="C1658" s="168"/>
      <c r="D1658" s="168"/>
      <c r="E1658" s="168"/>
      <c r="F1658" s="168"/>
      <c r="G1658" s="168"/>
      <c r="H1658" s="168"/>
      <c r="I1658" s="168"/>
      <c r="J1658" s="168"/>
      <c r="K1658" s="168"/>
      <c r="L1658" s="168"/>
      <c r="M1658" s="168"/>
      <c r="N1658" s="168"/>
      <c r="O1658" s="168"/>
      <c r="P1658" s="168"/>
      <c r="Q1658" s="168"/>
      <c r="R1658" s="168"/>
      <c r="S1658" s="168"/>
      <c r="T1658" s="168"/>
      <c r="U1658" s="168"/>
      <c r="V1658" s="168"/>
      <c r="W1658" s="168"/>
      <c r="X1658" s="168"/>
      <c r="Y1658" s="168"/>
      <c r="Z1658" s="168"/>
    </row>
    <row r="1659">
      <c r="A1659" s="168"/>
      <c r="B1659" s="162"/>
      <c r="C1659" s="168"/>
      <c r="D1659" s="168"/>
      <c r="E1659" s="168"/>
      <c r="F1659" s="168"/>
      <c r="G1659" s="168"/>
      <c r="H1659" s="168"/>
      <c r="I1659" s="168"/>
      <c r="J1659" s="168"/>
      <c r="K1659" s="168"/>
      <c r="L1659" s="168"/>
      <c r="M1659" s="168"/>
      <c r="N1659" s="168"/>
      <c r="O1659" s="168"/>
      <c r="P1659" s="168"/>
      <c r="Q1659" s="168"/>
      <c r="R1659" s="168"/>
      <c r="S1659" s="168"/>
      <c r="T1659" s="168"/>
      <c r="U1659" s="168"/>
      <c r="V1659" s="168"/>
      <c r="W1659" s="168"/>
      <c r="X1659" s="168"/>
      <c r="Y1659" s="168"/>
      <c r="Z1659" s="168"/>
    </row>
    <row r="1660">
      <c r="A1660" s="168"/>
      <c r="B1660" s="162"/>
      <c r="C1660" s="168"/>
      <c r="D1660" s="168"/>
      <c r="E1660" s="168"/>
      <c r="F1660" s="168"/>
      <c r="G1660" s="168"/>
      <c r="H1660" s="168"/>
      <c r="I1660" s="168"/>
      <c r="J1660" s="168"/>
      <c r="K1660" s="168"/>
      <c r="L1660" s="168"/>
      <c r="M1660" s="168"/>
      <c r="N1660" s="168"/>
      <c r="O1660" s="168"/>
      <c r="P1660" s="168"/>
      <c r="Q1660" s="168"/>
      <c r="R1660" s="168"/>
      <c r="S1660" s="168"/>
      <c r="T1660" s="168"/>
      <c r="U1660" s="168"/>
      <c r="V1660" s="168"/>
      <c r="W1660" s="168"/>
      <c r="X1660" s="168"/>
      <c r="Y1660" s="168"/>
      <c r="Z1660" s="168"/>
    </row>
    <row r="1661">
      <c r="A1661" s="168"/>
      <c r="B1661" s="162"/>
      <c r="C1661" s="168"/>
      <c r="D1661" s="168"/>
      <c r="E1661" s="168"/>
      <c r="F1661" s="168"/>
      <c r="G1661" s="168"/>
      <c r="H1661" s="168"/>
      <c r="I1661" s="168"/>
      <c r="J1661" s="168"/>
      <c r="K1661" s="168"/>
      <c r="L1661" s="168"/>
      <c r="M1661" s="168"/>
      <c r="N1661" s="168"/>
      <c r="O1661" s="168"/>
      <c r="P1661" s="168"/>
      <c r="Q1661" s="168"/>
      <c r="R1661" s="168"/>
      <c r="S1661" s="168"/>
      <c r="T1661" s="168"/>
      <c r="U1661" s="168"/>
      <c r="V1661" s="168"/>
      <c r="W1661" s="168"/>
      <c r="X1661" s="168"/>
      <c r="Y1661" s="168"/>
      <c r="Z1661" s="168"/>
    </row>
    <row r="1662">
      <c r="A1662" s="168"/>
      <c r="B1662" s="162"/>
      <c r="C1662" s="168"/>
      <c r="D1662" s="168"/>
      <c r="E1662" s="168"/>
      <c r="F1662" s="168"/>
      <c r="G1662" s="168"/>
      <c r="H1662" s="168"/>
      <c r="I1662" s="168"/>
      <c r="J1662" s="168"/>
      <c r="K1662" s="168"/>
      <c r="L1662" s="168"/>
      <c r="M1662" s="168"/>
      <c r="N1662" s="168"/>
      <c r="O1662" s="168"/>
      <c r="P1662" s="168"/>
      <c r="Q1662" s="168"/>
      <c r="R1662" s="168"/>
      <c r="S1662" s="168"/>
      <c r="T1662" s="168"/>
      <c r="U1662" s="168"/>
      <c r="V1662" s="168"/>
      <c r="W1662" s="168"/>
      <c r="X1662" s="168"/>
      <c r="Y1662" s="168"/>
      <c r="Z1662" s="168"/>
    </row>
    <row r="1663">
      <c r="A1663" s="168"/>
      <c r="B1663" s="162"/>
      <c r="C1663" s="168"/>
      <c r="D1663" s="168"/>
      <c r="E1663" s="168"/>
      <c r="F1663" s="168"/>
      <c r="G1663" s="168"/>
      <c r="H1663" s="168"/>
      <c r="I1663" s="168"/>
      <c r="J1663" s="168"/>
      <c r="K1663" s="168"/>
      <c r="L1663" s="168"/>
      <c r="M1663" s="168"/>
      <c r="N1663" s="168"/>
      <c r="O1663" s="168"/>
      <c r="P1663" s="168"/>
      <c r="Q1663" s="168"/>
      <c r="R1663" s="168"/>
      <c r="S1663" s="168"/>
      <c r="T1663" s="168"/>
      <c r="U1663" s="168"/>
      <c r="V1663" s="168"/>
      <c r="W1663" s="168"/>
      <c r="X1663" s="168"/>
      <c r="Y1663" s="168"/>
      <c r="Z1663" s="168"/>
    </row>
    <row r="1664">
      <c r="A1664" s="168"/>
      <c r="B1664" s="162"/>
      <c r="C1664" s="168"/>
      <c r="D1664" s="168"/>
      <c r="E1664" s="168"/>
      <c r="F1664" s="168"/>
      <c r="G1664" s="168"/>
      <c r="H1664" s="168"/>
      <c r="I1664" s="168"/>
      <c r="J1664" s="168"/>
      <c r="K1664" s="168"/>
      <c r="L1664" s="168"/>
      <c r="M1664" s="168"/>
      <c r="N1664" s="168"/>
      <c r="O1664" s="168"/>
      <c r="P1664" s="168"/>
      <c r="Q1664" s="168"/>
      <c r="R1664" s="168"/>
      <c r="S1664" s="168"/>
      <c r="T1664" s="168"/>
      <c r="U1664" s="168"/>
      <c r="V1664" s="168"/>
      <c r="W1664" s="168"/>
      <c r="X1664" s="168"/>
      <c r="Y1664" s="168"/>
      <c r="Z1664" s="168"/>
    </row>
    <row r="1665">
      <c r="A1665" s="168"/>
      <c r="B1665" s="162"/>
      <c r="C1665" s="168"/>
      <c r="D1665" s="168"/>
      <c r="E1665" s="168"/>
      <c r="F1665" s="168"/>
      <c r="G1665" s="168"/>
      <c r="H1665" s="168"/>
      <c r="I1665" s="168"/>
      <c r="J1665" s="168"/>
      <c r="K1665" s="168"/>
      <c r="L1665" s="168"/>
      <c r="M1665" s="168"/>
      <c r="N1665" s="168"/>
      <c r="O1665" s="168"/>
      <c r="P1665" s="168"/>
      <c r="Q1665" s="168"/>
      <c r="R1665" s="168"/>
      <c r="S1665" s="168"/>
      <c r="T1665" s="168"/>
      <c r="U1665" s="168"/>
      <c r="V1665" s="168"/>
      <c r="W1665" s="168"/>
      <c r="X1665" s="168"/>
      <c r="Y1665" s="168"/>
      <c r="Z1665" s="168"/>
    </row>
    <row r="1666">
      <c r="A1666" s="168"/>
      <c r="B1666" s="162"/>
      <c r="C1666" s="168"/>
      <c r="D1666" s="168"/>
      <c r="E1666" s="168"/>
      <c r="F1666" s="168"/>
      <c r="G1666" s="168"/>
      <c r="H1666" s="168"/>
      <c r="I1666" s="168"/>
      <c r="J1666" s="168"/>
      <c r="K1666" s="168"/>
      <c r="L1666" s="168"/>
      <c r="M1666" s="168"/>
      <c r="N1666" s="168"/>
      <c r="O1666" s="168"/>
      <c r="P1666" s="168"/>
      <c r="Q1666" s="168"/>
      <c r="R1666" s="168"/>
      <c r="S1666" s="168"/>
      <c r="T1666" s="168"/>
      <c r="U1666" s="168"/>
      <c r="V1666" s="168"/>
      <c r="W1666" s="168"/>
      <c r="X1666" s="168"/>
      <c r="Y1666" s="168"/>
      <c r="Z1666" s="168"/>
    </row>
    <row r="1667">
      <c r="A1667" s="168"/>
      <c r="B1667" s="162"/>
      <c r="C1667" s="168"/>
      <c r="D1667" s="168"/>
      <c r="E1667" s="168"/>
      <c r="F1667" s="168"/>
      <c r="G1667" s="168"/>
      <c r="H1667" s="168"/>
      <c r="I1667" s="168"/>
      <c r="J1667" s="168"/>
      <c r="K1667" s="168"/>
      <c r="L1667" s="168"/>
      <c r="M1667" s="168"/>
      <c r="N1667" s="168"/>
      <c r="O1667" s="168"/>
      <c r="P1667" s="168"/>
      <c r="Q1667" s="168"/>
      <c r="R1667" s="168"/>
      <c r="S1667" s="168"/>
      <c r="T1667" s="168"/>
      <c r="U1667" s="168"/>
      <c r="V1667" s="168"/>
      <c r="W1667" s="168"/>
      <c r="X1667" s="168"/>
      <c r="Y1667" s="168"/>
      <c r="Z1667" s="168"/>
    </row>
    <row r="1668">
      <c r="A1668" s="168"/>
      <c r="B1668" s="162"/>
      <c r="C1668" s="168"/>
      <c r="D1668" s="168"/>
      <c r="E1668" s="168"/>
      <c r="F1668" s="168"/>
      <c r="G1668" s="168"/>
      <c r="H1668" s="168"/>
      <c r="I1668" s="168"/>
      <c r="J1668" s="168"/>
      <c r="K1668" s="168"/>
      <c r="L1668" s="168"/>
      <c r="M1668" s="168"/>
      <c r="N1668" s="168"/>
      <c r="O1668" s="168"/>
      <c r="P1668" s="168"/>
      <c r="Q1668" s="168"/>
      <c r="R1668" s="168"/>
      <c r="S1668" s="168"/>
      <c r="T1668" s="168"/>
      <c r="U1668" s="168"/>
      <c r="V1668" s="168"/>
      <c r="W1668" s="168"/>
      <c r="X1668" s="168"/>
      <c r="Y1668" s="168"/>
      <c r="Z1668" s="168"/>
    </row>
    <row r="1669">
      <c r="A1669" s="168"/>
      <c r="B1669" s="162"/>
      <c r="C1669" s="168"/>
      <c r="D1669" s="168"/>
      <c r="E1669" s="168"/>
      <c r="F1669" s="168"/>
      <c r="G1669" s="168"/>
      <c r="H1669" s="168"/>
      <c r="I1669" s="168"/>
      <c r="J1669" s="168"/>
      <c r="K1669" s="168"/>
      <c r="L1669" s="168"/>
      <c r="M1669" s="168"/>
      <c r="N1669" s="168"/>
      <c r="O1669" s="168"/>
      <c r="P1669" s="168"/>
      <c r="Q1669" s="168"/>
      <c r="R1669" s="168"/>
      <c r="S1669" s="168"/>
      <c r="T1669" s="168"/>
      <c r="U1669" s="168"/>
      <c r="V1669" s="168"/>
      <c r="W1669" s="168"/>
      <c r="X1669" s="168"/>
      <c r="Y1669" s="168"/>
      <c r="Z1669" s="168"/>
    </row>
    <row r="1670">
      <c r="A1670" s="168"/>
      <c r="B1670" s="162"/>
      <c r="C1670" s="168"/>
      <c r="D1670" s="168"/>
      <c r="E1670" s="168"/>
      <c r="F1670" s="168"/>
      <c r="G1670" s="168"/>
      <c r="H1670" s="168"/>
      <c r="I1670" s="168"/>
      <c r="J1670" s="168"/>
      <c r="K1670" s="168"/>
      <c r="L1670" s="168"/>
      <c r="M1670" s="168"/>
      <c r="N1670" s="168"/>
      <c r="O1670" s="168"/>
      <c r="P1670" s="168"/>
      <c r="Q1670" s="168"/>
      <c r="R1670" s="168"/>
      <c r="S1670" s="168"/>
      <c r="T1670" s="168"/>
      <c r="U1670" s="168"/>
      <c r="V1670" s="168"/>
      <c r="W1670" s="168"/>
      <c r="X1670" s="168"/>
      <c r="Y1670" s="168"/>
      <c r="Z1670" s="168"/>
    </row>
    <row r="1671">
      <c r="A1671" s="168"/>
      <c r="B1671" s="162"/>
      <c r="C1671" s="168"/>
      <c r="D1671" s="168"/>
      <c r="E1671" s="168"/>
      <c r="F1671" s="168"/>
      <c r="G1671" s="168"/>
      <c r="H1671" s="168"/>
      <c r="I1671" s="168"/>
      <c r="J1671" s="168"/>
      <c r="K1671" s="168"/>
      <c r="L1671" s="168"/>
      <c r="M1671" s="168"/>
      <c r="N1671" s="168"/>
      <c r="O1671" s="168"/>
      <c r="P1671" s="168"/>
      <c r="Q1671" s="168"/>
      <c r="R1671" s="168"/>
      <c r="S1671" s="168"/>
      <c r="T1671" s="168"/>
      <c r="U1671" s="168"/>
      <c r="V1671" s="168"/>
      <c r="W1671" s="168"/>
      <c r="X1671" s="168"/>
      <c r="Y1671" s="168"/>
      <c r="Z1671" s="168"/>
    </row>
    <row r="1672">
      <c r="A1672" s="168"/>
      <c r="B1672" s="162"/>
      <c r="C1672" s="168"/>
      <c r="D1672" s="168"/>
      <c r="E1672" s="168"/>
      <c r="F1672" s="168"/>
      <c r="G1672" s="168"/>
      <c r="H1672" s="168"/>
      <c r="I1672" s="168"/>
      <c r="J1672" s="168"/>
      <c r="K1672" s="168"/>
      <c r="L1672" s="168"/>
      <c r="M1672" s="168"/>
      <c r="N1672" s="168"/>
      <c r="O1672" s="168"/>
      <c r="P1672" s="168"/>
      <c r="Q1672" s="168"/>
      <c r="R1672" s="168"/>
      <c r="S1672" s="168"/>
      <c r="T1672" s="168"/>
      <c r="U1672" s="168"/>
      <c r="V1672" s="168"/>
      <c r="W1672" s="168"/>
      <c r="X1672" s="168"/>
      <c r="Y1672" s="168"/>
      <c r="Z1672" s="168"/>
    </row>
    <row r="1673">
      <c r="A1673" s="168"/>
      <c r="B1673" s="162"/>
      <c r="C1673" s="168"/>
      <c r="D1673" s="168"/>
      <c r="E1673" s="168"/>
      <c r="F1673" s="168"/>
      <c r="G1673" s="168"/>
      <c r="H1673" s="168"/>
      <c r="I1673" s="168"/>
      <c r="J1673" s="168"/>
      <c r="K1673" s="168"/>
      <c r="L1673" s="168"/>
      <c r="M1673" s="168"/>
      <c r="N1673" s="168"/>
      <c r="O1673" s="168"/>
      <c r="P1673" s="168"/>
      <c r="Q1673" s="168"/>
      <c r="R1673" s="168"/>
      <c r="S1673" s="168"/>
      <c r="T1673" s="168"/>
      <c r="U1673" s="168"/>
      <c r="V1673" s="168"/>
      <c r="W1673" s="168"/>
      <c r="X1673" s="168"/>
      <c r="Y1673" s="168"/>
      <c r="Z1673" s="168"/>
    </row>
    <row r="1674">
      <c r="A1674" s="168"/>
      <c r="B1674" s="162"/>
      <c r="C1674" s="168"/>
      <c r="D1674" s="168"/>
      <c r="E1674" s="168"/>
      <c r="F1674" s="168"/>
      <c r="G1674" s="168"/>
      <c r="H1674" s="168"/>
      <c r="I1674" s="168"/>
      <c r="J1674" s="168"/>
      <c r="K1674" s="168"/>
      <c r="L1674" s="168"/>
      <c r="M1674" s="168"/>
      <c r="N1674" s="168"/>
      <c r="O1674" s="168"/>
      <c r="P1674" s="168"/>
      <c r="Q1674" s="168"/>
      <c r="R1674" s="168"/>
      <c r="S1674" s="168"/>
      <c r="T1674" s="168"/>
      <c r="U1674" s="168"/>
      <c r="V1674" s="168"/>
      <c r="W1674" s="168"/>
      <c r="X1674" s="168"/>
      <c r="Y1674" s="168"/>
      <c r="Z1674" s="168"/>
    </row>
    <row r="1675">
      <c r="A1675" s="168"/>
      <c r="B1675" s="162"/>
      <c r="C1675" s="168"/>
      <c r="D1675" s="168"/>
      <c r="E1675" s="168"/>
      <c r="F1675" s="168"/>
      <c r="G1675" s="168"/>
      <c r="H1675" s="168"/>
      <c r="I1675" s="168"/>
      <c r="J1675" s="168"/>
      <c r="K1675" s="168"/>
      <c r="L1675" s="168"/>
      <c r="M1675" s="168"/>
      <c r="N1675" s="168"/>
      <c r="O1675" s="168"/>
      <c r="P1675" s="168"/>
      <c r="Q1675" s="168"/>
      <c r="R1675" s="168"/>
      <c r="S1675" s="168"/>
      <c r="T1675" s="168"/>
      <c r="U1675" s="168"/>
      <c r="V1675" s="168"/>
      <c r="W1675" s="168"/>
      <c r="X1675" s="168"/>
      <c r="Y1675" s="168"/>
      <c r="Z1675" s="168"/>
    </row>
    <row r="1676">
      <c r="A1676" s="168"/>
      <c r="B1676" s="162"/>
      <c r="C1676" s="168"/>
      <c r="D1676" s="168"/>
      <c r="E1676" s="168"/>
      <c r="F1676" s="168"/>
      <c r="G1676" s="168"/>
      <c r="H1676" s="168"/>
      <c r="I1676" s="168"/>
      <c r="J1676" s="168"/>
      <c r="K1676" s="168"/>
      <c r="L1676" s="168"/>
      <c r="M1676" s="168"/>
      <c r="N1676" s="168"/>
      <c r="O1676" s="168"/>
      <c r="P1676" s="168"/>
      <c r="Q1676" s="168"/>
      <c r="R1676" s="168"/>
      <c r="S1676" s="168"/>
      <c r="T1676" s="168"/>
      <c r="U1676" s="168"/>
      <c r="V1676" s="168"/>
      <c r="W1676" s="168"/>
      <c r="X1676" s="168"/>
      <c r="Y1676" s="168"/>
      <c r="Z1676" s="168"/>
    </row>
    <row r="1677">
      <c r="A1677" s="168"/>
      <c r="B1677" s="162"/>
      <c r="C1677" s="168"/>
      <c r="D1677" s="168"/>
      <c r="E1677" s="168"/>
      <c r="F1677" s="168"/>
      <c r="G1677" s="168"/>
      <c r="H1677" s="168"/>
      <c r="I1677" s="168"/>
      <c r="J1677" s="168"/>
      <c r="K1677" s="168"/>
      <c r="L1677" s="168"/>
      <c r="M1677" s="168"/>
      <c r="N1677" s="168"/>
      <c r="O1677" s="168"/>
      <c r="P1677" s="168"/>
      <c r="Q1677" s="168"/>
      <c r="R1677" s="168"/>
      <c r="S1677" s="168"/>
      <c r="T1677" s="168"/>
      <c r="U1677" s="168"/>
      <c r="V1677" s="168"/>
      <c r="W1677" s="168"/>
      <c r="X1677" s="168"/>
      <c r="Y1677" s="168"/>
      <c r="Z1677" s="168"/>
    </row>
    <row r="1678">
      <c r="A1678" s="168"/>
      <c r="B1678" s="162"/>
      <c r="C1678" s="168"/>
      <c r="D1678" s="168"/>
      <c r="E1678" s="168"/>
      <c r="F1678" s="168"/>
      <c r="G1678" s="168"/>
      <c r="H1678" s="168"/>
      <c r="I1678" s="168"/>
      <c r="J1678" s="168"/>
      <c r="K1678" s="168"/>
      <c r="L1678" s="168"/>
      <c r="M1678" s="168"/>
      <c r="N1678" s="168"/>
      <c r="O1678" s="168"/>
      <c r="P1678" s="168"/>
      <c r="Q1678" s="168"/>
      <c r="R1678" s="168"/>
      <c r="S1678" s="168"/>
      <c r="T1678" s="168"/>
      <c r="U1678" s="168"/>
      <c r="V1678" s="168"/>
      <c r="W1678" s="168"/>
      <c r="X1678" s="168"/>
      <c r="Y1678" s="168"/>
      <c r="Z1678" s="168"/>
    </row>
    <row r="1679">
      <c r="A1679" s="168"/>
      <c r="B1679" s="162"/>
      <c r="C1679" s="168"/>
      <c r="D1679" s="168"/>
      <c r="E1679" s="168"/>
      <c r="F1679" s="168"/>
      <c r="G1679" s="168"/>
      <c r="H1679" s="168"/>
      <c r="I1679" s="168"/>
      <c r="J1679" s="168"/>
      <c r="K1679" s="168"/>
      <c r="L1679" s="168"/>
      <c r="M1679" s="168"/>
      <c r="N1679" s="168"/>
      <c r="O1679" s="168"/>
      <c r="P1679" s="168"/>
      <c r="Q1679" s="168"/>
      <c r="R1679" s="168"/>
      <c r="S1679" s="168"/>
      <c r="T1679" s="168"/>
      <c r="U1679" s="168"/>
      <c r="V1679" s="168"/>
      <c r="W1679" s="168"/>
      <c r="X1679" s="168"/>
      <c r="Y1679" s="168"/>
      <c r="Z1679" s="168"/>
    </row>
    <row r="1680">
      <c r="A1680" s="168"/>
      <c r="B1680" s="162"/>
      <c r="C1680" s="168"/>
      <c r="D1680" s="168"/>
      <c r="E1680" s="168"/>
      <c r="F1680" s="168"/>
      <c r="G1680" s="168"/>
      <c r="H1680" s="168"/>
      <c r="I1680" s="168"/>
      <c r="J1680" s="168"/>
      <c r="K1680" s="168"/>
      <c r="L1680" s="168"/>
      <c r="M1680" s="168"/>
      <c r="N1680" s="168"/>
      <c r="O1680" s="168"/>
      <c r="P1680" s="168"/>
      <c r="Q1680" s="168"/>
      <c r="R1680" s="168"/>
      <c r="S1680" s="168"/>
      <c r="T1680" s="168"/>
      <c r="U1680" s="168"/>
      <c r="V1680" s="168"/>
      <c r="W1680" s="168"/>
      <c r="X1680" s="168"/>
      <c r="Y1680" s="168"/>
      <c r="Z1680" s="168"/>
    </row>
    <row r="1681">
      <c r="A1681" s="168"/>
      <c r="B1681" s="162"/>
      <c r="C1681" s="168"/>
      <c r="D1681" s="168"/>
      <c r="E1681" s="168"/>
      <c r="F1681" s="168"/>
      <c r="G1681" s="168"/>
      <c r="H1681" s="168"/>
      <c r="I1681" s="168"/>
      <c r="J1681" s="168"/>
      <c r="K1681" s="168"/>
      <c r="L1681" s="168"/>
      <c r="M1681" s="168"/>
      <c r="N1681" s="168"/>
      <c r="O1681" s="168"/>
      <c r="P1681" s="168"/>
      <c r="Q1681" s="168"/>
      <c r="R1681" s="168"/>
      <c r="S1681" s="168"/>
      <c r="T1681" s="168"/>
      <c r="U1681" s="168"/>
      <c r="V1681" s="168"/>
      <c r="W1681" s="168"/>
      <c r="X1681" s="168"/>
      <c r="Y1681" s="168"/>
      <c r="Z1681" s="168"/>
    </row>
    <row r="1682">
      <c r="A1682" s="168"/>
      <c r="B1682" s="162"/>
      <c r="C1682" s="168"/>
      <c r="D1682" s="168"/>
      <c r="E1682" s="168"/>
      <c r="F1682" s="168"/>
      <c r="G1682" s="168"/>
      <c r="H1682" s="168"/>
      <c r="I1682" s="168"/>
      <c r="J1682" s="168"/>
      <c r="K1682" s="168"/>
      <c r="L1682" s="168"/>
      <c r="M1682" s="168"/>
      <c r="N1682" s="168"/>
      <c r="O1682" s="168"/>
      <c r="P1682" s="168"/>
      <c r="Q1682" s="168"/>
      <c r="R1682" s="168"/>
      <c r="S1682" s="168"/>
      <c r="T1682" s="168"/>
      <c r="U1682" s="168"/>
      <c r="V1682" s="168"/>
      <c r="W1682" s="168"/>
      <c r="X1682" s="168"/>
      <c r="Y1682" s="168"/>
      <c r="Z1682" s="168"/>
    </row>
    <row r="1683">
      <c r="A1683" s="168"/>
      <c r="B1683" s="162"/>
      <c r="C1683" s="168"/>
      <c r="D1683" s="168"/>
      <c r="E1683" s="168"/>
      <c r="F1683" s="168"/>
      <c r="G1683" s="168"/>
      <c r="H1683" s="168"/>
      <c r="I1683" s="168"/>
      <c r="J1683" s="168"/>
      <c r="K1683" s="168"/>
      <c r="L1683" s="168"/>
      <c r="M1683" s="168"/>
      <c r="N1683" s="168"/>
      <c r="O1683" s="168"/>
      <c r="P1683" s="168"/>
      <c r="Q1683" s="168"/>
      <c r="R1683" s="168"/>
      <c r="S1683" s="168"/>
      <c r="T1683" s="168"/>
      <c r="U1683" s="168"/>
      <c r="V1683" s="168"/>
      <c r="W1683" s="168"/>
      <c r="X1683" s="168"/>
      <c r="Y1683" s="168"/>
      <c r="Z1683" s="168"/>
    </row>
    <row r="1684">
      <c r="A1684" s="168"/>
      <c r="B1684" s="162"/>
      <c r="C1684" s="168"/>
      <c r="D1684" s="168"/>
      <c r="E1684" s="168"/>
      <c r="F1684" s="168"/>
      <c r="G1684" s="168"/>
      <c r="H1684" s="168"/>
      <c r="I1684" s="168"/>
      <c r="J1684" s="168"/>
      <c r="K1684" s="168"/>
      <c r="L1684" s="168"/>
      <c r="M1684" s="168"/>
      <c r="N1684" s="168"/>
      <c r="O1684" s="168"/>
      <c r="P1684" s="168"/>
      <c r="Q1684" s="168"/>
      <c r="R1684" s="168"/>
      <c r="S1684" s="168"/>
      <c r="T1684" s="168"/>
      <c r="U1684" s="168"/>
      <c r="V1684" s="168"/>
      <c r="W1684" s="168"/>
      <c r="X1684" s="168"/>
      <c r="Y1684" s="168"/>
      <c r="Z1684" s="168"/>
    </row>
    <row r="1685">
      <c r="A1685" s="168"/>
      <c r="B1685" s="162"/>
      <c r="C1685" s="168"/>
      <c r="D1685" s="168"/>
      <c r="E1685" s="168"/>
      <c r="F1685" s="168"/>
      <c r="G1685" s="168"/>
      <c r="H1685" s="168"/>
      <c r="I1685" s="168"/>
      <c r="J1685" s="168"/>
      <c r="K1685" s="168"/>
      <c r="L1685" s="168"/>
      <c r="M1685" s="168"/>
      <c r="N1685" s="168"/>
      <c r="O1685" s="168"/>
      <c r="P1685" s="168"/>
      <c r="Q1685" s="168"/>
      <c r="R1685" s="168"/>
      <c r="S1685" s="168"/>
      <c r="T1685" s="168"/>
      <c r="U1685" s="168"/>
      <c r="V1685" s="168"/>
      <c r="W1685" s="168"/>
      <c r="X1685" s="168"/>
      <c r="Y1685" s="168"/>
      <c r="Z1685" s="168"/>
    </row>
    <row r="1686">
      <c r="A1686" s="168"/>
      <c r="B1686" s="162"/>
      <c r="C1686" s="168"/>
      <c r="D1686" s="168"/>
      <c r="E1686" s="168"/>
      <c r="F1686" s="168"/>
      <c r="G1686" s="168"/>
      <c r="H1686" s="168"/>
      <c r="I1686" s="168"/>
      <c r="J1686" s="168"/>
      <c r="K1686" s="168"/>
      <c r="L1686" s="168"/>
      <c r="M1686" s="168"/>
      <c r="N1686" s="168"/>
      <c r="O1686" s="168"/>
      <c r="P1686" s="168"/>
      <c r="Q1686" s="168"/>
      <c r="R1686" s="168"/>
      <c r="S1686" s="168"/>
      <c r="T1686" s="168"/>
      <c r="U1686" s="168"/>
      <c r="V1686" s="168"/>
      <c r="W1686" s="168"/>
      <c r="X1686" s="168"/>
      <c r="Y1686" s="168"/>
      <c r="Z1686" s="168"/>
    </row>
    <row r="1687">
      <c r="A1687" s="168"/>
      <c r="B1687" s="162"/>
      <c r="C1687" s="168"/>
      <c r="D1687" s="168"/>
      <c r="E1687" s="168"/>
      <c r="F1687" s="168"/>
      <c r="G1687" s="168"/>
      <c r="H1687" s="168"/>
      <c r="I1687" s="168"/>
      <c r="J1687" s="168"/>
      <c r="K1687" s="168"/>
      <c r="L1687" s="168"/>
      <c r="M1687" s="168"/>
      <c r="N1687" s="168"/>
      <c r="O1687" s="168"/>
      <c r="P1687" s="168"/>
      <c r="Q1687" s="168"/>
      <c r="R1687" s="168"/>
      <c r="S1687" s="168"/>
      <c r="T1687" s="168"/>
      <c r="U1687" s="168"/>
      <c r="V1687" s="168"/>
      <c r="W1687" s="168"/>
      <c r="X1687" s="168"/>
      <c r="Y1687" s="168"/>
      <c r="Z1687" s="168"/>
    </row>
    <row r="1688">
      <c r="A1688" s="168"/>
      <c r="B1688" s="162"/>
      <c r="C1688" s="168"/>
      <c r="D1688" s="168"/>
      <c r="E1688" s="168"/>
      <c r="F1688" s="168"/>
      <c r="G1688" s="168"/>
      <c r="H1688" s="168"/>
      <c r="I1688" s="168"/>
      <c r="J1688" s="168"/>
      <c r="K1688" s="168"/>
      <c r="L1688" s="168"/>
      <c r="M1688" s="168"/>
      <c r="N1688" s="168"/>
      <c r="O1688" s="168"/>
      <c r="P1688" s="168"/>
      <c r="Q1688" s="168"/>
      <c r="R1688" s="168"/>
      <c r="S1688" s="168"/>
      <c r="T1688" s="168"/>
      <c r="U1688" s="168"/>
      <c r="V1688" s="168"/>
      <c r="W1688" s="168"/>
      <c r="X1688" s="168"/>
      <c r="Y1688" s="168"/>
      <c r="Z1688" s="168"/>
    </row>
    <row r="1689">
      <c r="A1689" s="168"/>
      <c r="B1689" s="162"/>
      <c r="C1689" s="168"/>
      <c r="D1689" s="168"/>
      <c r="E1689" s="168"/>
      <c r="F1689" s="168"/>
      <c r="G1689" s="168"/>
      <c r="H1689" s="168"/>
      <c r="I1689" s="168"/>
      <c r="J1689" s="168"/>
      <c r="K1689" s="168"/>
      <c r="L1689" s="168"/>
      <c r="M1689" s="168"/>
      <c r="N1689" s="168"/>
      <c r="O1689" s="168"/>
      <c r="P1689" s="168"/>
      <c r="Q1689" s="168"/>
      <c r="R1689" s="168"/>
      <c r="S1689" s="168"/>
      <c r="T1689" s="168"/>
      <c r="U1689" s="168"/>
      <c r="V1689" s="168"/>
      <c r="W1689" s="168"/>
      <c r="X1689" s="168"/>
      <c r="Y1689" s="168"/>
      <c r="Z1689" s="168"/>
    </row>
    <row r="1690">
      <c r="A1690" s="168"/>
      <c r="B1690" s="162"/>
      <c r="C1690" s="168"/>
      <c r="D1690" s="168"/>
      <c r="E1690" s="168"/>
      <c r="F1690" s="168"/>
      <c r="G1690" s="168"/>
      <c r="H1690" s="168"/>
      <c r="I1690" s="168"/>
      <c r="J1690" s="168"/>
      <c r="K1690" s="168"/>
      <c r="L1690" s="168"/>
      <c r="M1690" s="168"/>
      <c r="N1690" s="168"/>
      <c r="O1690" s="168"/>
      <c r="P1690" s="168"/>
      <c r="Q1690" s="168"/>
      <c r="R1690" s="168"/>
      <c r="S1690" s="168"/>
      <c r="T1690" s="168"/>
      <c r="U1690" s="168"/>
      <c r="V1690" s="168"/>
      <c r="W1690" s="168"/>
      <c r="X1690" s="168"/>
      <c r="Y1690" s="168"/>
      <c r="Z1690" s="168"/>
    </row>
    <row r="1691">
      <c r="A1691" s="168"/>
      <c r="B1691" s="162"/>
      <c r="C1691" s="168"/>
      <c r="D1691" s="168"/>
      <c r="E1691" s="168"/>
      <c r="F1691" s="168"/>
      <c r="G1691" s="168"/>
      <c r="H1691" s="168"/>
      <c r="I1691" s="168"/>
      <c r="J1691" s="168"/>
      <c r="K1691" s="168"/>
      <c r="L1691" s="168"/>
      <c r="M1691" s="168"/>
      <c r="N1691" s="168"/>
      <c r="O1691" s="168"/>
      <c r="P1691" s="168"/>
      <c r="Q1691" s="168"/>
      <c r="R1691" s="168"/>
      <c r="S1691" s="168"/>
      <c r="T1691" s="168"/>
      <c r="U1691" s="168"/>
      <c r="V1691" s="168"/>
      <c r="W1691" s="168"/>
      <c r="X1691" s="168"/>
      <c r="Y1691" s="168"/>
      <c r="Z1691" s="1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.63"/>
  </cols>
  <sheetData>
    <row r="1">
      <c r="A1" s="170"/>
      <c r="B1" s="170"/>
      <c r="C1" s="171" t="s">
        <v>2268</v>
      </c>
      <c r="D1" s="171" t="s">
        <v>2269</v>
      </c>
      <c r="E1" s="171" t="s">
        <v>2270</v>
      </c>
      <c r="F1" s="171" t="s">
        <v>2271</v>
      </c>
      <c r="G1" s="170"/>
      <c r="H1" s="171" t="s">
        <v>2272</v>
      </c>
      <c r="I1" s="171" t="s">
        <v>2273</v>
      </c>
      <c r="J1" s="171" t="s">
        <v>2274</v>
      </c>
      <c r="K1" s="171" t="s">
        <v>2275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</row>
    <row r="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</row>
    <row r="3">
      <c r="A3" s="171" t="s">
        <v>2276</v>
      </c>
      <c r="B3" s="170"/>
      <c r="C3" s="171">
        <v>21.0</v>
      </c>
      <c r="D3" s="171">
        <v>50.0</v>
      </c>
      <c r="E3" s="171">
        <v>60.0</v>
      </c>
      <c r="F3" s="171">
        <v>61.0</v>
      </c>
      <c r="G3" s="170"/>
      <c r="H3" s="170">
        <f>C3</f>
        <v>21</v>
      </c>
      <c r="I3" s="170">
        <f t="shared" ref="I3:K3" si="1">D3-C3</f>
        <v>29</v>
      </c>
      <c r="J3" s="170">
        <f t="shared" si="1"/>
        <v>10</v>
      </c>
      <c r="K3" s="170">
        <f t="shared" si="1"/>
        <v>1</v>
      </c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</row>
    <row r="4">
      <c r="A4" s="170"/>
      <c r="B4" s="170"/>
      <c r="C4" s="170"/>
      <c r="D4" s="170"/>
      <c r="E4" s="170"/>
      <c r="F4" s="171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</row>
    <row r="5">
      <c r="A5" s="170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</row>
    <row r="6">
      <c r="A6" s="170"/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</row>
    <row r="7">
      <c r="A7" s="170"/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</row>
    <row r="8">
      <c r="A8" s="170"/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</row>
    <row r="9">
      <c r="A9" s="170"/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</row>
    <row r="10">
      <c r="A10" s="170"/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</row>
    <row r="11">
      <c r="A11" s="170"/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</row>
    <row r="12">
      <c r="A12" s="170"/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</row>
    <row r="13">
      <c r="A13" s="170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</row>
    <row r="14">
      <c r="A14" s="170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</row>
    <row r="15">
      <c r="A15" s="170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</row>
    <row r="16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</row>
    <row r="17">
      <c r="A17" s="170"/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</row>
    <row r="18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</row>
    <row r="19">
      <c r="A19" s="170"/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</row>
    <row r="20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</row>
    <row r="2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</row>
    <row r="22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</row>
    <row r="23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  <row r="24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</row>
    <row r="25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</row>
    <row r="26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</row>
    <row r="27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</row>
    <row r="28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</row>
    <row r="29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</row>
    <row r="30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</row>
    <row r="3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</row>
    <row r="32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</row>
    <row r="33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</row>
    <row r="34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</row>
    <row r="35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</row>
    <row r="36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</row>
    <row r="37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</row>
    <row r="38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</row>
    <row r="39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</row>
    <row r="40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</row>
    <row r="4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</row>
    <row r="42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</row>
    <row r="43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</row>
    <row r="44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</row>
    <row r="4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</row>
    <row r="46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</row>
    <row r="47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</row>
    <row r="49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</row>
    <row r="50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</row>
    <row r="5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</row>
    <row r="52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</row>
    <row r="53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</row>
    <row r="54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</row>
    <row r="5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</row>
    <row r="56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</row>
    <row r="57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</row>
    <row r="58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</row>
    <row r="59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</row>
    <row r="60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</row>
    <row r="6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</row>
    <row r="62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</row>
    <row r="63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</row>
    <row r="64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</row>
    <row r="6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</row>
    <row r="66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</row>
    <row r="67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</row>
    <row r="68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</row>
    <row r="69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</row>
    <row r="70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</row>
    <row r="7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</row>
    <row r="72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</row>
    <row r="73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</row>
    <row r="74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</row>
    <row r="7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</row>
    <row r="76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</row>
    <row r="77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</row>
    <row r="78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</row>
    <row r="79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</row>
    <row r="80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</row>
    <row r="8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</row>
    <row r="82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</row>
    <row r="83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</row>
    <row r="84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</row>
    <row r="8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</row>
    <row r="86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</row>
    <row r="87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</row>
    <row r="88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</row>
    <row r="89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</row>
    <row r="90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</row>
    <row r="9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</row>
    <row r="92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</row>
    <row r="93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</row>
    <row r="94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</row>
    <row r="9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</row>
    <row r="96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</row>
    <row r="97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</row>
    <row r="98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</row>
    <row r="99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</row>
    <row r="100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</row>
    <row r="10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</row>
    <row r="102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</row>
    <row r="103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</row>
    <row r="104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</row>
    <row r="10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</row>
    <row r="106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</row>
    <row r="107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</row>
    <row r="108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</row>
    <row r="109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</row>
    <row r="110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</row>
    <row r="11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</row>
    <row r="112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</row>
    <row r="113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</row>
    <row r="114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</row>
    <row r="11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</row>
    <row r="116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</row>
    <row r="117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</row>
    <row r="118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</row>
    <row r="119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</row>
    <row r="120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</row>
    <row r="12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</row>
    <row r="122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</row>
    <row r="123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</row>
    <row r="124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</row>
    <row r="1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</row>
    <row r="126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</row>
    <row r="127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</row>
    <row r="128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</row>
    <row r="129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</row>
    <row r="130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</row>
    <row r="13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</row>
    <row r="132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</row>
    <row r="133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</row>
    <row r="134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</row>
    <row r="1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</row>
    <row r="136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</row>
    <row r="137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</row>
    <row r="138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</row>
    <row r="139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</row>
    <row r="140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</row>
    <row r="14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</row>
    <row r="142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</row>
    <row r="143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</row>
    <row r="144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</row>
    <row r="14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</row>
    <row r="146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</row>
    <row r="147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</row>
    <row r="148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</row>
    <row r="149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</row>
    <row r="150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</row>
    <row r="15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</row>
    <row r="152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</row>
    <row r="153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</row>
    <row r="154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</row>
    <row r="15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</row>
    <row r="156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</row>
    <row r="157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</row>
    <row r="158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</row>
    <row r="159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</row>
    <row r="160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</row>
    <row r="16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</row>
    <row r="162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</row>
    <row r="163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</row>
    <row r="164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</row>
    <row r="16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</row>
    <row r="166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</row>
    <row r="167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</row>
    <row r="168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</row>
    <row r="169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</row>
    <row r="170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</row>
    <row r="17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</row>
    <row r="172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</row>
    <row r="173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</row>
    <row r="174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</row>
    <row r="17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</row>
    <row r="176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</row>
    <row r="177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</row>
    <row r="178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</row>
    <row r="179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</row>
    <row r="180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</row>
    <row r="18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</row>
    <row r="182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</row>
    <row r="183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</row>
    <row r="18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</row>
    <row r="186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</row>
    <row r="187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</row>
    <row r="188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</row>
    <row r="189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</row>
    <row r="190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</row>
    <row r="19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</row>
    <row r="192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</row>
    <row r="193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</row>
    <row r="194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</row>
    <row r="19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</row>
    <row r="196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</row>
    <row r="197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</row>
    <row r="198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</row>
    <row r="199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</row>
    <row r="200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</row>
    <row r="20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</row>
    <row r="202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</row>
    <row r="203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</row>
    <row r="204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</row>
    <row r="20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</row>
    <row r="206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</row>
    <row r="207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</row>
    <row r="208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</row>
    <row r="209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</row>
    <row r="210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</row>
    <row r="21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</row>
    <row r="212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</row>
    <row r="213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</row>
    <row r="214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</row>
    <row r="21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</row>
    <row r="216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</row>
    <row r="217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</row>
    <row r="218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</row>
    <row r="219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</row>
    <row r="220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</row>
    <row r="22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</row>
    <row r="222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</row>
    <row r="223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</row>
    <row r="224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</row>
    <row r="22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</row>
    <row r="226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</row>
    <row r="227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</row>
    <row r="228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</row>
    <row r="229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</row>
    <row r="230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</row>
    <row r="23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</row>
    <row r="232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</row>
    <row r="233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</row>
    <row r="234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</row>
    <row r="23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</row>
    <row r="236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</row>
    <row r="237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</row>
    <row r="238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</row>
    <row r="239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</row>
    <row r="240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</row>
    <row r="24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</row>
    <row r="242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</row>
    <row r="243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</row>
    <row r="244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</row>
    <row r="24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</row>
    <row r="246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</row>
    <row r="247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</row>
    <row r="248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</row>
    <row r="249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</row>
    <row r="250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</row>
    <row r="25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</row>
    <row r="252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</row>
    <row r="253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</row>
    <row r="254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</row>
    <row r="25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</row>
    <row r="256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</row>
    <row r="257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</row>
    <row r="258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</row>
    <row r="259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</row>
    <row r="260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</row>
    <row r="26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</row>
    <row r="262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</row>
    <row r="263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</row>
    <row r="264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</row>
    <row r="26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</row>
    <row r="266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</row>
    <row r="267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</row>
    <row r="268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</row>
    <row r="269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</row>
    <row r="270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</row>
    <row r="27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</row>
    <row r="272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</row>
    <row r="273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</row>
    <row r="274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</row>
    <row r="27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</row>
    <row r="276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</row>
    <row r="277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</row>
    <row r="278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</row>
    <row r="279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</row>
    <row r="280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</row>
    <row r="28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</row>
    <row r="282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</row>
    <row r="283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</row>
    <row r="284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</row>
    <row r="28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</row>
    <row r="286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</row>
    <row r="287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</row>
    <row r="288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</row>
    <row r="289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</row>
    <row r="290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</row>
    <row r="29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</row>
    <row r="292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</row>
    <row r="293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</row>
    <row r="294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</row>
    <row r="29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</row>
    <row r="296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</row>
    <row r="297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</row>
    <row r="298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</row>
    <row r="299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</row>
    <row r="300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</row>
    <row r="30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</row>
    <row r="302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</row>
    <row r="303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</row>
    <row r="304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</row>
    <row r="30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</row>
    <row r="306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</row>
    <row r="307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</row>
    <row r="308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</row>
    <row r="309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</row>
    <row r="310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</row>
    <row r="31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</row>
    <row r="312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</row>
    <row r="313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</row>
    <row r="314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</row>
    <row r="31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</row>
    <row r="316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</row>
    <row r="317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</row>
    <row r="318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</row>
    <row r="319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</row>
    <row r="320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</row>
    <row r="32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</row>
    <row r="322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</row>
    <row r="323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</row>
    <row r="324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</row>
    <row r="32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</row>
    <row r="326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</row>
    <row r="327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</row>
    <row r="328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</row>
    <row r="329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</row>
    <row r="330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</row>
    <row r="33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</row>
    <row r="332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</row>
    <row r="333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</row>
    <row r="334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</row>
    <row r="33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</row>
    <row r="336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</row>
    <row r="337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</row>
    <row r="338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</row>
    <row r="339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</row>
    <row r="340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</row>
    <row r="34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</row>
    <row r="342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</row>
    <row r="343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</row>
    <row r="344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</row>
    <row r="34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</row>
    <row r="346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</row>
    <row r="347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</row>
    <row r="348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</row>
    <row r="349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</row>
    <row r="350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</row>
    <row r="35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</row>
    <row r="352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</row>
    <row r="353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</row>
    <row r="354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</row>
    <row r="35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</row>
    <row r="356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</row>
    <row r="357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</row>
    <row r="358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</row>
    <row r="359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</row>
    <row r="360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</row>
    <row r="36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</row>
    <row r="362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</row>
    <row r="363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</row>
    <row r="364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</row>
    <row r="36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</row>
    <row r="366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</row>
    <row r="367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</row>
    <row r="368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</row>
    <row r="369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</row>
    <row r="370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</row>
    <row r="37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</row>
    <row r="372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</row>
    <row r="373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</row>
    <row r="374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</row>
    <row r="3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</row>
    <row r="376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</row>
    <row r="377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</row>
    <row r="378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</row>
    <row r="379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</row>
    <row r="380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</row>
    <row r="38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</row>
    <row r="382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</row>
    <row r="383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</row>
    <row r="384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</row>
    <row r="38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</row>
    <row r="386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</row>
    <row r="387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</row>
    <row r="388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</row>
    <row r="389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</row>
    <row r="390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</row>
    <row r="39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</row>
    <row r="392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</row>
    <row r="393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</row>
    <row r="394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</row>
    <row r="39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</row>
    <row r="396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</row>
    <row r="397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</row>
    <row r="398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</row>
    <row r="399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</row>
    <row r="400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</row>
    <row r="40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</row>
    <row r="402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</row>
    <row r="403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</row>
    <row r="404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</row>
    <row r="40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</row>
    <row r="406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</row>
    <row r="407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</row>
    <row r="408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</row>
    <row r="409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</row>
    <row r="410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</row>
    <row r="41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</row>
    <row r="412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</row>
    <row r="413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</row>
    <row r="414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</row>
    <row r="4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</row>
    <row r="416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</row>
    <row r="417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</row>
    <row r="418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</row>
    <row r="419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</row>
    <row r="420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</row>
    <row r="42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</row>
    <row r="422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</row>
    <row r="423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</row>
    <row r="424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</row>
    <row r="42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</row>
    <row r="426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</row>
    <row r="427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</row>
    <row r="428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</row>
    <row r="429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</row>
    <row r="430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</row>
    <row r="43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</row>
    <row r="432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</row>
    <row r="433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</row>
    <row r="434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</row>
    <row r="4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</row>
    <row r="436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</row>
    <row r="437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</row>
    <row r="438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</row>
    <row r="439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</row>
    <row r="440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</row>
    <row r="44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</row>
    <row r="442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</row>
    <row r="443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</row>
    <row r="444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</row>
    <row r="44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</row>
    <row r="446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</row>
    <row r="447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</row>
    <row r="448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</row>
    <row r="449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</row>
    <row r="450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</row>
    <row r="45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</row>
    <row r="452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</row>
    <row r="453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</row>
    <row r="454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</row>
    <row r="45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</row>
    <row r="456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</row>
    <row r="457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</row>
    <row r="458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</row>
    <row r="459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</row>
    <row r="460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</row>
    <row r="46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</row>
    <row r="462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</row>
    <row r="463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</row>
    <row r="464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</row>
    <row r="46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</row>
    <row r="466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</row>
    <row r="467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</row>
    <row r="468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</row>
    <row r="469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</row>
    <row r="470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</row>
    <row r="47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</row>
    <row r="472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</row>
    <row r="473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</row>
    <row r="474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</row>
    <row r="4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</row>
    <row r="476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</row>
    <row r="477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</row>
    <row r="478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</row>
    <row r="479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</row>
    <row r="480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</row>
    <row r="48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</row>
    <row r="482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</row>
    <row r="483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</row>
    <row r="484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</row>
    <row r="48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</row>
    <row r="486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</row>
    <row r="487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</row>
    <row r="488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</row>
    <row r="489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</row>
    <row r="490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</row>
    <row r="49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</row>
    <row r="492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</row>
    <row r="493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</row>
    <row r="494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</row>
    <row r="49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</row>
    <row r="496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</row>
    <row r="497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</row>
    <row r="498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</row>
    <row r="499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</row>
    <row r="500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</row>
    <row r="50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</row>
    <row r="502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</row>
    <row r="503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</row>
    <row r="504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</row>
    <row r="50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</row>
    <row r="506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</row>
    <row r="507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</row>
    <row r="508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</row>
    <row r="509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</row>
    <row r="510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</row>
    <row r="51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</row>
    <row r="512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</row>
    <row r="513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</row>
    <row r="514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</row>
    <row r="5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</row>
    <row r="516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</row>
    <row r="517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</row>
    <row r="518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</row>
    <row r="519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</row>
    <row r="520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</row>
    <row r="52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</row>
    <row r="522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</row>
    <row r="523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</row>
    <row r="524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</row>
    <row r="52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</row>
    <row r="526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</row>
    <row r="527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</row>
    <row r="528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</row>
    <row r="529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</row>
    <row r="530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</row>
    <row r="53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</row>
    <row r="532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</row>
    <row r="533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</row>
    <row r="534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</row>
    <row r="5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</row>
    <row r="536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</row>
    <row r="537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</row>
    <row r="538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</row>
    <row r="539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</row>
    <row r="540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</row>
    <row r="54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</row>
    <row r="542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</row>
    <row r="543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</row>
    <row r="544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</row>
    <row r="54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</row>
    <row r="546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</row>
    <row r="547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</row>
    <row r="548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</row>
    <row r="549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</row>
    <row r="550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</row>
    <row r="55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</row>
    <row r="552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</row>
    <row r="553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</row>
    <row r="554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</row>
    <row r="55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</row>
    <row r="556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</row>
    <row r="557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</row>
    <row r="558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</row>
    <row r="559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</row>
    <row r="560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</row>
    <row r="56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</row>
    <row r="562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</row>
    <row r="563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</row>
    <row r="564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</row>
    <row r="56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</row>
    <row r="566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</row>
    <row r="567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</row>
    <row r="568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</row>
    <row r="569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</row>
    <row r="570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</row>
    <row r="57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</row>
    <row r="572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</row>
    <row r="573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</row>
    <row r="574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</row>
    <row r="5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</row>
    <row r="576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</row>
    <row r="577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</row>
    <row r="578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</row>
    <row r="579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</row>
    <row r="580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</row>
    <row r="58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</row>
    <row r="582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</row>
    <row r="583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</row>
    <row r="584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</row>
    <row r="58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</row>
    <row r="586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</row>
    <row r="587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</row>
    <row r="588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</row>
    <row r="589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</row>
    <row r="590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</row>
    <row r="59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</row>
    <row r="592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</row>
    <row r="593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</row>
    <row r="594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</row>
    <row r="59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</row>
    <row r="596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</row>
    <row r="597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</row>
    <row r="598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</row>
    <row r="599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</row>
    <row r="600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</row>
    <row r="60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</row>
    <row r="602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</row>
    <row r="603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</row>
    <row r="604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</row>
    <row r="60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</row>
    <row r="606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</row>
    <row r="607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</row>
    <row r="608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</row>
    <row r="609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</row>
    <row r="610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</row>
    <row r="61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</row>
    <row r="612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</row>
    <row r="613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</row>
    <row r="614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</row>
    <row r="6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</row>
    <row r="616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</row>
    <row r="617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</row>
    <row r="618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</row>
    <row r="619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</row>
    <row r="620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</row>
    <row r="62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</row>
    <row r="622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</row>
    <row r="623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</row>
    <row r="624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</row>
    <row r="62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</row>
    <row r="626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</row>
    <row r="627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</row>
    <row r="628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</row>
    <row r="629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</row>
    <row r="630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</row>
    <row r="63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</row>
    <row r="632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</row>
    <row r="633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</row>
    <row r="634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</row>
    <row r="6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</row>
    <row r="636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</row>
    <row r="637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</row>
    <row r="638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</row>
    <row r="639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</row>
    <row r="640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</row>
    <row r="64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</row>
    <row r="642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</row>
    <row r="643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</row>
    <row r="644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</row>
    <row r="64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</row>
    <row r="646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</row>
    <row r="647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</row>
    <row r="648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</row>
    <row r="649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</row>
    <row r="650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</row>
    <row r="65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</row>
    <row r="652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</row>
    <row r="653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</row>
    <row r="654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</row>
    <row r="65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</row>
    <row r="656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</row>
    <row r="657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</row>
    <row r="658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</row>
    <row r="659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</row>
    <row r="660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</row>
    <row r="66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</row>
    <row r="662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</row>
    <row r="663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</row>
    <row r="664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</row>
    <row r="66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</row>
    <row r="666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</row>
    <row r="667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</row>
    <row r="668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</row>
    <row r="669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</row>
    <row r="670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</row>
    <row r="67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</row>
    <row r="672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</row>
    <row r="673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</row>
    <row r="674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</row>
    <row r="6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</row>
    <row r="676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</row>
    <row r="677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</row>
    <row r="678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</row>
    <row r="679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</row>
    <row r="680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</row>
    <row r="68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</row>
    <row r="682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</row>
    <row r="683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</row>
    <row r="684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</row>
    <row r="68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</row>
    <row r="686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</row>
    <row r="687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</row>
    <row r="688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</row>
    <row r="689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</row>
    <row r="690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</row>
    <row r="69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</row>
    <row r="692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</row>
    <row r="693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</row>
    <row r="694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</row>
    <row r="69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</row>
    <row r="696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</row>
    <row r="697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</row>
    <row r="698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</row>
    <row r="699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</row>
    <row r="700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</row>
    <row r="70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</row>
    <row r="702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</row>
    <row r="703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</row>
    <row r="704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</row>
    <row r="70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</row>
    <row r="706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</row>
    <row r="707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</row>
    <row r="708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</row>
    <row r="709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</row>
    <row r="710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</row>
    <row r="71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</row>
    <row r="712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</row>
    <row r="713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</row>
    <row r="714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</row>
    <row r="7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</row>
    <row r="716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</row>
    <row r="717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</row>
    <row r="718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</row>
    <row r="719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</row>
    <row r="720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</row>
    <row r="72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</row>
    <row r="722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</row>
    <row r="723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</row>
    <row r="724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</row>
    <row r="72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</row>
    <row r="726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</row>
    <row r="727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</row>
    <row r="728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</row>
    <row r="729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</row>
    <row r="730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</row>
    <row r="73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</row>
    <row r="732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</row>
    <row r="733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</row>
    <row r="734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</row>
    <row r="7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</row>
    <row r="736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</row>
    <row r="737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</row>
    <row r="738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</row>
    <row r="739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</row>
    <row r="740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</row>
    <row r="74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</row>
    <row r="742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</row>
    <row r="743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</row>
    <row r="744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</row>
    <row r="74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</row>
    <row r="746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</row>
    <row r="747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</row>
    <row r="748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</row>
    <row r="749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</row>
    <row r="750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</row>
    <row r="75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</row>
    <row r="752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</row>
    <row r="753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</row>
    <row r="754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</row>
    <row r="75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</row>
    <row r="756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</row>
    <row r="757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</row>
    <row r="758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</row>
    <row r="759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</row>
    <row r="760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</row>
    <row r="76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</row>
    <row r="762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</row>
    <row r="763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</row>
    <row r="764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</row>
    <row r="76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</row>
    <row r="766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</row>
    <row r="767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</row>
    <row r="768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</row>
    <row r="769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</row>
    <row r="770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</row>
    <row r="77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</row>
    <row r="772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</row>
    <row r="773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</row>
    <row r="774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</row>
    <row r="7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</row>
    <row r="776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</row>
    <row r="777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</row>
    <row r="778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</row>
    <row r="779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</row>
    <row r="780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</row>
    <row r="78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</row>
    <row r="782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</row>
    <row r="783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</row>
    <row r="784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</row>
    <row r="78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</row>
    <row r="786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</row>
    <row r="788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</row>
    <row r="789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</row>
    <row r="790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</row>
    <row r="79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</row>
    <row r="792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</row>
    <row r="793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</row>
    <row r="794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</row>
    <row r="79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</row>
    <row r="796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</row>
    <row r="797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</row>
    <row r="798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</row>
    <row r="799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</row>
    <row r="800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</row>
    <row r="80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</row>
    <row r="802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</row>
    <row r="803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</row>
    <row r="804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</row>
    <row r="80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</row>
    <row r="806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</row>
    <row r="807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</row>
    <row r="808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</row>
    <row r="809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</row>
    <row r="810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</row>
    <row r="81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</row>
    <row r="812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</row>
    <row r="813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</row>
    <row r="814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</row>
    <row r="8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</row>
    <row r="816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</row>
    <row r="817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</row>
    <row r="818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</row>
    <row r="819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</row>
    <row r="820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</row>
    <row r="82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</row>
    <row r="822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</row>
    <row r="823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</row>
    <row r="824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</row>
    <row r="82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</row>
    <row r="826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</row>
    <row r="827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</row>
    <row r="828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</row>
    <row r="829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</row>
    <row r="830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</row>
    <row r="83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</row>
    <row r="832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</row>
    <row r="833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</row>
    <row r="834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</row>
    <row r="8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</row>
    <row r="836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</row>
    <row r="837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</row>
    <row r="838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</row>
    <row r="839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</row>
    <row r="840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</row>
    <row r="84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</row>
    <row r="842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</row>
    <row r="843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</row>
    <row r="844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</row>
    <row r="84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</row>
    <row r="846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</row>
    <row r="847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</row>
    <row r="848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</row>
    <row r="849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</row>
    <row r="850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</row>
    <row r="85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</row>
    <row r="852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</row>
    <row r="853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</row>
    <row r="854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</row>
    <row r="85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</row>
    <row r="856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</row>
    <row r="857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</row>
    <row r="858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</row>
    <row r="859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</row>
    <row r="860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</row>
    <row r="86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</row>
    <row r="862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</row>
    <row r="863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</row>
    <row r="864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</row>
    <row r="86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</row>
    <row r="866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</row>
    <row r="867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</row>
    <row r="868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</row>
    <row r="869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</row>
    <row r="870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</row>
    <row r="87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</row>
    <row r="872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</row>
    <row r="873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</row>
    <row r="874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</row>
    <row r="8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</row>
    <row r="876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</row>
    <row r="877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</row>
    <row r="878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</row>
    <row r="879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</row>
    <row r="880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</row>
    <row r="88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</row>
    <row r="882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</row>
    <row r="883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</row>
    <row r="884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</row>
    <row r="88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</row>
    <row r="886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</row>
    <row r="887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</row>
    <row r="888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</row>
    <row r="889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</row>
    <row r="890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</row>
    <row r="89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</row>
    <row r="892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</row>
    <row r="893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</row>
    <row r="894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</row>
    <row r="89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</row>
    <row r="896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</row>
    <row r="897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</row>
    <row r="898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</row>
    <row r="899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</row>
    <row r="900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</row>
    <row r="90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</row>
    <row r="902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</row>
    <row r="903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</row>
    <row r="904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</row>
    <row r="90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</row>
    <row r="906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</row>
    <row r="907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</row>
    <row r="908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</row>
    <row r="909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</row>
    <row r="910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</row>
    <row r="91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</row>
    <row r="912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</row>
    <row r="913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</row>
    <row r="914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</row>
    <row r="9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  <c r="AA915" s="170"/>
    </row>
    <row r="916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  <c r="AA916" s="170"/>
    </row>
    <row r="917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  <c r="AA917" s="170"/>
    </row>
    <row r="918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  <c r="AA918" s="170"/>
    </row>
    <row r="919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</row>
    <row r="920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  <c r="AA920" s="170"/>
    </row>
    <row r="92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  <c r="AA921" s="170"/>
    </row>
    <row r="922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  <c r="AA922" s="170"/>
    </row>
    <row r="923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  <c r="AA923" s="170"/>
    </row>
    <row r="924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  <c r="AA924" s="170"/>
    </row>
    <row r="92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  <c r="AA925" s="170"/>
    </row>
    <row r="926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  <c r="AA926" s="170"/>
    </row>
    <row r="927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  <c r="AA927" s="170"/>
    </row>
    <row r="928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  <c r="AA928" s="170"/>
    </row>
    <row r="929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  <c r="AA929" s="170"/>
    </row>
    <row r="930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  <c r="AA930" s="170"/>
    </row>
    <row r="93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  <c r="AA931" s="170"/>
    </row>
    <row r="932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  <c r="AA932" s="170"/>
    </row>
    <row r="933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</row>
    <row r="934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  <c r="AA934" s="170"/>
    </row>
    <row r="9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  <c r="AA935" s="170"/>
    </row>
    <row r="936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  <c r="AA936" s="170"/>
    </row>
    <row r="937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  <c r="AA937" s="170"/>
    </row>
    <row r="938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  <c r="AA938" s="170"/>
    </row>
    <row r="939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  <c r="AA939" s="170"/>
    </row>
    <row r="940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  <c r="AA940" s="170"/>
    </row>
    <row r="94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  <c r="AA941" s="170"/>
    </row>
    <row r="942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  <c r="AA942" s="170"/>
    </row>
    <row r="943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  <c r="AA943" s="170"/>
    </row>
    <row r="944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</row>
    <row r="94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  <c r="AA945" s="170"/>
    </row>
    <row r="946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  <c r="AA946" s="170"/>
    </row>
    <row r="947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  <c r="AA947" s="170"/>
    </row>
    <row r="948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  <c r="AA948" s="170"/>
    </row>
    <row r="949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  <c r="AA949" s="170"/>
    </row>
    <row r="950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  <c r="AA950" s="170"/>
    </row>
    <row r="95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  <c r="AA951" s="170"/>
    </row>
    <row r="952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  <c r="AA952" s="170"/>
    </row>
    <row r="953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  <c r="AA953" s="170"/>
    </row>
    <row r="954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</row>
    <row r="95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  <c r="AA955" s="170"/>
    </row>
    <row r="956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  <c r="AA956" s="170"/>
    </row>
    <row r="957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  <c r="AA957" s="170"/>
    </row>
    <row r="958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  <c r="AA958" s="170"/>
    </row>
    <row r="959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  <c r="AA959" s="170"/>
    </row>
    <row r="960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  <c r="AA960" s="170"/>
    </row>
    <row r="96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  <c r="AA961" s="170"/>
    </row>
    <row r="962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  <c r="AA962" s="170"/>
    </row>
    <row r="963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  <c r="AA963" s="170"/>
    </row>
    <row r="964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  <c r="AA964" s="170"/>
    </row>
    <row r="96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  <c r="AA965" s="170"/>
    </row>
    <row r="966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</row>
    <row r="967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  <c r="AA967" s="170"/>
    </row>
    <row r="968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  <c r="AA968" s="170"/>
    </row>
    <row r="969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  <c r="AA969" s="170"/>
    </row>
    <row r="970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  <c r="AA970" s="170"/>
    </row>
    <row r="97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  <c r="AA971" s="170"/>
    </row>
    <row r="972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  <c r="AA972" s="170"/>
    </row>
    <row r="973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  <c r="AA973" s="170"/>
    </row>
    <row r="974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</row>
    <row r="97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  <c r="AA975" s="170"/>
    </row>
    <row r="976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  <c r="AA976" s="170"/>
    </row>
    <row r="977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  <c r="AA977" s="170"/>
    </row>
    <row r="978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  <c r="AA978" s="170"/>
    </row>
    <row r="979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  <c r="AA979" s="170"/>
    </row>
    <row r="980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  <c r="AA980" s="170"/>
    </row>
    <row r="98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  <c r="AA981" s="170"/>
    </row>
    <row r="982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  <c r="AA982" s="170"/>
    </row>
    <row r="983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  <c r="AA983" s="170"/>
    </row>
    <row r="984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  <c r="AA984" s="170"/>
    </row>
    <row r="98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  <c r="AA985" s="170"/>
    </row>
    <row r="986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  <c r="AA986" s="170"/>
    </row>
    <row r="987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  <c r="AA987" s="170"/>
    </row>
    <row r="988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  <c r="AA988" s="170"/>
    </row>
    <row r="989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  <c r="AA989" s="170"/>
    </row>
    <row r="990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  <c r="AA990" s="170"/>
    </row>
    <row r="99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  <c r="AA991" s="170"/>
    </row>
    <row r="992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  <c r="AA992" s="170"/>
    </row>
    <row r="993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  <c r="AA993" s="170"/>
    </row>
    <row r="994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  <c r="AA994" s="170"/>
    </row>
    <row r="99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  <c r="AA995" s="170"/>
    </row>
  </sheetData>
  <drawing r:id="rId1"/>
</worksheet>
</file>